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12 гр. по ФЕР" sheetId="5" r:id="rId1"/>
    <sheet name="Акт КС-2 c НР и СП" sheetId="6" r:id="rId2"/>
    <sheet name="Source" sheetId="1" r:id="rId3"/>
    <sheet name="SourceObSm" sheetId="2" r:id="rId4"/>
    <sheet name="SmtRes" sheetId="3" r:id="rId5"/>
    <sheet name="EtalonRes" sheetId="4" r:id="rId6"/>
  </sheets>
  <definedNames>
    <definedName name="_xlnm.Print_Titles" localSheetId="1">'Акт КС-2 c НР и СП'!$35:$35</definedName>
    <definedName name="_xlnm.Print_Titles" localSheetId="0">'Смета 12 гр. по ФЕР'!$31:$31</definedName>
    <definedName name="_xlnm.Print_Area" localSheetId="1">'Акт КС-2 c НР и СП'!$A$1:$H$196</definedName>
    <definedName name="_xlnm.Print_Area" localSheetId="0">'Смета 12 гр. по ФЕР'!$A$1:$L$131</definedName>
  </definedNames>
  <calcPr calcId="145621"/>
</workbook>
</file>

<file path=xl/calcChain.xml><?xml version="1.0" encoding="utf-8"?>
<calcChain xmlns="http://schemas.openxmlformats.org/spreadsheetml/2006/main">
  <c r="G191" i="6" l="1"/>
  <c r="G186" i="6"/>
  <c r="C191" i="6"/>
  <c r="C186" i="6"/>
  <c r="G183" i="6"/>
  <c r="C183" i="6"/>
  <c r="G182" i="6"/>
  <c r="C182" i="6"/>
  <c r="G181" i="6"/>
  <c r="C181" i="6"/>
  <c r="H179" i="6"/>
  <c r="G177" i="6"/>
  <c r="C177" i="6"/>
  <c r="G176" i="6"/>
  <c r="C176" i="6"/>
  <c r="G175" i="6"/>
  <c r="C175" i="6"/>
  <c r="H172" i="6"/>
  <c r="C172" i="6"/>
  <c r="D170" i="6"/>
  <c r="AB169" i="6"/>
  <c r="AA169" i="6"/>
  <c r="Z169" i="6"/>
  <c r="Y169" i="6"/>
  <c r="X169" i="6"/>
  <c r="W169" i="6"/>
  <c r="V169" i="6"/>
  <c r="U169" i="6"/>
  <c r="T169" i="6"/>
  <c r="H169" i="6"/>
  <c r="G169" i="6"/>
  <c r="F169" i="6"/>
  <c r="E169" i="6"/>
  <c r="C169" i="6"/>
  <c r="D169" i="6"/>
  <c r="B169" i="6"/>
  <c r="D168" i="6"/>
  <c r="AB167" i="6"/>
  <c r="AA167" i="6"/>
  <c r="Z167" i="6"/>
  <c r="Y167" i="6"/>
  <c r="X167" i="6"/>
  <c r="W167" i="6"/>
  <c r="V167" i="6"/>
  <c r="U167" i="6"/>
  <c r="T167" i="6"/>
  <c r="H167" i="6"/>
  <c r="G167" i="6"/>
  <c r="F167" i="6"/>
  <c r="E167" i="6"/>
  <c r="C167" i="6"/>
  <c r="D167" i="6"/>
  <c r="B167" i="6"/>
  <c r="D166" i="6"/>
  <c r="AB165" i="6"/>
  <c r="AA165" i="6"/>
  <c r="Z165" i="6"/>
  <c r="Y165" i="6"/>
  <c r="X165" i="6"/>
  <c r="W165" i="6"/>
  <c r="V165" i="6"/>
  <c r="U165" i="6"/>
  <c r="T165" i="6"/>
  <c r="H165" i="6"/>
  <c r="G165" i="6"/>
  <c r="F165" i="6"/>
  <c r="E165" i="6"/>
  <c r="C165" i="6"/>
  <c r="D165" i="6"/>
  <c r="B165" i="6"/>
  <c r="D164" i="6"/>
  <c r="AB163" i="6"/>
  <c r="AA163" i="6"/>
  <c r="Z163" i="6"/>
  <c r="Y163" i="6"/>
  <c r="X163" i="6"/>
  <c r="W163" i="6"/>
  <c r="V163" i="6"/>
  <c r="U163" i="6"/>
  <c r="T163" i="6"/>
  <c r="H163" i="6"/>
  <c r="G163" i="6"/>
  <c r="F163" i="6"/>
  <c r="E163" i="6"/>
  <c r="C163" i="6"/>
  <c r="D163" i="6"/>
  <c r="B163" i="6"/>
  <c r="H162" i="6"/>
  <c r="G162" i="6"/>
  <c r="H161" i="6"/>
  <c r="G161" i="6"/>
  <c r="H160" i="6"/>
  <c r="G160" i="6"/>
  <c r="F160" i="6"/>
  <c r="H159" i="6"/>
  <c r="G159" i="6"/>
  <c r="H158" i="6"/>
  <c r="G158" i="6"/>
  <c r="F158" i="6"/>
  <c r="D152" i="6"/>
  <c r="D151" i="6"/>
  <c r="D150" i="6"/>
  <c r="D149" i="6"/>
  <c r="C148" i="6"/>
  <c r="AB147" i="6"/>
  <c r="AA147" i="6"/>
  <c r="Z147" i="6"/>
  <c r="Y147" i="6"/>
  <c r="X147" i="6"/>
  <c r="W147" i="6"/>
  <c r="V147" i="6"/>
  <c r="U147" i="6"/>
  <c r="T147" i="6"/>
  <c r="H147" i="6"/>
  <c r="G147" i="6"/>
  <c r="F147" i="6"/>
  <c r="E147" i="6"/>
  <c r="C147" i="6"/>
  <c r="D147" i="6"/>
  <c r="B147" i="6"/>
  <c r="D146" i="6"/>
  <c r="AB145" i="6"/>
  <c r="AA145" i="6"/>
  <c r="Z145" i="6"/>
  <c r="Y145" i="6"/>
  <c r="X145" i="6"/>
  <c r="W145" i="6"/>
  <c r="V145" i="6"/>
  <c r="U145" i="6"/>
  <c r="T145" i="6"/>
  <c r="H145" i="6"/>
  <c r="G145" i="6"/>
  <c r="F145" i="6"/>
  <c r="E145" i="6"/>
  <c r="C145" i="6"/>
  <c r="D145" i="6"/>
  <c r="B145" i="6"/>
  <c r="D144" i="6"/>
  <c r="AB143" i="6"/>
  <c r="AA143" i="6"/>
  <c r="Z143" i="6"/>
  <c r="Y143" i="6"/>
  <c r="X143" i="6"/>
  <c r="W143" i="6"/>
  <c r="V143" i="6"/>
  <c r="U143" i="6"/>
  <c r="T143" i="6"/>
  <c r="H143" i="6"/>
  <c r="G143" i="6"/>
  <c r="F143" i="6"/>
  <c r="E143" i="6"/>
  <c r="C143" i="6"/>
  <c r="D143" i="6"/>
  <c r="B143" i="6"/>
  <c r="D142" i="6"/>
  <c r="AB141" i="6"/>
  <c r="AA141" i="6"/>
  <c r="Z141" i="6"/>
  <c r="Y141" i="6"/>
  <c r="X141" i="6"/>
  <c r="W141" i="6"/>
  <c r="V141" i="6"/>
  <c r="U141" i="6"/>
  <c r="T141" i="6"/>
  <c r="H141" i="6"/>
  <c r="G141" i="6"/>
  <c r="F141" i="6"/>
  <c r="E141" i="6"/>
  <c r="C141" i="6"/>
  <c r="D141" i="6"/>
  <c r="B141" i="6"/>
  <c r="D140" i="6"/>
  <c r="AB139" i="6"/>
  <c r="AA139" i="6"/>
  <c r="Z139" i="6"/>
  <c r="Y139" i="6"/>
  <c r="X139" i="6"/>
  <c r="W139" i="6"/>
  <c r="V139" i="6"/>
  <c r="U139" i="6"/>
  <c r="T139" i="6"/>
  <c r="H139" i="6"/>
  <c r="G139" i="6"/>
  <c r="F139" i="6"/>
  <c r="E139" i="6"/>
  <c r="C139" i="6"/>
  <c r="D139" i="6"/>
  <c r="B139" i="6"/>
  <c r="D138" i="6"/>
  <c r="AB137" i="6"/>
  <c r="AA137" i="6"/>
  <c r="Z137" i="6"/>
  <c r="Y137" i="6"/>
  <c r="X137" i="6"/>
  <c r="W137" i="6"/>
  <c r="V137" i="6"/>
  <c r="U137" i="6"/>
  <c r="T137" i="6"/>
  <c r="H137" i="6"/>
  <c r="G137" i="6"/>
  <c r="F137" i="6"/>
  <c r="E137" i="6"/>
  <c r="C137" i="6"/>
  <c r="D137" i="6"/>
  <c r="B137" i="6"/>
  <c r="D136" i="6"/>
  <c r="AB135" i="6"/>
  <c r="AA135" i="6"/>
  <c r="Z135" i="6"/>
  <c r="Y135" i="6"/>
  <c r="X135" i="6"/>
  <c r="W135" i="6"/>
  <c r="V135" i="6"/>
  <c r="U135" i="6"/>
  <c r="T135" i="6"/>
  <c r="H135" i="6"/>
  <c r="G135" i="6"/>
  <c r="F135" i="6"/>
  <c r="E135" i="6"/>
  <c r="C135" i="6"/>
  <c r="D135" i="6"/>
  <c r="B135" i="6"/>
  <c r="H134" i="6"/>
  <c r="G134" i="6"/>
  <c r="H133" i="6"/>
  <c r="G133" i="6"/>
  <c r="H132" i="6"/>
  <c r="G132" i="6"/>
  <c r="F132" i="6"/>
  <c r="H131" i="6"/>
  <c r="G131" i="6"/>
  <c r="H130" i="6"/>
  <c r="G130" i="6"/>
  <c r="F130" i="6"/>
  <c r="D124" i="6"/>
  <c r="D123" i="6"/>
  <c r="D122" i="6"/>
  <c r="D121" i="6"/>
  <c r="C120" i="6"/>
  <c r="AB119" i="6"/>
  <c r="AA119" i="6"/>
  <c r="Z119" i="6"/>
  <c r="Y119" i="6"/>
  <c r="X119" i="6"/>
  <c r="W119" i="6"/>
  <c r="V119" i="6"/>
  <c r="U119" i="6"/>
  <c r="T119" i="6"/>
  <c r="H119" i="6"/>
  <c r="G119" i="6"/>
  <c r="F119" i="6"/>
  <c r="E119" i="6"/>
  <c r="C119" i="6"/>
  <c r="D119" i="6"/>
  <c r="B119" i="6"/>
  <c r="D118" i="6"/>
  <c r="AB117" i="6"/>
  <c r="AA117" i="6"/>
  <c r="Z117" i="6"/>
  <c r="Y117" i="6"/>
  <c r="X117" i="6"/>
  <c r="W117" i="6"/>
  <c r="V117" i="6"/>
  <c r="U117" i="6"/>
  <c r="T117" i="6"/>
  <c r="H117" i="6"/>
  <c r="G117" i="6"/>
  <c r="F117" i="6"/>
  <c r="E117" i="6"/>
  <c r="C117" i="6"/>
  <c r="D117" i="6"/>
  <c r="B117" i="6"/>
  <c r="H116" i="6"/>
  <c r="G116" i="6"/>
  <c r="H115" i="6"/>
  <c r="G115" i="6"/>
  <c r="H114" i="6"/>
  <c r="G114" i="6"/>
  <c r="F114" i="6"/>
  <c r="H113" i="6"/>
  <c r="G113" i="6"/>
  <c r="H112" i="6"/>
  <c r="G112" i="6"/>
  <c r="F112" i="6"/>
  <c r="D106" i="6"/>
  <c r="D105" i="6"/>
  <c r="D104" i="6"/>
  <c r="D103" i="6"/>
  <c r="C102" i="6"/>
  <c r="AB101" i="6"/>
  <c r="AA101" i="6"/>
  <c r="Z101" i="6"/>
  <c r="Y101" i="6"/>
  <c r="X101" i="6"/>
  <c r="W101" i="6"/>
  <c r="V101" i="6"/>
  <c r="U101" i="6"/>
  <c r="T101" i="6"/>
  <c r="H101" i="6"/>
  <c r="G101" i="6"/>
  <c r="F101" i="6"/>
  <c r="E101" i="6"/>
  <c r="C101" i="6"/>
  <c r="D101" i="6"/>
  <c r="B101" i="6"/>
  <c r="H100" i="6"/>
  <c r="G100" i="6"/>
  <c r="H99" i="6"/>
  <c r="G99" i="6"/>
  <c r="H98" i="6"/>
  <c r="G98" i="6"/>
  <c r="F98" i="6"/>
  <c r="H97" i="6"/>
  <c r="G97" i="6"/>
  <c r="H96" i="6"/>
  <c r="G96" i="6"/>
  <c r="F96" i="6"/>
  <c r="D90" i="6"/>
  <c r="D89" i="6"/>
  <c r="D88" i="6"/>
  <c r="D87" i="6"/>
  <c r="C86" i="6"/>
  <c r="AB85" i="6"/>
  <c r="AA85" i="6"/>
  <c r="Z85" i="6"/>
  <c r="Y85" i="6"/>
  <c r="X85" i="6"/>
  <c r="W85" i="6"/>
  <c r="V85" i="6"/>
  <c r="U85" i="6"/>
  <c r="T85" i="6"/>
  <c r="H85" i="6"/>
  <c r="G85" i="6"/>
  <c r="F85" i="6"/>
  <c r="E85" i="6"/>
  <c r="C85" i="6"/>
  <c r="D85" i="6"/>
  <c r="B85" i="6"/>
  <c r="D84" i="6"/>
  <c r="AB83" i="6"/>
  <c r="AA83" i="6"/>
  <c r="Z83" i="6"/>
  <c r="Y83" i="6"/>
  <c r="X83" i="6"/>
  <c r="W83" i="6"/>
  <c r="V83" i="6"/>
  <c r="U83" i="6"/>
  <c r="T83" i="6"/>
  <c r="H83" i="6"/>
  <c r="G83" i="6"/>
  <c r="F83" i="6"/>
  <c r="E83" i="6"/>
  <c r="D83" i="6"/>
  <c r="B83" i="6"/>
  <c r="H82" i="6"/>
  <c r="G82" i="6"/>
  <c r="H81" i="6"/>
  <c r="G81" i="6"/>
  <c r="H80" i="6"/>
  <c r="G80" i="6"/>
  <c r="F80" i="6"/>
  <c r="H79" i="6"/>
  <c r="G79" i="6"/>
  <c r="H78" i="6"/>
  <c r="G78" i="6"/>
  <c r="F78" i="6"/>
  <c r="D72" i="6"/>
  <c r="D71" i="6"/>
  <c r="D70" i="6"/>
  <c r="D69" i="6"/>
  <c r="C68" i="6"/>
  <c r="AB67" i="6"/>
  <c r="AA67" i="6"/>
  <c r="Z67" i="6"/>
  <c r="Y67" i="6"/>
  <c r="X67" i="6"/>
  <c r="W67" i="6"/>
  <c r="V67" i="6"/>
  <c r="U67" i="6"/>
  <c r="T67" i="6"/>
  <c r="H67" i="6"/>
  <c r="G67" i="6"/>
  <c r="F67" i="6"/>
  <c r="E67" i="6"/>
  <c r="C67" i="6"/>
  <c r="D67" i="6"/>
  <c r="B67" i="6"/>
  <c r="H66" i="6"/>
  <c r="G66" i="6"/>
  <c r="H65" i="6"/>
  <c r="G65" i="6"/>
  <c r="F65" i="6"/>
  <c r="H64" i="6"/>
  <c r="G64" i="6"/>
  <c r="F64" i="6"/>
  <c r="D63" i="6"/>
  <c r="D62" i="6"/>
  <c r="D61" i="6"/>
  <c r="D60" i="6"/>
  <c r="C59" i="6"/>
  <c r="AB58" i="6"/>
  <c r="AA58" i="6"/>
  <c r="Z58" i="6"/>
  <c r="Y58" i="6"/>
  <c r="X58" i="6"/>
  <c r="W58" i="6"/>
  <c r="V58" i="6"/>
  <c r="U58" i="6"/>
  <c r="T58" i="6"/>
  <c r="H58" i="6"/>
  <c r="G58" i="6"/>
  <c r="F58" i="6"/>
  <c r="E58" i="6"/>
  <c r="C58" i="6"/>
  <c r="D58" i="6"/>
  <c r="B58" i="6"/>
  <c r="H57" i="6"/>
  <c r="G57" i="6"/>
  <c r="H56" i="6"/>
  <c r="G56" i="6"/>
  <c r="F56" i="6"/>
  <c r="H55" i="6"/>
  <c r="G55" i="6"/>
  <c r="F55" i="6"/>
  <c r="D54" i="6"/>
  <c r="D53" i="6"/>
  <c r="D52" i="6"/>
  <c r="D51" i="6"/>
  <c r="C50" i="6"/>
  <c r="AB49" i="6"/>
  <c r="AA49" i="6"/>
  <c r="Z49" i="6"/>
  <c r="Y49" i="6"/>
  <c r="X49" i="6"/>
  <c r="W49" i="6"/>
  <c r="V49" i="6"/>
  <c r="U49" i="6"/>
  <c r="T49" i="6"/>
  <c r="H49" i="6"/>
  <c r="G49" i="6"/>
  <c r="F49" i="6"/>
  <c r="E49" i="6"/>
  <c r="C49" i="6"/>
  <c r="D49" i="6"/>
  <c r="B49" i="6"/>
  <c r="H48" i="6"/>
  <c r="G48" i="6"/>
  <c r="H47" i="6"/>
  <c r="G47" i="6"/>
  <c r="H46" i="6"/>
  <c r="G46" i="6"/>
  <c r="F46" i="6"/>
  <c r="H45" i="6"/>
  <c r="G45" i="6"/>
  <c r="H44" i="6"/>
  <c r="G44" i="6"/>
  <c r="F44" i="6"/>
  <c r="D43" i="6"/>
  <c r="D42" i="6"/>
  <c r="D41" i="6"/>
  <c r="D40" i="6"/>
  <c r="C39" i="6"/>
  <c r="AB38" i="6"/>
  <c r="AA38" i="6"/>
  <c r="Z38" i="6"/>
  <c r="Y38" i="6"/>
  <c r="X38" i="6"/>
  <c r="W38" i="6"/>
  <c r="V38" i="6"/>
  <c r="U38" i="6"/>
  <c r="T38" i="6"/>
  <c r="H38" i="6"/>
  <c r="G38" i="6"/>
  <c r="F38" i="6"/>
  <c r="E38" i="6"/>
  <c r="C38" i="6"/>
  <c r="D38" i="6"/>
  <c r="B38" i="6"/>
  <c r="A37" i="6"/>
  <c r="F31" i="6"/>
  <c r="D26" i="6"/>
  <c r="G22" i="6"/>
  <c r="G21" i="6"/>
  <c r="G20" i="6"/>
  <c r="G19" i="6"/>
  <c r="G16" i="6"/>
  <c r="AE17" i="6"/>
  <c r="C17" i="6"/>
  <c r="G14" i="6"/>
  <c r="G12" i="6"/>
  <c r="C13" i="6"/>
  <c r="G10" i="6"/>
  <c r="C11" i="6"/>
  <c r="G8" i="6"/>
  <c r="C9" i="6"/>
  <c r="A1" i="6"/>
  <c r="AD15" i="5"/>
  <c r="J123" i="5"/>
  <c r="C123" i="5"/>
  <c r="J122" i="5"/>
  <c r="C122" i="5"/>
  <c r="J121" i="5"/>
  <c r="C121" i="5"/>
  <c r="I27" i="5"/>
  <c r="I26" i="5"/>
  <c r="G26" i="5" s="1"/>
  <c r="I25" i="5"/>
  <c r="I24" i="5"/>
  <c r="I23" i="5"/>
  <c r="I22" i="5"/>
  <c r="I21" i="5"/>
  <c r="A120" i="5"/>
  <c r="L118" i="5"/>
  <c r="Q118" i="5" s="1"/>
  <c r="Z118" i="5"/>
  <c r="Y118" i="5"/>
  <c r="X118" i="5"/>
  <c r="K117" i="5"/>
  <c r="J118" i="5" s="1"/>
  <c r="P118" i="5" s="1"/>
  <c r="H117" i="5"/>
  <c r="G118" i="5" s="1"/>
  <c r="O118" i="5" s="1"/>
  <c r="J117" i="5"/>
  <c r="G117" i="5"/>
  <c r="F117" i="5"/>
  <c r="V117" i="5"/>
  <c r="T117" i="5"/>
  <c r="U117" i="5"/>
  <c r="S117" i="5"/>
  <c r="E117" i="5"/>
  <c r="D117" i="5"/>
  <c r="I117" i="5"/>
  <c r="C117" i="5"/>
  <c r="B117" i="5"/>
  <c r="A117" i="5"/>
  <c r="Q116" i="5"/>
  <c r="L116" i="5"/>
  <c r="Z116" i="5"/>
  <c r="Y116" i="5"/>
  <c r="X116" i="5"/>
  <c r="K115" i="5"/>
  <c r="J116" i="5" s="1"/>
  <c r="P116" i="5" s="1"/>
  <c r="H115" i="5"/>
  <c r="G116" i="5" s="1"/>
  <c r="O116" i="5" s="1"/>
  <c r="J115" i="5"/>
  <c r="G115" i="5"/>
  <c r="F115" i="5"/>
  <c r="V115" i="5"/>
  <c r="T115" i="5"/>
  <c r="U115" i="5"/>
  <c r="S115" i="5"/>
  <c r="E115" i="5"/>
  <c r="D115" i="5"/>
  <c r="I115" i="5"/>
  <c r="C115" i="5"/>
  <c r="B115" i="5"/>
  <c r="A115" i="5"/>
  <c r="L114" i="5"/>
  <c r="Q114" i="5" s="1"/>
  <c r="Z114" i="5"/>
  <c r="Y114" i="5"/>
  <c r="X114" i="5"/>
  <c r="K113" i="5"/>
  <c r="J113" i="5"/>
  <c r="Z113" i="5"/>
  <c r="Y113" i="5"/>
  <c r="X113" i="5"/>
  <c r="H113" i="5"/>
  <c r="W113" i="5" s="1"/>
  <c r="F113" i="5"/>
  <c r="V113" i="5"/>
  <c r="T113" i="5"/>
  <c r="U113" i="5"/>
  <c r="S113" i="5"/>
  <c r="E113" i="5"/>
  <c r="D113" i="5"/>
  <c r="C113" i="5"/>
  <c r="B113" i="5"/>
  <c r="A113" i="5"/>
  <c r="K112" i="5"/>
  <c r="J112" i="5"/>
  <c r="Z112" i="5"/>
  <c r="Y112" i="5"/>
  <c r="X112" i="5"/>
  <c r="H112" i="5"/>
  <c r="W112" i="5" s="1"/>
  <c r="F112" i="5"/>
  <c r="V112" i="5"/>
  <c r="T112" i="5"/>
  <c r="U112" i="5"/>
  <c r="S112" i="5"/>
  <c r="E112" i="5"/>
  <c r="D112" i="5"/>
  <c r="C112" i="5"/>
  <c r="B112" i="5"/>
  <c r="A112" i="5"/>
  <c r="L111" i="5"/>
  <c r="G111" i="5"/>
  <c r="E111" i="5"/>
  <c r="J110" i="5"/>
  <c r="F110" i="5"/>
  <c r="E110" i="5"/>
  <c r="J109" i="5"/>
  <c r="F109" i="5"/>
  <c r="E109" i="5"/>
  <c r="K108" i="5"/>
  <c r="J108" i="5"/>
  <c r="H108" i="5"/>
  <c r="G108" i="5"/>
  <c r="F108" i="5"/>
  <c r="K107" i="5"/>
  <c r="J107" i="5"/>
  <c r="H107" i="5"/>
  <c r="R107" i="5" s="1"/>
  <c r="G107" i="5"/>
  <c r="F107" i="5"/>
  <c r="C106" i="5"/>
  <c r="V105" i="5"/>
  <c r="T105" i="5"/>
  <c r="U105" i="5"/>
  <c r="S105" i="5"/>
  <c r="F105" i="5"/>
  <c r="E105" i="5"/>
  <c r="D105" i="5"/>
  <c r="I105" i="5"/>
  <c r="C105" i="5"/>
  <c r="B105" i="5"/>
  <c r="A105" i="5"/>
  <c r="L104" i="5"/>
  <c r="Q104" i="5" s="1"/>
  <c r="Z104" i="5"/>
  <c r="Y104" i="5"/>
  <c r="X104" i="5"/>
  <c r="K103" i="5"/>
  <c r="J103" i="5"/>
  <c r="Z103" i="5"/>
  <c r="Y103" i="5"/>
  <c r="X103" i="5"/>
  <c r="H103" i="5"/>
  <c r="W103" i="5" s="1"/>
  <c r="F103" i="5"/>
  <c r="V103" i="5"/>
  <c r="T103" i="5"/>
  <c r="U103" i="5"/>
  <c r="S103" i="5"/>
  <c r="E103" i="5"/>
  <c r="D103" i="5"/>
  <c r="C103" i="5"/>
  <c r="B103" i="5"/>
  <c r="A103" i="5"/>
  <c r="K102" i="5"/>
  <c r="J102" i="5"/>
  <c r="Z102" i="5"/>
  <c r="Y102" i="5"/>
  <c r="X102" i="5"/>
  <c r="H102" i="5"/>
  <c r="W102" i="5" s="1"/>
  <c r="F102" i="5"/>
  <c r="V102" i="5"/>
  <c r="T102" i="5"/>
  <c r="U102" i="5"/>
  <c r="S102" i="5"/>
  <c r="E102" i="5"/>
  <c r="D102" i="5"/>
  <c r="C102" i="5"/>
  <c r="B102" i="5"/>
  <c r="A102" i="5"/>
  <c r="K101" i="5"/>
  <c r="J101" i="5"/>
  <c r="Z101" i="5"/>
  <c r="Y101" i="5"/>
  <c r="X101" i="5"/>
  <c r="H101" i="5"/>
  <c r="W101" i="5" s="1"/>
  <c r="F101" i="5"/>
  <c r="V101" i="5"/>
  <c r="T101" i="5"/>
  <c r="U101" i="5"/>
  <c r="S101" i="5"/>
  <c r="E101" i="5"/>
  <c r="D101" i="5"/>
  <c r="C101" i="5"/>
  <c r="B101" i="5"/>
  <c r="A101" i="5"/>
  <c r="K100" i="5"/>
  <c r="J100" i="5"/>
  <c r="Z100" i="5"/>
  <c r="Y100" i="5"/>
  <c r="X100" i="5"/>
  <c r="H100" i="5"/>
  <c r="W100" i="5" s="1"/>
  <c r="F100" i="5"/>
  <c r="V100" i="5"/>
  <c r="T100" i="5"/>
  <c r="U100" i="5"/>
  <c r="S100" i="5"/>
  <c r="E100" i="5"/>
  <c r="D100" i="5"/>
  <c r="C100" i="5"/>
  <c r="B100" i="5"/>
  <c r="A100" i="5"/>
  <c r="K99" i="5"/>
  <c r="J99" i="5"/>
  <c r="Z99" i="5"/>
  <c r="Y99" i="5"/>
  <c r="X99" i="5"/>
  <c r="H99" i="5"/>
  <c r="W99" i="5" s="1"/>
  <c r="F99" i="5"/>
  <c r="V99" i="5"/>
  <c r="T99" i="5"/>
  <c r="U99" i="5"/>
  <c r="S99" i="5"/>
  <c r="E99" i="5"/>
  <c r="D99" i="5"/>
  <c r="C99" i="5"/>
  <c r="B99" i="5"/>
  <c r="A99" i="5"/>
  <c r="K98" i="5"/>
  <c r="J98" i="5"/>
  <c r="Z98" i="5"/>
  <c r="Y98" i="5"/>
  <c r="X98" i="5"/>
  <c r="W98" i="5"/>
  <c r="H98" i="5"/>
  <c r="F98" i="5"/>
  <c r="V98" i="5"/>
  <c r="T98" i="5"/>
  <c r="U98" i="5"/>
  <c r="S98" i="5"/>
  <c r="E98" i="5"/>
  <c r="D98" i="5"/>
  <c r="C98" i="5"/>
  <c r="B98" i="5"/>
  <c r="A98" i="5"/>
  <c r="L97" i="5"/>
  <c r="G97" i="5"/>
  <c r="E97" i="5"/>
  <c r="J96" i="5"/>
  <c r="F96" i="5"/>
  <c r="E96" i="5"/>
  <c r="J95" i="5"/>
  <c r="F95" i="5"/>
  <c r="E95" i="5"/>
  <c r="K94" i="5"/>
  <c r="J94" i="5"/>
  <c r="H94" i="5"/>
  <c r="G94" i="5"/>
  <c r="F94" i="5"/>
  <c r="K93" i="5"/>
  <c r="J93" i="5"/>
  <c r="R93" i="5"/>
  <c r="H93" i="5"/>
  <c r="G93" i="5"/>
  <c r="F93" i="5"/>
  <c r="K92" i="5"/>
  <c r="J92" i="5"/>
  <c r="H92" i="5"/>
  <c r="G92" i="5"/>
  <c r="F92" i="5"/>
  <c r="K91" i="5"/>
  <c r="J91" i="5"/>
  <c r="H91" i="5"/>
  <c r="R91" i="5" s="1"/>
  <c r="G91" i="5"/>
  <c r="F91" i="5"/>
  <c r="C90" i="5"/>
  <c r="V89" i="5"/>
  <c r="K96" i="5" s="1"/>
  <c r="T89" i="5"/>
  <c r="K95" i="5" s="1"/>
  <c r="U89" i="5"/>
  <c r="S89" i="5"/>
  <c r="H95" i="5" s="1"/>
  <c r="F89" i="5"/>
  <c r="E89" i="5"/>
  <c r="D89" i="5"/>
  <c r="I89" i="5"/>
  <c r="C89" i="5"/>
  <c r="B89" i="5"/>
  <c r="A89" i="5"/>
  <c r="L88" i="5"/>
  <c r="Q88" i="5" s="1"/>
  <c r="Z88" i="5"/>
  <c r="Y88" i="5"/>
  <c r="X88" i="5"/>
  <c r="K87" i="5"/>
  <c r="J87" i="5"/>
  <c r="Z87" i="5"/>
  <c r="Y87" i="5"/>
  <c r="X87" i="5"/>
  <c r="H87" i="5"/>
  <c r="W87" i="5" s="1"/>
  <c r="F87" i="5"/>
  <c r="V87" i="5"/>
  <c r="T87" i="5"/>
  <c r="U87" i="5"/>
  <c r="S87" i="5"/>
  <c r="E87" i="5"/>
  <c r="D87" i="5"/>
  <c r="C87" i="5"/>
  <c r="B87" i="5"/>
  <c r="A87" i="5"/>
  <c r="L86" i="5"/>
  <c r="G86" i="5"/>
  <c r="E86" i="5"/>
  <c r="J85" i="5"/>
  <c r="F85" i="5"/>
  <c r="E85" i="5"/>
  <c r="J84" i="5"/>
  <c r="F84" i="5"/>
  <c r="E84" i="5"/>
  <c r="K83" i="5"/>
  <c r="J83" i="5"/>
  <c r="H83" i="5"/>
  <c r="G83" i="5"/>
  <c r="F83" i="5"/>
  <c r="K82" i="5"/>
  <c r="J82" i="5"/>
  <c r="H82" i="5"/>
  <c r="R82" i="5" s="1"/>
  <c r="G82" i="5"/>
  <c r="F82" i="5"/>
  <c r="K81" i="5"/>
  <c r="J81" i="5"/>
  <c r="H81" i="5"/>
  <c r="G81" i="5"/>
  <c r="F81" i="5"/>
  <c r="K80" i="5"/>
  <c r="J80" i="5"/>
  <c r="H80" i="5"/>
  <c r="R80" i="5" s="1"/>
  <c r="G80" i="5"/>
  <c r="F80" i="5"/>
  <c r="C79" i="5"/>
  <c r="V78" i="5"/>
  <c r="T78" i="5"/>
  <c r="K84" i="5" s="1"/>
  <c r="U78" i="5"/>
  <c r="H85" i="5" s="1"/>
  <c r="S78" i="5"/>
  <c r="H84" i="5" s="1"/>
  <c r="F78" i="5"/>
  <c r="E78" i="5"/>
  <c r="D78" i="5"/>
  <c r="I78" i="5"/>
  <c r="C78" i="5"/>
  <c r="B78" i="5"/>
  <c r="A78" i="5"/>
  <c r="L77" i="5"/>
  <c r="Q77" i="5" s="1"/>
  <c r="Z77" i="5"/>
  <c r="Y77" i="5"/>
  <c r="X77" i="5"/>
  <c r="L76" i="5"/>
  <c r="G76" i="5"/>
  <c r="E76" i="5"/>
  <c r="J75" i="5"/>
  <c r="F75" i="5"/>
  <c r="E75" i="5"/>
  <c r="J74" i="5"/>
  <c r="F74" i="5"/>
  <c r="E74" i="5"/>
  <c r="K73" i="5"/>
  <c r="J73" i="5"/>
  <c r="H73" i="5"/>
  <c r="G73" i="5"/>
  <c r="F73" i="5"/>
  <c r="K72" i="5"/>
  <c r="J72" i="5"/>
  <c r="H72" i="5"/>
  <c r="R72" i="5" s="1"/>
  <c r="G72" i="5"/>
  <c r="F72" i="5"/>
  <c r="K71" i="5"/>
  <c r="J71" i="5"/>
  <c r="H71" i="5"/>
  <c r="G71" i="5"/>
  <c r="F71" i="5"/>
  <c r="K70" i="5"/>
  <c r="J70" i="5"/>
  <c r="H70" i="5"/>
  <c r="G70" i="5"/>
  <c r="F70" i="5"/>
  <c r="C69" i="5"/>
  <c r="V68" i="5"/>
  <c r="K75" i="5" s="1"/>
  <c r="T68" i="5"/>
  <c r="K74" i="5" s="1"/>
  <c r="U68" i="5"/>
  <c r="H75" i="5" s="1"/>
  <c r="S68" i="5"/>
  <c r="H74" i="5" s="1"/>
  <c r="F68" i="5"/>
  <c r="E68" i="5"/>
  <c r="D68" i="5"/>
  <c r="I68" i="5"/>
  <c r="C68" i="5"/>
  <c r="B68" i="5"/>
  <c r="A68" i="5"/>
  <c r="L67" i="5"/>
  <c r="Q67" i="5" s="1"/>
  <c r="Z67" i="5"/>
  <c r="Y67" i="5"/>
  <c r="X67" i="5"/>
  <c r="K66" i="5"/>
  <c r="J66" i="5"/>
  <c r="Z66" i="5"/>
  <c r="Y66" i="5"/>
  <c r="X66" i="5"/>
  <c r="H66" i="5"/>
  <c r="W66" i="5" s="1"/>
  <c r="F66" i="5"/>
  <c r="V66" i="5"/>
  <c r="T66" i="5"/>
  <c r="U66" i="5"/>
  <c r="S66" i="5"/>
  <c r="E66" i="5"/>
  <c r="D66" i="5"/>
  <c r="B66" i="5"/>
  <c r="A66" i="5"/>
  <c r="L65" i="5"/>
  <c r="G65" i="5"/>
  <c r="E65" i="5"/>
  <c r="J64" i="5"/>
  <c r="F64" i="5"/>
  <c r="E64" i="5"/>
  <c r="J63" i="5"/>
  <c r="F63" i="5"/>
  <c r="E63" i="5"/>
  <c r="K62" i="5"/>
  <c r="J62" i="5"/>
  <c r="H62" i="5"/>
  <c r="G62" i="5"/>
  <c r="F62" i="5"/>
  <c r="K61" i="5"/>
  <c r="J61" i="5"/>
  <c r="H61" i="5"/>
  <c r="R61" i="5" s="1"/>
  <c r="G61" i="5"/>
  <c r="F61" i="5"/>
  <c r="K60" i="5"/>
  <c r="J60" i="5"/>
  <c r="H60" i="5"/>
  <c r="G60" i="5"/>
  <c r="F60" i="5"/>
  <c r="K59" i="5"/>
  <c r="J59" i="5"/>
  <c r="H59" i="5"/>
  <c r="G59" i="5"/>
  <c r="F59" i="5"/>
  <c r="C58" i="5"/>
  <c r="V57" i="5"/>
  <c r="T57" i="5"/>
  <c r="K63" i="5" s="1"/>
  <c r="U57" i="5"/>
  <c r="H64" i="5" s="1"/>
  <c r="S57" i="5"/>
  <c r="F57" i="5"/>
  <c r="E57" i="5"/>
  <c r="D57" i="5"/>
  <c r="I57" i="5"/>
  <c r="C57" i="5"/>
  <c r="B57" i="5"/>
  <c r="A57" i="5"/>
  <c r="L56" i="5"/>
  <c r="Q56" i="5" s="1"/>
  <c r="Z56" i="5"/>
  <c r="Y56" i="5"/>
  <c r="X56" i="5"/>
  <c r="L55" i="5"/>
  <c r="G55" i="5"/>
  <c r="E55" i="5"/>
  <c r="J54" i="5"/>
  <c r="E54" i="5"/>
  <c r="J53" i="5"/>
  <c r="E53" i="5"/>
  <c r="K52" i="5"/>
  <c r="J52" i="5"/>
  <c r="H52" i="5"/>
  <c r="G52" i="5"/>
  <c r="F52" i="5"/>
  <c r="K51" i="5"/>
  <c r="J51" i="5"/>
  <c r="H51" i="5"/>
  <c r="G51" i="5"/>
  <c r="F51" i="5"/>
  <c r="C50" i="5"/>
  <c r="V49" i="5"/>
  <c r="K54" i="5" s="1"/>
  <c r="T49" i="5"/>
  <c r="K53" i="5" s="1"/>
  <c r="U49" i="5"/>
  <c r="H54" i="5" s="1"/>
  <c r="S49" i="5"/>
  <c r="H53" i="5" s="1"/>
  <c r="F49" i="5"/>
  <c r="E49" i="5"/>
  <c r="D49" i="5"/>
  <c r="I49" i="5"/>
  <c r="C49" i="5"/>
  <c r="B49" i="5"/>
  <c r="A49" i="5"/>
  <c r="L48" i="5"/>
  <c r="Q48" i="5" s="1"/>
  <c r="Z48" i="5"/>
  <c r="Y48" i="5"/>
  <c r="X48" i="5"/>
  <c r="L47" i="5"/>
  <c r="G47" i="5"/>
  <c r="E47" i="5"/>
  <c r="J46" i="5"/>
  <c r="E46" i="5"/>
  <c r="J45" i="5"/>
  <c r="E45" i="5"/>
  <c r="K44" i="5"/>
  <c r="J44" i="5"/>
  <c r="H44" i="5"/>
  <c r="G44" i="5"/>
  <c r="F44" i="5"/>
  <c r="K43" i="5"/>
  <c r="J43" i="5"/>
  <c r="H43" i="5"/>
  <c r="R43" i="5" s="1"/>
  <c r="G43" i="5"/>
  <c r="F43" i="5"/>
  <c r="C42" i="5"/>
  <c r="V41" i="5"/>
  <c r="K46" i="5" s="1"/>
  <c r="T41" i="5"/>
  <c r="K45" i="5" s="1"/>
  <c r="U41" i="5"/>
  <c r="H46" i="5" s="1"/>
  <c r="S41" i="5"/>
  <c r="H45" i="5" s="1"/>
  <c r="F41" i="5"/>
  <c r="E41" i="5"/>
  <c r="D41" i="5"/>
  <c r="I41" i="5"/>
  <c r="C41" i="5"/>
  <c r="B41" i="5"/>
  <c r="A41" i="5"/>
  <c r="L40" i="5"/>
  <c r="Q40" i="5" s="1"/>
  <c r="Z40" i="5"/>
  <c r="Y40" i="5"/>
  <c r="X40" i="5"/>
  <c r="H37" i="5"/>
  <c r="L39" i="5"/>
  <c r="G39" i="5"/>
  <c r="E39" i="5"/>
  <c r="J38" i="5"/>
  <c r="F38" i="5"/>
  <c r="E38" i="5"/>
  <c r="J37" i="5"/>
  <c r="F37" i="5"/>
  <c r="E37" i="5"/>
  <c r="K36" i="5"/>
  <c r="J36" i="5"/>
  <c r="H36" i="5"/>
  <c r="R36" i="5" s="1"/>
  <c r="G36" i="5"/>
  <c r="F36" i="5"/>
  <c r="K35" i="5"/>
  <c r="J35" i="5"/>
  <c r="H35" i="5"/>
  <c r="G35" i="5"/>
  <c r="F35" i="5"/>
  <c r="K34" i="5"/>
  <c r="J40" i="5" s="1"/>
  <c r="P40" i="5" s="1"/>
  <c r="J34" i="5"/>
  <c r="H34" i="5"/>
  <c r="G34" i="5"/>
  <c r="F34" i="5"/>
  <c r="C33" i="5"/>
  <c r="V32" i="5"/>
  <c r="K38" i="5" s="1"/>
  <c r="T32" i="5"/>
  <c r="K37" i="5" s="1"/>
  <c r="U32" i="5"/>
  <c r="H38" i="5" s="1"/>
  <c r="S32" i="5"/>
  <c r="F32" i="5"/>
  <c r="E32" i="5"/>
  <c r="D32" i="5"/>
  <c r="I32" i="5"/>
  <c r="C32" i="5"/>
  <c r="B32" i="5"/>
  <c r="A32" i="5"/>
  <c r="B15" i="5"/>
  <c r="B13" i="5"/>
  <c r="A1" i="5"/>
  <c r="G77" i="5" l="1"/>
  <c r="O77" i="5" s="1"/>
  <c r="J56" i="5"/>
  <c r="P56" i="5" s="1"/>
  <c r="H109" i="5"/>
  <c r="L120" i="5"/>
  <c r="G24" i="5"/>
  <c r="K64" i="5"/>
  <c r="J67" i="5" s="1"/>
  <c r="P67" i="5" s="1"/>
  <c r="G25" i="5"/>
  <c r="H63" i="5"/>
  <c r="H96" i="5"/>
  <c r="G104" i="5" s="1"/>
  <c r="O104" i="5" s="1"/>
  <c r="K110" i="5"/>
  <c r="K109" i="5"/>
  <c r="J114" i="5" s="1"/>
  <c r="P114" i="5" s="1"/>
  <c r="W116" i="5"/>
  <c r="G23" i="5"/>
  <c r="H110" i="5"/>
  <c r="G114" i="5" s="1"/>
  <c r="O114" i="5" s="1"/>
  <c r="G67" i="5"/>
  <c r="O67" i="5" s="1"/>
  <c r="K85" i="5"/>
  <c r="J88" i="5" s="1"/>
  <c r="P88" i="5" s="1"/>
  <c r="G88" i="5"/>
  <c r="O88" i="5" s="1"/>
  <c r="W40" i="5"/>
  <c r="J48" i="5"/>
  <c r="P48" i="5" s="1"/>
  <c r="J77" i="5"/>
  <c r="P77" i="5" s="1"/>
  <c r="G56" i="5"/>
  <c r="O56" i="5" s="1"/>
  <c r="J104" i="5"/>
  <c r="P104" i="5" s="1"/>
  <c r="G40" i="5"/>
  <c r="O40" i="5" s="1"/>
  <c r="R34" i="5"/>
  <c r="R51" i="5"/>
  <c r="R59" i="5"/>
  <c r="W67" i="5"/>
  <c r="R70" i="5"/>
  <c r="W77" i="5"/>
  <c r="W104" i="5"/>
  <c r="W48" i="5"/>
  <c r="G48" i="5"/>
  <c r="O48" i="5" s="1"/>
  <c r="W56" i="5"/>
  <c r="W88" i="5"/>
  <c r="W118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Y1" i="3"/>
  <c r="CZ1" i="3"/>
  <c r="DA1" i="3"/>
  <c r="DB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A8" i="3"/>
  <c r="DB8" i="3"/>
  <c r="DC8" i="3"/>
  <c r="A9" i="3"/>
  <c r="CY9" i="3"/>
  <c r="CZ9" i="3"/>
  <c r="DA9" i="3"/>
  <c r="DB9" i="3"/>
  <c r="DC9" i="3"/>
  <c r="A10" i="3"/>
  <c r="CY10" i="3"/>
  <c r="CZ10" i="3"/>
  <c r="DB10" i="3" s="1"/>
  <c r="DA10" i="3"/>
  <c r="DC10" i="3"/>
  <c r="A11" i="3"/>
  <c r="CY11" i="3"/>
  <c r="CZ11" i="3"/>
  <c r="DB11" i="3" s="1"/>
  <c r="DA11" i="3"/>
  <c r="DC11" i="3"/>
  <c r="A12" i="3"/>
  <c r="CY12" i="3"/>
  <c r="CZ12" i="3"/>
  <c r="DA12" i="3"/>
  <c r="DB12" i="3"/>
  <c r="DC12" i="3"/>
  <c r="A13" i="3"/>
  <c r="CY13" i="3"/>
  <c r="CZ13" i="3"/>
  <c r="DA13" i="3"/>
  <c r="DB13" i="3"/>
  <c r="DC13" i="3"/>
  <c r="A14" i="3"/>
  <c r="CY14" i="3"/>
  <c r="CZ14" i="3"/>
  <c r="DB14" i="3" s="1"/>
  <c r="DA14" i="3"/>
  <c r="DC14" i="3"/>
  <c r="A15" i="3"/>
  <c r="CY15" i="3"/>
  <c r="CZ15" i="3"/>
  <c r="DB15" i="3" s="1"/>
  <c r="DA15" i="3"/>
  <c r="DC15" i="3"/>
  <c r="A16" i="3"/>
  <c r="CY16" i="3"/>
  <c r="CZ16" i="3"/>
  <c r="DA16" i="3"/>
  <c r="DB16" i="3"/>
  <c r="DC16" i="3"/>
  <c r="A17" i="3"/>
  <c r="CY17" i="3"/>
  <c r="CZ17" i="3"/>
  <c r="DA17" i="3"/>
  <c r="DB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A20" i="3"/>
  <c r="DB20" i="3"/>
  <c r="DC20" i="3"/>
  <c r="A21" i="3"/>
  <c r="CY21" i="3"/>
  <c r="CZ21" i="3"/>
  <c r="DA21" i="3"/>
  <c r="DB21" i="3"/>
  <c r="DC21" i="3"/>
  <c r="A22" i="3"/>
  <c r="CY22" i="3"/>
  <c r="CZ22" i="3"/>
  <c r="DB22" i="3" s="1"/>
  <c r="DA22" i="3"/>
  <c r="DC22" i="3"/>
  <c r="A23" i="3"/>
  <c r="CY23" i="3"/>
  <c r="CZ23" i="3"/>
  <c r="DB23" i="3" s="1"/>
  <c r="DA23" i="3"/>
  <c r="DC23" i="3"/>
  <c r="A24" i="3"/>
  <c r="CY24" i="3"/>
  <c r="CZ24" i="3"/>
  <c r="DA24" i="3"/>
  <c r="DB24" i="3"/>
  <c r="DC24" i="3"/>
  <c r="A25" i="3"/>
  <c r="CY25" i="3"/>
  <c r="CZ25" i="3"/>
  <c r="DA25" i="3"/>
  <c r="DB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A28" i="3"/>
  <c r="DB28" i="3"/>
  <c r="DC28" i="3"/>
  <c r="A29" i="3"/>
  <c r="CY29" i="3"/>
  <c r="CZ29" i="3"/>
  <c r="DA29" i="3"/>
  <c r="DB29" i="3"/>
  <c r="DC29" i="3"/>
  <c r="A30" i="3"/>
  <c r="CY30" i="3"/>
  <c r="CZ30" i="3"/>
  <c r="DB30" i="3" s="1"/>
  <c r="DA30" i="3"/>
  <c r="DC30" i="3"/>
  <c r="A31" i="3"/>
  <c r="CY31" i="3"/>
  <c r="CZ31" i="3"/>
  <c r="DB31" i="3" s="1"/>
  <c r="DA31" i="3"/>
  <c r="DC31" i="3"/>
  <c r="A32" i="3"/>
  <c r="CY32" i="3"/>
  <c r="CZ32" i="3"/>
  <c r="DA32" i="3"/>
  <c r="DB32" i="3"/>
  <c r="DC32" i="3"/>
  <c r="A33" i="3"/>
  <c r="CY33" i="3"/>
  <c r="CZ33" i="3"/>
  <c r="DA33" i="3"/>
  <c r="DB33" i="3"/>
  <c r="DC33" i="3"/>
  <c r="A34" i="3"/>
  <c r="CY34" i="3"/>
  <c r="CZ34" i="3"/>
  <c r="DB34" i="3" s="1"/>
  <c r="DA34" i="3"/>
  <c r="DC34" i="3"/>
  <c r="A35" i="3"/>
  <c r="CY35" i="3"/>
  <c r="CZ35" i="3"/>
  <c r="DB35" i="3" s="1"/>
  <c r="DA35" i="3"/>
  <c r="DC35" i="3"/>
  <c r="A36" i="3"/>
  <c r="CY36" i="3"/>
  <c r="CZ36" i="3"/>
  <c r="DA36" i="3"/>
  <c r="DB36" i="3"/>
  <c r="DC36" i="3"/>
  <c r="A37" i="3"/>
  <c r="CY37" i="3"/>
  <c r="CZ37" i="3"/>
  <c r="DA37" i="3"/>
  <c r="DB37" i="3"/>
  <c r="DC37" i="3"/>
  <c r="A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A40" i="3"/>
  <c r="DB40" i="3"/>
  <c r="DC40" i="3"/>
  <c r="A41" i="3"/>
  <c r="CY41" i="3"/>
  <c r="CZ41" i="3"/>
  <c r="DA41" i="3"/>
  <c r="DB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A44" i="3"/>
  <c r="DB44" i="3"/>
  <c r="DC44" i="3"/>
  <c r="A45" i="3"/>
  <c r="CY45" i="3"/>
  <c r="CZ45" i="3"/>
  <c r="DA45" i="3"/>
  <c r="DB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A48" i="3"/>
  <c r="DB48" i="3"/>
  <c r="DC48" i="3"/>
  <c r="A49" i="3"/>
  <c r="CY49" i="3"/>
  <c r="CZ49" i="3"/>
  <c r="DA49" i="3"/>
  <c r="DB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Y52" i="3"/>
  <c r="CZ52" i="3"/>
  <c r="DA52" i="3"/>
  <c r="DB52" i="3"/>
  <c r="DC52" i="3"/>
  <c r="A53" i="3"/>
  <c r="CY53" i="3"/>
  <c r="CZ53" i="3"/>
  <c r="DA53" i="3"/>
  <c r="DB53" i="3"/>
  <c r="DC53" i="3"/>
  <c r="A54" i="3"/>
  <c r="CY54" i="3"/>
  <c r="CZ54" i="3"/>
  <c r="DB54" i="3" s="1"/>
  <c r="DA54" i="3"/>
  <c r="DC54" i="3"/>
  <c r="A55" i="3"/>
  <c r="CY55" i="3"/>
  <c r="CZ55" i="3"/>
  <c r="DB55" i="3" s="1"/>
  <c r="DA55" i="3"/>
  <c r="DC55" i="3"/>
  <c r="A56" i="3"/>
  <c r="CY56" i="3"/>
  <c r="CZ56" i="3"/>
  <c r="DA56" i="3"/>
  <c r="DB56" i="3"/>
  <c r="DC56" i="3"/>
  <c r="A57" i="3"/>
  <c r="CY57" i="3"/>
  <c r="CZ57" i="3"/>
  <c r="DA57" i="3"/>
  <c r="DB57" i="3"/>
  <c r="DC57" i="3"/>
  <c r="A58" i="3"/>
  <c r="CY58" i="3"/>
  <c r="CZ58" i="3"/>
  <c r="DB58" i="3" s="1"/>
  <c r="DA58" i="3"/>
  <c r="DC58" i="3"/>
  <c r="A59" i="3"/>
  <c r="CY59" i="3"/>
  <c r="CZ59" i="3"/>
  <c r="DB59" i="3" s="1"/>
  <c r="DA59" i="3"/>
  <c r="DC59" i="3"/>
  <c r="A60" i="3"/>
  <c r="CY60" i="3"/>
  <c r="CZ60" i="3"/>
  <c r="DA60" i="3"/>
  <c r="DB60" i="3"/>
  <c r="DC60" i="3"/>
  <c r="A61" i="3"/>
  <c r="CY61" i="3"/>
  <c r="CZ61" i="3"/>
  <c r="DA61" i="3"/>
  <c r="DB61" i="3"/>
  <c r="DC61" i="3"/>
  <c r="A62" i="3"/>
  <c r="CY62" i="3"/>
  <c r="CZ62" i="3"/>
  <c r="DB62" i="3" s="1"/>
  <c r="DA62" i="3"/>
  <c r="DC62" i="3"/>
  <c r="A63" i="3"/>
  <c r="CY63" i="3"/>
  <c r="CZ63" i="3"/>
  <c r="DB63" i="3" s="1"/>
  <c r="DA63" i="3"/>
  <c r="DC63" i="3"/>
  <c r="A64" i="3"/>
  <c r="CY64" i="3"/>
  <c r="CZ64" i="3"/>
  <c r="DA64" i="3"/>
  <c r="DB64" i="3"/>
  <c r="DC64" i="3"/>
  <c r="A65" i="3"/>
  <c r="CY65" i="3"/>
  <c r="CZ65" i="3"/>
  <c r="DA65" i="3"/>
  <c r="DB65" i="3"/>
  <c r="DC65" i="3"/>
  <c r="A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A68" i="3"/>
  <c r="DB68" i="3"/>
  <c r="DC68" i="3"/>
  <c r="A69" i="3"/>
  <c r="CY69" i="3"/>
  <c r="CZ69" i="3"/>
  <c r="DA69" i="3"/>
  <c r="DB69" i="3"/>
  <c r="DC69" i="3"/>
  <c r="A70" i="3"/>
  <c r="CY70" i="3"/>
  <c r="CZ70" i="3"/>
  <c r="DB70" i="3" s="1"/>
  <c r="DA70" i="3"/>
  <c r="DC70" i="3"/>
  <c r="A71" i="3"/>
  <c r="CY71" i="3"/>
  <c r="CZ71" i="3"/>
  <c r="DB71" i="3" s="1"/>
  <c r="DA71" i="3"/>
  <c r="DC71" i="3"/>
  <c r="A72" i="3"/>
  <c r="CY72" i="3"/>
  <c r="CZ72" i="3"/>
  <c r="DA72" i="3"/>
  <c r="DB72" i="3"/>
  <c r="DC72" i="3"/>
  <c r="A73" i="3"/>
  <c r="CY73" i="3"/>
  <c r="CZ73" i="3"/>
  <c r="DA73" i="3"/>
  <c r="DB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A76" i="3"/>
  <c r="DB76" i="3"/>
  <c r="DC76" i="3"/>
  <c r="A77" i="3"/>
  <c r="CY77" i="3"/>
  <c r="CZ77" i="3"/>
  <c r="DA77" i="3"/>
  <c r="DB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Y81" i="3"/>
  <c r="CZ81" i="3"/>
  <c r="DA81" i="3"/>
  <c r="DB81" i="3"/>
  <c r="DC81" i="3"/>
  <c r="A82" i="3"/>
  <c r="CY82" i="3"/>
  <c r="CZ82" i="3"/>
  <c r="DB82" i="3" s="1"/>
  <c r="DA82" i="3"/>
  <c r="DC82" i="3"/>
  <c r="A83" i="3"/>
  <c r="CY83" i="3"/>
  <c r="CZ83" i="3"/>
  <c r="DB83" i="3" s="1"/>
  <c r="DA83" i="3"/>
  <c r="DC83" i="3"/>
  <c r="A84" i="3"/>
  <c r="CY84" i="3"/>
  <c r="CZ84" i="3"/>
  <c r="DA84" i="3"/>
  <c r="DB84" i="3"/>
  <c r="DC84" i="3"/>
  <c r="A85" i="3"/>
  <c r="CY85" i="3"/>
  <c r="CZ85" i="3"/>
  <c r="DA85" i="3"/>
  <c r="DB85" i="3"/>
  <c r="DC85" i="3"/>
  <c r="A86" i="3"/>
  <c r="CY86" i="3"/>
  <c r="CZ86" i="3"/>
  <c r="DB86" i="3" s="1"/>
  <c r="DA86" i="3"/>
  <c r="DC86" i="3"/>
  <c r="A87" i="3"/>
  <c r="CY87" i="3"/>
  <c r="CZ87" i="3"/>
  <c r="DB87" i="3" s="1"/>
  <c r="DA87" i="3"/>
  <c r="DC87" i="3"/>
  <c r="A88" i="3"/>
  <c r="CY88" i="3"/>
  <c r="CZ88" i="3"/>
  <c r="DA88" i="3"/>
  <c r="DB88" i="3"/>
  <c r="DC88" i="3"/>
  <c r="A89" i="3"/>
  <c r="CY89" i="3"/>
  <c r="CZ89" i="3"/>
  <c r="DA89" i="3"/>
  <c r="DB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A92" i="3"/>
  <c r="DB92" i="3"/>
  <c r="DC92" i="3"/>
  <c r="A93" i="3"/>
  <c r="CY93" i="3"/>
  <c r="CZ93" i="3"/>
  <c r="DA93" i="3"/>
  <c r="DB93" i="3"/>
  <c r="DC93" i="3"/>
  <c r="A94" i="3"/>
  <c r="CY94" i="3"/>
  <c r="CZ94" i="3"/>
  <c r="DB94" i="3" s="1"/>
  <c r="DA94" i="3"/>
  <c r="DC94" i="3"/>
  <c r="A95" i="3"/>
  <c r="CY95" i="3"/>
  <c r="CZ95" i="3"/>
  <c r="DB95" i="3" s="1"/>
  <c r="DA95" i="3"/>
  <c r="DC95" i="3"/>
  <c r="A96" i="3"/>
  <c r="CY96" i="3"/>
  <c r="CZ96" i="3"/>
  <c r="DA96" i="3"/>
  <c r="DB96" i="3"/>
  <c r="DC96" i="3"/>
  <c r="A97" i="3"/>
  <c r="CY97" i="3"/>
  <c r="CZ97" i="3"/>
  <c r="DA97" i="3"/>
  <c r="DB97" i="3"/>
  <c r="DC97" i="3"/>
  <c r="A98" i="3"/>
  <c r="CY98" i="3"/>
  <c r="CZ98" i="3"/>
  <c r="DB98" i="3" s="1"/>
  <c r="DA98" i="3"/>
  <c r="DC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I24" i="1"/>
  <c r="AC24" i="1"/>
  <c r="AB24" i="1" s="1"/>
  <c r="AD24" i="1"/>
  <c r="CR24" i="1" s="1"/>
  <c r="Q24" i="1" s="1"/>
  <c r="AE24" i="1"/>
  <c r="AF24" i="1"/>
  <c r="AG24" i="1"/>
  <c r="CU24" i="1" s="1"/>
  <c r="T24" i="1" s="1"/>
  <c r="AH24" i="1"/>
  <c r="CV24" i="1" s="1"/>
  <c r="U24" i="1" s="1"/>
  <c r="AI24" i="1"/>
  <c r="AJ24" i="1"/>
  <c r="CS24" i="1"/>
  <c r="R24" i="1" s="1"/>
  <c r="CT24" i="1"/>
  <c r="S24" i="1" s="1"/>
  <c r="CW24" i="1"/>
  <c r="V24" i="1" s="1"/>
  <c r="CX24" i="1"/>
  <c r="W24" i="1" s="1"/>
  <c r="FR24" i="1"/>
  <c r="GL24" i="1"/>
  <c r="GO24" i="1"/>
  <c r="GP24" i="1"/>
  <c r="GV24" i="1"/>
  <c r="HC24" i="1"/>
  <c r="GX24" i="1" s="1"/>
  <c r="C25" i="1"/>
  <c r="D25" i="1"/>
  <c r="I25" i="1"/>
  <c r="AC25" i="1"/>
  <c r="AB25" i="1" s="1"/>
  <c r="AD25" i="1"/>
  <c r="CR25" i="1" s="1"/>
  <c r="Q25" i="1" s="1"/>
  <c r="AE25" i="1"/>
  <c r="CS25" i="1" s="1"/>
  <c r="R25" i="1" s="1"/>
  <c r="AF25" i="1"/>
  <c r="AG25" i="1"/>
  <c r="AH25" i="1"/>
  <c r="CV25" i="1" s="1"/>
  <c r="U25" i="1" s="1"/>
  <c r="AI25" i="1"/>
  <c r="CW25" i="1" s="1"/>
  <c r="V25" i="1" s="1"/>
  <c r="AJ25" i="1"/>
  <c r="CQ25" i="1"/>
  <c r="P25" i="1" s="1"/>
  <c r="CT25" i="1"/>
  <c r="S25" i="1" s="1"/>
  <c r="CU25" i="1"/>
  <c r="T25" i="1" s="1"/>
  <c r="CX25" i="1"/>
  <c r="W25" i="1" s="1"/>
  <c r="FR25" i="1"/>
  <c r="GL25" i="1"/>
  <c r="GO25" i="1"/>
  <c r="GP25" i="1"/>
  <c r="GV25" i="1"/>
  <c r="HC25" i="1" s="1"/>
  <c r="GX25" i="1" s="1"/>
  <c r="C26" i="1"/>
  <c r="D26" i="1"/>
  <c r="I26" i="1"/>
  <c r="AC26" i="1"/>
  <c r="AE26" i="1"/>
  <c r="AD26" i="1" s="1"/>
  <c r="AF26" i="1"/>
  <c r="CT26" i="1" s="1"/>
  <c r="S26" i="1" s="1"/>
  <c r="AG26" i="1"/>
  <c r="AH26" i="1"/>
  <c r="AI26" i="1"/>
  <c r="CW26" i="1" s="1"/>
  <c r="V26" i="1" s="1"/>
  <c r="AJ26" i="1"/>
  <c r="CX26" i="1" s="1"/>
  <c r="W26" i="1" s="1"/>
  <c r="CQ26" i="1"/>
  <c r="P26" i="1" s="1"/>
  <c r="CU26" i="1"/>
  <c r="T26" i="1" s="1"/>
  <c r="CV26" i="1"/>
  <c r="U26" i="1" s="1"/>
  <c r="FR26" i="1"/>
  <c r="GL26" i="1"/>
  <c r="GO26" i="1"/>
  <c r="GP26" i="1"/>
  <c r="GV26" i="1"/>
  <c r="GX26" i="1"/>
  <c r="HC26" i="1"/>
  <c r="C27" i="1"/>
  <c r="D27" i="1"/>
  <c r="I27" i="1"/>
  <c r="AC27" i="1"/>
  <c r="CQ27" i="1" s="1"/>
  <c r="P27" i="1" s="1"/>
  <c r="AE27" i="1"/>
  <c r="AD27" i="1" s="1"/>
  <c r="CR27" i="1" s="1"/>
  <c r="AF27" i="1"/>
  <c r="AB27" i="1" s="1"/>
  <c r="AG27" i="1"/>
  <c r="CU27" i="1" s="1"/>
  <c r="T27" i="1" s="1"/>
  <c r="AH27" i="1"/>
  <c r="AI27" i="1"/>
  <c r="AJ27" i="1"/>
  <c r="CS27" i="1"/>
  <c r="R27" i="1" s="1"/>
  <c r="CV27" i="1"/>
  <c r="U27" i="1" s="1"/>
  <c r="CW27" i="1"/>
  <c r="V27" i="1" s="1"/>
  <c r="CX27" i="1"/>
  <c r="W27" i="1" s="1"/>
  <c r="FR27" i="1"/>
  <c r="GL27" i="1"/>
  <c r="GO27" i="1"/>
  <c r="GP27" i="1"/>
  <c r="GV27" i="1"/>
  <c r="GX27" i="1"/>
  <c r="HC27" i="1"/>
  <c r="C28" i="1"/>
  <c r="D28" i="1"/>
  <c r="I28" i="1"/>
  <c r="S28" i="1"/>
  <c r="V28" i="1"/>
  <c r="AC28" i="1"/>
  <c r="AB28" i="1" s="1"/>
  <c r="AD28" i="1"/>
  <c r="CR28" i="1" s="1"/>
  <c r="AE28" i="1"/>
  <c r="AF28" i="1"/>
  <c r="AG28" i="1"/>
  <c r="AH28" i="1"/>
  <c r="CV28" i="1" s="1"/>
  <c r="AI28" i="1"/>
  <c r="AJ28" i="1"/>
  <c r="CS28" i="1"/>
  <c r="R28" i="1" s="1"/>
  <c r="CT28" i="1"/>
  <c r="CU28" i="1"/>
  <c r="T28" i="1" s="1"/>
  <c r="CW28" i="1"/>
  <c r="CX28" i="1"/>
  <c r="W28" i="1" s="1"/>
  <c r="FR28" i="1"/>
  <c r="GL28" i="1"/>
  <c r="GO28" i="1"/>
  <c r="GP28" i="1"/>
  <c r="GV28" i="1"/>
  <c r="HC28" i="1"/>
  <c r="GX28" i="1" s="1"/>
  <c r="C29" i="1"/>
  <c r="D29" i="1"/>
  <c r="I29" i="1"/>
  <c r="W29" i="1"/>
  <c r="AC29" i="1"/>
  <c r="AD29" i="1"/>
  <c r="CR29" i="1" s="1"/>
  <c r="Q29" i="1" s="1"/>
  <c r="AE29" i="1"/>
  <c r="CS29" i="1" s="1"/>
  <c r="R29" i="1" s="1"/>
  <c r="AF29" i="1"/>
  <c r="AG29" i="1"/>
  <c r="AH29" i="1"/>
  <c r="AI29" i="1"/>
  <c r="CW29" i="1" s="1"/>
  <c r="V29" i="1" s="1"/>
  <c r="AJ29" i="1"/>
  <c r="CQ29" i="1"/>
  <c r="P29" i="1" s="1"/>
  <c r="CT29" i="1"/>
  <c r="S29" i="1" s="1"/>
  <c r="CU29" i="1"/>
  <c r="T29" i="1" s="1"/>
  <c r="CV29" i="1"/>
  <c r="U29" i="1" s="1"/>
  <c r="CX29" i="1"/>
  <c r="FR29" i="1"/>
  <c r="GL29" i="1"/>
  <c r="GO29" i="1"/>
  <c r="GP29" i="1"/>
  <c r="GV29" i="1"/>
  <c r="HC29" i="1" s="1"/>
  <c r="GX29" i="1"/>
  <c r="C30" i="1"/>
  <c r="D30" i="1"/>
  <c r="I30" i="1"/>
  <c r="I34" i="1" s="1"/>
  <c r="AC30" i="1"/>
  <c r="AE30" i="1"/>
  <c r="AD30" i="1" s="1"/>
  <c r="AF30" i="1"/>
  <c r="CT30" i="1" s="1"/>
  <c r="S30" i="1" s="1"/>
  <c r="CY30" i="1" s="1"/>
  <c r="X30" i="1" s="1"/>
  <c r="AG30" i="1"/>
  <c r="AH30" i="1"/>
  <c r="AI30" i="1"/>
  <c r="CW30" i="1" s="1"/>
  <c r="V30" i="1" s="1"/>
  <c r="AJ30" i="1"/>
  <c r="CX30" i="1" s="1"/>
  <c r="W30" i="1" s="1"/>
  <c r="CQ30" i="1"/>
  <c r="P30" i="1" s="1"/>
  <c r="CS30" i="1"/>
  <c r="R30" i="1" s="1"/>
  <c r="CZ30" i="1" s="1"/>
  <c r="Y30" i="1" s="1"/>
  <c r="CU30" i="1"/>
  <c r="T30" i="1" s="1"/>
  <c r="CV30" i="1"/>
  <c r="U30" i="1" s="1"/>
  <c r="FR30" i="1"/>
  <c r="GL30" i="1"/>
  <c r="GO30" i="1"/>
  <c r="GP30" i="1"/>
  <c r="GV30" i="1"/>
  <c r="GX30" i="1"/>
  <c r="HC30" i="1"/>
  <c r="C31" i="1"/>
  <c r="D31" i="1"/>
  <c r="I31" i="1"/>
  <c r="AC31" i="1"/>
  <c r="CQ31" i="1" s="1"/>
  <c r="AE31" i="1"/>
  <c r="AD31" i="1" s="1"/>
  <c r="AB31" i="1" s="1"/>
  <c r="AF31" i="1"/>
  <c r="AG31" i="1"/>
  <c r="CU31" i="1" s="1"/>
  <c r="AH31" i="1"/>
  <c r="AI31" i="1"/>
  <c r="CW31" i="1" s="1"/>
  <c r="V31" i="1" s="1"/>
  <c r="AJ31" i="1"/>
  <c r="CX31" i="1" s="1"/>
  <c r="W31" i="1" s="1"/>
  <c r="CS31" i="1"/>
  <c r="R31" i="1" s="1"/>
  <c r="CT31" i="1"/>
  <c r="S31" i="1" s="1"/>
  <c r="CV31" i="1"/>
  <c r="U31" i="1" s="1"/>
  <c r="FR31" i="1"/>
  <c r="GL31" i="1"/>
  <c r="GO31" i="1"/>
  <c r="GP31" i="1"/>
  <c r="GV31" i="1"/>
  <c r="HC31" i="1"/>
  <c r="GX31" i="1" s="1"/>
  <c r="I32" i="1"/>
  <c r="R32" i="1"/>
  <c r="T32" i="1"/>
  <c r="AC32" i="1"/>
  <c r="AD32" i="1"/>
  <c r="AB32" i="1" s="1"/>
  <c r="AE32" i="1"/>
  <c r="AF32" i="1"/>
  <c r="CT32" i="1" s="1"/>
  <c r="AG32" i="1"/>
  <c r="AH32" i="1"/>
  <c r="CV32" i="1" s="1"/>
  <c r="U32" i="1" s="1"/>
  <c r="AI32" i="1"/>
  <c r="AJ32" i="1"/>
  <c r="CX32" i="1" s="1"/>
  <c r="CQ32" i="1"/>
  <c r="P32" i="1" s="1"/>
  <c r="CR32" i="1"/>
  <c r="Q32" i="1" s="1"/>
  <c r="CS32" i="1"/>
  <c r="CU32" i="1"/>
  <c r="CW32" i="1"/>
  <c r="V32" i="1" s="1"/>
  <c r="FR32" i="1"/>
  <c r="GL32" i="1"/>
  <c r="GO32" i="1"/>
  <c r="GP32" i="1"/>
  <c r="GV32" i="1"/>
  <c r="HC32" i="1"/>
  <c r="GX32" i="1" s="1"/>
  <c r="AC33" i="1"/>
  <c r="CQ33" i="1" s="1"/>
  <c r="AE33" i="1"/>
  <c r="CS33" i="1" s="1"/>
  <c r="AF33" i="1"/>
  <c r="AG33" i="1"/>
  <c r="AH33" i="1"/>
  <c r="AI33" i="1"/>
  <c r="CW33" i="1" s="1"/>
  <c r="AJ33" i="1"/>
  <c r="CT33" i="1"/>
  <c r="CU33" i="1"/>
  <c r="CV33" i="1"/>
  <c r="CX33" i="1"/>
  <c r="FR33" i="1"/>
  <c r="GL33" i="1"/>
  <c r="GO33" i="1"/>
  <c r="GP33" i="1"/>
  <c r="GV33" i="1"/>
  <c r="HC33" i="1" s="1"/>
  <c r="AC34" i="1"/>
  <c r="AD34" i="1"/>
  <c r="CR34" i="1" s="1"/>
  <c r="AE34" i="1"/>
  <c r="AF34" i="1"/>
  <c r="AB34" i="1" s="1"/>
  <c r="AG34" i="1"/>
  <c r="AH34" i="1"/>
  <c r="CV34" i="1" s="1"/>
  <c r="AI34" i="1"/>
  <c r="AJ34" i="1"/>
  <c r="CX34" i="1" s="1"/>
  <c r="CQ34" i="1"/>
  <c r="P34" i="1" s="1"/>
  <c r="CS34" i="1"/>
  <c r="CT34" i="1"/>
  <c r="CU34" i="1"/>
  <c r="CW34" i="1"/>
  <c r="V34" i="1" s="1"/>
  <c r="FR34" i="1"/>
  <c r="GL34" i="1"/>
  <c r="GO34" i="1"/>
  <c r="GP34" i="1"/>
  <c r="GV34" i="1"/>
  <c r="HC34" i="1" s="1"/>
  <c r="I35" i="1"/>
  <c r="AC35" i="1"/>
  <c r="CQ35" i="1" s="1"/>
  <c r="P35" i="1" s="1"/>
  <c r="AE35" i="1"/>
  <c r="AD35" i="1" s="1"/>
  <c r="AF35" i="1"/>
  <c r="AG35" i="1"/>
  <c r="CU35" i="1" s="1"/>
  <c r="AH35" i="1"/>
  <c r="AI35" i="1"/>
  <c r="AJ35" i="1"/>
  <c r="CX35" i="1" s="1"/>
  <c r="W35" i="1" s="1"/>
  <c r="CR35" i="1"/>
  <c r="Q35" i="1" s="1"/>
  <c r="CS35" i="1"/>
  <c r="R35" i="1" s="1"/>
  <c r="CT35" i="1"/>
  <c r="S35" i="1" s="1"/>
  <c r="CV35" i="1"/>
  <c r="U35" i="1" s="1"/>
  <c r="CW35" i="1"/>
  <c r="V35" i="1" s="1"/>
  <c r="FR35" i="1"/>
  <c r="GL35" i="1"/>
  <c r="GO35" i="1"/>
  <c r="GP35" i="1"/>
  <c r="GV35" i="1"/>
  <c r="HC35" i="1"/>
  <c r="GX35" i="1" s="1"/>
  <c r="C36" i="1"/>
  <c r="D36" i="1"/>
  <c r="I36" i="1"/>
  <c r="R36" i="1"/>
  <c r="AC36" i="1"/>
  <c r="AB36" i="1" s="1"/>
  <c r="AD36" i="1"/>
  <c r="CR36" i="1" s="1"/>
  <c r="Q36" i="1" s="1"/>
  <c r="AE36" i="1"/>
  <c r="AF36" i="1"/>
  <c r="AG36" i="1"/>
  <c r="AH36" i="1"/>
  <c r="CV36" i="1" s="1"/>
  <c r="U36" i="1" s="1"/>
  <c r="AI36" i="1"/>
  <c r="AJ36" i="1"/>
  <c r="CX36" i="1" s="1"/>
  <c r="W36" i="1" s="1"/>
  <c r="CQ36" i="1"/>
  <c r="P36" i="1" s="1"/>
  <c r="CS36" i="1"/>
  <c r="CT36" i="1"/>
  <c r="S36" i="1" s="1"/>
  <c r="CU36" i="1"/>
  <c r="T36" i="1" s="1"/>
  <c r="CW36" i="1"/>
  <c r="V36" i="1" s="1"/>
  <c r="FR36" i="1"/>
  <c r="GL36" i="1"/>
  <c r="GO36" i="1"/>
  <c r="GP36" i="1"/>
  <c r="GV36" i="1"/>
  <c r="HC36" i="1" s="1"/>
  <c r="GX36" i="1" s="1"/>
  <c r="C37" i="1"/>
  <c r="D37" i="1"/>
  <c r="I37" i="1"/>
  <c r="S37" i="1"/>
  <c r="CZ37" i="1" s="1"/>
  <c r="Y37" i="1" s="1"/>
  <c r="AC37" i="1"/>
  <c r="AE37" i="1"/>
  <c r="CS37" i="1" s="1"/>
  <c r="R37" i="1" s="1"/>
  <c r="AF37" i="1"/>
  <c r="AG37" i="1"/>
  <c r="AH37" i="1"/>
  <c r="AI37" i="1"/>
  <c r="CW37" i="1" s="1"/>
  <c r="V37" i="1" s="1"/>
  <c r="AJ37" i="1"/>
  <c r="CQ37" i="1"/>
  <c r="P37" i="1" s="1"/>
  <c r="CT37" i="1"/>
  <c r="CU37" i="1"/>
  <c r="T37" i="1" s="1"/>
  <c r="CV37" i="1"/>
  <c r="U37" i="1" s="1"/>
  <c r="CX37" i="1"/>
  <c r="W37" i="1" s="1"/>
  <c r="FR37" i="1"/>
  <c r="GL37" i="1"/>
  <c r="GO37" i="1"/>
  <c r="GP37" i="1"/>
  <c r="GV37" i="1"/>
  <c r="HC37" i="1" s="1"/>
  <c r="GX37" i="1"/>
  <c r="C38" i="1"/>
  <c r="D38" i="1"/>
  <c r="I38" i="1"/>
  <c r="R38" i="1"/>
  <c r="CZ38" i="1" s="1"/>
  <c r="Y38" i="1" s="1"/>
  <c r="AC38" i="1"/>
  <c r="AD38" i="1"/>
  <c r="AB38" i="1" s="1"/>
  <c r="AE38" i="1"/>
  <c r="AF38" i="1"/>
  <c r="CT38" i="1" s="1"/>
  <c r="S38" i="1" s="1"/>
  <c r="CY38" i="1" s="1"/>
  <c r="X38" i="1" s="1"/>
  <c r="AG38" i="1"/>
  <c r="AH38" i="1"/>
  <c r="CV38" i="1" s="1"/>
  <c r="U38" i="1" s="1"/>
  <c r="AI38" i="1"/>
  <c r="AJ38" i="1"/>
  <c r="CX38" i="1" s="1"/>
  <c r="W38" i="1" s="1"/>
  <c r="CQ38" i="1"/>
  <c r="P38" i="1" s="1"/>
  <c r="CR38" i="1"/>
  <c r="Q38" i="1" s="1"/>
  <c r="CS38" i="1"/>
  <c r="CU38" i="1"/>
  <c r="T38" i="1" s="1"/>
  <c r="CW38" i="1"/>
  <c r="V38" i="1" s="1"/>
  <c r="FR38" i="1"/>
  <c r="GL38" i="1"/>
  <c r="GO38" i="1"/>
  <c r="GP38" i="1"/>
  <c r="GV38" i="1"/>
  <c r="GX38" i="1"/>
  <c r="HC38" i="1"/>
  <c r="C39" i="1"/>
  <c r="D39" i="1"/>
  <c r="I39" i="1"/>
  <c r="AC39" i="1"/>
  <c r="CQ39" i="1" s="1"/>
  <c r="P39" i="1" s="1"/>
  <c r="CP39" i="1" s="1"/>
  <c r="O39" i="1" s="1"/>
  <c r="AE39" i="1"/>
  <c r="AD39" i="1" s="1"/>
  <c r="AF39" i="1"/>
  <c r="AG39" i="1"/>
  <c r="CU39" i="1" s="1"/>
  <c r="AH39" i="1"/>
  <c r="AI39" i="1"/>
  <c r="AJ39" i="1"/>
  <c r="CX39" i="1" s="1"/>
  <c r="W39" i="1" s="1"/>
  <c r="CR39" i="1"/>
  <c r="Q39" i="1" s="1"/>
  <c r="CS39" i="1"/>
  <c r="R39" i="1" s="1"/>
  <c r="CT39" i="1"/>
  <c r="S39" i="1" s="1"/>
  <c r="CV39" i="1"/>
  <c r="U39" i="1" s="1"/>
  <c r="CW39" i="1"/>
  <c r="V39" i="1" s="1"/>
  <c r="FR39" i="1"/>
  <c r="GL39" i="1"/>
  <c r="GO39" i="1"/>
  <c r="GP39" i="1"/>
  <c r="GV39" i="1"/>
  <c r="HC39" i="1"/>
  <c r="GX39" i="1" s="1"/>
  <c r="I40" i="1"/>
  <c r="P40" i="1"/>
  <c r="R40" i="1"/>
  <c r="AC40" i="1"/>
  <c r="AD40" i="1"/>
  <c r="AE40" i="1"/>
  <c r="AF40" i="1"/>
  <c r="CT40" i="1" s="1"/>
  <c r="S40" i="1" s="1"/>
  <c r="CY40" i="1" s="1"/>
  <c r="X40" i="1" s="1"/>
  <c r="AG40" i="1"/>
  <c r="AH40" i="1"/>
  <c r="CV40" i="1" s="1"/>
  <c r="U40" i="1" s="1"/>
  <c r="AI40" i="1"/>
  <c r="AJ40" i="1"/>
  <c r="CX40" i="1" s="1"/>
  <c r="W40" i="1" s="1"/>
  <c r="CQ40" i="1"/>
  <c r="CR40" i="1"/>
  <c r="Q40" i="1" s="1"/>
  <c r="CS40" i="1"/>
  <c r="CU40" i="1"/>
  <c r="T40" i="1" s="1"/>
  <c r="CW40" i="1"/>
  <c r="V40" i="1" s="1"/>
  <c r="CZ40" i="1"/>
  <c r="Y40" i="1" s="1"/>
  <c r="FR40" i="1"/>
  <c r="GL40" i="1"/>
  <c r="GO40" i="1"/>
  <c r="GP40" i="1"/>
  <c r="GV40" i="1"/>
  <c r="HC40" i="1" s="1"/>
  <c r="GX40" i="1" s="1"/>
  <c r="AC41" i="1"/>
  <c r="AD41" i="1"/>
  <c r="CR41" i="1" s="1"/>
  <c r="AE41" i="1"/>
  <c r="CS41" i="1" s="1"/>
  <c r="AF41" i="1"/>
  <c r="AG41" i="1"/>
  <c r="AH41" i="1"/>
  <c r="AI41" i="1"/>
  <c r="CW41" i="1" s="1"/>
  <c r="AJ41" i="1"/>
  <c r="CQ41" i="1"/>
  <c r="CT41" i="1"/>
  <c r="CU41" i="1"/>
  <c r="CV41" i="1"/>
  <c r="CX41" i="1"/>
  <c r="FR41" i="1"/>
  <c r="GL41" i="1"/>
  <c r="GO41" i="1"/>
  <c r="GP41" i="1"/>
  <c r="GV41" i="1"/>
  <c r="HC41" i="1" s="1"/>
  <c r="C42" i="1"/>
  <c r="D42" i="1"/>
  <c r="I42" i="1"/>
  <c r="AC42" i="1"/>
  <c r="AE42" i="1"/>
  <c r="AD42" i="1" s="1"/>
  <c r="AF42" i="1"/>
  <c r="CT42" i="1" s="1"/>
  <c r="AG42" i="1"/>
  <c r="AH42" i="1"/>
  <c r="AI42" i="1"/>
  <c r="CW42" i="1" s="1"/>
  <c r="V42" i="1" s="1"/>
  <c r="AJ42" i="1"/>
  <c r="CX42" i="1" s="1"/>
  <c r="CQ42" i="1"/>
  <c r="P42" i="1" s="1"/>
  <c r="CS42" i="1"/>
  <c r="R42" i="1" s="1"/>
  <c r="CU42" i="1"/>
  <c r="T42" i="1" s="1"/>
  <c r="CV42" i="1"/>
  <c r="U42" i="1" s="1"/>
  <c r="FR42" i="1"/>
  <c r="GL42" i="1"/>
  <c r="GO42" i="1"/>
  <c r="GP42" i="1"/>
  <c r="GV42" i="1"/>
  <c r="HC42" i="1"/>
  <c r="GX42" i="1" s="1"/>
  <c r="C43" i="1"/>
  <c r="D43" i="1"/>
  <c r="I43" i="1"/>
  <c r="I47" i="1" s="1"/>
  <c r="W47" i="1" s="1"/>
  <c r="AB43" i="1"/>
  <c r="AC43" i="1"/>
  <c r="CQ43" i="1" s="1"/>
  <c r="AE43" i="1"/>
  <c r="AD43" i="1" s="1"/>
  <c r="CR43" i="1" s="1"/>
  <c r="Q43" i="1" s="1"/>
  <c r="AF43" i="1"/>
  <c r="AG43" i="1"/>
  <c r="CU43" i="1" s="1"/>
  <c r="T43" i="1" s="1"/>
  <c r="AH43" i="1"/>
  <c r="AI43" i="1"/>
  <c r="CW43" i="1" s="1"/>
  <c r="V43" i="1" s="1"/>
  <c r="AJ43" i="1"/>
  <c r="CS43" i="1"/>
  <c r="R43" i="1" s="1"/>
  <c r="CT43" i="1"/>
  <c r="S43" i="1" s="1"/>
  <c r="CV43" i="1"/>
  <c r="U43" i="1" s="1"/>
  <c r="CX43" i="1"/>
  <c r="W43" i="1" s="1"/>
  <c r="FR43" i="1"/>
  <c r="GL43" i="1"/>
  <c r="GO43" i="1"/>
  <c r="GP43" i="1"/>
  <c r="GV43" i="1"/>
  <c r="HC43" i="1" s="1"/>
  <c r="GX43" i="1" s="1"/>
  <c r="I44" i="1"/>
  <c r="AC44" i="1"/>
  <c r="AD44" i="1"/>
  <c r="AB44" i="1" s="1"/>
  <c r="AE44" i="1"/>
  <c r="AF44" i="1"/>
  <c r="CT44" i="1" s="1"/>
  <c r="S44" i="1" s="1"/>
  <c r="CY44" i="1" s="1"/>
  <c r="X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CU44" i="1"/>
  <c r="T44" i="1" s="1"/>
  <c r="CW44" i="1"/>
  <c r="V44" i="1" s="1"/>
  <c r="FR44" i="1"/>
  <c r="GL44" i="1"/>
  <c r="GO44" i="1"/>
  <c r="GP44" i="1"/>
  <c r="GV44" i="1"/>
  <c r="HC44" i="1" s="1"/>
  <c r="GX44" i="1" s="1"/>
  <c r="I45" i="1"/>
  <c r="S45" i="1"/>
  <c r="CY45" i="1" s="1"/>
  <c r="X45" i="1" s="1"/>
  <c r="AC45" i="1"/>
  <c r="AE45" i="1"/>
  <c r="CS45" i="1" s="1"/>
  <c r="R45" i="1" s="1"/>
  <c r="AF45" i="1"/>
  <c r="AG45" i="1"/>
  <c r="CU45" i="1" s="1"/>
  <c r="T45" i="1" s="1"/>
  <c r="AH45" i="1"/>
  <c r="AI45" i="1"/>
  <c r="CW45" i="1" s="1"/>
  <c r="V45" i="1" s="1"/>
  <c r="AJ45" i="1"/>
  <c r="CT45" i="1"/>
  <c r="CV45" i="1"/>
  <c r="U45" i="1" s="1"/>
  <c r="CX45" i="1"/>
  <c r="W45" i="1" s="1"/>
  <c r="FR45" i="1"/>
  <c r="GL45" i="1"/>
  <c r="GO45" i="1"/>
  <c r="GP45" i="1"/>
  <c r="GV45" i="1"/>
  <c r="GX45" i="1"/>
  <c r="HC45" i="1"/>
  <c r="I46" i="1"/>
  <c r="P46" i="1"/>
  <c r="AC46" i="1"/>
  <c r="AD46" i="1"/>
  <c r="AB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CR46" i="1"/>
  <c r="Q46" i="1" s="1"/>
  <c r="CS46" i="1"/>
  <c r="R46" i="1" s="1"/>
  <c r="CZ46" i="1" s="1"/>
  <c r="Y46" i="1" s="1"/>
  <c r="CU46" i="1"/>
  <c r="T46" i="1" s="1"/>
  <c r="CW46" i="1"/>
  <c r="V46" i="1" s="1"/>
  <c r="FR46" i="1"/>
  <c r="GL46" i="1"/>
  <c r="GO46" i="1"/>
  <c r="GP46" i="1"/>
  <c r="GV46" i="1"/>
  <c r="GX46" i="1"/>
  <c r="HC46" i="1"/>
  <c r="T47" i="1"/>
  <c r="AC47" i="1"/>
  <c r="AD47" i="1"/>
  <c r="CR47" i="1" s="1"/>
  <c r="Q47" i="1" s="1"/>
  <c r="AE47" i="1"/>
  <c r="CS47" i="1" s="1"/>
  <c r="AF47" i="1"/>
  <c r="AG47" i="1"/>
  <c r="AH47" i="1"/>
  <c r="AI47" i="1"/>
  <c r="CW47" i="1" s="1"/>
  <c r="AJ47" i="1"/>
  <c r="CQ47" i="1"/>
  <c r="P47" i="1" s="1"/>
  <c r="CT47" i="1"/>
  <c r="S47" i="1" s="1"/>
  <c r="CU47" i="1"/>
  <c r="CV47" i="1"/>
  <c r="U47" i="1" s="1"/>
  <c r="CX47" i="1"/>
  <c r="FR47" i="1"/>
  <c r="GL47" i="1"/>
  <c r="GO47" i="1"/>
  <c r="GP47" i="1"/>
  <c r="GV47" i="1"/>
  <c r="HC47" i="1" s="1"/>
  <c r="GX47" i="1" s="1"/>
  <c r="I48" i="1"/>
  <c r="S48" i="1"/>
  <c r="V48" i="1"/>
  <c r="AC48" i="1"/>
  <c r="AB48" i="1" s="1"/>
  <c r="AD48" i="1"/>
  <c r="CR48" i="1" s="1"/>
  <c r="AE48" i="1"/>
  <c r="AF48" i="1"/>
  <c r="AG48" i="1"/>
  <c r="AH48" i="1"/>
  <c r="CV48" i="1" s="1"/>
  <c r="AI48" i="1"/>
  <c r="AJ48" i="1"/>
  <c r="CS48" i="1"/>
  <c r="R48" i="1" s="1"/>
  <c r="CT48" i="1"/>
  <c r="CU48" i="1"/>
  <c r="T48" i="1" s="1"/>
  <c r="CW48" i="1"/>
  <c r="CX48" i="1"/>
  <c r="W48" i="1" s="1"/>
  <c r="FR48" i="1"/>
  <c r="GL48" i="1"/>
  <c r="GO48" i="1"/>
  <c r="GP48" i="1"/>
  <c r="GV48" i="1"/>
  <c r="HC48" i="1"/>
  <c r="GX48" i="1" s="1"/>
  <c r="I49" i="1"/>
  <c r="AB49" i="1"/>
  <c r="AC49" i="1"/>
  <c r="CQ49" i="1" s="1"/>
  <c r="P49" i="1" s="1"/>
  <c r="AE49" i="1"/>
  <c r="AD49" i="1" s="1"/>
  <c r="CR49" i="1" s="1"/>
  <c r="Q49" i="1" s="1"/>
  <c r="AF49" i="1"/>
  <c r="AG49" i="1"/>
  <c r="CU49" i="1" s="1"/>
  <c r="T49" i="1" s="1"/>
  <c r="AH49" i="1"/>
  <c r="AI49" i="1"/>
  <c r="CW49" i="1" s="1"/>
  <c r="V49" i="1" s="1"/>
  <c r="AJ49" i="1"/>
  <c r="CS49" i="1"/>
  <c r="R49" i="1" s="1"/>
  <c r="CT49" i="1"/>
  <c r="S49" i="1" s="1"/>
  <c r="CV49" i="1"/>
  <c r="U49" i="1" s="1"/>
  <c r="CX49" i="1"/>
  <c r="W49" i="1" s="1"/>
  <c r="FR49" i="1"/>
  <c r="GL49" i="1"/>
  <c r="GO49" i="1"/>
  <c r="GP49" i="1"/>
  <c r="GV49" i="1"/>
  <c r="GX49" i="1"/>
  <c r="HC49" i="1"/>
  <c r="I50" i="1"/>
  <c r="T50" i="1"/>
  <c r="AC50" i="1"/>
  <c r="AE50" i="1"/>
  <c r="AD50" i="1" s="1"/>
  <c r="AF50" i="1"/>
  <c r="CT50" i="1" s="1"/>
  <c r="AG50" i="1"/>
  <c r="AH50" i="1"/>
  <c r="AI50" i="1"/>
  <c r="CW50" i="1" s="1"/>
  <c r="V50" i="1" s="1"/>
  <c r="AJ50" i="1"/>
  <c r="CX50" i="1" s="1"/>
  <c r="CQ50" i="1"/>
  <c r="P50" i="1" s="1"/>
  <c r="CS50" i="1"/>
  <c r="R50" i="1" s="1"/>
  <c r="CU50" i="1"/>
  <c r="CV50" i="1"/>
  <c r="U50" i="1" s="1"/>
  <c r="FR50" i="1"/>
  <c r="GL50" i="1"/>
  <c r="GO50" i="1"/>
  <c r="GP50" i="1"/>
  <c r="GV50" i="1"/>
  <c r="HC50" i="1" s="1"/>
  <c r="GX50" i="1" s="1"/>
  <c r="AC51" i="1"/>
  <c r="CQ51" i="1" s="1"/>
  <c r="AE51" i="1"/>
  <c r="CS51" i="1" s="1"/>
  <c r="AF51" i="1"/>
  <c r="AG51" i="1"/>
  <c r="AH51" i="1"/>
  <c r="AI51" i="1"/>
  <c r="CW51" i="1" s="1"/>
  <c r="AJ51" i="1"/>
  <c r="CT51" i="1"/>
  <c r="CU51" i="1"/>
  <c r="CV51" i="1"/>
  <c r="CX51" i="1"/>
  <c r="FR51" i="1"/>
  <c r="GL51" i="1"/>
  <c r="GO51" i="1"/>
  <c r="GP51" i="1"/>
  <c r="GV51" i="1"/>
  <c r="HC51" i="1" s="1"/>
  <c r="I52" i="1"/>
  <c r="R52" i="1"/>
  <c r="T52" i="1"/>
  <c r="AC52" i="1"/>
  <c r="AD52" i="1"/>
  <c r="CR52" i="1" s="1"/>
  <c r="Q52" i="1" s="1"/>
  <c r="AE52" i="1"/>
  <c r="AF52" i="1"/>
  <c r="AG52" i="1"/>
  <c r="AH52" i="1"/>
  <c r="CV52" i="1" s="1"/>
  <c r="U52" i="1" s="1"/>
  <c r="AI52" i="1"/>
  <c r="AJ52" i="1"/>
  <c r="CX52" i="1" s="1"/>
  <c r="W52" i="1" s="1"/>
  <c r="CQ52" i="1"/>
  <c r="P52" i="1" s="1"/>
  <c r="CP52" i="1" s="1"/>
  <c r="O52" i="1" s="1"/>
  <c r="CS52" i="1"/>
  <c r="CT52" i="1"/>
  <c r="S52" i="1" s="1"/>
  <c r="CU52" i="1"/>
  <c r="CW52" i="1"/>
  <c r="V52" i="1" s="1"/>
  <c r="FR52" i="1"/>
  <c r="GL52" i="1"/>
  <c r="GO52" i="1"/>
  <c r="GP52" i="1"/>
  <c r="GV52" i="1"/>
  <c r="HC52" i="1" s="1"/>
  <c r="GX52" i="1" s="1"/>
  <c r="I53" i="1"/>
  <c r="AC53" i="1"/>
  <c r="CQ53" i="1" s="1"/>
  <c r="P53" i="1" s="1"/>
  <c r="AE53" i="1"/>
  <c r="AD53" i="1" s="1"/>
  <c r="AF53" i="1"/>
  <c r="AG53" i="1"/>
  <c r="CU53" i="1" s="1"/>
  <c r="AH53" i="1"/>
  <c r="AI53" i="1"/>
  <c r="AJ53" i="1"/>
  <c r="CX53" i="1" s="1"/>
  <c r="W53" i="1" s="1"/>
  <c r="CR53" i="1"/>
  <c r="Q53" i="1" s="1"/>
  <c r="CS53" i="1"/>
  <c r="R53" i="1" s="1"/>
  <c r="CT53" i="1"/>
  <c r="S53" i="1" s="1"/>
  <c r="CV53" i="1"/>
  <c r="U53" i="1" s="1"/>
  <c r="CW53" i="1"/>
  <c r="V53" i="1" s="1"/>
  <c r="FR53" i="1"/>
  <c r="GL53" i="1"/>
  <c r="GO53" i="1"/>
  <c r="GP53" i="1"/>
  <c r="GV53" i="1"/>
  <c r="HC53" i="1"/>
  <c r="GX53" i="1" s="1"/>
  <c r="I54" i="1"/>
  <c r="P54" i="1"/>
  <c r="R54" i="1"/>
  <c r="AC54" i="1"/>
  <c r="AD54" i="1"/>
  <c r="AE54" i="1"/>
  <c r="AF54" i="1"/>
  <c r="CT54" i="1" s="1"/>
  <c r="S54" i="1" s="1"/>
  <c r="CY54" i="1" s="1"/>
  <c r="X54" i="1" s="1"/>
  <c r="AG54" i="1"/>
  <c r="AH54" i="1"/>
  <c r="CV54" i="1" s="1"/>
  <c r="U54" i="1" s="1"/>
  <c r="AI54" i="1"/>
  <c r="AJ54" i="1"/>
  <c r="CX54" i="1" s="1"/>
  <c r="W54" i="1" s="1"/>
  <c r="CQ54" i="1"/>
  <c r="CR54" i="1"/>
  <c r="Q54" i="1" s="1"/>
  <c r="CS54" i="1"/>
  <c r="CU54" i="1"/>
  <c r="T54" i="1" s="1"/>
  <c r="CW54" i="1"/>
  <c r="V54" i="1" s="1"/>
  <c r="CZ54" i="1"/>
  <c r="Y54" i="1" s="1"/>
  <c r="FR54" i="1"/>
  <c r="GL54" i="1"/>
  <c r="GO54" i="1"/>
  <c r="GP54" i="1"/>
  <c r="GV54" i="1"/>
  <c r="GX54" i="1"/>
  <c r="HC54" i="1"/>
  <c r="AC55" i="1"/>
  <c r="AD55" i="1"/>
  <c r="CR55" i="1" s="1"/>
  <c r="AE55" i="1"/>
  <c r="CS55" i="1" s="1"/>
  <c r="AF55" i="1"/>
  <c r="AG55" i="1"/>
  <c r="AH55" i="1"/>
  <c r="AI55" i="1"/>
  <c r="CW55" i="1" s="1"/>
  <c r="AJ55" i="1"/>
  <c r="CQ55" i="1"/>
  <c r="CT55" i="1"/>
  <c r="CU55" i="1"/>
  <c r="CV55" i="1"/>
  <c r="CX55" i="1"/>
  <c r="FR55" i="1"/>
  <c r="GL55" i="1"/>
  <c r="GO55" i="1"/>
  <c r="GP55" i="1"/>
  <c r="GV55" i="1"/>
  <c r="HC55" i="1" s="1"/>
  <c r="C56" i="1"/>
  <c r="D56" i="1"/>
  <c r="I56" i="1"/>
  <c r="I60" i="1" s="1"/>
  <c r="T56" i="1"/>
  <c r="AC56" i="1"/>
  <c r="AE56" i="1"/>
  <c r="AD56" i="1" s="1"/>
  <c r="AF56" i="1"/>
  <c r="CT56" i="1" s="1"/>
  <c r="AG56" i="1"/>
  <c r="AH56" i="1"/>
  <c r="AI56" i="1"/>
  <c r="CW56" i="1" s="1"/>
  <c r="V56" i="1" s="1"/>
  <c r="AJ56" i="1"/>
  <c r="CX56" i="1" s="1"/>
  <c r="CQ56" i="1"/>
  <c r="P56" i="1" s="1"/>
  <c r="CS56" i="1"/>
  <c r="R56" i="1" s="1"/>
  <c r="CU56" i="1"/>
  <c r="CV56" i="1"/>
  <c r="U56" i="1" s="1"/>
  <c r="FR56" i="1"/>
  <c r="GL56" i="1"/>
  <c r="GO56" i="1"/>
  <c r="CC67" i="1" s="1"/>
  <c r="CC22" i="1" s="1"/>
  <c r="GP56" i="1"/>
  <c r="GV56" i="1"/>
  <c r="HC56" i="1"/>
  <c r="GX56" i="1" s="1"/>
  <c r="C57" i="1"/>
  <c r="D57" i="1"/>
  <c r="I57" i="1"/>
  <c r="AB57" i="1"/>
  <c r="AC57" i="1"/>
  <c r="CQ57" i="1" s="1"/>
  <c r="P57" i="1" s="1"/>
  <c r="AE57" i="1"/>
  <c r="AD57" i="1" s="1"/>
  <c r="CR57" i="1" s="1"/>
  <c r="Q57" i="1" s="1"/>
  <c r="AF57" i="1"/>
  <c r="AG57" i="1"/>
  <c r="CU57" i="1" s="1"/>
  <c r="T57" i="1" s="1"/>
  <c r="AH57" i="1"/>
  <c r="AI57" i="1"/>
  <c r="CW57" i="1" s="1"/>
  <c r="V57" i="1" s="1"/>
  <c r="AJ57" i="1"/>
  <c r="CS57" i="1"/>
  <c r="R57" i="1" s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/>
  <c r="HC57" i="1"/>
  <c r="I58" i="1"/>
  <c r="T58" i="1"/>
  <c r="AC58" i="1"/>
  <c r="AE58" i="1"/>
  <c r="AD58" i="1" s="1"/>
  <c r="AF58" i="1"/>
  <c r="CT58" i="1" s="1"/>
  <c r="AG58" i="1"/>
  <c r="AH58" i="1"/>
  <c r="AI58" i="1"/>
  <c r="CW58" i="1" s="1"/>
  <c r="V58" i="1" s="1"/>
  <c r="AJ58" i="1"/>
  <c r="CX58" i="1" s="1"/>
  <c r="CQ58" i="1"/>
  <c r="P58" i="1" s="1"/>
  <c r="CS58" i="1"/>
  <c r="R58" i="1" s="1"/>
  <c r="CU58" i="1"/>
  <c r="CV58" i="1"/>
  <c r="U58" i="1" s="1"/>
  <c r="FR58" i="1"/>
  <c r="GL58" i="1"/>
  <c r="GO58" i="1"/>
  <c r="GP58" i="1"/>
  <c r="GV58" i="1"/>
  <c r="HC58" i="1" s="1"/>
  <c r="GX58" i="1" s="1"/>
  <c r="AC59" i="1"/>
  <c r="CQ59" i="1" s="1"/>
  <c r="AE59" i="1"/>
  <c r="CS59" i="1" s="1"/>
  <c r="AF59" i="1"/>
  <c r="AG59" i="1"/>
  <c r="AH59" i="1"/>
  <c r="AI59" i="1"/>
  <c r="CW59" i="1" s="1"/>
  <c r="AJ59" i="1"/>
  <c r="CT59" i="1"/>
  <c r="CU59" i="1"/>
  <c r="CV59" i="1"/>
  <c r="CX59" i="1"/>
  <c r="FR59" i="1"/>
  <c r="GL59" i="1"/>
  <c r="GO59" i="1"/>
  <c r="GP59" i="1"/>
  <c r="GV59" i="1"/>
  <c r="HC59" i="1" s="1"/>
  <c r="AC60" i="1"/>
  <c r="AD60" i="1"/>
  <c r="CR60" i="1" s="1"/>
  <c r="AE60" i="1"/>
  <c r="AF60" i="1"/>
  <c r="AG60" i="1"/>
  <c r="AH60" i="1"/>
  <c r="CV60" i="1" s="1"/>
  <c r="AI60" i="1"/>
  <c r="AJ60" i="1"/>
  <c r="CX60" i="1" s="1"/>
  <c r="CQ60" i="1"/>
  <c r="P60" i="1" s="1"/>
  <c r="CS60" i="1"/>
  <c r="CT60" i="1"/>
  <c r="CU60" i="1"/>
  <c r="CW60" i="1"/>
  <c r="V60" i="1" s="1"/>
  <c r="FR60" i="1"/>
  <c r="GL60" i="1"/>
  <c r="GO60" i="1"/>
  <c r="GP60" i="1"/>
  <c r="GV60" i="1"/>
  <c r="HC60" i="1" s="1"/>
  <c r="GX60" i="1" s="1"/>
  <c r="I61" i="1"/>
  <c r="AC61" i="1"/>
  <c r="CQ61" i="1" s="1"/>
  <c r="P61" i="1" s="1"/>
  <c r="AE61" i="1"/>
  <c r="AD61" i="1" s="1"/>
  <c r="AF61" i="1"/>
  <c r="AG61" i="1"/>
  <c r="CU61" i="1" s="1"/>
  <c r="AH61" i="1"/>
  <c r="AI61" i="1"/>
  <c r="AJ61" i="1"/>
  <c r="CX61" i="1" s="1"/>
  <c r="W61" i="1" s="1"/>
  <c r="CR61" i="1"/>
  <c r="Q61" i="1" s="1"/>
  <c r="CS61" i="1"/>
  <c r="R61" i="1" s="1"/>
  <c r="CT61" i="1"/>
  <c r="S61" i="1" s="1"/>
  <c r="CV61" i="1"/>
  <c r="U61" i="1" s="1"/>
  <c r="CW61" i="1"/>
  <c r="V61" i="1" s="1"/>
  <c r="FR61" i="1"/>
  <c r="GL61" i="1"/>
  <c r="FR67" i="1" s="1"/>
  <c r="GO61" i="1"/>
  <c r="GP61" i="1"/>
  <c r="GV61" i="1"/>
  <c r="HC61" i="1"/>
  <c r="GX61" i="1" s="1"/>
  <c r="O62" i="1"/>
  <c r="P62" i="1"/>
  <c r="Q62" i="1"/>
  <c r="R62" i="1"/>
  <c r="S62" i="1"/>
  <c r="T62" i="1"/>
  <c r="U62" i="1"/>
  <c r="V62" i="1"/>
  <c r="W62" i="1"/>
  <c r="X62" i="1"/>
  <c r="Y62" i="1"/>
  <c r="AB62" i="1"/>
  <c r="CP62" i="1" s="1"/>
  <c r="AC62" i="1"/>
  <c r="AD62" i="1"/>
  <c r="AE62" i="1"/>
  <c r="AF62" i="1"/>
  <c r="AG62" i="1"/>
  <c r="AH62" i="1"/>
  <c r="AI62" i="1"/>
  <c r="AJ62" i="1"/>
  <c r="FR62" i="1"/>
  <c r="GL62" i="1"/>
  <c r="GO62" i="1"/>
  <c r="GP62" i="1"/>
  <c r="GV62" i="1"/>
  <c r="GX62" i="1"/>
  <c r="O63" i="1"/>
  <c r="P63" i="1"/>
  <c r="Q63" i="1"/>
  <c r="R63" i="1"/>
  <c r="S63" i="1"/>
  <c r="T63" i="1"/>
  <c r="U63" i="1"/>
  <c r="V63" i="1"/>
  <c r="W63" i="1"/>
  <c r="X63" i="1"/>
  <c r="Y63" i="1"/>
  <c r="AB63" i="1"/>
  <c r="CP63" i="1" s="1"/>
  <c r="GN63" i="1" s="1"/>
  <c r="AC63" i="1"/>
  <c r="AD63" i="1"/>
  <c r="AE63" i="1"/>
  <c r="AF63" i="1"/>
  <c r="AG63" i="1"/>
  <c r="AH63" i="1"/>
  <c r="AI63" i="1"/>
  <c r="AJ63" i="1"/>
  <c r="FR63" i="1"/>
  <c r="GL63" i="1"/>
  <c r="GM63" i="1"/>
  <c r="GO63" i="1"/>
  <c r="GP63" i="1"/>
  <c r="FV67" i="1" s="1"/>
  <c r="GV63" i="1"/>
  <c r="GX63" i="1"/>
  <c r="O64" i="1"/>
  <c r="P64" i="1"/>
  <c r="Q64" i="1"/>
  <c r="R64" i="1"/>
  <c r="S64" i="1"/>
  <c r="T64" i="1"/>
  <c r="U64" i="1"/>
  <c r="V64" i="1"/>
  <c r="W64" i="1"/>
  <c r="X64" i="1"/>
  <c r="Y64" i="1"/>
  <c r="AB64" i="1"/>
  <c r="AC64" i="1"/>
  <c r="AD64" i="1"/>
  <c r="AE64" i="1"/>
  <c r="AF64" i="1"/>
  <c r="AG64" i="1"/>
  <c r="AH64" i="1"/>
  <c r="AI64" i="1"/>
  <c r="AJ64" i="1"/>
  <c r="CP64" i="1"/>
  <c r="GM64" i="1" s="1"/>
  <c r="FR64" i="1"/>
  <c r="GL64" i="1"/>
  <c r="GN64" i="1"/>
  <c r="GO64" i="1"/>
  <c r="GP64" i="1"/>
  <c r="GV64" i="1"/>
  <c r="GX64" i="1"/>
  <c r="O65" i="1"/>
  <c r="P65" i="1"/>
  <c r="Q65" i="1"/>
  <c r="R65" i="1"/>
  <c r="S65" i="1"/>
  <c r="T65" i="1"/>
  <c r="U65" i="1"/>
  <c r="V65" i="1"/>
  <c r="W65" i="1"/>
  <c r="X65" i="1"/>
  <c r="Y65" i="1"/>
  <c r="AB65" i="1"/>
  <c r="CP65" i="1" s="1"/>
  <c r="AC65" i="1"/>
  <c r="AD65" i="1"/>
  <c r="AE65" i="1"/>
  <c r="AF65" i="1"/>
  <c r="AG65" i="1"/>
  <c r="AH65" i="1"/>
  <c r="AI65" i="1"/>
  <c r="AJ65" i="1"/>
  <c r="FR65" i="1"/>
  <c r="GL65" i="1"/>
  <c r="GO65" i="1"/>
  <c r="FU67" i="1" s="1"/>
  <c r="FU22" i="1" s="1"/>
  <c r="GP65" i="1"/>
  <c r="GV65" i="1"/>
  <c r="GX65" i="1"/>
  <c r="B67" i="1"/>
  <c r="B22" i="1" s="1"/>
  <c r="C67" i="1"/>
  <c r="C22" i="1" s="1"/>
  <c r="D67" i="1"/>
  <c r="D22" i="1" s="1"/>
  <c r="F67" i="1"/>
  <c r="F22" i="1" s="1"/>
  <c r="G67" i="1"/>
  <c r="G22" i="1" s="1"/>
  <c r="BB67" i="1"/>
  <c r="BX67" i="1"/>
  <c r="BX22" i="1" s="1"/>
  <c r="BZ67" i="1"/>
  <c r="CD67" i="1"/>
  <c r="CK67" i="1"/>
  <c r="CK22" i="1" s="1"/>
  <c r="CL67" i="1"/>
  <c r="ET67" i="1"/>
  <c r="ET22" i="1" s="1"/>
  <c r="FP67" i="1"/>
  <c r="FP22" i="1" s="1"/>
  <c r="GC67" i="1"/>
  <c r="GC22" i="1" s="1"/>
  <c r="GD67" i="1"/>
  <c r="P80" i="1"/>
  <c r="B99" i="1"/>
  <c r="B18" i="1" s="1"/>
  <c r="C99" i="1"/>
  <c r="C18" i="1" s="1"/>
  <c r="D99" i="1"/>
  <c r="D18" i="1" s="1"/>
  <c r="F99" i="1"/>
  <c r="F18" i="1" s="1"/>
  <c r="G99" i="1"/>
  <c r="ET99" i="1"/>
  <c r="G18" i="1" l="1"/>
  <c r="C179" i="6"/>
  <c r="AG179" i="6"/>
  <c r="W114" i="5"/>
  <c r="G27" i="5"/>
  <c r="J120" i="5"/>
  <c r="G120" i="5"/>
  <c r="G21" i="5"/>
  <c r="G22" i="5"/>
  <c r="FR22" i="1"/>
  <c r="EI67" i="1"/>
  <c r="FV22" i="1"/>
  <c r="EM67" i="1"/>
  <c r="ET18" i="1"/>
  <c r="P112" i="1"/>
  <c r="BB22" i="1"/>
  <c r="F80" i="1"/>
  <c r="BB99" i="1"/>
  <c r="FQ67" i="1"/>
  <c r="CP53" i="1"/>
  <c r="O53" i="1" s="1"/>
  <c r="CL22" i="1"/>
  <c r="BC67" i="1"/>
  <c r="BZ22" i="1"/>
  <c r="AQ67" i="1"/>
  <c r="AT67" i="1"/>
  <c r="S60" i="1"/>
  <c r="BY67" i="1"/>
  <c r="CZ52" i="1"/>
  <c r="Y52" i="1" s="1"/>
  <c r="GM52" i="1" s="1"/>
  <c r="CY52" i="1"/>
  <c r="X52" i="1" s="1"/>
  <c r="CR50" i="1"/>
  <c r="Q50" i="1" s="1"/>
  <c r="AB50" i="1"/>
  <c r="CP49" i="1"/>
  <c r="O49" i="1" s="1"/>
  <c r="CY48" i="1"/>
  <c r="X48" i="1" s="1"/>
  <c r="AI67" i="1"/>
  <c r="GD22" i="1"/>
  <c r="EU67" i="1"/>
  <c r="EL67" i="1"/>
  <c r="GN65" i="1"/>
  <c r="GM65" i="1"/>
  <c r="CR58" i="1"/>
  <c r="Q58" i="1" s="1"/>
  <c r="CP58" i="1" s="1"/>
  <c r="O58" i="1" s="1"/>
  <c r="AB58" i="1"/>
  <c r="CP57" i="1"/>
  <c r="O57" i="1" s="1"/>
  <c r="T60" i="1"/>
  <c r="R60" i="1"/>
  <c r="T51" i="1"/>
  <c r="CY49" i="1"/>
  <c r="X49" i="1" s="1"/>
  <c r="CZ49" i="1"/>
  <c r="Y49" i="1" s="1"/>
  <c r="CY46" i="1"/>
  <c r="X46" i="1" s="1"/>
  <c r="CY57" i="1"/>
  <c r="X57" i="1" s="1"/>
  <c r="CZ57" i="1"/>
  <c r="Y57" i="1" s="1"/>
  <c r="AB56" i="1"/>
  <c r="CR56" i="1"/>
  <c r="Q56" i="1" s="1"/>
  <c r="CP56" i="1" s="1"/>
  <c r="O56" i="1" s="1"/>
  <c r="CY53" i="1"/>
  <c r="X53" i="1" s="1"/>
  <c r="CZ53" i="1"/>
  <c r="Y53" i="1" s="1"/>
  <c r="GN52" i="1"/>
  <c r="CP50" i="1"/>
  <c r="O50" i="1" s="1"/>
  <c r="CZ47" i="1"/>
  <c r="Y47" i="1" s="1"/>
  <c r="GN62" i="1"/>
  <c r="GM62" i="1"/>
  <c r="CY61" i="1"/>
  <c r="X61" i="1" s="1"/>
  <c r="CZ61" i="1"/>
  <c r="Y61" i="1" s="1"/>
  <c r="CD22" i="1"/>
  <c r="AU67" i="1"/>
  <c r="CP61" i="1"/>
  <c r="O61" i="1" s="1"/>
  <c r="W60" i="1"/>
  <c r="W51" i="1"/>
  <c r="CP47" i="1"/>
  <c r="O47" i="1" s="1"/>
  <c r="AD59" i="1"/>
  <c r="CR59" i="1" s="1"/>
  <c r="W58" i="1"/>
  <c r="S58" i="1"/>
  <c r="AD51" i="1"/>
  <c r="CR51" i="1" s="1"/>
  <c r="W50" i="1"/>
  <c r="S50" i="1"/>
  <c r="CQ48" i="1"/>
  <c r="P48" i="1" s="1"/>
  <c r="U48" i="1"/>
  <c r="Q48" i="1"/>
  <c r="AB47" i="1"/>
  <c r="GX41" i="1"/>
  <c r="Q41" i="1"/>
  <c r="CY39" i="1"/>
  <c r="X39" i="1" s="1"/>
  <c r="CZ39" i="1"/>
  <c r="Y39" i="1" s="1"/>
  <c r="GM39" i="1" s="1"/>
  <c r="CP38" i="1"/>
  <c r="O38" i="1" s="1"/>
  <c r="CP36" i="1"/>
  <c r="O36" i="1" s="1"/>
  <c r="GX34" i="1"/>
  <c r="CJ67" i="1" s="1"/>
  <c r="U60" i="1"/>
  <c r="Q60" i="1"/>
  <c r="CP60" i="1" s="1"/>
  <c r="O60" i="1" s="1"/>
  <c r="AB59" i="1"/>
  <c r="AB54" i="1"/>
  <c r="CP54" i="1"/>
  <c r="O54" i="1" s="1"/>
  <c r="AB51" i="1"/>
  <c r="CP46" i="1"/>
  <c r="O46" i="1" s="1"/>
  <c r="P41" i="1"/>
  <c r="GN39" i="1"/>
  <c r="CY35" i="1"/>
  <c r="X35" i="1" s="1"/>
  <c r="CZ35" i="1"/>
  <c r="Y35" i="1" s="1"/>
  <c r="T34" i="1"/>
  <c r="AG67" i="1" s="1"/>
  <c r="R34" i="1"/>
  <c r="CY29" i="1"/>
  <c r="X29" i="1" s="1"/>
  <c r="CZ29" i="1"/>
  <c r="Y29" i="1" s="1"/>
  <c r="FY67" i="1"/>
  <c r="EG67" i="1"/>
  <c r="CG67" i="1"/>
  <c r="AO67" i="1"/>
  <c r="T61" i="1"/>
  <c r="AB61" i="1"/>
  <c r="CX98" i="3"/>
  <c r="CX97" i="3"/>
  <c r="CX95" i="3"/>
  <c r="CX96" i="3"/>
  <c r="I59" i="1"/>
  <c r="W59" i="1" s="1"/>
  <c r="W56" i="1"/>
  <c r="S56" i="1"/>
  <c r="AB55" i="1"/>
  <c r="T53" i="1"/>
  <c r="AB53" i="1"/>
  <c r="V47" i="1"/>
  <c r="R47" i="1"/>
  <c r="CY47" i="1" s="1"/>
  <c r="X47" i="1" s="1"/>
  <c r="CP44" i="1"/>
  <c r="O44" i="1" s="1"/>
  <c r="CZ36" i="1"/>
  <c r="Y36" i="1" s="1"/>
  <c r="CY36" i="1"/>
  <c r="X36" i="1" s="1"/>
  <c r="CP35" i="1"/>
  <c r="O35" i="1" s="1"/>
  <c r="W34" i="1"/>
  <c r="GX33" i="1"/>
  <c r="CP29" i="1"/>
  <c r="O29" i="1" s="1"/>
  <c r="AB60" i="1"/>
  <c r="V59" i="1"/>
  <c r="CX94" i="3"/>
  <c r="CX93" i="3"/>
  <c r="CX91" i="3"/>
  <c r="CX92" i="3"/>
  <c r="AB52" i="1"/>
  <c r="R51" i="1"/>
  <c r="CZ48" i="1"/>
  <c r="Y48" i="1" s="1"/>
  <c r="CZ45" i="1"/>
  <c r="Y45" i="1" s="1"/>
  <c r="CQ45" i="1"/>
  <c r="P45" i="1" s="1"/>
  <c r="CZ44" i="1"/>
  <c r="Y44" i="1" s="1"/>
  <c r="CY43" i="1"/>
  <c r="X43" i="1" s="1"/>
  <c r="CZ43" i="1"/>
  <c r="Y43" i="1" s="1"/>
  <c r="AB42" i="1"/>
  <c r="CR42" i="1"/>
  <c r="Q42" i="1" s="1"/>
  <c r="CP42" i="1" s="1"/>
  <c r="O42" i="1" s="1"/>
  <c r="S34" i="1"/>
  <c r="W33" i="1"/>
  <c r="CY31" i="1"/>
  <c r="X31" i="1" s="1"/>
  <c r="CZ31" i="1"/>
  <c r="Y31" i="1" s="1"/>
  <c r="AB30" i="1"/>
  <c r="CR30" i="1"/>
  <c r="Q30" i="1" s="1"/>
  <c r="CP30" i="1" s="1"/>
  <c r="O30" i="1" s="1"/>
  <c r="CY28" i="1"/>
  <c r="X28" i="1" s="1"/>
  <c r="I55" i="1"/>
  <c r="GX55" i="1" s="1"/>
  <c r="I51" i="1"/>
  <c r="P51" i="1" s="1"/>
  <c r="AD45" i="1"/>
  <c r="CR45" i="1" s="1"/>
  <c r="Q45" i="1" s="1"/>
  <c r="CR44" i="1"/>
  <c r="Q44" i="1" s="1"/>
  <c r="P43" i="1"/>
  <c r="CP43" i="1" s="1"/>
  <c r="O43" i="1" s="1"/>
  <c r="R41" i="1"/>
  <c r="CX58" i="3"/>
  <c r="CX57" i="3"/>
  <c r="CX61" i="3"/>
  <c r="CX56" i="3"/>
  <c r="CX60" i="3"/>
  <c r="CX55" i="3"/>
  <c r="CX59" i="3"/>
  <c r="CY37" i="1"/>
  <c r="X37" i="1" s="1"/>
  <c r="CX42" i="3"/>
  <c r="CX46" i="3"/>
  <c r="CX41" i="3"/>
  <c r="CX45" i="3"/>
  <c r="CX44" i="3"/>
  <c r="CX43" i="3"/>
  <c r="CX47" i="3"/>
  <c r="AD33" i="1"/>
  <c r="CR33" i="1" s="1"/>
  <c r="Q33" i="1" s="1"/>
  <c r="W32" i="1"/>
  <c r="S32" i="1"/>
  <c r="CR31" i="1"/>
  <c r="Q31" i="1" s="1"/>
  <c r="P31" i="1"/>
  <c r="CQ28" i="1"/>
  <c r="P28" i="1" s="1"/>
  <c r="CP28" i="1" s="1"/>
  <c r="O28" i="1" s="1"/>
  <c r="U28" i="1"/>
  <c r="AH67" i="1" s="1"/>
  <c r="Q28" i="1"/>
  <c r="CT27" i="1"/>
  <c r="S27" i="1" s="1"/>
  <c r="Q27" i="1"/>
  <c r="CP25" i="1"/>
  <c r="O25" i="1" s="1"/>
  <c r="CY24" i="1"/>
  <c r="X24" i="1" s="1"/>
  <c r="CZ24" i="1"/>
  <c r="Y24" i="1" s="1"/>
  <c r="AB40" i="1"/>
  <c r="CP40" i="1"/>
  <c r="O40" i="1" s="1"/>
  <c r="U34" i="1"/>
  <c r="Q34" i="1"/>
  <c r="CP34" i="1" s="1"/>
  <c r="O34" i="1" s="1"/>
  <c r="T31" i="1"/>
  <c r="CX10" i="3"/>
  <c r="CX9" i="3"/>
  <c r="CP26" i="1"/>
  <c r="O26" i="1" s="1"/>
  <c r="CX82" i="3"/>
  <c r="CX86" i="3"/>
  <c r="CX90" i="3"/>
  <c r="CX81" i="3"/>
  <c r="CX85" i="3"/>
  <c r="CX89" i="3"/>
  <c r="CX83" i="3"/>
  <c r="CX87" i="3"/>
  <c r="CX88" i="3"/>
  <c r="CX84" i="3"/>
  <c r="CX80" i="3"/>
  <c r="W42" i="1"/>
  <c r="S42" i="1"/>
  <c r="AB41" i="1"/>
  <c r="T39" i="1"/>
  <c r="AB39" i="1"/>
  <c r="AD37" i="1"/>
  <c r="CR37" i="1" s="1"/>
  <c r="Q37" i="1" s="1"/>
  <c r="CP37" i="1" s="1"/>
  <c r="O37" i="1" s="1"/>
  <c r="T35" i="1"/>
  <c r="AB35" i="1"/>
  <c r="CX30" i="3"/>
  <c r="CX34" i="3"/>
  <c r="CX38" i="3"/>
  <c r="CX29" i="3"/>
  <c r="CX33" i="3"/>
  <c r="CX37" i="3"/>
  <c r="CX32" i="3"/>
  <c r="CX36" i="3"/>
  <c r="CX40" i="3"/>
  <c r="CX31" i="3"/>
  <c r="CX35" i="3"/>
  <c r="CX39" i="3"/>
  <c r="I33" i="1"/>
  <c r="AB29" i="1"/>
  <c r="CX70" i="3"/>
  <c r="CX74" i="3"/>
  <c r="CX78" i="3"/>
  <c r="CX69" i="3"/>
  <c r="CX73" i="3"/>
  <c r="CX77" i="3"/>
  <c r="CX72" i="3"/>
  <c r="CX76" i="3"/>
  <c r="CX71" i="3"/>
  <c r="CX75" i="3"/>
  <c r="CX79" i="3"/>
  <c r="CX62" i="3"/>
  <c r="CX66" i="3"/>
  <c r="CX65" i="3"/>
  <c r="CX64" i="3"/>
  <c r="CX68" i="3"/>
  <c r="CX63" i="3"/>
  <c r="CX67" i="3"/>
  <c r="I41" i="1"/>
  <c r="AB37" i="1"/>
  <c r="V33" i="1"/>
  <c r="R33" i="1"/>
  <c r="CX18" i="3"/>
  <c r="CX22" i="3"/>
  <c r="CX26" i="3"/>
  <c r="CX17" i="3"/>
  <c r="CX21" i="3"/>
  <c r="CX25" i="3"/>
  <c r="CX20" i="3"/>
  <c r="CX24" i="3"/>
  <c r="CX28" i="3"/>
  <c r="CX19" i="3"/>
  <c r="CX23" i="3"/>
  <c r="CX27" i="3"/>
  <c r="CZ28" i="1"/>
  <c r="Y28" i="1" s="1"/>
  <c r="CX13" i="3"/>
  <c r="CX12" i="3"/>
  <c r="CX11" i="3"/>
  <c r="CR26" i="1"/>
  <c r="Q26" i="1" s="1"/>
  <c r="AB26" i="1"/>
  <c r="CY25" i="1"/>
  <c r="X25" i="1" s="1"/>
  <c r="CZ25" i="1"/>
  <c r="Y25" i="1" s="1"/>
  <c r="CX50" i="3"/>
  <c r="CX54" i="3"/>
  <c r="CX49" i="3"/>
  <c r="CX53" i="3"/>
  <c r="CX48" i="3"/>
  <c r="CX52" i="3"/>
  <c r="CX51" i="3"/>
  <c r="CX14" i="3"/>
  <c r="CX16" i="3"/>
  <c r="CX15" i="3"/>
  <c r="CX6" i="3"/>
  <c r="CX5" i="3"/>
  <c r="CX4" i="3"/>
  <c r="CS26" i="1"/>
  <c r="R26" i="1" s="1"/>
  <c r="AE67" i="1" s="1"/>
  <c r="CX8" i="3"/>
  <c r="CX7" i="3"/>
  <c r="CQ24" i="1"/>
  <c r="P24" i="1" s="1"/>
  <c r="CX2" i="3"/>
  <c r="CX1" i="3"/>
  <c r="CX3" i="3"/>
  <c r="GN37" i="1" l="1"/>
  <c r="GM37" i="1"/>
  <c r="GM30" i="1"/>
  <c r="GN30" i="1"/>
  <c r="CY42" i="1"/>
  <c r="X42" i="1" s="1"/>
  <c r="GM42" i="1" s="1"/>
  <c r="CZ42" i="1"/>
  <c r="Y42" i="1" s="1"/>
  <c r="GN42" i="1" s="1"/>
  <c r="GM40" i="1"/>
  <c r="GN40" i="1"/>
  <c r="GM25" i="1"/>
  <c r="GN25" i="1"/>
  <c r="T33" i="1"/>
  <c r="DY67" i="1" s="1"/>
  <c r="U33" i="1"/>
  <c r="AB33" i="1"/>
  <c r="GN28" i="1"/>
  <c r="GM28" i="1"/>
  <c r="AJ67" i="1"/>
  <c r="R59" i="1"/>
  <c r="S33" i="1"/>
  <c r="EG22" i="1"/>
  <c r="P71" i="1"/>
  <c r="EG99" i="1"/>
  <c r="CJ22" i="1"/>
  <c r="BA67" i="1"/>
  <c r="CY50" i="1"/>
  <c r="X50" i="1" s="1"/>
  <c r="GN50" i="1" s="1"/>
  <c r="CZ50" i="1"/>
  <c r="Y50" i="1" s="1"/>
  <c r="V55" i="1"/>
  <c r="GM47" i="1"/>
  <c r="GN47" i="1"/>
  <c r="GM61" i="1"/>
  <c r="GN61" i="1"/>
  <c r="Q55" i="1"/>
  <c r="BY22" i="1"/>
  <c r="CI67" i="1"/>
  <c r="AP67" i="1"/>
  <c r="AQ22" i="1"/>
  <c r="F77" i="1"/>
  <c r="AQ99" i="1"/>
  <c r="GM53" i="1"/>
  <c r="GN53" i="1"/>
  <c r="EM22" i="1"/>
  <c r="EM99" i="1"/>
  <c r="P86" i="1"/>
  <c r="AE22" i="1"/>
  <c r="R67" i="1"/>
  <c r="CP31" i="1"/>
  <c r="O31" i="1" s="1"/>
  <c r="CP45" i="1"/>
  <c r="O45" i="1" s="1"/>
  <c r="CY56" i="1"/>
  <c r="X56" i="1" s="1"/>
  <c r="GN56" i="1" s="1"/>
  <c r="CZ56" i="1"/>
  <c r="Y56" i="1" s="1"/>
  <c r="GM56" i="1" s="1"/>
  <c r="FY22" i="1"/>
  <c r="EP67" i="1"/>
  <c r="AI22" i="1"/>
  <c r="V67" i="1"/>
  <c r="S55" i="1"/>
  <c r="CZ26" i="1"/>
  <c r="Y26" i="1" s="1"/>
  <c r="GN26" i="1" s="1"/>
  <c r="CZ27" i="1"/>
  <c r="Y27" i="1" s="1"/>
  <c r="CY27" i="1"/>
  <c r="X27" i="1" s="1"/>
  <c r="EB67" i="1"/>
  <c r="AG22" i="1"/>
  <c r="T67" i="1"/>
  <c r="CP41" i="1"/>
  <c r="O41" i="1" s="1"/>
  <c r="GM54" i="1"/>
  <c r="GN54" i="1"/>
  <c r="GN36" i="1"/>
  <c r="GM36" i="1"/>
  <c r="CY58" i="1"/>
  <c r="X58" i="1" s="1"/>
  <c r="CZ58" i="1"/>
  <c r="Y58" i="1" s="1"/>
  <c r="GM58" i="1" s="1"/>
  <c r="AU22" i="1"/>
  <c r="F86" i="1"/>
  <c r="AU99" i="1"/>
  <c r="GM57" i="1"/>
  <c r="GN57" i="1"/>
  <c r="FQ22" i="1"/>
  <c r="GA67" i="1"/>
  <c r="EH67" i="1"/>
  <c r="CP24" i="1"/>
  <c r="O24" i="1" s="1"/>
  <c r="AC67" i="1"/>
  <c r="AD67" i="1"/>
  <c r="T41" i="1"/>
  <c r="W41" i="1"/>
  <c r="CY26" i="1"/>
  <c r="X26" i="1" s="1"/>
  <c r="GM26" i="1" s="1"/>
  <c r="V41" i="1"/>
  <c r="EA67" i="1" s="1"/>
  <c r="S51" i="1"/>
  <c r="U51" i="1"/>
  <c r="GX51" i="1"/>
  <c r="GB67" i="1" s="1"/>
  <c r="CZ34" i="1"/>
  <c r="Y34" i="1" s="1"/>
  <c r="GN34" i="1" s="1"/>
  <c r="CY34" i="1"/>
  <c r="X34" i="1" s="1"/>
  <c r="AB45" i="1"/>
  <c r="V51" i="1"/>
  <c r="U41" i="1"/>
  <c r="AO22" i="1"/>
  <c r="AO99" i="1"/>
  <c r="F71" i="1"/>
  <c r="CP27" i="1"/>
  <c r="O27" i="1" s="1"/>
  <c r="GN38" i="1"/>
  <c r="GM38" i="1"/>
  <c r="S41" i="1"/>
  <c r="Q51" i="1"/>
  <c r="CP51" i="1" s="1"/>
  <c r="O51" i="1" s="1"/>
  <c r="U55" i="1"/>
  <c r="P55" i="1"/>
  <c r="EL22" i="1"/>
  <c r="P85" i="1"/>
  <c r="U16" i="2" s="1"/>
  <c r="U18" i="2" s="1"/>
  <c r="EL99" i="1"/>
  <c r="CZ60" i="1"/>
  <c r="Y60" i="1" s="1"/>
  <c r="CY60" i="1"/>
  <c r="X60" i="1" s="1"/>
  <c r="GN60" i="1" s="1"/>
  <c r="BC22" i="1"/>
  <c r="F83" i="1"/>
  <c r="BC99" i="1"/>
  <c r="BB18" i="1"/>
  <c r="F112" i="1"/>
  <c r="EI22" i="1"/>
  <c r="P77" i="1"/>
  <c r="EI99" i="1"/>
  <c r="AH22" i="1"/>
  <c r="U67" i="1"/>
  <c r="CY32" i="1"/>
  <c r="X32" i="1" s="1"/>
  <c r="AK67" i="1" s="1"/>
  <c r="CZ32" i="1"/>
  <c r="Y32" i="1" s="1"/>
  <c r="AF67" i="1"/>
  <c r="GM43" i="1"/>
  <c r="GN43" i="1"/>
  <c r="T55" i="1"/>
  <c r="W55" i="1"/>
  <c r="GM29" i="1"/>
  <c r="GN29" i="1"/>
  <c r="GM35" i="1"/>
  <c r="GN35" i="1"/>
  <c r="GN44" i="1"/>
  <c r="GM44" i="1"/>
  <c r="S59" i="1"/>
  <c r="U59" i="1"/>
  <c r="GX59" i="1"/>
  <c r="CG22" i="1"/>
  <c r="AX67" i="1"/>
  <c r="P33" i="1"/>
  <c r="GN46" i="1"/>
  <c r="GM46" i="1"/>
  <c r="CP32" i="1"/>
  <c r="O32" i="1" s="1"/>
  <c r="CP48" i="1"/>
  <c r="O48" i="1" s="1"/>
  <c r="R55" i="1"/>
  <c r="DW67" i="1" s="1"/>
  <c r="Q59" i="1"/>
  <c r="P59" i="1"/>
  <c r="CP59" i="1" s="1"/>
  <c r="O59" i="1" s="1"/>
  <c r="EU22" i="1"/>
  <c r="EU99" i="1"/>
  <c r="P83" i="1"/>
  <c r="GM49" i="1"/>
  <c r="GN49" i="1"/>
  <c r="AT22" i="1"/>
  <c r="F85" i="1"/>
  <c r="F16" i="2" s="1"/>
  <c r="F18" i="2" s="1"/>
  <c r="AT99" i="1"/>
  <c r="T59" i="1"/>
  <c r="AK22" i="1" l="1"/>
  <c r="X67" i="1"/>
  <c r="DY22" i="1"/>
  <c r="DL67" i="1"/>
  <c r="DW22" i="1"/>
  <c r="DJ67" i="1"/>
  <c r="EA22" i="1"/>
  <c r="DN67" i="1"/>
  <c r="GB22" i="1"/>
  <c r="ES67" i="1"/>
  <c r="GN59" i="1"/>
  <c r="GN27" i="1"/>
  <c r="GM27" i="1"/>
  <c r="EH22" i="1"/>
  <c r="P76" i="1"/>
  <c r="V16" i="2" s="1"/>
  <c r="V18" i="2" s="1"/>
  <c r="EH99" i="1"/>
  <c r="GN41" i="1"/>
  <c r="EP22" i="1"/>
  <c r="EP99" i="1"/>
  <c r="P74" i="1"/>
  <c r="AD22" i="1"/>
  <c r="Q67" i="1"/>
  <c r="DU67" i="1"/>
  <c r="EU18" i="1"/>
  <c r="P115" i="1"/>
  <c r="U22" i="1"/>
  <c r="U99" i="1"/>
  <c r="F89" i="1"/>
  <c r="AC22" i="1"/>
  <c r="CF67" i="1"/>
  <c r="P67" i="1"/>
  <c r="CE67" i="1"/>
  <c r="CH67" i="1"/>
  <c r="GM50" i="1"/>
  <c r="V22" i="1"/>
  <c r="F90" i="1"/>
  <c r="V99" i="1"/>
  <c r="GM31" i="1"/>
  <c r="GN31" i="1"/>
  <c r="AP22" i="1"/>
  <c r="F76" i="1"/>
  <c r="G16" i="2" s="1"/>
  <c r="G18" i="2" s="1"/>
  <c r="AP99" i="1"/>
  <c r="CY33" i="1"/>
  <c r="X33" i="1" s="1"/>
  <c r="EC67" i="1" s="1"/>
  <c r="CZ33" i="1"/>
  <c r="Y33" i="1" s="1"/>
  <c r="GN48" i="1"/>
  <c r="GM48" i="1"/>
  <c r="CP33" i="1"/>
  <c r="O33" i="1" s="1"/>
  <c r="AF22" i="1"/>
  <c r="S67" i="1"/>
  <c r="EL18" i="1"/>
  <c r="P117" i="1"/>
  <c r="CY51" i="1"/>
  <c r="X51" i="1" s="1"/>
  <c r="GM51" i="1" s="1"/>
  <c r="CZ51" i="1"/>
  <c r="Y51" i="1" s="1"/>
  <c r="GM24" i="1"/>
  <c r="GN24" i="1"/>
  <c r="AB67" i="1"/>
  <c r="AU18" i="1"/>
  <c r="F118" i="1"/>
  <c r="AL67" i="1"/>
  <c r="EM18" i="1"/>
  <c r="P118" i="1"/>
  <c r="AQ18" i="1"/>
  <c r="F109" i="1"/>
  <c r="CI22" i="1"/>
  <c r="AZ67" i="1"/>
  <c r="EG18" i="1"/>
  <c r="P103" i="1"/>
  <c r="DV67" i="1"/>
  <c r="DZ67" i="1"/>
  <c r="GM60" i="1"/>
  <c r="EB22" i="1"/>
  <c r="DO67" i="1"/>
  <c r="GM45" i="1"/>
  <c r="GN45" i="1"/>
  <c r="R22" i="1"/>
  <c r="R99" i="1"/>
  <c r="F81" i="1"/>
  <c r="AJ22" i="1"/>
  <c r="W67" i="1"/>
  <c r="AT18" i="1"/>
  <c r="F117" i="1"/>
  <c r="GM32" i="1"/>
  <c r="GN32" i="1"/>
  <c r="CY59" i="1"/>
  <c r="X59" i="1" s="1"/>
  <c r="CZ59" i="1"/>
  <c r="Y59" i="1" s="1"/>
  <c r="GM59" i="1" s="1"/>
  <c r="GA22" i="1"/>
  <c r="ER67" i="1"/>
  <c r="T22" i="1"/>
  <c r="F88" i="1"/>
  <c r="T99" i="1"/>
  <c r="CY55" i="1"/>
  <c r="X55" i="1" s="1"/>
  <c r="CZ55" i="1"/>
  <c r="Y55" i="1" s="1"/>
  <c r="GM34" i="1"/>
  <c r="GN58" i="1"/>
  <c r="AX22" i="1"/>
  <c r="F74" i="1"/>
  <c r="AX99" i="1"/>
  <c r="EI18" i="1"/>
  <c r="P109" i="1"/>
  <c r="CY41" i="1"/>
  <c r="X41" i="1" s="1"/>
  <c r="GM41" i="1" s="1"/>
  <c r="CZ41" i="1"/>
  <c r="Y41" i="1" s="1"/>
  <c r="DX67" i="1"/>
  <c r="BA22" i="1"/>
  <c r="BA99" i="1"/>
  <c r="F87" i="1"/>
  <c r="H16" i="2" s="1"/>
  <c r="H18" i="2" s="1"/>
  <c r="BC18" i="1"/>
  <c r="F115" i="1"/>
  <c r="CP55" i="1"/>
  <c r="O55" i="1" s="1"/>
  <c r="AO18" i="1"/>
  <c r="F103" i="1"/>
  <c r="EC22" i="1" l="1"/>
  <c r="DP67" i="1"/>
  <c r="DZ22" i="1"/>
  <c r="DM67" i="1"/>
  <c r="AX18" i="1"/>
  <c r="F106" i="1"/>
  <c r="T18" i="1"/>
  <c r="F120" i="1"/>
  <c r="AB22" i="1"/>
  <c r="O67" i="1"/>
  <c r="GM55" i="1"/>
  <c r="GN55" i="1"/>
  <c r="BA18" i="1"/>
  <c r="F119" i="1"/>
  <c r="CB67" i="1"/>
  <c r="GM33" i="1"/>
  <c r="GN33" i="1"/>
  <c r="FT67" i="1" s="1"/>
  <c r="P22" i="1"/>
  <c r="F70" i="1"/>
  <c r="P99" i="1"/>
  <c r="U18" i="1"/>
  <c r="F121" i="1"/>
  <c r="DU22" i="1"/>
  <c r="FX67" i="1"/>
  <c r="FW67" i="1"/>
  <c r="DH67" i="1"/>
  <c r="FZ67" i="1"/>
  <c r="EP18" i="1"/>
  <c r="P106" i="1"/>
  <c r="DT67" i="1"/>
  <c r="CA67" i="1"/>
  <c r="AP18" i="1"/>
  <c r="F108" i="1"/>
  <c r="CF22" i="1"/>
  <c r="AW67" i="1"/>
  <c r="Q22" i="1"/>
  <c r="Q99" i="1"/>
  <c r="F79" i="1"/>
  <c r="EH18" i="1"/>
  <c r="P108" i="1"/>
  <c r="ES22" i="1"/>
  <c r="P87" i="1"/>
  <c r="W16" i="2" s="1"/>
  <c r="W18" i="2" s="1"/>
  <c r="ES99" i="1"/>
  <c r="GN51" i="1"/>
  <c r="DL22" i="1"/>
  <c r="DL99" i="1"/>
  <c r="P88" i="1"/>
  <c r="AZ22" i="1"/>
  <c r="AZ99" i="1"/>
  <c r="F78" i="1"/>
  <c r="DX22" i="1"/>
  <c r="DK67" i="1"/>
  <c r="ER22" i="1"/>
  <c r="P78" i="1"/>
  <c r="ER99" i="1"/>
  <c r="R18" i="1"/>
  <c r="F113" i="1"/>
  <c r="DO22" i="1"/>
  <c r="P91" i="1"/>
  <c r="DO99" i="1"/>
  <c r="S22" i="1"/>
  <c r="F82" i="1"/>
  <c r="J16" i="2" s="1"/>
  <c r="J18" i="2" s="1"/>
  <c r="S99" i="1"/>
  <c r="V18" i="1"/>
  <c r="F122" i="1"/>
  <c r="W22" i="1"/>
  <c r="F91" i="1"/>
  <c r="W99" i="1"/>
  <c r="ED67" i="1"/>
  <c r="CE22" i="1"/>
  <c r="AV67" i="1"/>
  <c r="DN22" i="1"/>
  <c r="DN99" i="1"/>
  <c r="P90" i="1"/>
  <c r="DJ22" i="1"/>
  <c r="P81" i="1"/>
  <c r="DJ99" i="1"/>
  <c r="X22" i="1"/>
  <c r="F92" i="1"/>
  <c r="X99" i="1"/>
  <c r="CH22" i="1"/>
  <c r="AY67" i="1"/>
  <c r="DV22" i="1"/>
  <c r="DI67" i="1"/>
  <c r="AL22" i="1"/>
  <c r="Y67" i="1"/>
  <c r="CA22" i="1" l="1"/>
  <c r="AR67" i="1"/>
  <c r="CB22" i="1"/>
  <c r="AS67" i="1"/>
  <c r="Y22" i="1"/>
  <c r="Y99" i="1"/>
  <c r="F93" i="1"/>
  <c r="AY22" i="1"/>
  <c r="F75" i="1"/>
  <c r="AY99" i="1"/>
  <c r="DL18" i="1"/>
  <c r="P120" i="1"/>
  <c r="DT22" i="1"/>
  <c r="DG67" i="1"/>
  <c r="DH22" i="1"/>
  <c r="DH99" i="1"/>
  <c r="P70" i="1"/>
  <c r="O22" i="1"/>
  <c r="F69" i="1"/>
  <c r="O99" i="1"/>
  <c r="DP22" i="1"/>
  <c r="DP99" i="1"/>
  <c r="P92" i="1"/>
  <c r="DJ18" i="1"/>
  <c r="P113" i="1"/>
  <c r="DN18" i="1"/>
  <c r="P122" i="1"/>
  <c r="ED22" i="1"/>
  <c r="DQ67" i="1"/>
  <c r="AZ18" i="1"/>
  <c r="F110" i="1"/>
  <c r="Q18" i="1"/>
  <c r="F111" i="1"/>
  <c r="FW22" i="1"/>
  <c r="EN67" i="1"/>
  <c r="FT22" i="1"/>
  <c r="EK67" i="1"/>
  <c r="DI22" i="1"/>
  <c r="P79" i="1"/>
  <c r="DI99" i="1"/>
  <c r="X18" i="1"/>
  <c r="F124" i="1"/>
  <c r="W18" i="1"/>
  <c r="F123" i="1"/>
  <c r="DO18" i="1"/>
  <c r="P123" i="1"/>
  <c r="DK22" i="1"/>
  <c r="DK99" i="1"/>
  <c r="P82" i="1"/>
  <c r="Y16" i="2" s="1"/>
  <c r="Y18" i="2" s="1"/>
  <c r="FX22" i="1"/>
  <c r="EO67" i="1"/>
  <c r="P18" i="1"/>
  <c r="F102" i="1"/>
  <c r="FS67" i="1"/>
  <c r="DM22" i="1"/>
  <c r="P89" i="1"/>
  <c r="DM99" i="1"/>
  <c r="ES18" i="1"/>
  <c r="P119" i="1"/>
  <c r="FZ22" i="1"/>
  <c r="EQ67" i="1"/>
  <c r="AV22" i="1"/>
  <c r="AV99" i="1"/>
  <c r="F72" i="1"/>
  <c r="S18" i="1"/>
  <c r="F114" i="1"/>
  <c r="ER18" i="1"/>
  <c r="P110" i="1"/>
  <c r="AW22" i="1"/>
  <c r="AW99" i="1"/>
  <c r="F73" i="1"/>
  <c r="EQ22" i="1" l="1"/>
  <c r="P75" i="1"/>
  <c r="EQ99" i="1"/>
  <c r="DM18" i="1"/>
  <c r="P121" i="1"/>
  <c r="EK22" i="1"/>
  <c r="EK99" i="1"/>
  <c r="P84" i="1"/>
  <c r="T16" i="2" s="1"/>
  <c r="DQ22" i="1"/>
  <c r="P93" i="1"/>
  <c r="DQ99" i="1"/>
  <c r="DK18" i="1"/>
  <c r="P114" i="1"/>
  <c r="DI18" i="1"/>
  <c r="P111" i="1"/>
  <c r="O18" i="1"/>
  <c r="F101" i="1"/>
  <c r="DH18" i="1"/>
  <c r="P102" i="1"/>
  <c r="AS22" i="1"/>
  <c r="F84" i="1"/>
  <c r="E16" i="2" s="1"/>
  <c r="AS99" i="1"/>
  <c r="AV18" i="1"/>
  <c r="F104" i="1"/>
  <c r="EO22" i="1"/>
  <c r="EO99" i="1"/>
  <c r="P73" i="1"/>
  <c r="EN22" i="1"/>
  <c r="EN99" i="1"/>
  <c r="P72" i="1"/>
  <c r="AW18" i="1"/>
  <c r="F105" i="1"/>
  <c r="FS22" i="1"/>
  <c r="EJ67" i="1"/>
  <c r="DP18" i="1"/>
  <c r="P124" i="1"/>
  <c r="DG22" i="1"/>
  <c r="P69" i="1"/>
  <c r="DG99" i="1"/>
  <c r="AY18" i="1"/>
  <c r="F107" i="1"/>
  <c r="Y18" i="1"/>
  <c r="F125" i="1"/>
  <c r="AR22" i="1"/>
  <c r="AR99" i="1"/>
  <c r="F94" i="1"/>
  <c r="F95" i="1" s="1"/>
  <c r="DG18" i="1" l="1"/>
  <c r="P101" i="1"/>
  <c r="DQ18" i="1"/>
  <c r="P125" i="1"/>
  <c r="EK18" i="1"/>
  <c r="P116" i="1"/>
  <c r="EQ18" i="1"/>
  <c r="P107" i="1"/>
  <c r="F96" i="1"/>
  <c r="F97" i="1"/>
  <c r="EJ22" i="1"/>
  <c r="P94" i="1"/>
  <c r="P95" i="1" s="1"/>
  <c r="EJ99" i="1"/>
  <c r="EO18" i="1"/>
  <c r="P105" i="1"/>
  <c r="AS18" i="1"/>
  <c r="F116" i="1"/>
  <c r="AR18" i="1"/>
  <c r="F126" i="1"/>
  <c r="F127" i="1" s="1"/>
  <c r="EN18" i="1"/>
  <c r="P104" i="1"/>
  <c r="E18" i="2"/>
  <c r="I16" i="2"/>
  <c r="I18" i="2" s="1"/>
  <c r="X16" i="2"/>
  <c r="X18" i="2" s="1"/>
  <c r="T18" i="2"/>
  <c r="F128" i="1" l="1"/>
  <c r="F129" i="1" s="1"/>
  <c r="EJ18" i="1"/>
  <c r="P126" i="1"/>
  <c r="P127" i="1" s="1"/>
  <c r="P96" i="1"/>
  <c r="P97" i="1" s="1"/>
  <c r="P128" i="1" l="1"/>
  <c r="P129" i="1" s="1"/>
</calcChain>
</file>

<file path=xl/sharedStrings.xml><?xml version="1.0" encoding="utf-8"?>
<sst xmlns="http://schemas.openxmlformats.org/spreadsheetml/2006/main" count="3525" uniqueCount="423">
  <si>
    <t>Smeta.RU  (495) 974-1589</t>
  </si>
  <si>
    <t>_PS_</t>
  </si>
  <si>
    <t>Smeta.RU</t>
  </si>
  <si>
    <t>НИЯУ МИФИ  Доп. раб. место  MCCS-0027251</t>
  </si>
  <si>
    <t>Новый объект_(Копия)_(Копия)</t>
  </si>
  <si>
    <t>Капитальный ремонт оконных проемов в кабинетах здания  Университетского лицея №1511 НИЯУ МИФИ_ФЕР_Цена поставщика</t>
  </si>
  <si>
    <t/>
  </si>
  <si>
    <t>Сметные нормы списания</t>
  </si>
  <si>
    <t>Коды ценников</t>
  </si>
  <si>
    <t>ФЕР-2017</t>
  </si>
  <si>
    <t>ТР для Версии 10: Центральные регионы (с учетом п-ма 2536-ИП/12/ГС от 22.03.2017 г</t>
  </si>
  <si>
    <t>Поправки  для ГСН 2017 от 31.03.2017 г</t>
  </si>
  <si>
    <t>Новая локальная смета</t>
  </si>
  <si>
    <t>1</t>
  </si>
  <si>
    <t>46-04-012-02</t>
  </si>
  <si>
    <t>Разборка деревянных заполнений проемов оконных без подоконных досок</t>
  </si>
  <si>
    <t>100 м2</t>
  </si>
  <si>
    <t>ФЕР-2001, 46-04-012-02, приказ Минстроя России №1039/пр от 30.12.2016г.</t>
  </si>
  <si>
    <t>Общестроительные работы</t>
  </si>
  <si>
    <t>Реконструкция зданий и сооружений</t>
  </si>
  <si>
    <t>ФЕР-46</t>
  </si>
  <si>
    <t>*0,9</t>
  </si>
  <si>
    <t>*0,85</t>
  </si>
  <si>
    <t>2</t>
  </si>
  <si>
    <t>58-3-1</t>
  </si>
  <si>
    <t>Разборка мелких покрытий и обделок из листовой стали поясков, сандриков, желобов, отливов, свесов и т.п.</t>
  </si>
  <si>
    <t>100 м</t>
  </si>
  <si>
    <t>ФЕРр-2001, 58-3-1, приказ Минстроя России №1039/пр от 30.12.2016г.</t>
  </si>
  <si>
    <t>Ремонтно-строительные работы</t>
  </si>
  <si>
    <t>Крыши, кровля</t>
  </si>
  <si>
    <t>рФЕР-58</t>
  </si>
  <si>
    <t>3</t>
  </si>
  <si>
    <t>56-3-1</t>
  </si>
  <si>
    <t>Снятие подоконных досок бетонных и мозаичных</t>
  </si>
  <si>
    <t>ФЕРр-2001, 56-3-1, приказ Минстроя России №1039/пр от 30.12.2016г.</t>
  </si>
  <si>
    <t>Проемы</t>
  </si>
  <si>
    <t>рФЕР-56</t>
  </si>
  <si>
    <t>4</t>
  </si>
  <si>
    <t>10-01-034-06</t>
  </si>
  <si>
    <t>Установка в жилых и общественных зданиях оконных блоков из ПВХ профилей поворотных (откидных, поворотно-откидных) с площадью проема более 2 м2 двухстворчатых</t>
  </si>
  <si>
    <t>ФЕР-2001, 10-01-034-06, приказ Минстроя России №1039/пр от 30.12.2016г.</t>
  </si>
  <si>
    <t>)*1,25</t>
  </si>
  <si>
    <t>)*1,15</t>
  </si>
  <si>
    <t>Деревянные конструкции</t>
  </si>
  <si>
    <t>ФЕР-10</t>
  </si>
  <si>
    <t>Поправка: МДС 81-35.2004, п.4.7</t>
  </si>
  <si>
    <t>4,1</t>
  </si>
  <si>
    <t>11.3.02.01-0028</t>
  </si>
  <si>
    <t>Блок оконный пластиковый двустворчатый, с глухой и поворотной створкой, двухкамерным стеклопакетом (32 мм), площадью более 3,5 м2</t>
  </si>
  <si>
    <t>м2</t>
  </si>
  <si>
    <t>ФССЦ-2001, 11.3.02.01-0028, приказ Минстроя России №1039/пр от 30.12.2016г.</t>
  </si>
  <si>
    <t>4,2</t>
  </si>
  <si>
    <t>Цена поставщика</t>
  </si>
  <si>
    <t>Блок оконный из  ПВХ</t>
  </si>
  <si>
    <t>[5 729,99 / 1,18 /  6,77]</t>
  </si>
  <si>
    <t>5</t>
  </si>
  <si>
    <t>12-01-010-01</t>
  </si>
  <si>
    <t>Устройство мелких покрытий (брандмауэры, парапеты, свесы и т.п.) из листовой оцинкованной стали</t>
  </si>
  <si>
    <t>ФЕР-2001, 12-01-010-01, приказ Минстроя России №1039/пр от 30.12.2016г.</t>
  </si>
  <si>
    <t>Кровли</t>
  </si>
  <si>
    <t>ФЕР-12</t>
  </si>
  <si>
    <t>6</t>
  </si>
  <si>
    <t>10-01-035-01</t>
  </si>
  <si>
    <t>Установка подоконных досок из ПВХ в каменных стенах толщиной до 0,51 м</t>
  </si>
  <si>
    <t>ФЕР-2001, 10-01-035-01, приказ Минстроя России №1039/пр от 30.12.2016г.</t>
  </si>
  <si>
    <t>6,1</t>
  </si>
  <si>
    <t>11.3.03.01-0005</t>
  </si>
  <si>
    <t>Доски подоконные ПВХ, шириной 300 мм</t>
  </si>
  <si>
    <t>м</t>
  </si>
  <si>
    <t>ФССЦ-2001, 11.3.03.01-0005, приказ Минстроя России №1039/пр от 30.12.2016г.</t>
  </si>
  <si>
    <t>7</t>
  </si>
  <si>
    <t>15-01-050-04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</si>
  <si>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</si>
  <si>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ФЕР-2001, 15-01-050-04, приказ Минстроя России №1039/пр от 30.12.2016г.</t>
  </si>
  <si>
    <t>Отделочные работы</t>
  </si>
  <si>
    <t>ФЕР-15</t>
  </si>
  <si>
    <t>7,1</t>
  </si>
  <si>
    <t>01.6.01.11</t>
  </si>
  <si>
    <t>Листы облицовочные декоративные</t>
  </si>
  <si>
    <t>7,2</t>
  </si>
  <si>
    <t>11.3.03.05-0011</t>
  </si>
  <si>
    <t>Сэндвич-панели для откосов (наружные слои – листы из поливинилхлорида, внутреннее наполнение – вспененный пенополистирол) белые, ширина 1,5 м, длина 3,0 м, толщина 10 мм</t>
  </si>
  <si>
    <t>ФССЦ-2001, 11.3.03.05-0011, приказ Минстроя России №1039/пр от 30.12.2016г.</t>
  </si>
  <si>
    <t>7,3</t>
  </si>
  <si>
    <t>14.1.06.05</t>
  </si>
  <si>
    <t>Клей</t>
  </si>
  <si>
    <t>кг</t>
  </si>
  <si>
    <t>7,4</t>
  </si>
  <si>
    <t>14.1.02.04-0102</t>
  </si>
  <si>
    <t>Клей Forbo 522, для укладки ПВХ-покрытий</t>
  </si>
  <si>
    <t>ФССЦ-2001, 14.1.02.04-0102, приказ Минстроя России №1039/пр от 30.12.2016г.</t>
  </si>
  <si>
    <t>7,5</t>
  </si>
  <si>
    <t>14.3.01.02-0102</t>
  </si>
  <si>
    <t>Грунтовка: водно-дисперсионная "БИРСС Бетон-контакт"</t>
  </si>
  <si>
    <t>т</t>
  </si>
  <si>
    <t>ФССЦ-2001, 14.3.01.02-0102, приказ Минстроя России №1039/пр от 30.12.2016г.</t>
  </si>
  <si>
    <t>7,6</t>
  </si>
  <si>
    <t>14.4.01.21</t>
  </si>
  <si>
    <t>Грунтовка</t>
  </si>
  <si>
    <t>8</t>
  </si>
  <si>
    <t>10-01-036-01</t>
  </si>
  <si>
    <t>Установка уголков ПВХ на клее</t>
  </si>
  <si>
    <t>ФЕР-2001, 10-01-036-01, приказ Минстроя России №1039/пр от 30.12.2016г.</t>
  </si>
  <si>
    <t>8,1</t>
  </si>
  <si>
    <t>11.3.03.13</t>
  </si>
  <si>
    <t>Уголок ПВХ</t>
  </si>
  <si>
    <t>П.М</t>
  </si>
  <si>
    <t>8,2</t>
  </si>
  <si>
    <t>11.3.03.13-0043</t>
  </si>
  <si>
    <t>Уголок ПВХ, размером 20х20 мм</t>
  </si>
  <si>
    <t>10 м</t>
  </si>
  <si>
    <t>ФССЦ-2001, 11.3.03.13-0043, приказ Минстроя России №1039/пр от 30.12.2016г.</t>
  </si>
  <si>
    <t>9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</si>
  <si>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</si>
  <si>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</si>
  <si>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</si>
  <si>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№1039/пр от 30.12.2016г.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</si>
  <si>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</si>
  <si>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</si>
  <si>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</si>
  <si>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10</t>
  </si>
  <si>
    <t>т03-01-03-050</t>
  </si>
  <si>
    <t>Перевозка грузов III класса автомобилями бортовыми грузоподъемностью до 15 т на расстояние до 50 км</t>
  </si>
  <si>
    <t>ФССЦпг-2001, т03-01-03-050, приказ Минстроя России №1039/пр от 30.12.2016г.</t>
  </si>
  <si>
    <t>Перевозка грузов авто/транспортом</t>
  </si>
  <si>
    <t>Перевозкуа грузов (ФССЦпр-2011 - изм. 7, разделы 1-4) - по сметной стоимости</t>
  </si>
  <si>
    <t>ФССЦпр , изм. 7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</si>
  <si>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</si>
  <si>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</si>
  <si>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</si>
  <si>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</si>
  <si>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</si>
  <si>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</si>
  <si>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</si>
  <si>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</si>
  <si>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</si>
  <si>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</si>
  <si>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</si>
  <si>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</si>
  <si>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</si>
  <si>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</si>
  <si>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</si>
  <si>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</si>
  <si>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</si>
  <si>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</si>
  <si>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</si>
  <si>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</si>
  <si>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</si>
  <si>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</si>
  <si>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</si>
  <si>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</si>
  <si>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</si>
  <si>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</si>
  <si>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</si>
  <si>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</si>
  <si>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</si>
  <si>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</si>
  <si>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</si>
  <si>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</si>
  <si>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</si>
  <si>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</si>
  <si>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</si>
  <si>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</si>
  <si>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</si>
  <si>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</si>
  <si>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</si>
  <si>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</si>
  <si>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</si>
  <si>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</si>
  <si>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</si>
  <si>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</si>
  <si>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</si>
  <si>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</si>
  <si>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</si>
  <si>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</si>
  <si>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</si>
  <si>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</si>
  <si>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</si>
  <si>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</si>
  <si>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 1</t>
  </si>
  <si>
    <t>Итого2</t>
  </si>
  <si>
    <t>Итого НДС 20 %</t>
  </si>
  <si>
    <t>Итого 3</t>
  </si>
  <si>
    <t>Всего по смете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</si>
  <si>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</si>
  <si>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</si>
  <si>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</si>
  <si>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</si>
  <si>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</si>
  <si>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</si>
  <si>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</si>
  <si>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</si>
  <si>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</si>
  <si>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</si>
  <si>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</si>
  <si>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</si>
  <si>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</si>
  <si>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</si>
  <si>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</si>
  <si>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</si>
  <si>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</si>
  <si>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</si>
  <si>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</si>
  <si>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</si>
  <si>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</si>
  <si>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</si>
  <si>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</si>
  <si>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</si>
  <si>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</si>
  <si>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</si>
  <si>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</si>
  <si>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</si>
  <si>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</si>
  <si>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</si>
  <si>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</si>
  <si>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</si>
  <si>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</si>
  <si>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</si>
  <si>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</si>
  <si>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</si>
  <si>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</si>
  <si>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</si>
  <si>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</si>
  <si>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</si>
  <si>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</si>
  <si>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</si>
  <si>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</si>
  <si>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</si>
  <si>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</si>
  <si>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</si>
  <si>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</si>
  <si>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</si>
  <si>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</si>
  <si>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</si>
  <si>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</si>
  <si>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</si>
  <si>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</si>
  <si>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</si>
  <si>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</si>
  <si>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</si>
  <si>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</si>
  <si>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</si>
  <si>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</si>
  <si>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</si>
  <si>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</si>
  <si>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Базовый</t>
  </si>
  <si>
    <t>Текущий уровень цен</t>
  </si>
  <si>
    <t>Индексы за итогом</t>
  </si>
  <si>
    <t>_OBSM_</t>
  </si>
  <si>
    <t>1-100-24</t>
  </si>
  <si>
    <t>Рабочий среднего разряда 2.4</t>
  </si>
  <si>
    <t>чел.-ч.</t>
  </si>
  <si>
    <t>4-100-00</t>
  </si>
  <si>
    <t>Затраты труда машинистов</t>
  </si>
  <si>
    <t>91.06.06-048</t>
  </si>
  <si>
    <t>ФСЭМ-2001, 91.06.06-048, приказ Минстроя России №1039/пр от 30.12.2016г.</t>
  </si>
  <si>
    <t>Подъемники одномачтовые, грузоподъемность до 500 кг, высота подъема 45 м</t>
  </si>
  <si>
    <t>маш.-ч</t>
  </si>
  <si>
    <t>1-100-20</t>
  </si>
  <si>
    <t>Рабочий среднего разряда 2</t>
  </si>
  <si>
    <t>91.06.03-060</t>
  </si>
  <si>
    <t>ФСЭМ-2001, 91.06.03-060, приказ Минстроя России №1039/пр от 30.12.2016г.</t>
  </si>
  <si>
    <t>Лебедки электрические тяговым усилием до 5,79 кН (0,59 т)</t>
  </si>
  <si>
    <t>1-100-18</t>
  </si>
  <si>
    <t>Рабочий среднего разряда 1.8</t>
  </si>
  <si>
    <t>91.18.01-012</t>
  </si>
  <si>
    <t>ФСЭМ-2001, 91.18.01-012, приказ Минстроя России №1039/пр от 30.12.2016г.</t>
  </si>
  <si>
    <t>Компрессоры передвижные с электродвигателем давлением 600 кПа (6 ат), производительность до 3,5 м3/мин</t>
  </si>
  <si>
    <t>91.21.10-003</t>
  </si>
  <si>
    <t>ФСЭМ-2001, 91.21.10-003, приказ Минстроя России №1039/пр от 30.12.2016г.</t>
  </si>
  <si>
    <t>Молотки при работе от передвижных компрессорных станций отбойные пневматические</t>
  </si>
  <si>
    <t>1-100-32</t>
  </si>
  <si>
    <t>Рабочий среднего разряда 3.2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</si>
  <si>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</si>
  <si>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</si>
  <si>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</si>
  <si>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01.7.06.02-0001</t>
  </si>
  <si>
    <t>ФССЦ-2001, 01.7.06.02-0001, приказ Минстроя России №1039/пр от 30.12.2016г.</t>
  </si>
  <si>
    <t>Лента бутиловая</t>
  </si>
  <si>
    <t>01.7.06.02-0002</t>
  </si>
  <si>
    <t>ФССЦ-2001, 01.7.06.02-0002, приказ Минстроя России №1039/пр от 30.12.2016г.</t>
  </si>
  <si>
    <t>Лента бутиловая диффузионная</t>
  </si>
  <si>
    <t>01.7.06.11-0001</t>
  </si>
  <si>
    <t>ФССЦ-2001, 01.7.06.11-0001, приказ Минстроя России №1039/пр от 30.12.2016г.</t>
  </si>
  <si>
    <t>Лента ПСУЛ</t>
  </si>
  <si>
    <t>01.7.15.07-0005</t>
  </si>
  <si>
    <t>ФССЦ-2001, 01.7.15.07-0005, приказ Минстроя России №1039/пр от 30.12.2016г.</t>
  </si>
  <si>
    <t>Дюбели монтажные 10х130 (10х132, 10х150) мм</t>
  </si>
  <si>
    <t>10 шт.</t>
  </si>
  <si>
    <t>11.3.03.15-0021</t>
  </si>
  <si>
    <t>ФССЦ-2001, 11.3.03.15-0021, приказ Минстроя России №1039/пр от 30.12.2016г.</t>
  </si>
  <si>
    <t>Клинья пластиковые монтажные</t>
  </si>
  <si>
    <t>100 шт.</t>
  </si>
  <si>
    <t>14.5.01.05-0001</t>
  </si>
  <si>
    <t>ФССЦ-2001, 14.5.01.05-0001, приказ Минстроя России №1039/пр от 30.12.2016г.</t>
  </si>
  <si>
    <t>Герметик пенополиуретановый (пена монтажная) типа Makrofleks, Soudal в баллонах по 750 мл</t>
  </si>
  <si>
    <t>шт.</t>
  </si>
  <si>
    <t>1-100-30</t>
  </si>
  <si>
    <t>Рабочий среднего разряда 3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</si>
  <si>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</si>
  <si>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</si>
  <si>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</si>
  <si>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01.7.15.06-0146</t>
  </si>
  <si>
    <t>ФССЦ-2001, 01.7.15.06-0146, приказ Минстроя России №1039/пр от 30.12.2016г.</t>
  </si>
  <si>
    <t>Гвозди толевые круглые 3,0х40 мм</t>
  </si>
  <si>
    <t>08.3.03.05-0002</t>
  </si>
  <si>
    <t>ФССЦ-2001, 08.3.03.05-0002, приказ Минстроя России №1039/пр от 30.12.2016г.</t>
  </si>
  <si>
    <t>Проволока канатная оцинкованная, диаметром 3 мм</t>
  </si>
  <si>
    <t>08.3.05.05-0053</t>
  </si>
  <si>
    <t>ФССЦ-2001, 08.3.05.05-0053, приказ Минстроя России №1039/пр от 30.12.2016г.</t>
  </si>
  <si>
    <t>Сталь листовая оцинкованная толщиной листа 0,7 мм</t>
  </si>
  <si>
    <t>1-100-36</t>
  </si>
  <si>
    <t>Рабочий среднего разряда 3.6</t>
  </si>
  <si>
    <t>01.7.20.08-0051</t>
  </si>
  <si>
    <t>ФССЦ-2001, 01.7.20.08-0051, приказ Минстроя России №1039/пр от 30.12.2016г.</t>
  </si>
  <si>
    <t>Ветошь</t>
  </si>
  <si>
    <t>14.1.04.02-0011</t>
  </si>
  <si>
    <t>ФССЦ-2001, 14.1.04.02-0011, приказ Минстроя России №1039/пр от 30.12.2016г.</t>
  </si>
  <si>
    <t>Клей резиновый № 88-Н</t>
  </si>
  <si>
    <t>01.7.07.07</t>
  </si>
  <si>
    <t>Строительный мусор</t>
  </si>
  <si>
    <t>11.3.02.03</t>
  </si>
  <si>
    <t>Блоки оконные пластиковые</t>
  </si>
  <si>
    <t>11.3.03.01</t>
  </si>
  <si>
    <t>Доски подоконные ПВХ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</si>
  <si>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</si>
  <si>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</si>
  <si>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</si>
  <si>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</si>
  <si>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</si>
  <si>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</si>
  <si>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</si>
  <si>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</si>
  <si>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</si>
  <si>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</si>
  <si>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</si>
  <si>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</si>
  <si>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</si>
  <si>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</si>
  <si>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</si>
  <si>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</si>
  <si>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</si>
  <si>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</si>
  <si>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</si>
  <si>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</si>
  <si>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</si>
  <si>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</si>
  <si>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</si>
  <si>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</si>
  <si>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IV квартал 2018 года</t>
  </si>
  <si>
    <t>Зарплата</t>
  </si>
  <si>
    <t>в т.ч. зарплата машинистов</t>
  </si>
  <si>
    <t>НР от ФОТ</t>
  </si>
  <si>
    <t>%</t>
  </si>
  <si>
    <t>СП от ФОТ</t>
  </si>
  <si>
    <t>Затраты труда</t>
  </si>
  <si>
    <t>чел-ч</t>
  </si>
  <si>
    <t>Материальные ресурсы</t>
  </si>
  <si>
    <r>
      <t>Блок оконный из  ПВХ</t>
    </r>
    <r>
      <rPr>
        <i/>
        <sz val="10"/>
        <rFont val="Arial"/>
        <family val="2"/>
        <charset val="204"/>
      </rPr>
      <t xml:space="preserve">
Базисная стоимость: 717,27 = [5 729,99 / 1,18 /  6,77]</t>
    </r>
  </si>
  <si>
    <t xml:space="preserve">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</si>
  <si>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</si>
  <si>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</si>
  <si>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</si>
  <si>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</si>
  <si>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</si>
  <si>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</si>
  <si>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</si>
  <si>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</si>
  <si>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</si>
  <si>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</si>
  <si>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</si>
  <si>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</si>
  <si>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</si>
  <si>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</si>
  <si>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</si>
  <si>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</si>
  <si>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</si>
  <si>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</si>
  <si>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</si>
  <si>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</si>
  <si>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</si>
  <si>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</si>
  <si>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</si>
  <si>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</si>
  <si>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</si>
  <si>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</si>
  <si>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</si>
  <si>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</si>
  <si>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</si>
  <si>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</si>
  <si>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Наименование работ</t>
  </si>
  <si>
    <t>Номер единичной расценки</t>
  </si>
  <si>
    <t>Единица измерения</t>
  </si>
  <si>
    <t>Выполнено работ</t>
  </si>
  <si>
    <t>по порядку</t>
  </si>
  <si>
    <t>поз. по смете</t>
  </si>
  <si>
    <t>Количество</t>
  </si>
  <si>
    <t>цена за единицу, руб</t>
  </si>
  <si>
    <t>стоимость, руб</t>
  </si>
  <si>
    <t>Коэфф. к ОЗП</t>
  </si>
  <si>
    <t>Коэфф. к эксплуатации машин</t>
  </si>
  <si>
    <t>Коэфф. к материалам</t>
  </si>
  <si>
    <t>Коэфф. к ЗПМ</t>
  </si>
  <si>
    <t>% НР</t>
  </si>
  <si>
    <t>% НР с поправкой</t>
  </si>
  <si>
    <t>% СП</t>
  </si>
  <si>
    <t>СП с поправкой</t>
  </si>
  <si>
    <t xml:space="preserve">Итого с НР и СП </t>
  </si>
  <si>
    <t xml:space="preserve">Эксплуатация машин </t>
  </si>
  <si>
    <t xml:space="preserve">Оплата труда машинистов </t>
  </si>
  <si>
    <t xml:space="preserve">Оплата труда рабочих </t>
  </si>
  <si>
    <t xml:space="preserve">Затраты труда рабочих </t>
  </si>
  <si>
    <t xml:space="preserve">Затраты труда машинистов </t>
  </si>
  <si>
    <t>Коэфф. к сметной цене</t>
  </si>
  <si>
    <t xml:space="preserve">Сдал </t>
  </si>
  <si>
    <t>должность</t>
  </si>
  <si>
    <t>подпись</t>
  </si>
  <si>
    <t>расшифровка подпись</t>
  </si>
  <si>
    <t>М.П.</t>
  </si>
  <si>
    <t xml:space="preserve">Принял </t>
  </si>
  <si>
    <t>СМЕТА</t>
  </si>
  <si>
    <t>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t>
  </si>
  <si>
    <t>Приложение 1 к Приложению 4 к извещению о проведении запроса котировок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</si>
</sst>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21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/>
    <xf numFmtId="0" fontId="13" fillId="0" borderId="0" xfId="0" applyFont="1" applyAlignment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5" fontId="13" fillId="0" borderId="0" xfId="0" applyNumberFormat="1" applyFont="1"/>
    <xf numFmtId="164" fontId="13" fillId="0" borderId="0" xfId="0" applyNumberFormat="1" applyFont="1"/>
    <xf numFmtId="0" fontId="11" fillId="0" borderId="0" xfId="0" applyFont="1" applyAlignment="1">
      <alignment wrapText="1"/>
    </xf>
    <xf numFmtId="164" fontId="0" fillId="0" borderId="0" xfId="0" applyNumberFormat="1"/>
    <xf numFmtId="0" fontId="13" fillId="0" borderId="0" xfId="0" applyFont="1" applyAlignment="1">
      <alignment vertical="center"/>
    </xf>
    <xf numFmtId="0" fontId="16" fillId="0" borderId="0" xfId="0" applyFont="1"/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8" fillId="0" borderId="0" xfId="0" applyFont="1" applyAlignment="1">
      <alignment horizontal="right" wrapText="1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164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0" fontId="18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164" fontId="13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3" fillId="0" borderId="2" xfId="0" quotePrefix="1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0" fontId="13" fillId="0" borderId="0" xfId="0" quotePrefix="1" applyFont="1" applyAlignment="1">
      <alignment horizontal="right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165" fontId="11" fillId="0" borderId="0" xfId="0" applyNumberFormat="1" applyFont="1" applyAlignment="1">
      <alignment horizontal="left"/>
    </xf>
    <xf numFmtId="0" fontId="17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0" fontId="13" fillId="0" borderId="14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 shrinkToFit="1"/>
    </xf>
    <xf numFmtId="0" fontId="1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164" fontId="16" fillId="0" borderId="1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13" fillId="0" borderId="5" xfId="0" quotePrefix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8" xfId="0" applyFont="1" applyBorder="1" applyAlignment="1">
      <alignment horizontal="right"/>
    </xf>
    <xf numFmtId="14" fontId="13" fillId="0" borderId="5" xfId="0" applyNumberFormat="1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1" fillId="0" borderId="0" xfId="0" quotePrefix="1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15" xfId="0" applyFont="1" applyBorder="1" applyAlignment="1">
      <alignment horizontal="center" vertical="top" shrinkToFit="1"/>
    </xf>
    <xf numFmtId="0" fontId="13" fillId="0" borderId="0" xfId="0" applyFont="1" applyAlignment="1">
      <alignment horizontal="right" vertical="center" shrinkToFit="1"/>
    </xf>
    <xf numFmtId="0" fontId="13" fillId="0" borderId="14" xfId="0" applyFont="1" applyBorder="1" applyAlignment="1">
      <alignment horizontal="left" vertical="center" shrinkToFit="1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12" fillId="0" borderId="0" xfId="0" applyFont="1" applyBorder="1" applyAlignment="1">
      <alignment horizontal="center" vertical="top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1"/>
  <sheetViews>
    <sheetView tabSelected="1" topLeftCell="A100" zoomScaleNormal="100" workbookViewId="0">
      <selection activeCell="I131" sqref="C126:I131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8.7109375" customWidth="1"/>
    <col min="15" max="29" width="0" hidden="1" customWidth="1"/>
    <col min="30" max="30" width="147.7109375" hidden="1" customWidth="1"/>
    <col min="31" max="36" width="0" hidden="1" customWidth="1"/>
  </cols>
  <sheetData>
    <row r="1" spans="1:30" x14ac:dyDescent="0.2">
      <c r="A1" s="12" t="str">
        <f>Source!B1</f>
        <v>Smeta.RU  (495) 974-1589</v>
      </c>
      <c r="H1" s="118" t="s">
        <v>422</v>
      </c>
      <c r="I1" s="118"/>
      <c r="J1" s="118"/>
      <c r="K1" s="118"/>
    </row>
    <row r="2" spans="1:30" ht="14.25" x14ac:dyDescent="0.2">
      <c r="A2" s="13"/>
      <c r="B2" s="13"/>
      <c r="C2" s="13"/>
      <c r="D2" s="13"/>
      <c r="E2" s="13"/>
      <c r="F2" s="13"/>
      <c r="G2" s="13"/>
      <c r="H2" s="118"/>
      <c r="I2" s="118"/>
      <c r="J2" s="118"/>
      <c r="K2" s="118"/>
      <c r="L2" s="14"/>
    </row>
    <row r="3" spans="1:30" ht="16.5" x14ac:dyDescent="0.25">
      <c r="A3" s="15"/>
      <c r="B3" s="74"/>
      <c r="C3" s="74"/>
      <c r="D3" s="74"/>
      <c r="E3" s="74"/>
      <c r="F3" s="14"/>
      <c r="G3" s="14"/>
      <c r="H3" s="74"/>
      <c r="I3" s="74"/>
      <c r="J3" s="74"/>
      <c r="K3" s="74"/>
      <c r="L3" s="74"/>
    </row>
    <row r="4" spans="1:30" ht="14.25" x14ac:dyDescent="0.2">
      <c r="A4" s="14"/>
      <c r="B4" s="75"/>
      <c r="C4" s="75"/>
      <c r="D4" s="75"/>
      <c r="E4" s="75"/>
      <c r="F4" s="14"/>
      <c r="G4" s="14"/>
      <c r="H4" s="75"/>
      <c r="I4" s="75"/>
      <c r="J4" s="75"/>
      <c r="K4" s="75"/>
      <c r="L4" s="75"/>
    </row>
    <row r="5" spans="1:30" ht="14.25" x14ac:dyDescent="0.2">
      <c r="A5" s="16"/>
      <c r="B5" s="16"/>
      <c r="C5" s="17"/>
      <c r="D5" s="17"/>
      <c r="E5" s="17"/>
      <c r="F5" s="14"/>
      <c r="G5" s="14"/>
      <c r="H5" s="18"/>
      <c r="I5" s="17"/>
      <c r="J5" s="17"/>
      <c r="K5" s="17"/>
      <c r="L5" s="18"/>
    </row>
    <row r="6" spans="1:30" ht="14.25" x14ac:dyDescent="0.2">
      <c r="A6" s="18"/>
      <c r="B6" s="75"/>
      <c r="C6" s="75"/>
      <c r="D6" s="75"/>
      <c r="E6" s="75"/>
      <c r="F6" s="14"/>
      <c r="G6" s="14"/>
      <c r="H6" s="75"/>
      <c r="I6" s="75"/>
      <c r="J6" s="75"/>
      <c r="K6" s="75"/>
      <c r="L6" s="75"/>
    </row>
    <row r="7" spans="1:30" ht="14.25" x14ac:dyDescent="0.2">
      <c r="A7" s="19"/>
      <c r="B7" s="73"/>
      <c r="C7" s="73"/>
      <c r="D7" s="73"/>
      <c r="E7" s="73"/>
      <c r="F7" s="14"/>
      <c r="G7" s="14"/>
      <c r="H7" s="73"/>
      <c r="I7" s="73"/>
      <c r="J7" s="73"/>
      <c r="K7" s="73"/>
      <c r="L7" s="73"/>
    </row>
    <row r="10" spans="1:30" ht="14.2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30" ht="15.75" x14ac:dyDescent="0.25">
      <c r="A11" s="20"/>
      <c r="B11" s="76" t="s">
        <v>420</v>
      </c>
      <c r="C11" s="76"/>
      <c r="D11" s="76"/>
      <c r="E11" s="76"/>
      <c r="F11" s="76"/>
      <c r="G11" s="76"/>
      <c r="H11" s="76"/>
      <c r="I11" s="76"/>
      <c r="J11" s="76"/>
      <c r="K11" s="76"/>
      <c r="L11" s="20"/>
    </row>
    <row r="12" spans="1:30" ht="15.75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</row>
    <row r="13" spans="1:30" ht="18" hidden="1" x14ac:dyDescent="0.25">
      <c r="A13" s="20"/>
      <c r="B13" s="77" t="str">
        <f>IF(Source!G20&lt;&gt;"Новая локальная смета", Source!G20, "")</f>
        <v/>
      </c>
      <c r="C13" s="77"/>
      <c r="D13" s="77"/>
      <c r="E13" s="77"/>
      <c r="F13" s="77"/>
      <c r="G13" s="77"/>
      <c r="H13" s="77"/>
      <c r="I13" s="77"/>
      <c r="J13" s="77"/>
      <c r="K13" s="77"/>
      <c r="L13" s="20"/>
    </row>
    <row r="14" spans="1:30" ht="14.25" hidden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30" ht="75" customHeight="1" x14ac:dyDescent="0.25">
      <c r="A15" s="14"/>
      <c r="B15" s="77" t="str">
        <f>IF(Source!G12&lt;&gt;"Новый объект", Source!G12, "")</f>
        <v>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v>
      </c>
      <c r="C15" s="77"/>
      <c r="D15" s="77"/>
      <c r="E15" s="77"/>
      <c r="F15" s="77"/>
      <c r="G15" s="77"/>
      <c r="H15" s="77"/>
      <c r="I15" s="77"/>
      <c r="J15" s="77"/>
      <c r="K15" s="77"/>
      <c r="L15" s="22"/>
      <c r="AD15" s="58" t="str">
        <f>IF(Source!G12&lt;&gt;"Новый объект", Source!G12, "")</f>
        <v>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v>
      </c>
    </row>
    <row r="16" spans="1:30" ht="14.25" x14ac:dyDescent="0.2">
      <c r="A16" s="14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19"/>
    </row>
    <row r="17" spans="1:22" ht="14.2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2" ht="14.2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22" ht="14.2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22" ht="14.25" x14ac:dyDescent="0.2">
      <c r="A20" s="14"/>
      <c r="B20" s="14"/>
      <c r="C20" s="14"/>
      <c r="D20" s="14"/>
      <c r="E20" s="23"/>
      <c r="F20" s="23"/>
      <c r="G20" s="79" t="s">
        <v>326</v>
      </c>
      <c r="H20" s="79"/>
      <c r="I20" s="79" t="s">
        <v>327</v>
      </c>
      <c r="J20" s="79"/>
      <c r="K20" s="14"/>
      <c r="L20" s="14"/>
    </row>
    <row r="21" spans="1:22" ht="15" x14ac:dyDescent="0.25">
      <c r="A21" s="14"/>
      <c r="B21" s="14"/>
      <c r="C21" s="80" t="s">
        <v>328</v>
      </c>
      <c r="D21" s="80"/>
      <c r="E21" s="80"/>
      <c r="F21" s="80"/>
      <c r="G21" s="81">
        <f>SUM(O32:O120)/1000</f>
        <v>85.595490000000012</v>
      </c>
      <c r="H21" s="81"/>
      <c r="I21" s="81">
        <f>(Source!P97/1000)</f>
        <v>695.49423999999999</v>
      </c>
      <c r="J21" s="81"/>
      <c r="K21" s="82" t="s">
        <v>329</v>
      </c>
      <c r="L21" s="82"/>
    </row>
    <row r="22" spans="1:22" ht="14.25" x14ac:dyDescent="0.2">
      <c r="A22" s="14"/>
      <c r="B22" s="14"/>
      <c r="C22" s="83" t="s">
        <v>330</v>
      </c>
      <c r="D22" s="83"/>
      <c r="E22" s="83"/>
      <c r="F22" s="83"/>
      <c r="G22" s="81">
        <f>SUM(W32:W120)/1000</f>
        <v>85.595489999999984</v>
      </c>
      <c r="H22" s="81"/>
      <c r="I22" s="81">
        <f>(Source!P84)/1000</f>
        <v>579.57853</v>
      </c>
      <c r="J22" s="81"/>
      <c r="K22" s="82" t="s">
        <v>329</v>
      </c>
      <c r="L22" s="82"/>
    </row>
    <row r="23" spans="1:22" ht="14.25" x14ac:dyDescent="0.2">
      <c r="A23" s="14"/>
      <c r="B23" s="14"/>
      <c r="C23" s="83" t="s">
        <v>331</v>
      </c>
      <c r="D23" s="83"/>
      <c r="E23" s="83"/>
      <c r="F23" s="83"/>
      <c r="G23" s="81">
        <f>SUM(X32:X120)/1000</f>
        <v>0</v>
      </c>
      <c r="H23" s="81"/>
      <c r="I23" s="81">
        <f>(Source!P85)/1000</f>
        <v>0</v>
      </c>
      <c r="J23" s="81"/>
      <c r="K23" s="82" t="s">
        <v>329</v>
      </c>
      <c r="L23" s="82"/>
    </row>
    <row r="24" spans="1:22" ht="14.25" x14ac:dyDescent="0.2">
      <c r="A24" s="14"/>
      <c r="B24" s="14"/>
      <c r="C24" s="83" t="s">
        <v>332</v>
      </c>
      <c r="D24" s="83"/>
      <c r="E24" s="83"/>
      <c r="F24" s="83"/>
      <c r="G24" s="81">
        <f>SUM(Y32:Y120)/1000</f>
        <v>0</v>
      </c>
      <c r="H24" s="81"/>
      <c r="I24" s="81">
        <f>(Source!P76)/1000</f>
        <v>0</v>
      </c>
      <c r="J24" s="81"/>
      <c r="K24" s="82" t="s">
        <v>329</v>
      </c>
      <c r="L24" s="82"/>
    </row>
    <row r="25" spans="1:22" ht="14.25" x14ac:dyDescent="0.2">
      <c r="A25" s="14"/>
      <c r="B25" s="14"/>
      <c r="C25" s="83" t="s">
        <v>333</v>
      </c>
      <c r="D25" s="83"/>
      <c r="E25" s="83"/>
      <c r="F25" s="83"/>
      <c r="G25" s="81">
        <f>SUM(Z32:Z120)/1000</f>
        <v>0</v>
      </c>
      <c r="H25" s="81"/>
      <c r="I25" s="81">
        <f>(Source!P86+Source!P87)/1000</f>
        <v>0</v>
      </c>
      <c r="J25" s="81"/>
      <c r="K25" s="82" t="s">
        <v>329</v>
      </c>
      <c r="L25" s="82"/>
    </row>
    <row r="26" spans="1:22" ht="15" x14ac:dyDescent="0.25">
      <c r="A26" s="14"/>
      <c r="B26" s="14"/>
      <c r="C26" s="80" t="s">
        <v>334</v>
      </c>
      <c r="D26" s="80"/>
      <c r="E26" s="80"/>
      <c r="F26" s="80"/>
      <c r="G26" s="81">
        <f>I26</f>
        <v>422.57036699999992</v>
      </c>
      <c r="H26" s="81"/>
      <c r="I26" s="81">
        <f>(Source!P89+Source!P90)</f>
        <v>422.57036699999992</v>
      </c>
      <c r="J26" s="81"/>
      <c r="K26" s="82" t="s">
        <v>335</v>
      </c>
      <c r="L26" s="82"/>
    </row>
    <row r="27" spans="1:22" ht="15" x14ac:dyDescent="0.25">
      <c r="A27" s="14"/>
      <c r="B27" s="14"/>
      <c r="C27" s="80" t="s">
        <v>336</v>
      </c>
      <c r="D27" s="80"/>
      <c r="E27" s="80"/>
      <c r="F27" s="80"/>
      <c r="G27" s="81">
        <f>SUM(R32:R120)/1000</f>
        <v>3.6409000000000007</v>
      </c>
      <c r="H27" s="81"/>
      <c r="I27" s="81">
        <f>((Source!P82 + Source!P81)/1000)</f>
        <v>24.648869999999999</v>
      </c>
      <c r="J27" s="81"/>
      <c r="K27" s="82" t="s">
        <v>329</v>
      </c>
      <c r="L27" s="82"/>
    </row>
    <row r="28" spans="1:22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22" ht="14.25" x14ac:dyDescent="0.2">
      <c r="A29" s="84" t="s">
        <v>349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22" ht="57" x14ac:dyDescent="0.2">
      <c r="A30" s="24" t="s">
        <v>337</v>
      </c>
      <c r="B30" s="24" t="s">
        <v>338</v>
      </c>
      <c r="C30" s="24" t="s">
        <v>339</v>
      </c>
      <c r="D30" s="24" t="s">
        <v>340</v>
      </c>
      <c r="E30" s="24" t="s">
        <v>341</v>
      </c>
      <c r="F30" s="24" t="s">
        <v>342</v>
      </c>
      <c r="G30" s="24" t="s">
        <v>343</v>
      </c>
      <c r="H30" s="24" t="s">
        <v>344</v>
      </c>
      <c r="I30" s="24" t="s">
        <v>345</v>
      </c>
      <c r="J30" s="24" t="s">
        <v>346</v>
      </c>
      <c r="K30" s="24" t="s">
        <v>347</v>
      </c>
      <c r="L30" s="24" t="s">
        <v>348</v>
      </c>
    </row>
    <row r="31" spans="1:22" ht="14.25" x14ac:dyDescent="0.2">
      <c r="A31" s="25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5">
        <v>7</v>
      </c>
      <c r="H31" s="25">
        <v>8</v>
      </c>
      <c r="I31" s="25">
        <v>9</v>
      </c>
      <c r="J31" s="25">
        <v>10</v>
      </c>
      <c r="K31" s="25">
        <v>11</v>
      </c>
      <c r="L31" s="26">
        <v>12</v>
      </c>
    </row>
    <row r="32" spans="1:22" ht="42.75" x14ac:dyDescent="0.2">
      <c r="A32" s="53" t="str">
        <f>Source!E25</f>
        <v>1</v>
      </c>
      <c r="B32" s="54" t="str">
        <f>Source!F25</f>
        <v>46-04-012-02</v>
      </c>
      <c r="C32" s="54" t="str">
        <f>Source!G25</f>
        <v>Разборка деревянных заполнений проемов оконных без подоконных досок</v>
      </c>
      <c r="D32" s="35" t="str">
        <f>Source!H25</f>
        <v>100 м2</v>
      </c>
      <c r="E32" s="13">
        <f>Source!I25</f>
        <v>0.86399999999999999</v>
      </c>
      <c r="F32" s="36">
        <f>Source!AL25+Source!AM25+Source!AO25</f>
        <v>1639.5800000000002</v>
      </c>
      <c r="G32" s="37"/>
      <c r="H32" s="38"/>
      <c r="I32" s="37" t="str">
        <f>Source!BO25</f>
        <v/>
      </c>
      <c r="J32" s="37"/>
      <c r="K32" s="38"/>
      <c r="L32" s="39"/>
      <c r="S32">
        <f>ROUND((Source!FX25/100)*((ROUND(Source!AF25*Source!I25, 2)+ROUND(Source!AE25*Source!I25, 2))), 2)</f>
        <v>1284.8499999999999</v>
      </c>
      <c r="T32">
        <f>Source!X25</f>
        <v>8698.4599999999991</v>
      </c>
      <c r="U32">
        <f>ROUND((Source!FY25/100)*((ROUND(Source!AF25*Source!I25, 2)+ROUND(Source!AE25*Source!I25, 2))), 2)</f>
        <v>772.21</v>
      </c>
      <c r="V32">
        <f>Source!Y25</f>
        <v>5271.79</v>
      </c>
    </row>
    <row r="33" spans="1:26" x14ac:dyDescent="0.2">
      <c r="C33" s="29" t="str">
        <f>"Объем: "&amp;Source!I25&amp;"=86,4/"&amp;"100"</f>
        <v>Объем: 0,864=86,4/100</v>
      </c>
    </row>
    <row r="34" spans="1:26" ht="14.25" x14ac:dyDescent="0.2">
      <c r="A34" s="53"/>
      <c r="B34" s="54"/>
      <c r="C34" s="54" t="s">
        <v>350</v>
      </c>
      <c r="D34" s="35"/>
      <c r="E34" s="13"/>
      <c r="F34" s="36">
        <f>Source!AO25</f>
        <v>1397.63</v>
      </c>
      <c r="G34" s="37" t="str">
        <f>Source!DG25</f>
        <v/>
      </c>
      <c r="H34" s="38">
        <f>ROUND(Source!AF25*Source!I25, 2)</f>
        <v>1207.55</v>
      </c>
      <c r="I34" s="37"/>
      <c r="J34" s="37">
        <f>IF(Source!BA25&lt;&gt; 0, Source!BA25, 1)</f>
        <v>6.77</v>
      </c>
      <c r="K34" s="38">
        <f>Source!S25</f>
        <v>8175.13</v>
      </c>
      <c r="L34" s="39"/>
      <c r="R34">
        <f>H34</f>
        <v>1207.55</v>
      </c>
    </row>
    <row r="35" spans="1:26" ht="14.25" x14ac:dyDescent="0.2">
      <c r="A35" s="53"/>
      <c r="B35" s="54"/>
      <c r="C35" s="54" t="s">
        <v>148</v>
      </c>
      <c r="D35" s="35"/>
      <c r="E35" s="13"/>
      <c r="F35" s="36">
        <f>Source!AM25</f>
        <v>241.95</v>
      </c>
      <c r="G35" s="37" t="str">
        <f>Source!DE25</f>
        <v/>
      </c>
      <c r="H35" s="38">
        <f>ROUND(Source!AD25*Source!I25, 2)</f>
        <v>209.04</v>
      </c>
      <c r="I35" s="37"/>
      <c r="J35" s="37">
        <f>IF(Source!BB25&lt;&gt; 0, Source!BB25, 1)</f>
        <v>6.77</v>
      </c>
      <c r="K35" s="38">
        <f>Source!Q25</f>
        <v>1415.23</v>
      </c>
      <c r="L35" s="39"/>
    </row>
    <row r="36" spans="1:26" ht="14.25" x14ac:dyDescent="0.2">
      <c r="A36" s="53"/>
      <c r="B36" s="54"/>
      <c r="C36" s="54" t="s">
        <v>351</v>
      </c>
      <c r="D36" s="35"/>
      <c r="E36" s="13"/>
      <c r="F36" s="36">
        <f>Source!AN25</f>
        <v>104.49</v>
      </c>
      <c r="G36" s="37" t="str">
        <f>Source!DF25</f>
        <v/>
      </c>
      <c r="H36" s="40">
        <f>ROUND(Source!AE25*Source!I25, 2)</f>
        <v>90.28</v>
      </c>
      <c r="I36" s="37"/>
      <c r="J36" s="37">
        <f>IF(Source!BS25&lt;&gt; 0, Source!BS25, 1)</f>
        <v>6.77</v>
      </c>
      <c r="K36" s="40">
        <f>Source!R25</f>
        <v>611.19000000000005</v>
      </c>
      <c r="L36" s="39"/>
      <c r="R36">
        <f>H36</f>
        <v>90.28</v>
      </c>
    </row>
    <row r="37" spans="1:26" ht="14.25" x14ac:dyDescent="0.2">
      <c r="A37" s="53"/>
      <c r="B37" s="54"/>
      <c r="C37" s="54" t="s">
        <v>352</v>
      </c>
      <c r="D37" s="35" t="s">
        <v>353</v>
      </c>
      <c r="E37" s="13">
        <f>Source!BZ25</f>
        <v>110</v>
      </c>
      <c r="F37" s="75" t="str">
        <f>CONCATENATE(" )", Source!DL25, Source!FT25, "=", Source!FX25)</f>
        <v xml:space="preserve"> )*0,9=99</v>
      </c>
      <c r="G37" s="87"/>
      <c r="H37" s="38">
        <f>SUM(S32:S39)</f>
        <v>1284.8499999999999</v>
      </c>
      <c r="I37" s="41"/>
      <c r="J37" s="33">
        <f>Source!AT25</f>
        <v>99</v>
      </c>
      <c r="K37" s="38">
        <f>SUM(T32:T39)</f>
        <v>8698.4599999999991</v>
      </c>
      <c r="L37" s="39"/>
    </row>
    <row r="38" spans="1:26" ht="14.25" x14ac:dyDescent="0.2">
      <c r="A38" s="53"/>
      <c r="B38" s="54"/>
      <c r="C38" s="54" t="s">
        <v>354</v>
      </c>
      <c r="D38" s="35" t="s">
        <v>353</v>
      </c>
      <c r="E38" s="13">
        <f>Source!CA25</f>
        <v>70</v>
      </c>
      <c r="F38" s="75" t="str">
        <f>CONCATENATE(" )", Source!DM25, Source!FU25, "=", Source!FY25)</f>
        <v xml:space="preserve"> )*0,85=59,5</v>
      </c>
      <c r="G38" s="87"/>
      <c r="H38" s="38">
        <f>SUM(U32:U39)</f>
        <v>772.21</v>
      </c>
      <c r="I38" s="41"/>
      <c r="J38" s="33">
        <f>Source!AU25</f>
        <v>60</v>
      </c>
      <c r="K38" s="38">
        <f>SUM(V32:V39)</f>
        <v>5271.79</v>
      </c>
      <c r="L38" s="39"/>
    </row>
    <row r="39" spans="1:26" ht="14.25" x14ac:dyDescent="0.2">
      <c r="A39" s="55"/>
      <c r="B39" s="56"/>
      <c r="C39" s="56" t="s">
        <v>355</v>
      </c>
      <c r="D39" s="42" t="s">
        <v>356</v>
      </c>
      <c r="E39" s="43">
        <f>Source!AQ25</f>
        <v>172.76</v>
      </c>
      <c r="F39" s="44"/>
      <c r="G39" s="45" t="str">
        <f>Source!DI25</f>
        <v/>
      </c>
      <c r="H39" s="46"/>
      <c r="I39" s="45"/>
      <c r="J39" s="45"/>
      <c r="K39" s="46"/>
      <c r="L39" s="47">
        <f>Source!U25</f>
        <v>149.26463999999999</v>
      </c>
    </row>
    <row r="40" spans="1:26" ht="15" x14ac:dyDescent="0.25">
      <c r="G40" s="88">
        <f>H34+H35+H37+H38</f>
        <v>3473.6499999999996</v>
      </c>
      <c r="H40" s="88"/>
      <c r="J40" s="88">
        <f>K34+K35+K37+K38</f>
        <v>23560.61</v>
      </c>
      <c r="K40" s="88"/>
      <c r="L40" s="48">
        <f>Source!U25</f>
        <v>149.26463999999999</v>
      </c>
      <c r="O40" s="30">
        <f>G40</f>
        <v>3473.6499999999996</v>
      </c>
      <c r="P40" s="30">
        <f>J40</f>
        <v>23560.61</v>
      </c>
      <c r="Q40" s="30">
        <f>L40</f>
        <v>149.26463999999999</v>
      </c>
      <c r="W40">
        <f>IF(Source!BI25&lt;=1,H34+H35+H37+H38, 0)</f>
        <v>3473.6499999999996</v>
      </c>
      <c r="X40">
        <f>IF(Source!BI25=2,H34+H35+H37+H38, 0)</f>
        <v>0</v>
      </c>
      <c r="Y40">
        <f>IF(Source!BI25=3,H34+H35+H37+H38, 0)</f>
        <v>0</v>
      </c>
      <c r="Z40">
        <f>IF(Source!BI25=4,H34+H35+H37+H38, 0)</f>
        <v>0</v>
      </c>
    </row>
    <row r="41" spans="1:26" ht="42.75" x14ac:dyDescent="0.2">
      <c r="A41" s="53" t="str">
        <f>Source!E27</f>
        <v>2</v>
      </c>
      <c r="B41" s="54" t="str">
        <f>Source!F27</f>
        <v>58-3-1</v>
      </c>
      <c r="C41" s="54" t="str">
        <f>Source!G27</f>
        <v>Разборка мелких покрытий и обделок из листовой стали поясков, сандриков, желобов, отливов, свесов и т.п.</v>
      </c>
      <c r="D41" s="35" t="str">
        <f>Source!H27</f>
        <v>100 м</v>
      </c>
      <c r="E41" s="13">
        <f>Source!I27</f>
        <v>0.36</v>
      </c>
      <c r="F41" s="36">
        <f>Source!AL27+Source!AM27+Source!AO27</f>
        <v>71.180000000000007</v>
      </c>
      <c r="G41" s="37"/>
      <c r="H41" s="38"/>
      <c r="I41" s="37" t="str">
        <f>Source!BO27</f>
        <v/>
      </c>
      <c r="J41" s="37"/>
      <c r="K41" s="38"/>
      <c r="L41" s="39"/>
      <c r="S41">
        <f>ROUND((Source!FX27/100)*((ROUND(Source!AF27*Source!I27, 2)+ROUND(Source!AE27*Source!I27, 2))), 2)</f>
        <v>21.21</v>
      </c>
      <c r="T41">
        <f>Source!X27</f>
        <v>143.58000000000001</v>
      </c>
      <c r="U41">
        <f>ROUND((Source!FY27/100)*((ROUND(Source!AF27*Source!I27, 2)+ROUND(Source!AE27*Source!I27, 2))), 2)</f>
        <v>16.61</v>
      </c>
      <c r="V41">
        <f>Source!Y27</f>
        <v>112.44</v>
      </c>
    </row>
    <row r="42" spans="1:26" x14ac:dyDescent="0.2">
      <c r="C42" s="29" t="str">
        <f>"Объем: "&amp;Source!I27&amp;"=36/"&amp;"100"</f>
        <v>Объем: 0,36=36/100</v>
      </c>
    </row>
    <row r="43" spans="1:26" ht="14.25" x14ac:dyDescent="0.2">
      <c r="A43" s="53"/>
      <c r="B43" s="54"/>
      <c r="C43" s="54" t="s">
        <v>350</v>
      </c>
      <c r="D43" s="35"/>
      <c r="E43" s="13"/>
      <c r="F43" s="36">
        <f>Source!AO27</f>
        <v>70.98</v>
      </c>
      <c r="G43" s="37" t="str">
        <f>Source!DG27</f>
        <v/>
      </c>
      <c r="H43" s="38">
        <f>ROUND(Source!AF27*Source!I27, 2)</f>
        <v>25.55</v>
      </c>
      <c r="I43" s="37"/>
      <c r="J43" s="37">
        <f>IF(Source!BA27&lt;&gt; 0, Source!BA27, 1)</f>
        <v>6.77</v>
      </c>
      <c r="K43" s="38">
        <f>Source!S27</f>
        <v>172.99</v>
      </c>
      <c r="L43" s="39"/>
      <c r="R43">
        <f>H43</f>
        <v>25.55</v>
      </c>
    </row>
    <row r="44" spans="1:26" ht="14.25" x14ac:dyDescent="0.2">
      <c r="A44" s="53"/>
      <c r="B44" s="54"/>
      <c r="C44" s="54" t="s">
        <v>148</v>
      </c>
      <c r="D44" s="35"/>
      <c r="E44" s="13"/>
      <c r="F44" s="36">
        <f>Source!AM27</f>
        <v>0.2</v>
      </c>
      <c r="G44" s="37" t="str">
        <f>Source!DE27</f>
        <v/>
      </c>
      <c r="H44" s="38">
        <f>ROUND(Source!AD27*Source!I27, 2)</f>
        <v>7.0000000000000007E-2</v>
      </c>
      <c r="I44" s="37"/>
      <c r="J44" s="37">
        <f>IF(Source!BB27&lt;&gt; 0, Source!BB27, 1)</f>
        <v>6.77</v>
      </c>
      <c r="K44" s="38">
        <f>Source!Q27</f>
        <v>0.49</v>
      </c>
      <c r="L44" s="39"/>
    </row>
    <row r="45" spans="1:26" ht="14.25" x14ac:dyDescent="0.2">
      <c r="A45" s="53"/>
      <c r="B45" s="54"/>
      <c r="C45" s="54" t="s">
        <v>352</v>
      </c>
      <c r="D45" s="35" t="s">
        <v>353</v>
      </c>
      <c r="E45" s="13">
        <f>Source!BZ27</f>
        <v>83</v>
      </c>
      <c r="F45" s="57"/>
      <c r="G45" s="37"/>
      <c r="H45" s="38">
        <f>SUM(S41:S47)</f>
        <v>21.21</v>
      </c>
      <c r="I45" s="41"/>
      <c r="J45" s="33">
        <f>Source!AT27</f>
        <v>83</v>
      </c>
      <c r="K45" s="38">
        <f>SUM(T41:T47)</f>
        <v>143.58000000000001</v>
      </c>
      <c r="L45" s="39"/>
    </row>
    <row r="46" spans="1:26" ht="14.25" x14ac:dyDescent="0.2">
      <c r="A46" s="53"/>
      <c r="B46" s="54"/>
      <c r="C46" s="54" t="s">
        <v>354</v>
      </c>
      <c r="D46" s="35" t="s">
        <v>353</v>
      </c>
      <c r="E46" s="13">
        <f>Source!CA27</f>
        <v>65</v>
      </c>
      <c r="F46" s="57"/>
      <c r="G46" s="37"/>
      <c r="H46" s="38">
        <f>SUM(U41:U47)</f>
        <v>16.61</v>
      </c>
      <c r="I46" s="41"/>
      <c r="J46" s="33">
        <f>Source!AU27</f>
        <v>65</v>
      </c>
      <c r="K46" s="38">
        <f>SUM(V41:V47)</f>
        <v>112.44</v>
      </c>
      <c r="L46" s="39"/>
    </row>
    <row r="47" spans="1:26" ht="14.25" x14ac:dyDescent="0.2">
      <c r="A47" s="55"/>
      <c r="B47" s="56"/>
      <c r="C47" s="56" t="s">
        <v>355</v>
      </c>
      <c r="D47" s="42" t="s">
        <v>356</v>
      </c>
      <c r="E47" s="43">
        <f>Source!AQ27</f>
        <v>9.1</v>
      </c>
      <c r="F47" s="44"/>
      <c r="G47" s="45" t="str">
        <f>Source!DI27</f>
        <v/>
      </c>
      <c r="H47" s="46"/>
      <c r="I47" s="45"/>
      <c r="J47" s="45"/>
      <c r="K47" s="46"/>
      <c r="L47" s="47">
        <f>Source!U27</f>
        <v>3.2759999999999998</v>
      </c>
    </row>
    <row r="48" spans="1:26" ht="15" x14ac:dyDescent="0.25">
      <c r="G48" s="88">
        <f>H43+H44+H45+H46</f>
        <v>63.44</v>
      </c>
      <c r="H48" s="88"/>
      <c r="J48" s="88">
        <f>K43+K44+K45+K46</f>
        <v>429.50000000000006</v>
      </c>
      <c r="K48" s="88"/>
      <c r="L48" s="48">
        <f>Source!U27</f>
        <v>3.2759999999999998</v>
      </c>
      <c r="O48" s="30">
        <f>G48</f>
        <v>63.44</v>
      </c>
      <c r="P48" s="30">
        <f>J48</f>
        <v>429.50000000000006</v>
      </c>
      <c r="Q48" s="30">
        <f>L48</f>
        <v>3.2759999999999998</v>
      </c>
      <c r="W48">
        <f>IF(Source!BI27&lt;=1,H43+H44+H45+H46, 0)</f>
        <v>63.44</v>
      </c>
      <c r="X48">
        <f>IF(Source!BI27=2,H43+H44+H45+H46, 0)</f>
        <v>0</v>
      </c>
      <c r="Y48">
        <f>IF(Source!BI27=3,H43+H44+H45+H46, 0)</f>
        <v>0</v>
      </c>
      <c r="Z48">
        <f>IF(Source!BI27=4,H43+H44+H45+H46, 0)</f>
        <v>0</v>
      </c>
    </row>
    <row r="49" spans="1:26" ht="28.5" x14ac:dyDescent="0.2">
      <c r="A49" s="53" t="str">
        <f>Source!E29</f>
        <v>3</v>
      </c>
      <c r="B49" s="54" t="str">
        <f>Source!F29</f>
        <v>56-3-1</v>
      </c>
      <c r="C49" s="54" t="str">
        <f>Source!G29</f>
        <v>Снятие подоконных досок бетонных и мозаичных</v>
      </c>
      <c r="D49" s="35" t="str">
        <f>Source!H29</f>
        <v>100 м2</v>
      </c>
      <c r="E49" s="13">
        <f>Source!I29</f>
        <v>7.1999999999999995E-2</v>
      </c>
      <c r="F49" s="36">
        <f>Source!AL29+Source!AM29+Source!AO29</f>
        <v>2172.79</v>
      </c>
      <c r="G49" s="37"/>
      <c r="H49" s="38"/>
      <c r="I49" s="37" t="str">
        <f>Source!BO29</f>
        <v/>
      </c>
      <c r="J49" s="37"/>
      <c r="K49" s="38"/>
      <c r="L49" s="39"/>
      <c r="S49">
        <f>ROUND((Source!FX29/100)*((ROUND(Source!AF29*Source!I29, 2)+ROUND(Source!AE29*Source!I29, 2))), 2)</f>
        <v>124.97</v>
      </c>
      <c r="T49">
        <f>Source!X29</f>
        <v>846.01</v>
      </c>
      <c r="U49">
        <f>ROUND((Source!FY29/100)*((ROUND(Source!AF29*Source!I29, 2)+ROUND(Source!AE29*Source!I29, 2))), 2)</f>
        <v>94.49</v>
      </c>
      <c r="V49">
        <f>Source!Y29</f>
        <v>639.66999999999996</v>
      </c>
    </row>
    <row r="50" spans="1:26" x14ac:dyDescent="0.2">
      <c r="C50" s="29" t="str">
        <f>"Объем: "&amp;Source!I29&amp;"=7,2/"&amp;"100"</f>
        <v>Объем: 0,072=7,2/100</v>
      </c>
    </row>
    <row r="51" spans="1:26" ht="14.25" x14ac:dyDescent="0.2">
      <c r="A51" s="53"/>
      <c r="B51" s="54"/>
      <c r="C51" s="54" t="s">
        <v>350</v>
      </c>
      <c r="D51" s="35"/>
      <c r="E51" s="13"/>
      <c r="F51" s="36">
        <f>Source!AO29</f>
        <v>2116.61</v>
      </c>
      <c r="G51" s="37" t="str">
        <f>Source!DG29</f>
        <v/>
      </c>
      <c r="H51" s="38">
        <f>ROUND(Source!AF29*Source!I29, 2)</f>
        <v>152.4</v>
      </c>
      <c r="I51" s="37"/>
      <c r="J51" s="37">
        <f>IF(Source!BA29&lt;&gt; 0, Source!BA29, 1)</f>
        <v>6.77</v>
      </c>
      <c r="K51" s="38">
        <f>Source!S29</f>
        <v>1031.72</v>
      </c>
      <c r="L51" s="39"/>
      <c r="R51">
        <f>H51</f>
        <v>152.4</v>
      </c>
    </row>
    <row r="52" spans="1:26" ht="14.25" x14ac:dyDescent="0.2">
      <c r="A52" s="53"/>
      <c r="B52" s="54"/>
      <c r="C52" s="54" t="s">
        <v>148</v>
      </c>
      <c r="D52" s="35"/>
      <c r="E52" s="13"/>
      <c r="F52" s="36">
        <f>Source!AM29</f>
        <v>56.18</v>
      </c>
      <c r="G52" s="37" t="str">
        <f>Source!DE29</f>
        <v/>
      </c>
      <c r="H52" s="38">
        <f>ROUND(Source!AD29*Source!I29, 2)</f>
        <v>4.04</v>
      </c>
      <c r="I52" s="37"/>
      <c r="J52" s="37">
        <f>IF(Source!BB29&lt;&gt; 0, Source!BB29, 1)</f>
        <v>6.77</v>
      </c>
      <c r="K52" s="38">
        <f>Source!Q29</f>
        <v>27.38</v>
      </c>
      <c r="L52" s="39"/>
    </row>
    <row r="53" spans="1:26" ht="14.25" x14ac:dyDescent="0.2">
      <c r="A53" s="53"/>
      <c r="B53" s="54"/>
      <c r="C53" s="54" t="s">
        <v>352</v>
      </c>
      <c r="D53" s="35" t="s">
        <v>353</v>
      </c>
      <c r="E53" s="13">
        <f>Source!BZ29</f>
        <v>82</v>
      </c>
      <c r="F53" s="57"/>
      <c r="G53" s="37"/>
      <c r="H53" s="38">
        <f>SUM(S49:S55)</f>
        <v>124.97</v>
      </c>
      <c r="I53" s="41"/>
      <c r="J53" s="33">
        <f>Source!AT29</f>
        <v>82</v>
      </c>
      <c r="K53" s="38">
        <f>SUM(T49:T55)</f>
        <v>846.01</v>
      </c>
      <c r="L53" s="39"/>
    </row>
    <row r="54" spans="1:26" ht="14.25" x14ac:dyDescent="0.2">
      <c r="A54" s="53"/>
      <c r="B54" s="54"/>
      <c r="C54" s="54" t="s">
        <v>354</v>
      </c>
      <c r="D54" s="35" t="s">
        <v>353</v>
      </c>
      <c r="E54" s="13">
        <f>Source!CA29</f>
        <v>62</v>
      </c>
      <c r="F54" s="57"/>
      <c r="G54" s="37"/>
      <c r="H54" s="38">
        <f>SUM(U49:U55)</f>
        <v>94.49</v>
      </c>
      <c r="I54" s="41"/>
      <c r="J54" s="33">
        <f>Source!AU29</f>
        <v>62</v>
      </c>
      <c r="K54" s="38">
        <f>SUM(V49:V55)</f>
        <v>639.66999999999996</v>
      </c>
      <c r="L54" s="39"/>
    </row>
    <row r="55" spans="1:26" ht="14.25" x14ac:dyDescent="0.2">
      <c r="A55" s="55"/>
      <c r="B55" s="56"/>
      <c r="C55" s="56" t="s">
        <v>355</v>
      </c>
      <c r="D55" s="42" t="s">
        <v>356</v>
      </c>
      <c r="E55" s="43">
        <f>Source!AQ29</f>
        <v>275.60000000000002</v>
      </c>
      <c r="F55" s="44"/>
      <c r="G55" s="45" t="str">
        <f>Source!DI29</f>
        <v/>
      </c>
      <c r="H55" s="46"/>
      <c r="I55" s="45"/>
      <c r="J55" s="45"/>
      <c r="K55" s="46"/>
      <c r="L55" s="47">
        <f>Source!U29</f>
        <v>19.8432</v>
      </c>
    </row>
    <row r="56" spans="1:26" ht="15" x14ac:dyDescent="0.25">
      <c r="G56" s="88">
        <f>H51+H52+H53+H54</f>
        <v>375.9</v>
      </c>
      <c r="H56" s="88"/>
      <c r="J56" s="88">
        <f>K51+K52+K53+K54</f>
        <v>2544.7800000000002</v>
      </c>
      <c r="K56" s="88"/>
      <c r="L56" s="48">
        <f>Source!U29</f>
        <v>19.8432</v>
      </c>
      <c r="O56" s="30">
        <f>G56</f>
        <v>375.9</v>
      </c>
      <c r="P56" s="30">
        <f>J56</f>
        <v>2544.7800000000002</v>
      </c>
      <c r="Q56" s="30">
        <f>L56</f>
        <v>19.8432</v>
      </c>
      <c r="W56">
        <f>IF(Source!BI29&lt;=1,H51+H52+H53+H54, 0)</f>
        <v>375.9</v>
      </c>
      <c r="X56">
        <f>IF(Source!BI29=2,H51+H52+H53+H54, 0)</f>
        <v>0</v>
      </c>
      <c r="Y56">
        <f>IF(Source!BI29=3,H51+H52+H53+H54, 0)</f>
        <v>0</v>
      </c>
      <c r="Z56">
        <f>IF(Source!BI29=4,H51+H52+H53+H54, 0)</f>
        <v>0</v>
      </c>
    </row>
    <row r="57" spans="1:26" ht="71.25" x14ac:dyDescent="0.2">
      <c r="A57" s="53" t="str">
        <f>Source!E31</f>
        <v>4</v>
      </c>
      <c r="B57" s="54" t="str">
        <f>Source!F31</f>
        <v>10-01-034-06</v>
      </c>
      <c r="C57" s="54" t="str">
        <f>Source!G31</f>
        <v>Установка в жилых и общественных зданиях оконных блоков из ПВХ профилей поворотных (откидных, поворотно-откидных) с площадью проема более 2 м2 двухстворчатых</v>
      </c>
      <c r="D57" s="35" t="str">
        <f>Source!H31</f>
        <v>100 м2</v>
      </c>
      <c r="E57" s="13">
        <f>Source!I31</f>
        <v>0.86399999999999999</v>
      </c>
      <c r="F57" s="36">
        <f>Source!AL31+Source!AM31+Source!AO31</f>
        <v>9827.15</v>
      </c>
      <c r="G57" s="37"/>
      <c r="H57" s="38"/>
      <c r="I57" s="37" t="str">
        <f>Source!BO31</f>
        <v/>
      </c>
      <c r="J57" s="37"/>
      <c r="K57" s="38"/>
      <c r="L57" s="39"/>
      <c r="S57">
        <f>ROUND((Source!FX31/100)*((ROUND(Source!AF31*Source!I31, 2)+ROUND(Source!AE31*Source!I31, 2))), 2)</f>
        <v>1401.62</v>
      </c>
      <c r="T57">
        <f>Source!X31</f>
        <v>9471.0400000000009</v>
      </c>
      <c r="U57">
        <f>ROUND((Source!FY31/100)*((ROUND(Source!AF31*Source!I31, 2)+ROUND(Source!AE31*Source!I31, 2))), 2)</f>
        <v>706.75</v>
      </c>
      <c r="V57">
        <f>Source!Y31</f>
        <v>4824.87</v>
      </c>
    </row>
    <row r="58" spans="1:26" x14ac:dyDescent="0.2">
      <c r="C58" s="29" t="str">
        <f>"Объем: "&amp;Source!I31&amp;"=86,4/"&amp;"100"</f>
        <v>Объем: 0,864=86,4/100</v>
      </c>
    </row>
    <row r="59" spans="1:26" ht="14.25" x14ac:dyDescent="0.2">
      <c r="A59" s="53"/>
      <c r="B59" s="54"/>
      <c r="C59" s="54" t="s">
        <v>350</v>
      </c>
      <c r="D59" s="35"/>
      <c r="E59" s="13"/>
      <c r="F59" s="36">
        <f>Source!AO31</f>
        <v>1273.5899999999999</v>
      </c>
      <c r="G59" s="37" t="str">
        <f>Source!DG31</f>
        <v>)*1,15</v>
      </c>
      <c r="H59" s="38">
        <f>ROUND(Source!AF31*Source!I31, 2)</f>
        <v>1265.44</v>
      </c>
      <c r="I59" s="37"/>
      <c r="J59" s="37">
        <f>IF(Source!BA31&lt;&gt; 0, Source!BA31, 1)</f>
        <v>6.77</v>
      </c>
      <c r="K59" s="38">
        <f>Source!S31</f>
        <v>8567.02</v>
      </c>
      <c r="L59" s="39"/>
      <c r="R59">
        <f>H59</f>
        <v>1265.44</v>
      </c>
    </row>
    <row r="60" spans="1:26" ht="14.25" x14ac:dyDescent="0.2">
      <c r="A60" s="53"/>
      <c r="B60" s="54"/>
      <c r="C60" s="54" t="s">
        <v>148</v>
      </c>
      <c r="D60" s="35"/>
      <c r="E60" s="13"/>
      <c r="F60" s="36">
        <f>Source!AM31</f>
        <v>255.21</v>
      </c>
      <c r="G60" s="37" t="str">
        <f>Source!DE31</f>
        <v>)*1,25</v>
      </c>
      <c r="H60" s="38">
        <f>ROUND(Source!AD31*Source!I31, 2)</f>
        <v>275.63</v>
      </c>
      <c r="I60" s="37"/>
      <c r="J60" s="37">
        <f>IF(Source!BB31&lt;&gt; 0, Source!BB31, 1)</f>
        <v>6.77</v>
      </c>
      <c r="K60" s="38">
        <f>Source!Q31</f>
        <v>1865.99</v>
      </c>
      <c r="L60" s="39"/>
    </row>
    <row r="61" spans="1:26" ht="14.25" x14ac:dyDescent="0.2">
      <c r="A61" s="53"/>
      <c r="B61" s="54"/>
      <c r="C61" s="54" t="s">
        <v>351</v>
      </c>
      <c r="D61" s="35"/>
      <c r="E61" s="13"/>
      <c r="F61" s="36">
        <f>Source!AN31</f>
        <v>50.32</v>
      </c>
      <c r="G61" s="37" t="str">
        <f>Source!DF31</f>
        <v>)*1,25</v>
      </c>
      <c r="H61" s="40">
        <f>ROUND(Source!AE31*Source!I31, 2)</f>
        <v>54.35</v>
      </c>
      <c r="I61" s="37"/>
      <c r="J61" s="37">
        <f>IF(Source!BS31&lt;&gt; 0, Source!BS31, 1)</f>
        <v>6.77</v>
      </c>
      <c r="K61" s="40">
        <f>Source!R31</f>
        <v>367.92</v>
      </c>
      <c r="L61" s="39"/>
      <c r="R61">
        <f>H61</f>
        <v>54.35</v>
      </c>
    </row>
    <row r="62" spans="1:26" ht="14.25" x14ac:dyDescent="0.2">
      <c r="A62" s="53"/>
      <c r="B62" s="54"/>
      <c r="C62" s="54" t="s">
        <v>357</v>
      </c>
      <c r="D62" s="35"/>
      <c r="E62" s="13"/>
      <c r="F62" s="36">
        <f>Source!AL31</f>
        <v>8298.35</v>
      </c>
      <c r="G62" s="37" t="str">
        <f>Source!DD31</f>
        <v/>
      </c>
      <c r="H62" s="38">
        <f>ROUND(Source!AC31*Source!I31, 2)</f>
        <v>7169.77</v>
      </c>
      <c r="I62" s="37"/>
      <c r="J62" s="37">
        <f>IF(Source!BC31&lt;&gt; 0, Source!BC31, 1)</f>
        <v>6.77</v>
      </c>
      <c r="K62" s="38">
        <f>Source!P31</f>
        <v>48539.37</v>
      </c>
      <c r="L62" s="39"/>
    </row>
    <row r="63" spans="1:26" ht="14.25" x14ac:dyDescent="0.2">
      <c r="A63" s="53"/>
      <c r="B63" s="54"/>
      <c r="C63" s="54" t="s">
        <v>352</v>
      </c>
      <c r="D63" s="35" t="s">
        <v>353</v>
      </c>
      <c r="E63" s="13">
        <f>Source!BZ31</f>
        <v>118</v>
      </c>
      <c r="F63" s="75" t="str">
        <f>CONCATENATE(" )", Source!DL31, Source!FT31, "=", Source!FX31)</f>
        <v xml:space="preserve"> )*0,9=106,2</v>
      </c>
      <c r="G63" s="87"/>
      <c r="H63" s="38">
        <f>SUM(S57:S66)</f>
        <v>1401.62</v>
      </c>
      <c r="I63" s="41"/>
      <c r="J63" s="33">
        <f>Source!AT31</f>
        <v>106</v>
      </c>
      <c r="K63" s="38">
        <f>SUM(T57:T66)</f>
        <v>9471.0400000000009</v>
      </c>
      <c r="L63" s="39"/>
    </row>
    <row r="64" spans="1:26" ht="14.25" x14ac:dyDescent="0.2">
      <c r="A64" s="53"/>
      <c r="B64" s="54"/>
      <c r="C64" s="54" t="s">
        <v>354</v>
      </c>
      <c r="D64" s="35" t="s">
        <v>353</v>
      </c>
      <c r="E64" s="13">
        <f>Source!CA31</f>
        <v>63</v>
      </c>
      <c r="F64" s="75" t="str">
        <f>CONCATENATE(" )", Source!DM31, Source!FU31, "=", Source!FY31)</f>
        <v xml:space="preserve"> )*0,85=53,55</v>
      </c>
      <c r="G64" s="87"/>
      <c r="H64" s="38">
        <f>SUM(U57:U66)</f>
        <v>706.75</v>
      </c>
      <c r="I64" s="41"/>
      <c r="J64" s="33">
        <f>Source!AU31</f>
        <v>54</v>
      </c>
      <c r="K64" s="38">
        <f>SUM(V57:V66)</f>
        <v>4824.87</v>
      </c>
      <c r="L64" s="39"/>
    </row>
    <row r="65" spans="1:26" ht="14.25" x14ac:dyDescent="0.2">
      <c r="A65" s="53"/>
      <c r="B65" s="54"/>
      <c r="C65" s="54" t="s">
        <v>355</v>
      </c>
      <c r="D65" s="35" t="s">
        <v>356</v>
      </c>
      <c r="E65" s="13">
        <f>Source!AQ31</f>
        <v>145.72</v>
      </c>
      <c r="F65" s="36"/>
      <c r="G65" s="37" t="str">
        <f>Source!DI31</f>
        <v>)*1,15</v>
      </c>
      <c r="H65" s="38"/>
      <c r="I65" s="37"/>
      <c r="J65" s="37"/>
      <c r="K65" s="38"/>
      <c r="L65" s="49">
        <f>Source!U31</f>
        <v>144.78739199999998</v>
      </c>
    </row>
    <row r="66" spans="1:26" ht="42.75" x14ac:dyDescent="0.2">
      <c r="A66" s="55" t="str">
        <f>Source!E35</f>
        <v>4,2</v>
      </c>
      <c r="B66" s="56" t="str">
        <f>Source!F35</f>
        <v>Цена поставщика</v>
      </c>
      <c r="C66" s="56" t="s">
        <v>358</v>
      </c>
      <c r="D66" s="42" t="str">
        <f>Source!H35</f>
        <v>м2</v>
      </c>
      <c r="E66" s="43">
        <f>Source!I35</f>
        <v>86.4</v>
      </c>
      <c r="F66" s="44">
        <f>Source!AL35+Source!AM35+Source!AO35</f>
        <v>717.27</v>
      </c>
      <c r="G66" s="50" t="s">
        <v>6</v>
      </c>
      <c r="H66" s="46">
        <f>ROUND(Source!AC35*Source!I35, 2)+ROUND(Source!AD35*Source!I35, 2)+ROUND(Source!AF35*Source!I35, 2)</f>
        <v>61972.13</v>
      </c>
      <c r="I66" s="45"/>
      <c r="J66" s="45">
        <f>IF(Source!BC35&lt;&gt; 0, Source!BC35, 1)</f>
        <v>6.77</v>
      </c>
      <c r="K66" s="46">
        <f>Source!O35</f>
        <v>419551.31</v>
      </c>
      <c r="L66" s="51"/>
      <c r="S66">
        <f>ROUND((Source!FX35/100)*((ROUND(Source!AF35*Source!I35, 2)+ROUND(Source!AE35*Source!I35, 2))), 2)</f>
        <v>0</v>
      </c>
      <c r="T66">
        <f>Source!X35</f>
        <v>0</v>
      </c>
      <c r="U66">
        <f>ROUND((Source!FY35/100)*((ROUND(Source!AF35*Source!I35, 2)+ROUND(Source!AE35*Source!I35, 2))), 2)</f>
        <v>0</v>
      </c>
      <c r="V66">
        <f>Source!Y35</f>
        <v>0</v>
      </c>
      <c r="W66">
        <f>IF(Source!BI35&lt;=1,H66, 0)</f>
        <v>61972.13</v>
      </c>
      <c r="X66">
        <f>IF(Source!BI35=2,H66, 0)</f>
        <v>0</v>
      </c>
      <c r="Y66">
        <f>IF(Source!BI35=3,H66, 0)</f>
        <v>0</v>
      </c>
      <c r="Z66">
        <f>IF(Source!BI35=4,H66, 0)</f>
        <v>0</v>
      </c>
    </row>
    <row r="67" spans="1:26" ht="15" x14ac:dyDescent="0.25">
      <c r="G67" s="88">
        <f>H59+H60+H62+H63+H64+SUM(H66:H66)</f>
        <v>72791.34</v>
      </c>
      <c r="H67" s="88"/>
      <c r="J67" s="88">
        <f>K59+K60+K62+K63+K64+SUM(K66:K66)</f>
        <v>492819.6</v>
      </c>
      <c r="K67" s="88"/>
      <c r="L67" s="48">
        <f>Source!U31</f>
        <v>144.78739199999998</v>
      </c>
      <c r="O67" s="30">
        <f>G67</f>
        <v>72791.34</v>
      </c>
      <c r="P67" s="30">
        <f>J67</f>
        <v>492819.6</v>
      </c>
      <c r="Q67" s="30">
        <f>L67</f>
        <v>144.78739199999998</v>
      </c>
      <c r="W67">
        <f>IF(Source!BI31&lt;=1,H59+H60+H62+H63+H64, 0)</f>
        <v>10819.21</v>
      </c>
      <c r="X67">
        <f>IF(Source!BI31=2,H59+H60+H62+H63+H64, 0)</f>
        <v>0</v>
      </c>
      <c r="Y67">
        <f>IF(Source!BI31=3,H59+H60+H62+H63+H64, 0)</f>
        <v>0</v>
      </c>
      <c r="Z67">
        <f>IF(Source!BI31=4,H59+H60+H62+H63+H64, 0)</f>
        <v>0</v>
      </c>
    </row>
    <row r="68" spans="1:26" ht="42.75" x14ac:dyDescent="0.2">
      <c r="A68" s="53" t="str">
        <f>Source!E37</f>
        <v>5</v>
      </c>
      <c r="B68" s="54" t="str">
        <f>Source!F37</f>
        <v>12-01-010-01</v>
      </c>
      <c r="C68" s="54" t="str">
        <f>Source!G37</f>
        <v>Устройство мелких покрытий (брандмауэры, парапеты, свесы и т.п.) из листовой оцинкованной стали</v>
      </c>
      <c r="D68" s="35" t="str">
        <f>Source!H37</f>
        <v>100 м2</v>
      </c>
      <c r="E68" s="13">
        <f>Source!I37</f>
        <v>0.09</v>
      </c>
      <c r="F68" s="36">
        <f>Source!AL37+Source!AM37+Source!AO37</f>
        <v>9874.2199999999993</v>
      </c>
      <c r="G68" s="37"/>
      <c r="H68" s="38"/>
      <c r="I68" s="37" t="str">
        <f>Source!BO37</f>
        <v/>
      </c>
      <c r="J68" s="37"/>
      <c r="K68" s="38"/>
      <c r="L68" s="39"/>
      <c r="S68">
        <f>ROUND((Source!FX37/100)*((ROUND(Source!AF37*Source!I37, 2)+ROUND(Source!AE37*Source!I37, 2))), 2)</f>
        <v>107.92</v>
      </c>
      <c r="T68">
        <f>Source!X37</f>
        <v>730.7</v>
      </c>
      <c r="U68">
        <f>ROUND((Source!FY37/100)*((ROUND(Source!AF37*Source!I37, 2)+ROUND(Source!AE37*Source!I37, 2))), 2)</f>
        <v>55.21</v>
      </c>
      <c r="V68">
        <f>Source!Y37</f>
        <v>372.11</v>
      </c>
    </row>
    <row r="69" spans="1:26" x14ac:dyDescent="0.2">
      <c r="C69" s="29" t="str">
        <f>"Объем: "&amp;Source!I37&amp;"=9/"&amp;"100"</f>
        <v>Объем: 0,09=9/100</v>
      </c>
    </row>
    <row r="70" spans="1:26" ht="14.25" x14ac:dyDescent="0.2">
      <c r="A70" s="53"/>
      <c r="B70" s="54"/>
      <c r="C70" s="54" t="s">
        <v>350</v>
      </c>
      <c r="D70" s="35"/>
      <c r="E70" s="13"/>
      <c r="F70" s="36">
        <f>Source!AO37</f>
        <v>961.76</v>
      </c>
      <c r="G70" s="37" t="str">
        <f>Source!DG37</f>
        <v>)*1,15</v>
      </c>
      <c r="H70" s="38">
        <f>ROUND(Source!AF37*Source!I37, 2)</f>
        <v>99.54</v>
      </c>
      <c r="I70" s="37"/>
      <c r="J70" s="37">
        <f>IF(Source!BA37&lt;&gt; 0, Source!BA37, 1)</f>
        <v>6.77</v>
      </c>
      <c r="K70" s="38">
        <f>Source!S37</f>
        <v>673.9</v>
      </c>
      <c r="L70" s="39"/>
      <c r="R70">
        <f>H70</f>
        <v>99.54</v>
      </c>
    </row>
    <row r="71" spans="1:26" ht="14.25" x14ac:dyDescent="0.2">
      <c r="A71" s="53"/>
      <c r="B71" s="54"/>
      <c r="C71" s="54" t="s">
        <v>148</v>
      </c>
      <c r="D71" s="35"/>
      <c r="E71" s="13"/>
      <c r="F71" s="36">
        <f>Source!AM37</f>
        <v>21.88</v>
      </c>
      <c r="G71" s="37" t="str">
        <f>Source!DE37</f>
        <v>)*1,25</v>
      </c>
      <c r="H71" s="38">
        <f>ROUND(Source!AD37*Source!I37, 2)</f>
        <v>2.46</v>
      </c>
      <c r="I71" s="37"/>
      <c r="J71" s="37">
        <f>IF(Source!BB37&lt;&gt; 0, Source!BB37, 1)</f>
        <v>6.77</v>
      </c>
      <c r="K71" s="38">
        <f>Source!Q37</f>
        <v>16.66</v>
      </c>
      <c r="L71" s="39"/>
    </row>
    <row r="72" spans="1:26" ht="14.25" x14ac:dyDescent="0.2">
      <c r="A72" s="53"/>
      <c r="B72" s="54"/>
      <c r="C72" s="54" t="s">
        <v>351</v>
      </c>
      <c r="D72" s="35"/>
      <c r="E72" s="13"/>
      <c r="F72" s="36">
        <f>Source!AN37</f>
        <v>3.51</v>
      </c>
      <c r="G72" s="37" t="str">
        <f>Source!DF37</f>
        <v>)*1,25</v>
      </c>
      <c r="H72" s="40">
        <f>ROUND(Source!AE37*Source!I37, 2)</f>
        <v>0.39</v>
      </c>
      <c r="I72" s="37"/>
      <c r="J72" s="37">
        <f>IF(Source!BS37&lt;&gt; 0, Source!BS37, 1)</f>
        <v>6.77</v>
      </c>
      <c r="K72" s="40">
        <f>Source!R37</f>
        <v>2.67</v>
      </c>
      <c r="L72" s="39"/>
      <c r="R72">
        <f>H72</f>
        <v>0.39</v>
      </c>
    </row>
    <row r="73" spans="1:26" ht="14.25" x14ac:dyDescent="0.2">
      <c r="A73" s="53"/>
      <c r="B73" s="54"/>
      <c r="C73" s="54" t="s">
        <v>357</v>
      </c>
      <c r="D73" s="35"/>
      <c r="E73" s="13"/>
      <c r="F73" s="36">
        <f>Source!AL37</f>
        <v>8890.58</v>
      </c>
      <c r="G73" s="37" t="str">
        <f>Source!DD37</f>
        <v/>
      </c>
      <c r="H73" s="38">
        <f>ROUND(Source!AC37*Source!I37, 2)</f>
        <v>800.15</v>
      </c>
      <c r="I73" s="37"/>
      <c r="J73" s="37">
        <f>IF(Source!BC37&lt;&gt; 0, Source!BC37, 1)</f>
        <v>6.77</v>
      </c>
      <c r="K73" s="38">
        <f>Source!P37</f>
        <v>5417.03</v>
      </c>
      <c r="L73" s="39"/>
    </row>
    <row r="74" spans="1:26" ht="14.25" x14ac:dyDescent="0.2">
      <c r="A74" s="53"/>
      <c r="B74" s="54"/>
      <c r="C74" s="54" t="s">
        <v>352</v>
      </c>
      <c r="D74" s="35" t="s">
        <v>353</v>
      </c>
      <c r="E74" s="13">
        <f>Source!BZ37</f>
        <v>120</v>
      </c>
      <c r="F74" s="75" t="str">
        <f>CONCATENATE(" )", Source!DL37, Source!FT37, "=", Source!FX37)</f>
        <v xml:space="preserve"> )*0,9=108</v>
      </c>
      <c r="G74" s="87"/>
      <c r="H74" s="38">
        <f>SUM(S68:S76)</f>
        <v>107.92</v>
      </c>
      <c r="I74" s="41"/>
      <c r="J74" s="33">
        <f>Source!AT37</f>
        <v>108</v>
      </c>
      <c r="K74" s="38">
        <f>SUM(T68:T76)</f>
        <v>730.7</v>
      </c>
      <c r="L74" s="39"/>
    </row>
    <row r="75" spans="1:26" ht="14.25" x14ac:dyDescent="0.2">
      <c r="A75" s="53"/>
      <c r="B75" s="54"/>
      <c r="C75" s="54" t="s">
        <v>354</v>
      </c>
      <c r="D75" s="35" t="s">
        <v>353</v>
      </c>
      <c r="E75" s="13">
        <f>Source!CA37</f>
        <v>65</v>
      </c>
      <c r="F75" s="75" t="str">
        <f>CONCATENATE(" )", Source!DM37, Source!FU37, "=", Source!FY37)</f>
        <v xml:space="preserve"> )*0,85=55,25</v>
      </c>
      <c r="G75" s="87"/>
      <c r="H75" s="38">
        <f>SUM(U68:U76)</f>
        <v>55.21</v>
      </c>
      <c r="I75" s="41"/>
      <c r="J75" s="33">
        <f>Source!AU37</f>
        <v>55</v>
      </c>
      <c r="K75" s="38">
        <f>SUM(V68:V76)</f>
        <v>372.11</v>
      </c>
      <c r="L75" s="39"/>
    </row>
    <row r="76" spans="1:26" ht="14.25" x14ac:dyDescent="0.2">
      <c r="A76" s="55"/>
      <c r="B76" s="56"/>
      <c r="C76" s="56" t="s">
        <v>355</v>
      </c>
      <c r="D76" s="42" t="s">
        <v>356</v>
      </c>
      <c r="E76" s="43">
        <f>Source!AQ37</f>
        <v>112.75</v>
      </c>
      <c r="F76" s="44"/>
      <c r="G76" s="45" t="str">
        <f>Source!DI37</f>
        <v>)*1,15</v>
      </c>
      <c r="H76" s="46"/>
      <c r="I76" s="45"/>
      <c r="J76" s="45"/>
      <c r="K76" s="46"/>
      <c r="L76" s="47">
        <f>Source!U37</f>
        <v>11.669625</v>
      </c>
    </row>
    <row r="77" spans="1:26" ht="15" x14ac:dyDescent="0.25">
      <c r="G77" s="88">
        <f>H70+H71+H73+H74+H75</f>
        <v>1065.28</v>
      </c>
      <c r="H77" s="88"/>
      <c r="J77" s="88">
        <f>K70+K71+K73+K74+K75</f>
        <v>7210.4</v>
      </c>
      <c r="K77" s="88"/>
      <c r="L77" s="48">
        <f>Source!U37</f>
        <v>11.669625</v>
      </c>
      <c r="O77" s="30">
        <f>G77</f>
        <v>1065.28</v>
      </c>
      <c r="P77" s="30">
        <f>J77</f>
        <v>7210.4</v>
      </c>
      <c r="Q77" s="30">
        <f>L77</f>
        <v>11.669625</v>
      </c>
      <c r="W77">
        <f>IF(Source!BI37&lt;=1,H70+H71+H73+H74+H75, 0)</f>
        <v>1065.28</v>
      </c>
      <c r="X77">
        <f>IF(Source!BI37=2,H70+H71+H73+H74+H75, 0)</f>
        <v>0</v>
      </c>
      <c r="Y77">
        <f>IF(Source!BI37=3,H70+H71+H73+H74+H75, 0)</f>
        <v>0</v>
      </c>
      <c r="Z77">
        <f>IF(Source!BI37=4,H70+H71+H73+H74+H75, 0)</f>
        <v>0</v>
      </c>
    </row>
    <row r="78" spans="1:26" ht="28.5" x14ac:dyDescent="0.2">
      <c r="A78" s="53" t="str">
        <f>Source!E39</f>
        <v>6</v>
      </c>
      <c r="B78" s="54" t="str">
        <f>Source!F39</f>
        <v>10-01-035-01</v>
      </c>
      <c r="C78" s="54" t="str">
        <f>Source!G39</f>
        <v>Установка подоконных досок из ПВХ в каменных стенах толщиной до 0,51 м</v>
      </c>
      <c r="D78" s="35" t="str">
        <f>Source!H39</f>
        <v>100 м</v>
      </c>
      <c r="E78" s="13">
        <f>Source!I39</f>
        <v>0.36</v>
      </c>
      <c r="F78" s="36">
        <f>Source!AL39+Source!AM39+Source!AO39</f>
        <v>4184.0599999999995</v>
      </c>
      <c r="G78" s="37"/>
      <c r="H78" s="38"/>
      <c r="I78" s="37" t="str">
        <f>Source!BO39</f>
        <v/>
      </c>
      <c r="J78" s="37"/>
      <c r="K78" s="38"/>
      <c r="L78" s="39"/>
      <c r="S78">
        <f>ROUND((Source!FX39/100)*((ROUND(Source!AF39*Source!I39, 2)+ROUND(Source!AE39*Source!I39, 2))), 2)</f>
        <v>80.56</v>
      </c>
      <c r="T78">
        <f>Source!X39</f>
        <v>544.36</v>
      </c>
      <c r="U78">
        <f>ROUND((Source!FY39/100)*((ROUND(Source!AF39*Source!I39, 2)+ROUND(Source!AE39*Source!I39, 2))), 2)</f>
        <v>40.619999999999997</v>
      </c>
      <c r="V78">
        <f>Source!Y39</f>
        <v>277.32</v>
      </c>
    </row>
    <row r="79" spans="1:26" x14ac:dyDescent="0.2">
      <c r="C79" s="29" t="str">
        <f>"Объем: "&amp;Source!I39&amp;"=36/"&amp;"100"</f>
        <v>Объем: 0,36=36/100</v>
      </c>
    </row>
    <row r="80" spans="1:26" ht="14.25" x14ac:dyDescent="0.2">
      <c r="A80" s="53"/>
      <c r="B80" s="54"/>
      <c r="C80" s="54" t="s">
        <v>350</v>
      </c>
      <c r="D80" s="35"/>
      <c r="E80" s="13"/>
      <c r="F80" s="36">
        <f>Source!AO39</f>
        <v>180.75</v>
      </c>
      <c r="G80" s="37" t="str">
        <f>Source!DG39</f>
        <v>)*1,15</v>
      </c>
      <c r="H80" s="38">
        <f>ROUND(Source!AF39*Source!I39, 2)</f>
        <v>74.83</v>
      </c>
      <c r="I80" s="37"/>
      <c r="J80" s="37">
        <f>IF(Source!BA39&lt;&gt; 0, Source!BA39, 1)</f>
        <v>6.77</v>
      </c>
      <c r="K80" s="38">
        <f>Source!S39</f>
        <v>506.6</v>
      </c>
      <c r="L80" s="39"/>
      <c r="R80">
        <f>H80</f>
        <v>74.83</v>
      </c>
    </row>
    <row r="81" spans="1:26" ht="14.25" x14ac:dyDescent="0.2">
      <c r="A81" s="53"/>
      <c r="B81" s="54"/>
      <c r="C81" s="54" t="s">
        <v>148</v>
      </c>
      <c r="D81" s="35"/>
      <c r="E81" s="13"/>
      <c r="F81" s="36">
        <f>Source!AM39</f>
        <v>11.11</v>
      </c>
      <c r="G81" s="37" t="str">
        <f>Source!DE39</f>
        <v>)*1,25</v>
      </c>
      <c r="H81" s="38">
        <f>ROUND(Source!AD39*Source!I39, 2)</f>
        <v>5</v>
      </c>
      <c r="I81" s="37"/>
      <c r="J81" s="37">
        <f>IF(Source!BB39&lt;&gt; 0, Source!BB39, 1)</f>
        <v>6.77</v>
      </c>
      <c r="K81" s="38">
        <f>Source!Q39</f>
        <v>33.85</v>
      </c>
      <c r="L81" s="39"/>
    </row>
    <row r="82" spans="1:26" ht="14.25" x14ac:dyDescent="0.2">
      <c r="A82" s="53"/>
      <c r="B82" s="54"/>
      <c r="C82" s="54" t="s">
        <v>351</v>
      </c>
      <c r="D82" s="35"/>
      <c r="E82" s="13"/>
      <c r="F82" s="36">
        <f>Source!AN39</f>
        <v>2.2799999999999998</v>
      </c>
      <c r="G82" s="37" t="str">
        <f>Source!DF39</f>
        <v>)*1,25</v>
      </c>
      <c r="H82" s="40">
        <f>ROUND(Source!AE39*Source!I39, 2)</f>
        <v>1.03</v>
      </c>
      <c r="I82" s="37"/>
      <c r="J82" s="37">
        <f>IF(Source!BS39&lt;&gt; 0, Source!BS39, 1)</f>
        <v>6.77</v>
      </c>
      <c r="K82" s="40">
        <f>Source!R39</f>
        <v>6.95</v>
      </c>
      <c r="L82" s="39"/>
      <c r="R82">
        <f>H82</f>
        <v>1.03</v>
      </c>
    </row>
    <row r="83" spans="1:26" ht="14.25" x14ac:dyDescent="0.2">
      <c r="A83" s="53"/>
      <c r="B83" s="54"/>
      <c r="C83" s="54" t="s">
        <v>357</v>
      </c>
      <c r="D83" s="35"/>
      <c r="E83" s="13"/>
      <c r="F83" s="36">
        <f>Source!AL39</f>
        <v>3992.2</v>
      </c>
      <c r="G83" s="37" t="str">
        <f>Source!DD39</f>
        <v/>
      </c>
      <c r="H83" s="38">
        <f>ROUND(Source!AC39*Source!I39, 2)</f>
        <v>1437.19</v>
      </c>
      <c r="I83" s="37"/>
      <c r="J83" s="37">
        <f>IF(Source!BC39&lt;&gt; 0, Source!BC39, 1)</f>
        <v>6.77</v>
      </c>
      <c r="K83" s="38">
        <f>Source!P39</f>
        <v>9729.7900000000009</v>
      </c>
      <c r="L83" s="39"/>
    </row>
    <row r="84" spans="1:26" ht="14.25" x14ac:dyDescent="0.2">
      <c r="A84" s="53"/>
      <c r="B84" s="54"/>
      <c r="C84" s="54" t="s">
        <v>352</v>
      </c>
      <c r="D84" s="35" t="s">
        <v>353</v>
      </c>
      <c r="E84" s="13">
        <f>Source!BZ39</f>
        <v>118</v>
      </c>
      <c r="F84" s="75" t="str">
        <f>CONCATENATE(" )", Source!DL39, Source!FT39, "=", Source!FX39)</f>
        <v xml:space="preserve"> )*0,9=106,2</v>
      </c>
      <c r="G84" s="87"/>
      <c r="H84" s="38">
        <f>SUM(S78:S87)</f>
        <v>80.56</v>
      </c>
      <c r="I84" s="41"/>
      <c r="J84" s="33">
        <f>Source!AT39</f>
        <v>106</v>
      </c>
      <c r="K84" s="38">
        <f>SUM(T78:T87)</f>
        <v>544.36</v>
      </c>
      <c r="L84" s="39"/>
    </row>
    <row r="85" spans="1:26" ht="14.25" x14ac:dyDescent="0.2">
      <c r="A85" s="53"/>
      <c r="B85" s="54"/>
      <c r="C85" s="54" t="s">
        <v>354</v>
      </c>
      <c r="D85" s="35" t="s">
        <v>353</v>
      </c>
      <c r="E85" s="13">
        <f>Source!CA39</f>
        <v>63</v>
      </c>
      <c r="F85" s="75" t="str">
        <f>CONCATENATE(" )", Source!DM39, Source!FU39, "=", Source!FY39)</f>
        <v xml:space="preserve"> )*0,85=53,55</v>
      </c>
      <c r="G85" s="87"/>
      <c r="H85" s="38">
        <f>SUM(U78:U87)</f>
        <v>40.619999999999997</v>
      </c>
      <c r="I85" s="41"/>
      <c r="J85" s="33">
        <f>Source!AU39</f>
        <v>54</v>
      </c>
      <c r="K85" s="38">
        <f>SUM(V78:V87)</f>
        <v>277.32</v>
      </c>
      <c r="L85" s="39"/>
    </row>
    <row r="86" spans="1:26" ht="14.25" x14ac:dyDescent="0.2">
      <c r="A86" s="53"/>
      <c r="B86" s="54"/>
      <c r="C86" s="54" t="s">
        <v>355</v>
      </c>
      <c r="D86" s="35" t="s">
        <v>356</v>
      </c>
      <c r="E86" s="13">
        <f>Source!AQ39</f>
        <v>21.19</v>
      </c>
      <c r="F86" s="36"/>
      <c r="G86" s="37" t="str">
        <f>Source!DI39</f>
        <v>)*1,15</v>
      </c>
      <c r="H86" s="38"/>
      <c r="I86" s="37"/>
      <c r="J86" s="37"/>
      <c r="K86" s="38"/>
      <c r="L86" s="49">
        <f>Source!U39</f>
        <v>8.7726600000000001</v>
      </c>
    </row>
    <row r="87" spans="1:26" ht="28.5" x14ac:dyDescent="0.2">
      <c r="A87" s="55" t="str">
        <f>Source!E41</f>
        <v>6,1</v>
      </c>
      <c r="B87" s="56" t="str">
        <f>Source!F41</f>
        <v>11.3.03.01-0005</v>
      </c>
      <c r="C87" s="56" t="str">
        <f>Source!G41</f>
        <v>Доски подоконные ПВХ, шириной 300 мм</v>
      </c>
      <c r="D87" s="42" t="str">
        <f>Source!H41</f>
        <v>м</v>
      </c>
      <c r="E87" s="43">
        <f>Source!I41</f>
        <v>36</v>
      </c>
      <c r="F87" s="44">
        <f>Source!AL41+Source!AM41+Source!AO41</f>
        <v>36.369999999999997</v>
      </c>
      <c r="G87" s="50" t="s">
        <v>6</v>
      </c>
      <c r="H87" s="46">
        <f>ROUND(Source!AC41*Source!I41, 2)+ROUND(Source!AD41*Source!I41, 2)+ROUND(Source!AF41*Source!I41, 2)</f>
        <v>1309.32</v>
      </c>
      <c r="I87" s="45"/>
      <c r="J87" s="45">
        <f>IF(Source!BC41&lt;&gt; 0, Source!BC41, 1)</f>
        <v>6.77</v>
      </c>
      <c r="K87" s="46">
        <f>Source!O41</f>
        <v>8864.1</v>
      </c>
      <c r="L87" s="51"/>
      <c r="S87">
        <f>ROUND((Source!FX41/100)*((ROUND(Source!AF41*Source!I41, 2)+ROUND(Source!AE41*Source!I41, 2))), 2)</f>
        <v>0</v>
      </c>
      <c r="T87">
        <f>Source!X41</f>
        <v>0</v>
      </c>
      <c r="U87">
        <f>ROUND((Source!FY41/100)*((ROUND(Source!AF41*Source!I41, 2)+ROUND(Source!AE41*Source!I41, 2))), 2)</f>
        <v>0</v>
      </c>
      <c r="V87">
        <f>Source!Y41</f>
        <v>0</v>
      </c>
      <c r="W87">
        <f>IF(Source!BI41&lt;=1,H87, 0)</f>
        <v>1309.32</v>
      </c>
      <c r="X87">
        <f>IF(Source!BI41=2,H87, 0)</f>
        <v>0</v>
      </c>
      <c r="Y87">
        <f>IF(Source!BI41=3,H87, 0)</f>
        <v>0</v>
      </c>
      <c r="Z87">
        <f>IF(Source!BI41=4,H87, 0)</f>
        <v>0</v>
      </c>
    </row>
    <row r="88" spans="1:26" ht="15" x14ac:dyDescent="0.25">
      <c r="G88" s="88">
        <f>H80+H81+H83+H84+H85+SUM(H87:H87)</f>
        <v>2947.5199999999995</v>
      </c>
      <c r="H88" s="88"/>
      <c r="J88" s="88">
        <f>K80+K81+K83+K84+K85+SUM(K87:K87)</f>
        <v>19956.020000000004</v>
      </c>
      <c r="K88" s="88"/>
      <c r="L88" s="48">
        <f>Source!U39</f>
        <v>8.7726600000000001</v>
      </c>
      <c r="O88" s="30">
        <f>G88</f>
        <v>2947.5199999999995</v>
      </c>
      <c r="P88" s="30">
        <f>J88</f>
        <v>19956.020000000004</v>
      </c>
      <c r="Q88" s="30">
        <f>L88</f>
        <v>8.7726600000000001</v>
      </c>
      <c r="W88">
        <f>IF(Source!BI39&lt;=1,H80+H81+H83+H84+H85, 0)</f>
        <v>1638.1999999999998</v>
      </c>
      <c r="X88">
        <f>IF(Source!BI39=2,H80+H81+H83+H84+H85, 0)</f>
        <v>0</v>
      </c>
      <c r="Y88">
        <f>IF(Source!BI39=3,H80+H81+H83+H84+H85, 0)</f>
        <v>0</v>
      </c>
      <c r="Z88">
        <f>IF(Source!BI39=4,H80+H81+H83+H84+H85, 0)</f>
        <v>0</v>
      </c>
    </row>
    <row r="89" spans="1:26" ht="57" x14ac:dyDescent="0.2">
      <c r="A89" s="53" t="str">
        <f>Source!E43</f>
        <v>7</v>
      </c>
      <c r="B89" s="54" t="str">
        <f>Source!F43</f>
        <v>15-01-050-04</v>
      </c>
      <c r="C89" s="54" t="str">
        <f>Source!G43</f>
        <v>Облицовка оконных и дверных откосов декоративным бумажно-слоистым пластиком или листами из синтетических материалов на клее</v>
      </c>
      <c r="D89" s="35" t="str">
        <f>Source!H43</f>
        <v>100 м2</v>
      </c>
      <c r="E89" s="13">
        <f>Source!I43</f>
        <v>0.33</v>
      </c>
      <c r="F89" s="36">
        <f>Source!AL43+Source!AM43+Source!AO43</f>
        <v>1563.91</v>
      </c>
      <c r="G89" s="37"/>
      <c r="H89" s="38"/>
      <c r="I89" s="37" t="str">
        <f>Source!BO43</f>
        <v/>
      </c>
      <c r="J89" s="37"/>
      <c r="K89" s="38"/>
      <c r="L89" s="39"/>
      <c r="S89">
        <f>ROUND((Source!FX43/100)*((ROUND(Source!AF43*Source!I43, 2)+ROUND(Source!AE43*Source!I43, 2))), 2)</f>
        <v>550.74</v>
      </c>
      <c r="T89">
        <f>Source!X43</f>
        <v>3748.19</v>
      </c>
      <c r="U89">
        <f>ROUND((Source!FY43/100)*((ROUND(Source!AF43*Source!I43, 2)+ROUND(Source!AE43*Source!I43, 2))), 2)</f>
        <v>272.45</v>
      </c>
      <c r="V89">
        <f>Source!Y43</f>
        <v>1854.37</v>
      </c>
    </row>
    <row r="90" spans="1:26" x14ac:dyDescent="0.2">
      <c r="C90" s="29" t="str">
        <f>"Объем: "&amp;Source!I43&amp;"=33/"&amp;"100"</f>
        <v>Объем: 0,33=33/100</v>
      </c>
    </row>
    <row r="91" spans="1:26" ht="14.25" x14ac:dyDescent="0.2">
      <c r="A91" s="53"/>
      <c r="B91" s="54"/>
      <c r="C91" s="54" t="s">
        <v>350</v>
      </c>
      <c r="D91" s="35"/>
      <c r="E91" s="13"/>
      <c r="F91" s="36">
        <f>Source!AO43</f>
        <v>1528.19</v>
      </c>
      <c r="G91" s="37" t="str">
        <f>Source!DG43</f>
        <v>)*1,15</v>
      </c>
      <c r="H91" s="38">
        <f>ROUND(Source!AF43*Source!I43, 2)</f>
        <v>579.95000000000005</v>
      </c>
      <c r="I91" s="37"/>
      <c r="J91" s="37">
        <f>IF(Source!BA43&lt;&gt; 0, Source!BA43, 1)</f>
        <v>6.77</v>
      </c>
      <c r="K91" s="38">
        <f>Source!S43</f>
        <v>3926.25</v>
      </c>
      <c r="L91" s="39"/>
      <c r="R91">
        <f>H91</f>
        <v>579.95000000000005</v>
      </c>
    </row>
    <row r="92" spans="1:26" ht="14.25" x14ac:dyDescent="0.2">
      <c r="A92" s="53"/>
      <c r="B92" s="54"/>
      <c r="C92" s="54" t="s">
        <v>148</v>
      </c>
      <c r="D92" s="35"/>
      <c r="E92" s="13"/>
      <c r="F92" s="36">
        <f>Source!AM43</f>
        <v>35.36</v>
      </c>
      <c r="G92" s="37" t="str">
        <f>Source!DE43</f>
        <v>)*1,25</v>
      </c>
      <c r="H92" s="38">
        <f>ROUND(Source!AD43*Source!I43, 2)</f>
        <v>14.59</v>
      </c>
      <c r="I92" s="37"/>
      <c r="J92" s="37">
        <f>IF(Source!BB43&lt;&gt; 0, Source!BB43, 1)</f>
        <v>6.77</v>
      </c>
      <c r="K92" s="38">
        <f>Source!Q43</f>
        <v>98.75</v>
      </c>
      <c r="L92" s="39"/>
    </row>
    <row r="93" spans="1:26" ht="14.25" x14ac:dyDescent="0.2">
      <c r="A93" s="53"/>
      <c r="B93" s="54"/>
      <c r="C93" s="54" t="s">
        <v>351</v>
      </c>
      <c r="D93" s="35"/>
      <c r="E93" s="13"/>
      <c r="F93" s="36">
        <f>Source!AN43</f>
        <v>6.88</v>
      </c>
      <c r="G93" s="37" t="str">
        <f>Source!DF43</f>
        <v>)*1,25</v>
      </c>
      <c r="H93" s="40">
        <f>ROUND(Source!AE43*Source!I43, 2)</f>
        <v>2.84</v>
      </c>
      <c r="I93" s="37"/>
      <c r="J93" s="37">
        <f>IF(Source!BS43&lt;&gt; 0, Source!BS43, 1)</f>
        <v>6.77</v>
      </c>
      <c r="K93" s="40">
        <f>Source!R43</f>
        <v>19.21</v>
      </c>
      <c r="L93" s="39"/>
      <c r="R93">
        <f>H93</f>
        <v>2.84</v>
      </c>
    </row>
    <row r="94" spans="1:26" ht="14.25" x14ac:dyDescent="0.2">
      <c r="A94" s="53"/>
      <c r="B94" s="54"/>
      <c r="C94" s="54" t="s">
        <v>357</v>
      </c>
      <c r="D94" s="35"/>
      <c r="E94" s="13"/>
      <c r="F94" s="36">
        <f>Source!AL43</f>
        <v>0.36</v>
      </c>
      <c r="G94" s="37" t="str">
        <f>Source!DD43</f>
        <v/>
      </c>
      <c r="H94" s="38">
        <f>ROUND(Source!AC43*Source!I43, 2)</f>
        <v>0.12</v>
      </c>
      <c r="I94" s="37"/>
      <c r="J94" s="37">
        <f>IF(Source!BC43&lt;&gt; 0, Source!BC43, 1)</f>
        <v>6.77</v>
      </c>
      <c r="K94" s="38">
        <f>Source!P43</f>
        <v>0.8</v>
      </c>
      <c r="L94" s="39"/>
    </row>
    <row r="95" spans="1:26" ht="14.25" x14ac:dyDescent="0.2">
      <c r="A95" s="53"/>
      <c r="B95" s="54"/>
      <c r="C95" s="54" t="s">
        <v>352</v>
      </c>
      <c r="D95" s="35" t="s">
        <v>353</v>
      </c>
      <c r="E95" s="13">
        <f>Source!BZ43</f>
        <v>105</v>
      </c>
      <c r="F95" s="75" t="str">
        <f>CONCATENATE(" )", Source!DL43, Source!FT43, "=", Source!FX43)</f>
        <v xml:space="preserve"> )*0,9=94,5</v>
      </c>
      <c r="G95" s="87"/>
      <c r="H95" s="38">
        <f>SUM(S89:S103)</f>
        <v>550.74</v>
      </c>
      <c r="I95" s="41"/>
      <c r="J95" s="33">
        <f>Source!AT43</f>
        <v>95</v>
      </c>
      <c r="K95" s="38">
        <f>SUM(T89:T103)</f>
        <v>3748.19</v>
      </c>
      <c r="L95" s="39"/>
    </row>
    <row r="96" spans="1:26" ht="14.25" x14ac:dyDescent="0.2">
      <c r="A96" s="53"/>
      <c r="B96" s="54"/>
      <c r="C96" s="54" t="s">
        <v>354</v>
      </c>
      <c r="D96" s="35" t="s">
        <v>353</v>
      </c>
      <c r="E96" s="13">
        <f>Source!CA43</f>
        <v>55</v>
      </c>
      <c r="F96" s="75" t="str">
        <f>CONCATENATE(" )", Source!DM43, Source!FU43, "=", Source!FY43)</f>
        <v xml:space="preserve"> )*0,85=46,75</v>
      </c>
      <c r="G96" s="87"/>
      <c r="H96" s="38">
        <f>SUM(U89:U103)</f>
        <v>272.45</v>
      </c>
      <c r="I96" s="41"/>
      <c r="J96" s="33">
        <f>Source!AU43</f>
        <v>47</v>
      </c>
      <c r="K96" s="38">
        <f>SUM(V89:V103)</f>
        <v>1854.37</v>
      </c>
      <c r="L96" s="39"/>
    </row>
    <row r="97" spans="1:26" ht="14.25" x14ac:dyDescent="0.2">
      <c r="A97" s="53"/>
      <c r="B97" s="54"/>
      <c r="C97" s="54" t="s">
        <v>355</v>
      </c>
      <c r="D97" s="35" t="s">
        <v>356</v>
      </c>
      <c r="E97" s="13">
        <f>Source!AQ43</f>
        <v>166.47</v>
      </c>
      <c r="F97" s="36"/>
      <c r="G97" s="37" t="str">
        <f>Source!DI43</f>
        <v>)*1,15</v>
      </c>
      <c r="H97" s="38"/>
      <c r="I97" s="37"/>
      <c r="J97" s="37"/>
      <c r="K97" s="38"/>
      <c r="L97" s="49">
        <f>Source!U43</f>
        <v>63.175364999999999</v>
      </c>
    </row>
    <row r="98" spans="1:26" ht="14.25" x14ac:dyDescent="0.2">
      <c r="A98" s="53" t="str">
        <f>Source!E45</f>
        <v>7,1</v>
      </c>
      <c r="B98" s="54" t="str">
        <f>Source!F45</f>
        <v>01.6.01.11</v>
      </c>
      <c r="C98" s="54" t="str">
        <f>Source!G45</f>
        <v>Листы облицовочные декоративные</v>
      </c>
      <c r="D98" s="35" t="str">
        <f>Source!H45</f>
        <v>м2</v>
      </c>
      <c r="E98" s="13">
        <f>Source!I45</f>
        <v>34.65</v>
      </c>
      <c r="F98" s="36">
        <f>Source!AL45+Source!AM45+Source!AO45</f>
        <v>0</v>
      </c>
      <c r="G98" s="52" t="s">
        <v>6</v>
      </c>
      <c r="H98" s="38">
        <f>ROUND(Source!AC45*Source!I45, 2)+ROUND(Source!AD45*Source!I45, 2)+ROUND(Source!AF45*Source!I45, 2)</f>
        <v>0</v>
      </c>
      <c r="I98" s="37"/>
      <c r="J98" s="37">
        <f>IF(Source!BC45&lt;&gt; 0, Source!BC45, 1)</f>
        <v>6.77</v>
      </c>
      <c r="K98" s="38">
        <f>Source!O45</f>
        <v>0</v>
      </c>
      <c r="L98" s="39"/>
      <c r="S98">
        <f>ROUND((Source!FX45/100)*((ROUND(Source!AF45*Source!I45, 2)+ROUND(Source!AE45*Source!I45, 2))), 2)</f>
        <v>0</v>
      </c>
      <c r="T98">
        <f>Source!X45</f>
        <v>0</v>
      </c>
      <c r="U98">
        <f>ROUND((Source!FY45/100)*((ROUND(Source!AF45*Source!I45, 2)+ROUND(Source!AE45*Source!I45, 2))), 2)</f>
        <v>0</v>
      </c>
      <c r="V98">
        <f>Source!Y45</f>
        <v>0</v>
      </c>
      <c r="W98">
        <f>IF(Source!BI45&lt;=1,H98, 0)</f>
        <v>0</v>
      </c>
      <c r="X98">
        <f>IF(Source!BI45=2,H98, 0)</f>
        <v>0</v>
      </c>
      <c r="Y98">
        <f>IF(Source!BI45=3,H98, 0)</f>
        <v>0</v>
      </c>
      <c r="Z98">
        <f>IF(Source!BI45=4,H98, 0)</f>
        <v>0</v>
      </c>
    </row>
    <row r="99" spans="1:26" ht="85.5" x14ac:dyDescent="0.2">
      <c r="A99" s="53" t="str">
        <f>Source!E47</f>
        <v>7,2</v>
      </c>
      <c r="B99" s="54" t="str">
        <f>Source!F47</f>
        <v>11.3.03.05-0011</v>
      </c>
      <c r="C99" s="54" t="str">
        <f>Source!G47</f>
        <v>Сэндвич-панели для откосов (наружные слои – листы из поливинилхлорида, внутреннее наполнение – вспененный пенополистирол) белые, ширина 1,5 м, длина 3,0 м, толщина 10 мм</v>
      </c>
      <c r="D99" s="35" t="str">
        <f>Source!H47</f>
        <v>м2</v>
      </c>
      <c r="E99" s="13">
        <f>Source!I47</f>
        <v>34.65</v>
      </c>
      <c r="F99" s="36">
        <f>Source!AL47+Source!AM47+Source!AO47</f>
        <v>59.16</v>
      </c>
      <c r="G99" s="52" t="s">
        <v>6</v>
      </c>
      <c r="H99" s="38">
        <f>ROUND(Source!AC47*Source!I47, 2)+ROUND(Source!AD47*Source!I47, 2)+ROUND(Source!AF47*Source!I47, 2)</f>
        <v>2049.89</v>
      </c>
      <c r="I99" s="37"/>
      <c r="J99" s="37">
        <f>IF(Source!BC47&lt;&gt; 0, Source!BC47, 1)</f>
        <v>6.77</v>
      </c>
      <c r="K99" s="38">
        <f>Source!O47</f>
        <v>13877.78</v>
      </c>
      <c r="L99" s="39"/>
      <c r="S99">
        <f>ROUND((Source!FX47/100)*((ROUND(Source!AF47*Source!I47, 2)+ROUND(Source!AE47*Source!I47, 2))), 2)</f>
        <v>0</v>
      </c>
      <c r="T99">
        <f>Source!X47</f>
        <v>0</v>
      </c>
      <c r="U99">
        <f>ROUND((Source!FY47/100)*((ROUND(Source!AF47*Source!I47, 2)+ROUND(Source!AE47*Source!I47, 2))), 2)</f>
        <v>0</v>
      </c>
      <c r="V99">
        <f>Source!Y47</f>
        <v>0</v>
      </c>
      <c r="W99">
        <f>IF(Source!BI47&lt;=1,H99, 0)</f>
        <v>2049.89</v>
      </c>
      <c r="X99">
        <f>IF(Source!BI47=2,H99, 0)</f>
        <v>0</v>
      </c>
      <c r="Y99">
        <f>IF(Source!BI47=3,H99, 0)</f>
        <v>0</v>
      </c>
      <c r="Z99">
        <f>IF(Source!BI47=4,H99, 0)</f>
        <v>0</v>
      </c>
    </row>
    <row r="100" spans="1:26" ht="14.25" x14ac:dyDescent="0.2">
      <c r="A100" s="53" t="str">
        <f>Source!E49</f>
        <v>7,3</v>
      </c>
      <c r="B100" s="54" t="str">
        <f>Source!F49</f>
        <v>14.1.06.05</v>
      </c>
      <c r="C100" s="54" t="str">
        <f>Source!G49</f>
        <v>Клей</v>
      </c>
      <c r="D100" s="35" t="str">
        <f>Source!H49</f>
        <v>кг</v>
      </c>
      <c r="E100" s="13">
        <f>Source!I49</f>
        <v>9.9</v>
      </c>
      <c r="F100" s="36">
        <f>Source!AL49+Source!AM49+Source!AO49</f>
        <v>0</v>
      </c>
      <c r="G100" s="52" t="s">
        <v>6</v>
      </c>
      <c r="H100" s="38">
        <f>ROUND(Source!AC49*Source!I49, 2)+ROUND(Source!AD49*Source!I49, 2)+ROUND(Source!AF49*Source!I49, 2)</f>
        <v>0</v>
      </c>
      <c r="I100" s="37"/>
      <c r="J100" s="37">
        <f>IF(Source!BC49&lt;&gt; 0, Source!BC49, 1)</f>
        <v>6.77</v>
      </c>
      <c r="K100" s="38">
        <f>Source!O49</f>
        <v>0</v>
      </c>
      <c r="L100" s="39"/>
      <c r="S100">
        <f>ROUND((Source!FX49/100)*((ROUND(Source!AF49*Source!I49, 2)+ROUND(Source!AE49*Source!I49, 2))), 2)</f>
        <v>0</v>
      </c>
      <c r="T100">
        <f>Source!X49</f>
        <v>0</v>
      </c>
      <c r="U100">
        <f>ROUND((Source!FY49/100)*((ROUND(Source!AF49*Source!I49, 2)+ROUND(Source!AE49*Source!I49, 2))), 2)</f>
        <v>0</v>
      </c>
      <c r="V100">
        <f>Source!Y49</f>
        <v>0</v>
      </c>
      <c r="W100">
        <f>IF(Source!BI49&lt;=1,H100, 0)</f>
        <v>0</v>
      </c>
      <c r="X100">
        <f>IF(Source!BI49=2,H100, 0)</f>
        <v>0</v>
      </c>
      <c r="Y100">
        <f>IF(Source!BI49=3,H100, 0)</f>
        <v>0</v>
      </c>
      <c r="Z100">
        <f>IF(Source!BI49=4,H100, 0)</f>
        <v>0</v>
      </c>
    </row>
    <row r="101" spans="1:26" ht="28.5" x14ac:dyDescent="0.2">
      <c r="A101" s="53" t="str">
        <f>Source!E51</f>
        <v>7,4</v>
      </c>
      <c r="B101" s="54" t="str">
        <f>Source!F51</f>
        <v>14.1.02.04-0102</v>
      </c>
      <c r="C101" s="54" t="str">
        <f>Source!G51</f>
        <v>Клей Forbo 522, для укладки ПВХ-покрытий</v>
      </c>
      <c r="D101" s="35" t="str">
        <f>Source!H51</f>
        <v>кг</v>
      </c>
      <c r="E101" s="13">
        <f>Source!I51</f>
        <v>9.9</v>
      </c>
      <c r="F101" s="36">
        <f>Source!AL51+Source!AM51+Source!AO51</f>
        <v>25.56</v>
      </c>
      <c r="G101" s="52" t="s">
        <v>6</v>
      </c>
      <c r="H101" s="38">
        <f>ROUND(Source!AC51*Source!I51, 2)+ROUND(Source!AD51*Source!I51, 2)+ROUND(Source!AF51*Source!I51, 2)</f>
        <v>253.04</v>
      </c>
      <c r="I101" s="37"/>
      <c r="J101" s="37">
        <f>IF(Source!BC51&lt;&gt; 0, Source!BC51, 1)</f>
        <v>6.77</v>
      </c>
      <c r="K101" s="38">
        <f>Source!O51</f>
        <v>1713.11</v>
      </c>
      <c r="L101" s="39"/>
      <c r="S101">
        <f>ROUND((Source!FX51/100)*((ROUND(Source!AF51*Source!I51, 2)+ROUND(Source!AE51*Source!I51, 2))), 2)</f>
        <v>0</v>
      </c>
      <c r="T101">
        <f>Source!X51</f>
        <v>0</v>
      </c>
      <c r="U101">
        <f>ROUND((Source!FY51/100)*((ROUND(Source!AF51*Source!I51, 2)+ROUND(Source!AE51*Source!I51, 2))), 2)</f>
        <v>0</v>
      </c>
      <c r="V101">
        <f>Source!Y51</f>
        <v>0</v>
      </c>
      <c r="W101">
        <f>IF(Source!BI51&lt;=1,H101, 0)</f>
        <v>253.04</v>
      </c>
      <c r="X101">
        <f>IF(Source!BI51=2,H101, 0)</f>
        <v>0</v>
      </c>
      <c r="Y101">
        <f>IF(Source!BI51=3,H101, 0)</f>
        <v>0</v>
      </c>
      <c r="Z101">
        <f>IF(Source!BI51=4,H101, 0)</f>
        <v>0</v>
      </c>
    </row>
    <row r="102" spans="1:26" ht="28.5" x14ac:dyDescent="0.2">
      <c r="A102" s="53" t="str">
        <f>Source!E53</f>
        <v>7,5</v>
      </c>
      <c r="B102" s="54" t="str">
        <f>Source!F53</f>
        <v>14.3.01.02-0102</v>
      </c>
      <c r="C102" s="54" t="str">
        <f>Source!G53</f>
        <v>Грунтовка: водно-дисперсионная "БИРСС Бетон-контакт"</v>
      </c>
      <c r="D102" s="35" t="str">
        <f>Source!H53</f>
        <v>т</v>
      </c>
      <c r="E102" s="13">
        <f>Source!I53</f>
        <v>2.9380000000000001E-3</v>
      </c>
      <c r="F102" s="36">
        <f>Source!AL53+Source!AM53+Source!AO53</f>
        <v>18390.16</v>
      </c>
      <c r="G102" s="52" t="s">
        <v>6</v>
      </c>
      <c r="H102" s="38">
        <f>ROUND(Source!AC53*Source!I53, 2)+ROUND(Source!AD53*Source!I53, 2)+ROUND(Source!AF53*Source!I53, 2)</f>
        <v>54.03</v>
      </c>
      <c r="I102" s="37"/>
      <c r="J102" s="37">
        <f>IF(Source!BC53&lt;&gt; 0, Source!BC53, 1)</f>
        <v>6.77</v>
      </c>
      <c r="K102" s="38">
        <f>Source!O53</f>
        <v>365.79</v>
      </c>
      <c r="L102" s="39"/>
      <c r="S102">
        <f>ROUND((Source!FX53/100)*((ROUND(Source!AF53*Source!I53, 2)+ROUND(Source!AE53*Source!I53, 2))), 2)</f>
        <v>0</v>
      </c>
      <c r="T102">
        <f>Source!X53</f>
        <v>0</v>
      </c>
      <c r="U102">
        <f>ROUND((Source!FY53/100)*((ROUND(Source!AF53*Source!I53, 2)+ROUND(Source!AE53*Source!I53, 2))), 2)</f>
        <v>0</v>
      </c>
      <c r="V102">
        <f>Source!Y53</f>
        <v>0</v>
      </c>
      <c r="W102">
        <f>IF(Source!BI53&lt;=1,H102, 0)</f>
        <v>54.03</v>
      </c>
      <c r="X102">
        <f>IF(Source!BI53=2,H102, 0)</f>
        <v>0</v>
      </c>
      <c r="Y102">
        <f>IF(Source!BI53=3,H102, 0)</f>
        <v>0</v>
      </c>
      <c r="Z102">
        <f>IF(Source!BI53=4,H102, 0)</f>
        <v>0</v>
      </c>
    </row>
    <row r="103" spans="1:26" ht="14.25" x14ac:dyDescent="0.2">
      <c r="A103" s="55" t="str">
        <f>Source!E55</f>
        <v>7,6</v>
      </c>
      <c r="B103" s="56" t="str">
        <f>Source!F55</f>
        <v>14.4.01.21</v>
      </c>
      <c r="C103" s="56" t="str">
        <f>Source!G55</f>
        <v>Грунтовка</v>
      </c>
      <c r="D103" s="42" t="str">
        <f>Source!H55</f>
        <v>т</v>
      </c>
      <c r="E103" s="43">
        <f>Source!I55</f>
        <v>2.9369999999999999E-3</v>
      </c>
      <c r="F103" s="44">
        <f>Source!AL55+Source!AM55+Source!AO55</f>
        <v>0</v>
      </c>
      <c r="G103" s="50" t="s">
        <v>6</v>
      </c>
      <c r="H103" s="46">
        <f>ROUND(Source!AC55*Source!I55, 2)+ROUND(Source!AD55*Source!I55, 2)+ROUND(Source!AF55*Source!I55, 2)</f>
        <v>0</v>
      </c>
      <c r="I103" s="45"/>
      <c r="J103" s="45">
        <f>IF(Source!BC55&lt;&gt; 0, Source!BC55, 1)</f>
        <v>6.77</v>
      </c>
      <c r="K103" s="46">
        <f>Source!O55</f>
        <v>0</v>
      </c>
      <c r="L103" s="51"/>
      <c r="S103">
        <f>ROUND((Source!FX55/100)*((ROUND(Source!AF55*Source!I55, 2)+ROUND(Source!AE55*Source!I55, 2))), 2)</f>
        <v>0</v>
      </c>
      <c r="T103">
        <f>Source!X55</f>
        <v>0</v>
      </c>
      <c r="U103">
        <f>ROUND((Source!FY55/100)*((ROUND(Source!AF55*Source!I55, 2)+ROUND(Source!AE55*Source!I55, 2))), 2)</f>
        <v>0</v>
      </c>
      <c r="V103">
        <f>Source!Y55</f>
        <v>0</v>
      </c>
      <c r="W103">
        <f>IF(Source!BI55&lt;=1,H103, 0)</f>
        <v>0</v>
      </c>
      <c r="X103">
        <f>IF(Source!BI55=2,H103, 0)</f>
        <v>0</v>
      </c>
      <c r="Y103">
        <f>IF(Source!BI55=3,H103, 0)</f>
        <v>0</v>
      </c>
      <c r="Z103">
        <f>IF(Source!BI55=4,H103, 0)</f>
        <v>0</v>
      </c>
    </row>
    <row r="104" spans="1:26" ht="15" x14ac:dyDescent="0.25">
      <c r="G104" s="88">
        <f>H91+H92+H94+H95+H96+SUM(H98:H103)</f>
        <v>3774.8100000000004</v>
      </c>
      <c r="H104" s="88"/>
      <c r="J104" s="88">
        <f>K91+K92+K94+K95+K96+SUM(K98:K103)</f>
        <v>25585.040000000001</v>
      </c>
      <c r="K104" s="88"/>
      <c r="L104" s="48">
        <f>Source!U43</f>
        <v>63.175364999999999</v>
      </c>
      <c r="O104" s="30">
        <f>G104</f>
        <v>3774.8100000000004</v>
      </c>
      <c r="P104" s="30">
        <f>J104</f>
        <v>25585.040000000001</v>
      </c>
      <c r="Q104" s="30">
        <f>L104</f>
        <v>63.175364999999999</v>
      </c>
      <c r="W104">
        <f>IF(Source!BI43&lt;=1,H91+H92+H94+H95+H96, 0)</f>
        <v>1417.8500000000001</v>
      </c>
      <c r="X104">
        <f>IF(Source!BI43=2,H91+H92+H94+H95+H96, 0)</f>
        <v>0</v>
      </c>
      <c r="Y104">
        <f>IF(Source!BI43=3,H91+H92+H94+H95+H96, 0)</f>
        <v>0</v>
      </c>
      <c r="Z104">
        <f>IF(Source!BI43=4,H91+H92+H94+H95+H96, 0)</f>
        <v>0</v>
      </c>
    </row>
    <row r="105" spans="1:26" ht="28.5" x14ac:dyDescent="0.2">
      <c r="A105" s="53" t="str">
        <f>Source!E57</f>
        <v>8</v>
      </c>
      <c r="B105" s="54" t="str">
        <f>Source!F57</f>
        <v>10-01-036-01</v>
      </c>
      <c r="C105" s="54" t="str">
        <f>Source!G57</f>
        <v>Установка уголков ПВХ на клее</v>
      </c>
      <c r="D105" s="35" t="str">
        <f>Source!H57</f>
        <v>100 м</v>
      </c>
      <c r="E105" s="13">
        <f>Source!I57</f>
        <v>1.32</v>
      </c>
      <c r="F105" s="36">
        <f>Source!AL57+Source!AM57+Source!AO57</f>
        <v>93.15</v>
      </c>
      <c r="G105" s="37"/>
      <c r="H105" s="38"/>
      <c r="I105" s="37" t="str">
        <f>Source!BO57</f>
        <v/>
      </c>
      <c r="J105" s="37"/>
      <c r="K105" s="38"/>
      <c r="L105" s="39"/>
      <c r="S105">
        <f>ROUND((Source!FX57/100)*((ROUND(Source!AF57*Source!I57, 2)+ROUND(Source!AE57*Source!I57, 2))), 2)</f>
        <v>92.13</v>
      </c>
      <c r="T105">
        <f>Source!X57</f>
        <v>622.55999999999995</v>
      </c>
      <c r="U105">
        <f>ROUND((Source!FY57/100)*((ROUND(Source!AF57*Source!I57, 2)+ROUND(Source!AE57*Source!I57, 2))), 2)</f>
        <v>46.45</v>
      </c>
      <c r="V105">
        <f>Source!Y57</f>
        <v>317.14999999999998</v>
      </c>
    </row>
    <row r="106" spans="1:26" x14ac:dyDescent="0.2">
      <c r="C106" s="29" t="str">
        <f>"Объем: "&amp;Source!I57&amp;"=132/"&amp;"100"</f>
        <v>Объем: 1,32=132/100</v>
      </c>
    </row>
    <row r="107" spans="1:26" ht="14.25" x14ac:dyDescent="0.2">
      <c r="A107" s="53"/>
      <c r="B107" s="54"/>
      <c r="C107" s="54" t="s">
        <v>350</v>
      </c>
      <c r="D107" s="35"/>
      <c r="E107" s="13"/>
      <c r="F107" s="36">
        <f>Source!AO57</f>
        <v>57.15</v>
      </c>
      <c r="G107" s="37" t="str">
        <f>Source!DG57</f>
        <v>)*1,15</v>
      </c>
      <c r="H107" s="38">
        <f>ROUND(Source!AF57*Source!I57, 2)</f>
        <v>86.75</v>
      </c>
      <c r="I107" s="37"/>
      <c r="J107" s="37">
        <f>IF(Source!BA57&lt;&gt; 0, Source!BA57, 1)</f>
        <v>6.77</v>
      </c>
      <c r="K107" s="38">
        <f>Source!S57</f>
        <v>587.32000000000005</v>
      </c>
      <c r="L107" s="39"/>
      <c r="R107">
        <f>H107</f>
        <v>86.75</v>
      </c>
    </row>
    <row r="108" spans="1:26" ht="14.25" x14ac:dyDescent="0.2">
      <c r="A108" s="53"/>
      <c r="B108" s="54"/>
      <c r="C108" s="54" t="s">
        <v>357</v>
      </c>
      <c r="D108" s="35"/>
      <c r="E108" s="13"/>
      <c r="F108" s="36">
        <f>Source!AL57</f>
        <v>36</v>
      </c>
      <c r="G108" s="37" t="str">
        <f>Source!DD57</f>
        <v/>
      </c>
      <c r="H108" s="38">
        <f>ROUND(Source!AC57*Source!I57, 2)</f>
        <v>47.52</v>
      </c>
      <c r="I108" s="37"/>
      <c r="J108" s="37">
        <f>IF(Source!BC57&lt;&gt; 0, Source!BC57, 1)</f>
        <v>6.77</v>
      </c>
      <c r="K108" s="38">
        <f>Source!P57</f>
        <v>321.70999999999998</v>
      </c>
      <c r="L108" s="39"/>
    </row>
    <row r="109" spans="1:26" ht="14.25" x14ac:dyDescent="0.2">
      <c r="A109" s="53"/>
      <c r="B109" s="54"/>
      <c r="C109" s="54" t="s">
        <v>352</v>
      </c>
      <c r="D109" s="35" t="s">
        <v>353</v>
      </c>
      <c r="E109" s="13">
        <f>Source!BZ57</f>
        <v>118</v>
      </c>
      <c r="F109" s="75" t="str">
        <f>CONCATENATE(" )", Source!DL57, Source!FT57, "=", Source!FX57)</f>
        <v xml:space="preserve"> )*0,9=106,2</v>
      </c>
      <c r="G109" s="87"/>
      <c r="H109" s="38">
        <f>SUM(S105:S113)</f>
        <v>92.13</v>
      </c>
      <c r="I109" s="41"/>
      <c r="J109" s="33">
        <f>Source!AT57</f>
        <v>106</v>
      </c>
      <c r="K109" s="38">
        <f>SUM(T105:T113)</f>
        <v>622.55999999999995</v>
      </c>
      <c r="L109" s="39"/>
    </row>
    <row r="110" spans="1:26" ht="14.25" x14ac:dyDescent="0.2">
      <c r="A110" s="53"/>
      <c r="B110" s="54"/>
      <c r="C110" s="54" t="s">
        <v>354</v>
      </c>
      <c r="D110" s="35" t="s">
        <v>353</v>
      </c>
      <c r="E110" s="13">
        <f>Source!CA57</f>
        <v>63</v>
      </c>
      <c r="F110" s="75" t="str">
        <f>CONCATENATE(" )", Source!DM57, Source!FU57, "=", Source!FY57)</f>
        <v xml:space="preserve"> )*0,85=53,55</v>
      </c>
      <c r="G110" s="87"/>
      <c r="H110" s="38">
        <f>SUM(U105:U113)</f>
        <v>46.45</v>
      </c>
      <c r="I110" s="41"/>
      <c r="J110" s="33">
        <f>Source!AU57</f>
        <v>54</v>
      </c>
      <c r="K110" s="38">
        <f>SUM(V105:V113)</f>
        <v>317.14999999999998</v>
      </c>
      <c r="L110" s="39"/>
    </row>
    <row r="111" spans="1:26" ht="14.25" x14ac:dyDescent="0.2">
      <c r="A111" s="53"/>
      <c r="B111" s="54"/>
      <c r="C111" s="54" t="s">
        <v>355</v>
      </c>
      <c r="D111" s="35" t="s">
        <v>356</v>
      </c>
      <c r="E111" s="13">
        <f>Source!AQ57</f>
        <v>6.7</v>
      </c>
      <c r="F111" s="36"/>
      <c r="G111" s="37" t="str">
        <f>Source!DI57</f>
        <v>)*1,15</v>
      </c>
      <c r="H111" s="38"/>
      <c r="I111" s="37"/>
      <c r="J111" s="37"/>
      <c r="K111" s="38"/>
      <c r="L111" s="49">
        <f>Source!U57</f>
        <v>10.170599999999999</v>
      </c>
    </row>
    <row r="112" spans="1:26" ht="14.25" x14ac:dyDescent="0.2">
      <c r="A112" s="53" t="str">
        <f>Source!E59</f>
        <v>8,1</v>
      </c>
      <c r="B112" s="54" t="str">
        <f>Source!F59</f>
        <v>11.3.03.13</v>
      </c>
      <c r="C112" s="54" t="str">
        <f>Source!G59</f>
        <v>Уголок ПВХ</v>
      </c>
      <c r="D112" s="35" t="str">
        <f>Source!H59</f>
        <v>П.М</v>
      </c>
      <c r="E112" s="13">
        <f>Source!I59</f>
        <v>132</v>
      </c>
      <c r="F112" s="36">
        <f>Source!AL59+Source!AM59+Source!AO59</f>
        <v>0</v>
      </c>
      <c r="G112" s="52" t="s">
        <v>6</v>
      </c>
      <c r="H112" s="38">
        <f>ROUND(Source!AC59*Source!I59, 2)+ROUND(Source!AD59*Source!I59, 2)+ROUND(Source!AF59*Source!I59, 2)</f>
        <v>0</v>
      </c>
      <c r="I112" s="37"/>
      <c r="J112" s="37">
        <f>IF(Source!BC59&lt;&gt; 0, Source!BC59, 1)</f>
        <v>6.77</v>
      </c>
      <c r="K112" s="38">
        <f>Source!O59</f>
        <v>0</v>
      </c>
      <c r="L112" s="39"/>
      <c r="S112">
        <f>ROUND((Source!FX59/100)*((ROUND(Source!AF59*Source!I59, 2)+ROUND(Source!AE59*Source!I59, 2))), 2)</f>
        <v>0</v>
      </c>
      <c r="T112">
        <f>Source!X59</f>
        <v>0</v>
      </c>
      <c r="U112">
        <f>ROUND((Source!FY59/100)*((ROUND(Source!AF59*Source!I59, 2)+ROUND(Source!AE59*Source!I59, 2))), 2)</f>
        <v>0</v>
      </c>
      <c r="V112">
        <f>Source!Y59</f>
        <v>0</v>
      </c>
      <c r="W112">
        <f>IF(Source!BI59&lt;=1,H112, 0)</f>
        <v>0</v>
      </c>
      <c r="X112">
        <f>IF(Source!BI59=2,H112, 0)</f>
        <v>0</v>
      </c>
      <c r="Y112">
        <f>IF(Source!BI59=3,H112, 0)</f>
        <v>0</v>
      </c>
      <c r="Z112">
        <f>IF(Source!BI59=4,H112, 0)</f>
        <v>0</v>
      </c>
    </row>
    <row r="113" spans="1:26" ht="28.5" x14ac:dyDescent="0.2">
      <c r="A113" s="55" t="str">
        <f>Source!E61</f>
        <v>8,2</v>
      </c>
      <c r="B113" s="56" t="str">
        <f>Source!F61</f>
        <v>11.3.03.13-0043</v>
      </c>
      <c r="C113" s="56" t="str">
        <f>Source!G61</f>
        <v>Уголок ПВХ, размером 20х20 мм</v>
      </c>
      <c r="D113" s="42" t="str">
        <f>Source!H61</f>
        <v>10 м</v>
      </c>
      <c r="E113" s="43">
        <f>Source!I61</f>
        <v>13.199999999999998</v>
      </c>
      <c r="F113" s="44">
        <f>Source!AL61+Source!AM61+Source!AO61</f>
        <v>25.6</v>
      </c>
      <c r="G113" s="50" t="s">
        <v>6</v>
      </c>
      <c r="H113" s="46">
        <f>ROUND(Source!AC61*Source!I61, 2)+ROUND(Source!AD61*Source!I61, 2)+ROUND(Source!AF61*Source!I61, 2)</f>
        <v>337.92</v>
      </c>
      <c r="I113" s="45"/>
      <c r="J113" s="45">
        <f>IF(Source!BC61&lt;&gt; 0, Source!BC61, 1)</f>
        <v>6.77</v>
      </c>
      <c r="K113" s="46">
        <f>Source!O61</f>
        <v>2287.7199999999998</v>
      </c>
      <c r="L113" s="51"/>
      <c r="S113">
        <f>ROUND((Source!FX61/100)*((ROUND(Source!AF61*Source!I61, 2)+ROUND(Source!AE61*Source!I61, 2))), 2)</f>
        <v>0</v>
      </c>
      <c r="T113">
        <f>Source!X61</f>
        <v>0</v>
      </c>
      <c r="U113">
        <f>ROUND((Source!FY61/100)*((ROUND(Source!AF61*Source!I61, 2)+ROUND(Source!AE61*Source!I61, 2))), 2)</f>
        <v>0</v>
      </c>
      <c r="V113">
        <f>Source!Y61</f>
        <v>0</v>
      </c>
      <c r="W113">
        <f>IF(Source!BI61&lt;=1,H113, 0)</f>
        <v>337.92</v>
      </c>
      <c r="X113">
        <f>IF(Source!BI61=2,H113, 0)</f>
        <v>0</v>
      </c>
      <c r="Y113">
        <f>IF(Source!BI61=3,H113, 0)</f>
        <v>0</v>
      </c>
      <c r="Z113">
        <f>IF(Source!BI61=4,H113, 0)</f>
        <v>0</v>
      </c>
    </row>
    <row r="114" spans="1:26" ht="15" x14ac:dyDescent="0.25">
      <c r="G114" s="88">
        <f>H107+H108+H109+H110+SUM(H112:H113)</f>
        <v>610.77</v>
      </c>
      <c r="H114" s="88"/>
      <c r="J114" s="88">
        <f>K107+K108+K109+K110+SUM(K112:K113)</f>
        <v>4136.4599999999991</v>
      </c>
      <c r="K114" s="88"/>
      <c r="L114" s="48">
        <f>Source!U57</f>
        <v>10.170599999999999</v>
      </c>
      <c r="O114" s="30">
        <f>G114</f>
        <v>610.77</v>
      </c>
      <c r="P114" s="30">
        <f>J114</f>
        <v>4136.4599999999991</v>
      </c>
      <c r="Q114" s="30">
        <f>L114</f>
        <v>10.170599999999999</v>
      </c>
      <c r="W114">
        <f>IF(Source!BI57&lt;=1,H107+H108+H109+H110, 0)</f>
        <v>272.85000000000002</v>
      </c>
      <c r="X114">
        <f>IF(Source!BI57=2,H107+H108+H109+H110, 0)</f>
        <v>0</v>
      </c>
      <c r="Y114">
        <f>IF(Source!BI57=3,H107+H108+H109+H110, 0)</f>
        <v>0</v>
      </c>
      <c r="Z114">
        <f>IF(Source!BI57=4,H107+H108+H109+H110, 0)</f>
        <v>0</v>
      </c>
    </row>
    <row r="115" spans="1:26" ht="42.75" x14ac:dyDescent="0.2">
      <c r="A115" s="55" t="str">
        <f>Source!E63</f>
        <v>9</v>
      </c>
      <c r="B115" s="56" t="str">
        <f>Source!F63</f>
        <v>т01-01-01-041</v>
      </c>
      <c r="C115" s="56" t="str">
        <f>Source!G63</f>
        <v>Погрузочные работы при автомобильных перевозках мусора строительного с погрузкой вручную</v>
      </c>
      <c r="D115" s="42" t="str">
        <f>Source!H63</f>
        <v>1 Т ГРУЗА</v>
      </c>
      <c r="E115" s="43">
        <f>Source!I63</f>
        <v>6</v>
      </c>
      <c r="F115" s="44">
        <f>Source!AK63</f>
        <v>42.98</v>
      </c>
      <c r="G115" s="45" t="str">
        <f>Source!DC63</f>
        <v/>
      </c>
      <c r="H115" s="46">
        <f>ROUND(Source!AB63*Source!I63, 2)</f>
        <v>257.88</v>
      </c>
      <c r="I115" s="45" t="str">
        <f>Source!BO63</f>
        <v/>
      </c>
      <c r="J115" s="45">
        <f>Source!AZ63</f>
        <v>6.77</v>
      </c>
      <c r="K115" s="46">
        <f>Source!GM63</f>
        <v>1745.85</v>
      </c>
      <c r="L115" s="51"/>
      <c r="S115">
        <f>ROUND((Source!FX63/100)*((ROUND(0*Source!I63, 2)+ROUND(0*Source!I63, 2))), 2)</f>
        <v>0</v>
      </c>
      <c r="T115">
        <f>Source!X63</f>
        <v>0</v>
      </c>
      <c r="U115">
        <f>ROUND((Source!FY63/100)*((ROUND(0*Source!I63, 2)+ROUND(0*Source!I63, 2))), 2)</f>
        <v>0</v>
      </c>
      <c r="V115">
        <f>Source!Y63</f>
        <v>0</v>
      </c>
    </row>
    <row r="116" spans="1:26" ht="15" x14ac:dyDescent="0.25">
      <c r="G116" s="88">
        <f>H115</f>
        <v>257.88</v>
      </c>
      <c r="H116" s="88"/>
      <c r="J116" s="88">
        <f>K115</f>
        <v>1745.85</v>
      </c>
      <c r="K116" s="88"/>
      <c r="L116" s="48">
        <f>Source!U63</f>
        <v>0</v>
      </c>
      <c r="O116" s="30">
        <f>G116</f>
        <v>257.88</v>
      </c>
      <c r="P116" s="30">
        <f>J116</f>
        <v>1745.85</v>
      </c>
      <c r="Q116" s="30">
        <f>L116</f>
        <v>0</v>
      </c>
      <c r="W116">
        <f>IF(Source!BI63&lt;=1,H115, 0)</f>
        <v>257.88</v>
      </c>
      <c r="X116">
        <f>IF(Source!BI63=2,H115, 0)</f>
        <v>0</v>
      </c>
      <c r="Y116">
        <f>IF(Source!BI63=3,H115, 0)</f>
        <v>0</v>
      </c>
      <c r="Z116">
        <f>IF(Source!BI63=4,H115, 0)</f>
        <v>0</v>
      </c>
    </row>
    <row r="117" spans="1:26" ht="57" x14ac:dyDescent="0.2">
      <c r="A117" s="55" t="str">
        <f>Source!E65</f>
        <v>10</v>
      </c>
      <c r="B117" s="56" t="str">
        <f>Source!F65</f>
        <v>т03-01-03-050</v>
      </c>
      <c r="C117" s="56" t="str">
        <f>Source!G65</f>
        <v>Перевозка грузов III класса автомобилями бортовыми грузоподъемностью до 15 т на расстояние до 50 км</v>
      </c>
      <c r="D117" s="42" t="str">
        <f>Source!H65</f>
        <v>1 Т ГРУЗА</v>
      </c>
      <c r="E117" s="43">
        <f>Source!I65</f>
        <v>6</v>
      </c>
      <c r="F117" s="44">
        <f>Source!AK65</f>
        <v>39.15</v>
      </c>
      <c r="G117" s="45" t="str">
        <f>Source!DC65</f>
        <v/>
      </c>
      <c r="H117" s="46">
        <f>ROUND(Source!AB65*Source!I65, 2)</f>
        <v>234.9</v>
      </c>
      <c r="I117" s="45" t="str">
        <f>Source!BO65</f>
        <v/>
      </c>
      <c r="J117" s="45">
        <f>Source!AZ65</f>
        <v>6.77</v>
      </c>
      <c r="K117" s="46">
        <f>Source!GM65</f>
        <v>1590.27</v>
      </c>
      <c r="L117" s="51"/>
      <c r="S117">
        <f>ROUND((Source!FX65/100)*((ROUND(0*Source!I65, 2)+ROUND(0*Source!I65, 2))), 2)</f>
        <v>0</v>
      </c>
      <c r="T117">
        <f>Source!X65</f>
        <v>0</v>
      </c>
      <c r="U117">
        <f>ROUND((Source!FY65/100)*((ROUND(0*Source!I65, 2)+ROUND(0*Source!I65, 2))), 2)</f>
        <v>0</v>
      </c>
      <c r="V117">
        <f>Source!Y65</f>
        <v>0</v>
      </c>
    </row>
    <row r="118" spans="1:26" ht="15" x14ac:dyDescent="0.25">
      <c r="G118" s="88">
        <f>H117</f>
        <v>234.9</v>
      </c>
      <c r="H118" s="88"/>
      <c r="J118" s="88">
        <f>K117</f>
        <v>1590.27</v>
      </c>
      <c r="K118" s="88"/>
      <c r="L118" s="48">
        <f>Source!U65</f>
        <v>0</v>
      </c>
      <c r="O118" s="30">
        <f>G118</f>
        <v>234.9</v>
      </c>
      <c r="P118" s="30">
        <f>J118</f>
        <v>1590.27</v>
      </c>
      <c r="Q118" s="30">
        <f>L118</f>
        <v>0</v>
      </c>
      <c r="W118">
        <f>IF(Source!BI65&lt;=1,H117, 0)</f>
        <v>234.9</v>
      </c>
      <c r="X118">
        <f>IF(Source!BI65=2,H117, 0)</f>
        <v>0</v>
      </c>
      <c r="Y118">
        <f>IF(Source!BI65=3,H117, 0)</f>
        <v>0</v>
      </c>
      <c r="Z118">
        <f>IF(Source!BI65=4,H117, 0)</f>
        <v>0</v>
      </c>
    </row>
    <row r="120" spans="1:26" ht="15" x14ac:dyDescent="0.25">
      <c r="A120" s="85" t="str">
        <f>CONCATENATE("Итого по локальной смете: ",IF(Source!G67&lt;&gt;"Новая локальная смета", Source!G67, ""))</f>
        <v xml:space="preserve">Итого по локальной смете: </v>
      </c>
      <c r="B120" s="85"/>
      <c r="C120" s="85"/>
      <c r="D120" s="85"/>
      <c r="E120" s="85"/>
      <c r="F120" s="85"/>
      <c r="G120" s="86">
        <f>SUM(O32:O119)</f>
        <v>85595.49</v>
      </c>
      <c r="H120" s="86"/>
      <c r="I120" s="32"/>
      <c r="J120" s="86">
        <f>SUM(P32:P119)</f>
        <v>579578.53</v>
      </c>
      <c r="K120" s="86"/>
      <c r="L120" s="48">
        <f>SUM(Q32:Q119)</f>
        <v>410.95948199999992</v>
      </c>
    </row>
    <row r="121" spans="1:26" ht="15" x14ac:dyDescent="0.25">
      <c r="C121" s="85" t="str">
        <f>Source!H95</f>
        <v>Всего</v>
      </c>
      <c r="D121" s="85"/>
      <c r="E121" s="85"/>
      <c r="F121" s="85"/>
      <c r="G121" s="85"/>
      <c r="H121" s="85"/>
      <c r="I121" s="85"/>
      <c r="J121" s="86">
        <f>IF(Source!P95=0, "", Source!P95)</f>
        <v>579578.53</v>
      </c>
      <c r="K121" s="86"/>
    </row>
    <row r="122" spans="1:26" ht="15" x14ac:dyDescent="0.25">
      <c r="C122" s="85" t="str">
        <f>Source!H96</f>
        <v>Итого НДС 20 %</v>
      </c>
      <c r="D122" s="85"/>
      <c r="E122" s="85"/>
      <c r="F122" s="85"/>
      <c r="G122" s="85"/>
      <c r="H122" s="85"/>
      <c r="I122" s="85"/>
      <c r="J122" s="86">
        <f>IF(Source!P96=0, "", Source!P96)</f>
        <v>115915.71</v>
      </c>
      <c r="K122" s="86"/>
    </row>
    <row r="123" spans="1:26" ht="15" x14ac:dyDescent="0.25">
      <c r="C123" s="85" t="str">
        <f>Source!H97</f>
        <v>Всего по смете</v>
      </c>
      <c r="D123" s="85"/>
      <c r="E123" s="85"/>
      <c r="F123" s="85"/>
      <c r="G123" s="85"/>
      <c r="H123" s="85"/>
      <c r="I123" s="85"/>
      <c r="J123" s="86">
        <f>IF(Source!P97=0, "", Source!P97)</f>
        <v>695494.24</v>
      </c>
      <c r="K123" s="86"/>
    </row>
    <row r="126" spans="1:26" ht="14.25" x14ac:dyDescent="0.2">
      <c r="A126" s="31" t="s">
        <v>359</v>
      </c>
      <c r="B126" s="31"/>
      <c r="C126" s="119"/>
      <c r="D126" s="120"/>
      <c r="E126" s="120"/>
      <c r="F126" s="120"/>
      <c r="G126" s="120"/>
      <c r="H126" s="120"/>
      <c r="I126" s="120"/>
      <c r="J126" s="14"/>
      <c r="K126" s="14"/>
      <c r="L126" s="14"/>
    </row>
    <row r="127" spans="1:26" ht="14.25" x14ac:dyDescent="0.2">
      <c r="A127" s="14"/>
      <c r="B127" s="14"/>
      <c r="C127" s="119"/>
      <c r="D127" s="121"/>
      <c r="E127" s="121"/>
      <c r="F127" s="121"/>
      <c r="G127" s="121"/>
      <c r="H127" s="121"/>
      <c r="I127" s="120"/>
      <c r="J127" s="14"/>
      <c r="K127" s="14"/>
      <c r="L127" s="14"/>
    </row>
    <row r="128" spans="1:26" ht="14.25" x14ac:dyDescent="0.2">
      <c r="A128" s="14"/>
      <c r="B128" s="14"/>
      <c r="C128" s="119"/>
      <c r="D128" s="120"/>
      <c r="E128" s="120"/>
      <c r="F128" s="120"/>
      <c r="G128" s="120"/>
      <c r="H128" s="120"/>
      <c r="I128" s="120"/>
      <c r="J128" s="14"/>
      <c r="K128" s="14"/>
      <c r="L128" s="14"/>
    </row>
    <row r="129" spans="1:12" ht="14.25" x14ac:dyDescent="0.2">
      <c r="A129" s="31" t="s">
        <v>359</v>
      </c>
      <c r="B129" s="31"/>
      <c r="C129" s="119"/>
      <c r="D129" s="120"/>
      <c r="E129" s="120"/>
      <c r="F129" s="120"/>
      <c r="G129" s="120"/>
      <c r="H129" s="120"/>
      <c r="I129" s="120"/>
      <c r="J129" s="14"/>
      <c r="K129" s="14"/>
      <c r="L129" s="14"/>
    </row>
    <row r="130" spans="1:12" ht="14.25" x14ac:dyDescent="0.2">
      <c r="A130" s="14"/>
      <c r="B130" s="14"/>
      <c r="C130" s="120"/>
      <c r="D130" s="121"/>
      <c r="E130" s="121"/>
      <c r="F130" s="121"/>
      <c r="G130" s="121"/>
      <c r="H130" s="121"/>
      <c r="I130" s="120"/>
      <c r="J130" s="14"/>
      <c r="K130" s="14"/>
      <c r="L130" s="14"/>
    </row>
    <row r="131" spans="1:12" x14ac:dyDescent="0.2">
      <c r="C131" s="122"/>
      <c r="D131" s="122"/>
      <c r="E131" s="122"/>
      <c r="F131" s="122"/>
      <c r="G131" s="122"/>
      <c r="H131" s="122"/>
      <c r="I131" s="122"/>
    </row>
  </sheetData>
  <mergeCells count="87">
    <mergeCell ref="H1:K2"/>
    <mergeCell ref="G116:H116"/>
    <mergeCell ref="J114:K114"/>
    <mergeCell ref="G114:H114"/>
    <mergeCell ref="F110:G110"/>
    <mergeCell ref="J40:K40"/>
    <mergeCell ref="G40:H40"/>
    <mergeCell ref="F75:G75"/>
    <mergeCell ref="F74:G74"/>
    <mergeCell ref="J67:K67"/>
    <mergeCell ref="G67:H67"/>
    <mergeCell ref="F96:G96"/>
    <mergeCell ref="F95:G95"/>
    <mergeCell ref="J88:K88"/>
    <mergeCell ref="G88:H88"/>
    <mergeCell ref="F85:G85"/>
    <mergeCell ref="F84:G84"/>
    <mergeCell ref="F38:G38"/>
    <mergeCell ref="F37:G37"/>
    <mergeCell ref="G120:H120"/>
    <mergeCell ref="J120:K120"/>
    <mergeCell ref="A120:F120"/>
    <mergeCell ref="J118:K118"/>
    <mergeCell ref="G118:H118"/>
    <mergeCell ref="J116:K116"/>
    <mergeCell ref="F64:G64"/>
    <mergeCell ref="F63:G63"/>
    <mergeCell ref="J56:K56"/>
    <mergeCell ref="G56:H56"/>
    <mergeCell ref="J48:K48"/>
    <mergeCell ref="G48:H48"/>
    <mergeCell ref="J77:K77"/>
    <mergeCell ref="G77:H77"/>
    <mergeCell ref="D130:H130"/>
    <mergeCell ref="C27:F27"/>
    <mergeCell ref="G27:H27"/>
    <mergeCell ref="I27:J27"/>
    <mergeCell ref="K27:L27"/>
    <mergeCell ref="A29:L29"/>
    <mergeCell ref="C121:I121"/>
    <mergeCell ref="J121:K121"/>
    <mergeCell ref="F109:G109"/>
    <mergeCell ref="J104:K104"/>
    <mergeCell ref="G104:H104"/>
    <mergeCell ref="C122:I122"/>
    <mergeCell ref="J122:K122"/>
    <mergeCell ref="C123:I123"/>
    <mergeCell ref="J123:K123"/>
    <mergeCell ref="D127:H127"/>
    <mergeCell ref="C25:F25"/>
    <mergeCell ref="G25:H25"/>
    <mergeCell ref="I25:J25"/>
    <mergeCell ref="K25:L25"/>
    <mergeCell ref="C26:F26"/>
    <mergeCell ref="G26:H26"/>
    <mergeCell ref="I26:J26"/>
    <mergeCell ref="K26:L26"/>
    <mergeCell ref="C23:F23"/>
    <mergeCell ref="G23:H23"/>
    <mergeCell ref="I23:J23"/>
    <mergeCell ref="K23:L23"/>
    <mergeCell ref="C24:F24"/>
    <mergeCell ref="G24:H24"/>
    <mergeCell ref="I24:J24"/>
    <mergeCell ref="K24:L24"/>
    <mergeCell ref="C21:F21"/>
    <mergeCell ref="G21:H21"/>
    <mergeCell ref="I21:J21"/>
    <mergeCell ref="K21:L21"/>
    <mergeCell ref="C22:F22"/>
    <mergeCell ref="G22:H22"/>
    <mergeCell ref="I22:J22"/>
    <mergeCell ref="K22:L22"/>
    <mergeCell ref="B11:K11"/>
    <mergeCell ref="B13:K13"/>
    <mergeCell ref="B15:K15"/>
    <mergeCell ref="B16:K16"/>
    <mergeCell ref="G20:H20"/>
    <mergeCell ref="I20:J20"/>
    <mergeCell ref="B7:E7"/>
    <mergeCell ref="H7:L7"/>
    <mergeCell ref="B3:E3"/>
    <mergeCell ref="H3:L3"/>
    <mergeCell ref="B4:E4"/>
    <mergeCell ref="H4:L4"/>
    <mergeCell ref="B6:E6"/>
    <mergeCell ref="H6:L6"/>
  </mergeCells>
  <pageMargins left="0.4" right="0.2" top="0.4" bottom="0.4" header="0.2" footer="0.2"/>
  <pageSetup paperSize="256" scale="59" fitToHeight="0" orientation="portrait" r:id="rId1"/>
  <headerFooter>
    <oddHeader>&amp;L&amp;8НИЯУ МИФИ  Доп. раб. место  MCCS-0027251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4"/>
  <sheetViews>
    <sheetView zoomScaleNormal="100" workbookViewId="0"/>
  </sheetViews>
  <sheetFormatPr defaultRowHeight="12.75" x14ac:dyDescent="0.2"/>
  <cols>
    <col min="1" max="2" width="5.7109375" customWidth="1"/>
    <col min="3" max="3" width="40.7109375" customWidth="1"/>
    <col min="4" max="8" width="12.7109375" customWidth="1"/>
    <col min="20" max="30" width="0" hidden="1" customWidth="1"/>
    <col min="31" max="31" width="64.7109375" hidden="1" customWidth="1"/>
    <col min="32" max="32" width="0" hidden="1" customWidth="1"/>
    <col min="33" max="33" width="76.7109375" hidden="1" customWidth="1"/>
    <col min="34" max="37" width="0" hidden="1" customWidth="1"/>
  </cols>
  <sheetData>
    <row r="1" spans="1:31" x14ac:dyDescent="0.2">
      <c r="A1" s="12" t="str">
        <f>Source!B1</f>
        <v>Smeta.RU  (495) 974-1589</v>
      </c>
    </row>
    <row r="2" spans="1:31" ht="15" x14ac:dyDescent="0.25">
      <c r="A2" s="32"/>
      <c r="B2" s="32"/>
      <c r="C2" s="32"/>
      <c r="D2" s="32"/>
      <c r="E2" s="94" t="s">
        <v>360</v>
      </c>
      <c r="F2" s="94"/>
      <c r="G2" s="94"/>
      <c r="H2" s="94"/>
    </row>
    <row r="3" spans="1:31" ht="14.25" x14ac:dyDescent="0.2">
      <c r="A3" s="14"/>
      <c r="B3" s="14"/>
      <c r="C3" s="14"/>
      <c r="D3" s="14"/>
      <c r="E3" s="94" t="s">
        <v>361</v>
      </c>
      <c r="F3" s="94"/>
      <c r="G3" s="94"/>
      <c r="H3" s="94"/>
    </row>
    <row r="4" spans="1:31" ht="14.25" x14ac:dyDescent="0.2">
      <c r="A4" s="14"/>
      <c r="B4" s="14"/>
      <c r="C4" s="14"/>
      <c r="D4" s="14"/>
      <c r="E4" s="94" t="s">
        <v>362</v>
      </c>
      <c r="F4" s="94"/>
      <c r="G4" s="94"/>
      <c r="H4" s="94"/>
    </row>
    <row r="5" spans="1:31" ht="14.25" x14ac:dyDescent="0.2">
      <c r="A5" s="14"/>
      <c r="B5" s="14"/>
      <c r="C5" s="14"/>
      <c r="D5" s="14"/>
      <c r="E5" s="14"/>
      <c r="F5" s="14"/>
      <c r="G5" s="14"/>
      <c r="H5" s="14"/>
    </row>
    <row r="6" spans="1:31" ht="14.25" x14ac:dyDescent="0.2">
      <c r="A6" s="14"/>
      <c r="B6" s="14"/>
      <c r="C6" s="14"/>
      <c r="D6" s="14"/>
      <c r="E6" s="14"/>
      <c r="F6" s="14"/>
      <c r="G6" s="89" t="s">
        <v>363</v>
      </c>
      <c r="H6" s="90"/>
    </row>
    <row r="7" spans="1:31" ht="14.25" x14ac:dyDescent="0.2">
      <c r="A7" s="14"/>
      <c r="B7" s="14"/>
      <c r="C7" s="14"/>
      <c r="D7" s="14"/>
      <c r="E7" s="14"/>
      <c r="F7" s="13" t="s">
        <v>364</v>
      </c>
      <c r="G7" s="95" t="s">
        <v>365</v>
      </c>
      <c r="H7" s="90"/>
    </row>
    <row r="8" spans="1:31" ht="14.25" x14ac:dyDescent="0.2">
      <c r="A8" s="14"/>
      <c r="B8" s="14"/>
      <c r="C8" s="14"/>
      <c r="D8" s="14"/>
      <c r="E8" s="14"/>
      <c r="F8" s="14"/>
      <c r="G8" s="89" t="str">
        <f>IF(Source!AT15 &lt;&gt; "", Source!AT15, "")</f>
        <v/>
      </c>
      <c r="H8" s="90"/>
    </row>
    <row r="9" spans="1:31" ht="14.25" x14ac:dyDescent="0.2">
      <c r="A9" s="14" t="s">
        <v>366</v>
      </c>
      <c r="B9" s="14"/>
      <c r="C9" s="93" t="str">
        <f>IF(Source!BA15 &lt;&gt; "", Source!BA15, IF(Source!AU15 &lt;&gt; "", Source!AU15, ""))</f>
        <v/>
      </c>
      <c r="D9" s="93"/>
      <c r="E9" s="93"/>
      <c r="F9" s="13" t="s">
        <v>367</v>
      </c>
      <c r="G9" s="91"/>
      <c r="H9" s="92"/>
    </row>
    <row r="10" spans="1:31" ht="14.25" x14ac:dyDescent="0.2">
      <c r="A10" s="14"/>
      <c r="B10" s="14"/>
      <c r="C10" s="96" t="s">
        <v>368</v>
      </c>
      <c r="D10" s="96"/>
      <c r="E10" s="96"/>
      <c r="F10" s="14"/>
      <c r="G10" s="89" t="str">
        <f>IF(Source!AK15 &lt;&gt; "", Source!AK15, "")</f>
        <v/>
      </c>
      <c r="H10" s="90"/>
    </row>
    <row r="11" spans="1:31" ht="14.25" x14ac:dyDescent="0.2">
      <c r="A11" s="14" t="s">
        <v>369</v>
      </c>
      <c r="B11" s="14"/>
      <c r="C11" s="93" t="str">
        <f>IF(Source!AX12&lt;&gt; "", Source!AX12, IF(Source!AJ12 &lt;&gt; "", Source!AJ12, ""))</f>
        <v/>
      </c>
      <c r="D11" s="93"/>
      <c r="E11" s="93"/>
      <c r="F11" s="13" t="s">
        <v>367</v>
      </c>
      <c r="G11" s="91"/>
      <c r="H11" s="92"/>
    </row>
    <row r="12" spans="1:31" ht="14.25" x14ac:dyDescent="0.2">
      <c r="A12" s="14"/>
      <c r="B12" s="14"/>
      <c r="C12" s="96" t="s">
        <v>368</v>
      </c>
      <c r="D12" s="96"/>
      <c r="E12" s="96"/>
      <c r="F12" s="14"/>
      <c r="G12" s="89" t="str">
        <f>IF(Source!AO15 &lt;&gt; "", Source!AO15, "")</f>
        <v/>
      </c>
      <c r="H12" s="90"/>
    </row>
    <row r="13" spans="1:31" ht="14.25" x14ac:dyDescent="0.2">
      <c r="A13" s="14" t="s">
        <v>370</v>
      </c>
      <c r="B13" s="14"/>
      <c r="C13" s="93" t="str">
        <f>IF(Source!AY12&lt;&gt; "", Source!AY12, IF(Source!AN12 &lt;&gt; "", Source!AN12, ""))</f>
        <v/>
      </c>
      <c r="D13" s="93"/>
      <c r="E13" s="93"/>
      <c r="F13" s="13" t="s">
        <v>367</v>
      </c>
      <c r="G13" s="91"/>
      <c r="H13" s="92"/>
    </row>
    <row r="14" spans="1:31" ht="14.25" x14ac:dyDescent="0.2">
      <c r="A14" s="14"/>
      <c r="B14" s="14"/>
      <c r="C14" s="96" t="s">
        <v>368</v>
      </c>
      <c r="D14" s="96"/>
      <c r="E14" s="96"/>
      <c r="F14" s="14"/>
      <c r="G14" s="89" t="str">
        <f>IF(Source!CO15 &lt;&gt; "", Source!CO15, "")</f>
        <v/>
      </c>
      <c r="H14" s="90"/>
    </row>
    <row r="15" spans="1:31" ht="42.75" x14ac:dyDescent="0.2">
      <c r="A15" s="14" t="s">
        <v>371</v>
      </c>
      <c r="B15" s="14"/>
      <c r="C15" s="93" t="s">
        <v>5</v>
      </c>
      <c r="D15" s="93"/>
      <c r="E15" s="93"/>
      <c r="F15" s="14"/>
      <c r="G15" s="91"/>
      <c r="H15" s="92"/>
      <c r="AE15" s="34" t="s">
        <v>5</v>
      </c>
    </row>
    <row r="16" spans="1:31" ht="14.25" x14ac:dyDescent="0.2">
      <c r="A16" s="14"/>
      <c r="B16" s="14"/>
      <c r="C16" s="96" t="s">
        <v>372</v>
      </c>
      <c r="D16" s="96"/>
      <c r="E16" s="96"/>
      <c r="F16" s="14"/>
      <c r="G16" s="89" t="str">
        <f>IF(Source!CP15 &lt;&gt; "", Source!CP15, "")</f>
        <v/>
      </c>
      <c r="H16" s="90"/>
    </row>
    <row r="17" spans="1:31" ht="99.75" x14ac:dyDescent="0.2">
      <c r="A17" s="14" t="s">
        <v>373</v>
      </c>
      <c r="B17" s="14"/>
      <c r="C17" s="93" t="str">
        <f>IF(Source!G12&lt;&gt;"Новый объект", Source!G12, "")</f>
        <v>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v>
      </c>
      <c r="D17" s="93"/>
      <c r="E17" s="93"/>
      <c r="F17" s="14"/>
      <c r="G17" s="97"/>
      <c r="H17" s="98"/>
      <c r="AE17" s="34" t="str">
        <f>IF(Source!G12&lt;&gt;"Новый объект", Source!G12, "")</f>
        <v>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v>
      </c>
    </row>
    <row r="18" spans="1:31" ht="14.25" x14ac:dyDescent="0.2">
      <c r="A18" s="14"/>
      <c r="B18" s="14"/>
      <c r="C18" s="96" t="s">
        <v>374</v>
      </c>
      <c r="D18" s="96"/>
      <c r="E18" s="96"/>
      <c r="F18" s="14"/>
      <c r="G18" s="14"/>
      <c r="H18" s="14"/>
    </row>
    <row r="19" spans="1:31" ht="14.25" x14ac:dyDescent="0.2">
      <c r="A19" s="14"/>
      <c r="B19" s="14"/>
      <c r="C19" s="14"/>
      <c r="D19" s="83" t="s">
        <v>375</v>
      </c>
      <c r="E19" s="83"/>
      <c r="F19" s="100"/>
      <c r="G19" s="89" t="str">
        <f>IF(Source!CQ15 &lt;&gt; "", Source!CQ15, "")</f>
        <v/>
      </c>
      <c r="H19" s="90"/>
    </row>
    <row r="20" spans="1:31" ht="14.25" x14ac:dyDescent="0.2">
      <c r="A20" s="14"/>
      <c r="B20" s="14"/>
      <c r="C20" s="14"/>
      <c r="D20" s="83" t="s">
        <v>376</v>
      </c>
      <c r="E20" s="100"/>
      <c r="F20" s="59" t="s">
        <v>377</v>
      </c>
      <c r="G20" s="89" t="str">
        <f>IF(Source!CR15 &lt;&gt; "", Source!CR15, "")</f>
        <v/>
      </c>
      <c r="H20" s="90"/>
    </row>
    <row r="21" spans="1:31" ht="14.25" x14ac:dyDescent="0.2">
      <c r="A21" s="14"/>
      <c r="B21" s="14"/>
      <c r="C21" s="14"/>
      <c r="D21" s="14"/>
      <c r="E21" s="14"/>
      <c r="F21" s="25" t="s">
        <v>378</v>
      </c>
      <c r="G21" s="101" t="str">
        <f>IF(Source!CS15 &lt;&gt; 0, Source!CS15, "")</f>
        <v/>
      </c>
      <c r="H21" s="102"/>
    </row>
    <row r="22" spans="1:31" ht="14.25" x14ac:dyDescent="0.2">
      <c r="A22" s="14"/>
      <c r="B22" s="14"/>
      <c r="C22" s="14"/>
      <c r="D22" s="14"/>
      <c r="E22" s="14"/>
      <c r="F22" s="13" t="s">
        <v>379</v>
      </c>
      <c r="G22" s="103" t="str">
        <f>IF(Source!CT15 &lt;&gt; "", Source!CT15, "")</f>
        <v/>
      </c>
      <c r="H22" s="104"/>
    </row>
    <row r="23" spans="1:31" ht="14.25" x14ac:dyDescent="0.2">
      <c r="A23" s="14"/>
      <c r="B23" s="14"/>
      <c r="C23" s="14"/>
      <c r="D23" s="14"/>
      <c r="E23" s="14"/>
      <c r="F23" s="14"/>
      <c r="G23" s="14"/>
      <c r="H23" s="14"/>
    </row>
    <row r="24" spans="1:31" ht="14.25" x14ac:dyDescent="0.2">
      <c r="A24" s="14"/>
      <c r="B24" s="14"/>
      <c r="C24" s="14"/>
      <c r="D24" s="105" t="s">
        <v>380</v>
      </c>
      <c r="E24" s="107" t="s">
        <v>381</v>
      </c>
      <c r="F24" s="107" t="s">
        <v>382</v>
      </c>
      <c r="G24" s="109"/>
      <c r="H24" s="14"/>
    </row>
    <row r="25" spans="1:31" ht="14.25" x14ac:dyDescent="0.2">
      <c r="A25" s="14"/>
      <c r="B25" s="14"/>
      <c r="C25" s="14"/>
      <c r="D25" s="106"/>
      <c r="E25" s="108"/>
      <c r="F25" s="60" t="s">
        <v>383</v>
      </c>
      <c r="G25" s="61" t="s">
        <v>384</v>
      </c>
      <c r="H25" s="14"/>
    </row>
    <row r="26" spans="1:31" ht="14.25" x14ac:dyDescent="0.2">
      <c r="A26" s="14"/>
      <c r="B26" s="14"/>
      <c r="C26" s="14"/>
      <c r="D26" s="62" t="str">
        <f>IF(Source!CN15 &lt;&gt; "", Source!CN15, "")</f>
        <v/>
      </c>
      <c r="E26" s="63">
        <v>43447.64675925926</v>
      </c>
      <c r="F26" s="62"/>
      <c r="G26" s="64"/>
      <c r="H26" s="14"/>
    </row>
    <row r="27" spans="1:31" ht="14.25" x14ac:dyDescent="0.2">
      <c r="A27" s="14"/>
      <c r="B27" s="14"/>
      <c r="C27" s="14"/>
      <c r="D27" s="14"/>
      <c r="E27" s="14"/>
      <c r="F27" s="14"/>
      <c r="G27" s="14"/>
      <c r="H27" s="14"/>
    </row>
    <row r="28" spans="1:31" ht="18" x14ac:dyDescent="0.25">
      <c r="A28" s="99" t="s">
        <v>385</v>
      </c>
      <c r="B28" s="99"/>
      <c r="C28" s="99"/>
      <c r="D28" s="99"/>
      <c r="E28" s="99"/>
      <c r="F28" s="99"/>
      <c r="G28" s="99"/>
      <c r="H28" s="99"/>
    </row>
    <row r="29" spans="1:31" ht="18" x14ac:dyDescent="0.25">
      <c r="A29" s="99" t="s">
        <v>386</v>
      </c>
      <c r="B29" s="99"/>
      <c r="C29" s="99"/>
      <c r="D29" s="99"/>
      <c r="E29" s="99"/>
      <c r="F29" s="99"/>
      <c r="G29" s="99"/>
      <c r="H29" s="99"/>
    </row>
    <row r="30" spans="1:31" ht="14.25" x14ac:dyDescent="0.2">
      <c r="A30" s="14"/>
      <c r="B30" s="14"/>
      <c r="C30" s="14"/>
      <c r="D30" s="14"/>
      <c r="E30" s="14"/>
      <c r="F30" s="14"/>
      <c r="G30" s="14"/>
      <c r="H30" s="14"/>
    </row>
    <row r="31" spans="1:31" ht="15" x14ac:dyDescent="0.25">
      <c r="A31" s="11" t="s">
        <v>387</v>
      </c>
      <c r="B31" s="14"/>
      <c r="C31" s="14"/>
      <c r="D31" s="14"/>
      <c r="E31" s="14"/>
      <c r="F31" s="110">
        <f>(Source!P129/1000)</f>
        <v>695.49423999999999</v>
      </c>
      <c r="G31" s="110"/>
      <c r="H31" s="14" t="s">
        <v>388</v>
      </c>
    </row>
    <row r="32" spans="1:31" ht="14.25" x14ac:dyDescent="0.2">
      <c r="A32" s="14"/>
      <c r="B32" s="14"/>
      <c r="C32" s="14"/>
      <c r="D32" s="14"/>
      <c r="E32" s="14"/>
      <c r="F32" s="14"/>
      <c r="G32" s="14"/>
      <c r="H32" s="14"/>
    </row>
    <row r="33" spans="1:28" ht="14.25" x14ac:dyDescent="0.2">
      <c r="A33" s="111" t="s">
        <v>389</v>
      </c>
      <c r="B33" s="111"/>
      <c r="C33" s="111" t="s">
        <v>390</v>
      </c>
      <c r="D33" s="111" t="s">
        <v>391</v>
      </c>
      <c r="E33" s="111" t="s">
        <v>392</v>
      </c>
      <c r="F33" s="111" t="s">
        <v>393</v>
      </c>
      <c r="G33" s="111"/>
      <c r="H33" s="111"/>
    </row>
    <row r="34" spans="1:28" ht="57" x14ac:dyDescent="0.2">
      <c r="A34" s="24" t="s">
        <v>394</v>
      </c>
      <c r="B34" s="24" t="s">
        <v>395</v>
      </c>
      <c r="C34" s="111"/>
      <c r="D34" s="111"/>
      <c r="E34" s="111"/>
      <c r="F34" s="24" t="s">
        <v>396</v>
      </c>
      <c r="G34" s="24" t="s">
        <v>397</v>
      </c>
      <c r="H34" s="24" t="s">
        <v>398</v>
      </c>
    </row>
    <row r="35" spans="1:28" ht="14.25" x14ac:dyDescent="0.2">
      <c r="A35" s="24">
        <v>1</v>
      </c>
      <c r="B35" s="24">
        <v>2</v>
      </c>
      <c r="C35" s="24">
        <v>3</v>
      </c>
      <c r="D35" s="24">
        <v>4</v>
      </c>
      <c r="E35" s="24">
        <v>5</v>
      </c>
      <c r="F35" s="24">
        <v>6</v>
      </c>
      <c r="G35" s="24">
        <v>7</v>
      </c>
      <c r="H35" s="24">
        <v>8</v>
      </c>
    </row>
    <row r="37" spans="1:28" ht="16.5" x14ac:dyDescent="0.25">
      <c r="A37" s="113" t="str">
        <f>CONCATENATE("Локальная смета: ",IF(Source!G20&lt;&gt;"Новая локальная смета", Source!G20, ""))</f>
        <v xml:space="preserve">Локальная смета: </v>
      </c>
      <c r="B37" s="113"/>
      <c r="C37" s="113"/>
      <c r="D37" s="113"/>
      <c r="E37" s="113"/>
      <c r="F37" s="113"/>
      <c r="G37" s="113"/>
      <c r="H37" s="113"/>
    </row>
    <row r="38" spans="1:28" ht="42.75" x14ac:dyDescent="0.2">
      <c r="A38" s="54">
        <v>1</v>
      </c>
      <c r="B38" s="54" t="str">
        <f>Source!E25</f>
        <v>1</v>
      </c>
      <c r="C38" s="54" t="str">
        <f>Source!G25</f>
        <v>Разборка деревянных заполнений проемов оконных без подоконных досок</v>
      </c>
      <c r="D38" s="54" t="str">
        <f>Source!F25</f>
        <v>46-04-012-02</v>
      </c>
      <c r="E38" s="37" t="str">
        <f>Source!H25</f>
        <v>100 м2</v>
      </c>
      <c r="F38" s="14">
        <f>Source!I25</f>
        <v>0.86399999999999999</v>
      </c>
      <c r="G38" s="27">
        <f>Source!AB25</f>
        <v>1639.58</v>
      </c>
      <c r="H38" s="28">
        <f>Source!O25</f>
        <v>9590.36</v>
      </c>
      <c r="T38">
        <f>Source!O25+Source!X25+Source!Y25</f>
        <v>23560.61</v>
      </c>
      <c r="U38">
        <f>Source!P25</f>
        <v>0</v>
      </c>
      <c r="V38">
        <f>Source!S25</f>
        <v>8175.13</v>
      </c>
      <c r="W38">
        <f>Source!Q25</f>
        <v>1415.23</v>
      </c>
      <c r="X38">
        <f>Source!R25</f>
        <v>611.19000000000005</v>
      </c>
      <c r="Y38">
        <f>Source!U25</f>
        <v>149.26463999999999</v>
      </c>
      <c r="Z38">
        <f>Source!V25</f>
        <v>6.68736</v>
      </c>
      <c r="AA38">
        <f>Source!X25</f>
        <v>8698.4599999999991</v>
      </c>
      <c r="AB38">
        <f>Source!Y25</f>
        <v>5271.79</v>
      </c>
    </row>
    <row r="39" spans="1:28" ht="14.25" x14ac:dyDescent="0.2">
      <c r="C39" s="29" t="str">
        <f>"Объем: "&amp;Source!I25&amp;"=86,4/"&amp;"100"</f>
        <v>Объем: 0,864=86,4/100</v>
      </c>
      <c r="F39" s="14"/>
      <c r="G39" s="14"/>
      <c r="H39" s="14"/>
    </row>
    <row r="40" spans="1:28" x14ac:dyDescent="0.2">
      <c r="C40" s="29" t="s">
        <v>399</v>
      </c>
      <c r="D40" s="29">
        <f>Source!BA25</f>
        <v>6.77</v>
      </c>
    </row>
    <row r="41" spans="1:28" x14ac:dyDescent="0.2">
      <c r="C41" s="29" t="s">
        <v>400</v>
      </c>
      <c r="D41" s="29">
        <f>Source!BB25</f>
        <v>6.77</v>
      </c>
    </row>
    <row r="42" spans="1:28" x14ac:dyDescent="0.2">
      <c r="C42" s="29" t="s">
        <v>401</v>
      </c>
      <c r="D42" s="29">
        <f>Source!BC25</f>
        <v>6.77</v>
      </c>
    </row>
    <row r="43" spans="1:28" x14ac:dyDescent="0.2">
      <c r="C43" s="29" t="s">
        <v>402</v>
      </c>
      <c r="D43" s="29">
        <f>Source!BS25</f>
        <v>6.77</v>
      </c>
    </row>
    <row r="44" spans="1:28" x14ac:dyDescent="0.2">
      <c r="C44" s="11" t="s">
        <v>403</v>
      </c>
      <c r="D44" s="41"/>
      <c r="E44" s="41"/>
      <c r="F44" s="41">
        <f>Source!BZ25</f>
        <v>110</v>
      </c>
      <c r="G44" s="65">
        <f>(Source!AF25+Source!AE25)*Source!FX25/100</f>
        <v>1487.0988</v>
      </c>
      <c r="H44" s="66">
        <f>Source!X25</f>
        <v>8698.4599999999991</v>
      </c>
    </row>
    <row r="45" spans="1:28" x14ac:dyDescent="0.2">
      <c r="C45" s="11" t="s">
        <v>404</v>
      </c>
      <c r="D45" s="41"/>
      <c r="E45" s="41"/>
      <c r="F45" s="41"/>
      <c r="G45" s="41" t="str">
        <f>CONCATENATE(Source!DL25,Source!FT25, "=", Source!FX25, "%")</f>
        <v>*0,9=99%</v>
      </c>
      <c r="H45" s="41" t="str">
        <f>CONCATENATE(Source!AT25)</f>
        <v>99</v>
      </c>
    </row>
    <row r="46" spans="1:28" x14ac:dyDescent="0.2">
      <c r="C46" s="11" t="s">
        <v>405</v>
      </c>
      <c r="D46" s="41"/>
      <c r="E46" s="41"/>
      <c r="F46" s="41">
        <f>Source!CA25</f>
        <v>70</v>
      </c>
      <c r="G46" s="65">
        <f>(Source!AF25+Source!AE25)*Source!FY25/100</f>
        <v>893.76140000000009</v>
      </c>
      <c r="H46" s="66">
        <f>Source!Y25</f>
        <v>5271.79</v>
      </c>
    </row>
    <row r="47" spans="1:28" x14ac:dyDescent="0.2">
      <c r="C47" s="11" t="s">
        <v>406</v>
      </c>
      <c r="D47" s="41"/>
      <c r="E47" s="41"/>
      <c r="F47" s="41"/>
      <c r="G47" s="41" t="str">
        <f>CONCATENATE(Source!DM25,Source!FU25, "=", Source!FY25, "%")</f>
        <v>*0,85=59,5%</v>
      </c>
      <c r="H47" s="41" t="str">
        <f>CONCATENATE(Source!AU25)</f>
        <v>60</v>
      </c>
    </row>
    <row r="48" spans="1:28" x14ac:dyDescent="0.2">
      <c r="C48" s="11" t="s">
        <v>407</v>
      </c>
      <c r="D48" s="41"/>
      <c r="E48" s="41"/>
      <c r="F48" s="41"/>
      <c r="G48" s="65">
        <f>((Source!AF25+Source!AE25)*Source!FX25/100)+((Source!AF25+Source!AE25)*Source!FY25/100)+Source!AB25</f>
        <v>4020.4402</v>
      </c>
      <c r="H48" s="66">
        <f>Source!O25+Source!X25+Source!Y25</f>
        <v>23560.61</v>
      </c>
    </row>
    <row r="49" spans="1:28" ht="42.75" x14ac:dyDescent="0.2">
      <c r="A49" s="54">
        <v>2</v>
      </c>
      <c r="B49" s="54" t="str">
        <f>Source!E27</f>
        <v>2</v>
      </c>
      <c r="C49" s="54" t="str">
        <f>Source!G27</f>
        <v>Разборка мелких покрытий и обделок из листовой стали поясков, сандриков, желобов, отливов, свесов и т.п.</v>
      </c>
      <c r="D49" s="54" t="str">
        <f>Source!F27</f>
        <v>58-3-1</v>
      </c>
      <c r="E49" s="37" t="str">
        <f>Source!H27</f>
        <v>100 м</v>
      </c>
      <c r="F49" s="14">
        <f>Source!I27</f>
        <v>0.36</v>
      </c>
      <c r="G49" s="27">
        <f>Source!AB27</f>
        <v>71.180000000000007</v>
      </c>
      <c r="H49" s="28">
        <f>Source!O27</f>
        <v>173.48</v>
      </c>
      <c r="T49">
        <f>Source!O27+Source!X27+Source!Y27</f>
        <v>429.5</v>
      </c>
      <c r="U49">
        <f>Source!P27</f>
        <v>0</v>
      </c>
      <c r="V49">
        <f>Source!S27</f>
        <v>172.99</v>
      </c>
      <c r="W49">
        <f>Source!Q27</f>
        <v>0.49</v>
      </c>
      <c r="X49">
        <f>Source!R27</f>
        <v>0</v>
      </c>
      <c r="Y49">
        <f>Source!U27</f>
        <v>3.2759999999999998</v>
      </c>
      <c r="Z49">
        <f>Source!V27</f>
        <v>0</v>
      </c>
      <c r="AA49">
        <f>Source!X27</f>
        <v>143.58000000000001</v>
      </c>
      <c r="AB49">
        <f>Source!Y27</f>
        <v>112.44</v>
      </c>
    </row>
    <row r="50" spans="1:28" ht="14.25" x14ac:dyDescent="0.2">
      <c r="C50" s="29" t="str">
        <f>"Объем: "&amp;Source!I27&amp;"=36/"&amp;"100"</f>
        <v>Объем: 0,36=36/100</v>
      </c>
      <c r="F50" s="14"/>
      <c r="G50" s="14"/>
      <c r="H50" s="14"/>
    </row>
    <row r="51" spans="1:28" x14ac:dyDescent="0.2">
      <c r="C51" s="29" t="s">
        <v>399</v>
      </c>
      <c r="D51" s="29">
        <f>Source!BA27</f>
        <v>6.77</v>
      </c>
    </row>
    <row r="52" spans="1:28" x14ac:dyDescent="0.2">
      <c r="C52" s="29" t="s">
        <v>400</v>
      </c>
      <c r="D52" s="29">
        <f>Source!BB27</f>
        <v>6.77</v>
      </c>
    </row>
    <row r="53" spans="1:28" x14ac:dyDescent="0.2">
      <c r="C53" s="29" t="s">
        <v>401</v>
      </c>
      <c r="D53" s="29">
        <f>Source!BC27</f>
        <v>6.77</v>
      </c>
    </row>
    <row r="54" spans="1:28" x14ac:dyDescent="0.2">
      <c r="C54" s="29" t="s">
        <v>402</v>
      </c>
      <c r="D54" s="29">
        <f>Source!BS27</f>
        <v>6.77</v>
      </c>
    </row>
    <row r="55" spans="1:28" x14ac:dyDescent="0.2">
      <c r="C55" s="11" t="s">
        <v>403</v>
      </c>
      <c r="D55" s="41"/>
      <c r="E55" s="41"/>
      <c r="F55" s="41">
        <f>Source!BZ27</f>
        <v>83</v>
      </c>
      <c r="G55" s="65">
        <f>(Source!AF27+Source!AE27)*Source!FX27/100</f>
        <v>58.913400000000003</v>
      </c>
      <c r="H55" s="66">
        <f>Source!X27</f>
        <v>143.58000000000001</v>
      </c>
    </row>
    <row r="56" spans="1:28" x14ac:dyDescent="0.2">
      <c r="C56" s="11" t="s">
        <v>405</v>
      </c>
      <c r="D56" s="41"/>
      <c r="E56" s="41"/>
      <c r="F56" s="41">
        <f>Source!CA27</f>
        <v>65</v>
      </c>
      <c r="G56" s="65">
        <f>(Source!AF27+Source!AE27)*Source!FY27/100</f>
        <v>46.137</v>
      </c>
      <c r="H56" s="66">
        <f>Source!Y27</f>
        <v>112.44</v>
      </c>
    </row>
    <row r="57" spans="1:28" x14ac:dyDescent="0.2">
      <c r="C57" s="11" t="s">
        <v>407</v>
      </c>
      <c r="D57" s="41"/>
      <c r="E57" s="41"/>
      <c r="F57" s="41"/>
      <c r="G57" s="65">
        <f>((Source!AF27+Source!AE27)*Source!FX27/100)+((Source!AF27+Source!AE27)*Source!FY27/100)+Source!AB27</f>
        <v>176.2304</v>
      </c>
      <c r="H57" s="66">
        <f>Source!O27+Source!X27+Source!Y27</f>
        <v>429.5</v>
      </c>
    </row>
    <row r="58" spans="1:28" ht="28.5" x14ac:dyDescent="0.2">
      <c r="A58" s="54">
        <v>3</v>
      </c>
      <c r="B58" s="54" t="str">
        <f>Source!E29</f>
        <v>3</v>
      </c>
      <c r="C58" s="54" t="str">
        <f>Source!G29</f>
        <v>Снятие подоконных досок бетонных и мозаичных</v>
      </c>
      <c r="D58" s="54" t="str">
        <f>Source!F29</f>
        <v>56-3-1</v>
      </c>
      <c r="E58" s="37" t="str">
        <f>Source!H29</f>
        <v>100 м2</v>
      </c>
      <c r="F58" s="14">
        <f>Source!I29</f>
        <v>7.1999999999999995E-2</v>
      </c>
      <c r="G58" s="27">
        <f>Source!AB29</f>
        <v>2172.79</v>
      </c>
      <c r="H58" s="28">
        <f>Source!O29</f>
        <v>1059.0999999999999</v>
      </c>
      <c r="T58">
        <f>Source!O29+Source!X29+Source!Y29</f>
        <v>2544.7799999999997</v>
      </c>
      <c r="U58">
        <f>Source!P29</f>
        <v>0</v>
      </c>
      <c r="V58">
        <f>Source!S29</f>
        <v>1031.72</v>
      </c>
      <c r="W58">
        <f>Source!Q29</f>
        <v>27.38</v>
      </c>
      <c r="X58">
        <f>Source!R29</f>
        <v>0</v>
      </c>
      <c r="Y58">
        <f>Source!U29</f>
        <v>19.8432</v>
      </c>
      <c r="Z58">
        <f>Source!V29</f>
        <v>0</v>
      </c>
      <c r="AA58">
        <f>Source!X29</f>
        <v>846.01</v>
      </c>
      <c r="AB58">
        <f>Source!Y29</f>
        <v>639.66999999999996</v>
      </c>
    </row>
    <row r="59" spans="1:28" ht="14.25" x14ac:dyDescent="0.2">
      <c r="C59" s="29" t="str">
        <f>"Объем: "&amp;Source!I29&amp;"=7,2/"&amp;"100"</f>
        <v>Объем: 0,072=7,2/100</v>
      </c>
      <c r="F59" s="14"/>
      <c r="G59" s="14"/>
      <c r="H59" s="14"/>
    </row>
    <row r="60" spans="1:28" x14ac:dyDescent="0.2">
      <c r="C60" s="29" t="s">
        <v>399</v>
      </c>
      <c r="D60" s="29">
        <f>Source!BA29</f>
        <v>6.77</v>
      </c>
    </row>
    <row r="61" spans="1:28" x14ac:dyDescent="0.2">
      <c r="C61" s="29" t="s">
        <v>400</v>
      </c>
      <c r="D61" s="29">
        <f>Source!BB29</f>
        <v>6.77</v>
      </c>
    </row>
    <row r="62" spans="1:28" x14ac:dyDescent="0.2">
      <c r="C62" s="29" t="s">
        <v>401</v>
      </c>
      <c r="D62" s="29">
        <f>Source!BC29</f>
        <v>6.77</v>
      </c>
    </row>
    <row r="63" spans="1:28" x14ac:dyDescent="0.2">
      <c r="C63" s="29" t="s">
        <v>402</v>
      </c>
      <c r="D63" s="29">
        <f>Source!BS29</f>
        <v>6.77</v>
      </c>
    </row>
    <row r="64" spans="1:28" x14ac:dyDescent="0.2">
      <c r="C64" s="11" t="s">
        <v>403</v>
      </c>
      <c r="D64" s="41"/>
      <c r="E64" s="41"/>
      <c r="F64" s="41">
        <f>Source!BZ29</f>
        <v>82</v>
      </c>
      <c r="G64" s="65">
        <f>(Source!AF29+Source!AE29)*Source!FX29/100</f>
        <v>1735.6202000000003</v>
      </c>
      <c r="H64" s="66">
        <f>Source!X29</f>
        <v>846.01</v>
      </c>
    </row>
    <row r="65" spans="1:28" x14ac:dyDescent="0.2">
      <c r="C65" s="11" t="s">
        <v>405</v>
      </c>
      <c r="D65" s="41"/>
      <c r="E65" s="41"/>
      <c r="F65" s="41">
        <f>Source!CA29</f>
        <v>62</v>
      </c>
      <c r="G65" s="65">
        <f>(Source!AF29+Source!AE29)*Source!FY29/100</f>
        <v>1312.2982000000002</v>
      </c>
      <c r="H65" s="66">
        <f>Source!Y29</f>
        <v>639.66999999999996</v>
      </c>
    </row>
    <row r="66" spans="1:28" x14ac:dyDescent="0.2">
      <c r="C66" s="11" t="s">
        <v>407</v>
      </c>
      <c r="D66" s="41"/>
      <c r="E66" s="41"/>
      <c r="F66" s="41"/>
      <c r="G66" s="65">
        <f>((Source!AF29+Source!AE29)*Source!FX29/100)+((Source!AF29+Source!AE29)*Source!FY29/100)+Source!AB29</f>
        <v>5220.7084000000004</v>
      </c>
      <c r="H66" s="66">
        <f>Source!O29+Source!X29+Source!Y29</f>
        <v>2544.7799999999997</v>
      </c>
    </row>
    <row r="67" spans="1:28" ht="71.25" x14ac:dyDescent="0.2">
      <c r="A67" s="54">
        <v>4</v>
      </c>
      <c r="B67" s="54" t="str">
        <f>Source!E31</f>
        <v>4</v>
      </c>
      <c r="C67" s="54" t="str">
        <f>Source!G31</f>
        <v>Установка в жилых и общественных зданиях оконных блоков из ПВХ профилей поворотных (откидных, поворотно-откидных) с площадью проема более 2 м2 двухстворчатых</v>
      </c>
      <c r="D67" s="54" t="str">
        <f>Source!F31</f>
        <v>10-01-034-06</v>
      </c>
      <c r="E67" s="37" t="str">
        <f>Source!H31</f>
        <v>100 м2</v>
      </c>
      <c r="F67" s="14">
        <f>Source!I31</f>
        <v>0.86399999999999999</v>
      </c>
      <c r="G67" s="27">
        <f>Source!AB31</f>
        <v>10081.991</v>
      </c>
      <c r="H67" s="28">
        <f>Source!O31</f>
        <v>58972.38</v>
      </c>
      <c r="T67">
        <f>Source!O31+Source!X31+Source!Y31</f>
        <v>73268.289999999994</v>
      </c>
      <c r="U67">
        <f>Source!P31</f>
        <v>48539.37</v>
      </c>
      <c r="V67">
        <f>Source!S31</f>
        <v>8567.02</v>
      </c>
      <c r="W67">
        <f>Source!Q31</f>
        <v>1865.99</v>
      </c>
      <c r="X67">
        <f>Source!R31</f>
        <v>367.92</v>
      </c>
      <c r="Y67">
        <f>Source!U31</f>
        <v>144.78739199999998</v>
      </c>
      <c r="Z67">
        <f>Source!V31</f>
        <v>4.5684000000000005</v>
      </c>
      <c r="AA67">
        <f>Source!X31</f>
        <v>9471.0400000000009</v>
      </c>
      <c r="AB67">
        <f>Source!Y31</f>
        <v>4824.87</v>
      </c>
    </row>
    <row r="68" spans="1:28" ht="14.25" x14ac:dyDescent="0.2">
      <c r="C68" s="29" t="str">
        <f>"Объем: "&amp;Source!I31&amp;"=86,4/"&amp;"100"</f>
        <v>Объем: 0,864=86,4/100</v>
      </c>
      <c r="F68" s="14"/>
      <c r="G68" s="14"/>
      <c r="H68" s="14"/>
    </row>
    <row r="69" spans="1:28" x14ac:dyDescent="0.2">
      <c r="C69" s="29" t="s">
        <v>399</v>
      </c>
      <c r="D69" s="29">
        <f>Source!BA31</f>
        <v>6.77</v>
      </c>
    </row>
    <row r="70" spans="1:28" x14ac:dyDescent="0.2">
      <c r="C70" s="29" t="s">
        <v>400</v>
      </c>
      <c r="D70" s="29">
        <f>Source!BB31</f>
        <v>6.77</v>
      </c>
    </row>
    <row r="71" spans="1:28" x14ac:dyDescent="0.2">
      <c r="C71" s="29" t="s">
        <v>401</v>
      </c>
      <c r="D71" s="29">
        <f>Source!BC31</f>
        <v>6.77</v>
      </c>
    </row>
    <row r="72" spans="1:28" x14ac:dyDescent="0.2">
      <c r="C72" s="29" t="s">
        <v>402</v>
      </c>
      <c r="D72" s="29">
        <f>Source!BS31</f>
        <v>6.77</v>
      </c>
    </row>
    <row r="73" spans="1:28" x14ac:dyDescent="0.2">
      <c r="C73" s="29" t="s">
        <v>408</v>
      </c>
      <c r="D73" s="112" t="s">
        <v>41</v>
      </c>
      <c r="E73" s="112"/>
      <c r="F73" s="112"/>
      <c r="G73" s="112"/>
      <c r="H73" s="112"/>
    </row>
    <row r="74" spans="1:28" x14ac:dyDescent="0.2">
      <c r="C74" s="29" t="s">
        <v>409</v>
      </c>
      <c r="D74" s="112" t="s">
        <v>41</v>
      </c>
      <c r="E74" s="112"/>
      <c r="F74" s="112"/>
      <c r="G74" s="112"/>
      <c r="H74" s="112"/>
    </row>
    <row r="75" spans="1:28" x14ac:dyDescent="0.2">
      <c r="C75" s="29" t="s">
        <v>410</v>
      </c>
      <c r="D75" s="112" t="s">
        <v>42</v>
      </c>
      <c r="E75" s="112"/>
      <c r="F75" s="112"/>
      <c r="G75" s="112"/>
      <c r="H75" s="112"/>
    </row>
    <row r="76" spans="1:28" x14ac:dyDescent="0.2">
      <c r="C76" s="29" t="s">
        <v>411</v>
      </c>
      <c r="D76" s="112" t="s">
        <v>42</v>
      </c>
      <c r="E76" s="112"/>
      <c r="F76" s="112"/>
      <c r="G76" s="112"/>
      <c r="H76" s="112"/>
    </row>
    <row r="77" spans="1:28" x14ac:dyDescent="0.2">
      <c r="C77" s="29" t="s">
        <v>412</v>
      </c>
      <c r="D77" s="112" t="s">
        <v>41</v>
      </c>
      <c r="E77" s="112"/>
      <c r="F77" s="112"/>
      <c r="G77" s="112"/>
      <c r="H77" s="112"/>
    </row>
    <row r="78" spans="1:28" x14ac:dyDescent="0.2">
      <c r="C78" s="11" t="s">
        <v>403</v>
      </c>
      <c r="D78" s="41"/>
      <c r="E78" s="41"/>
      <c r="F78" s="41">
        <f>Source!BZ31</f>
        <v>118</v>
      </c>
      <c r="G78" s="65">
        <f>(Source!AF31+Source!AE31)*Source!FX31/100</f>
        <v>1622.2352670000002</v>
      </c>
      <c r="H78" s="66">
        <f>Source!X31</f>
        <v>9471.0400000000009</v>
      </c>
    </row>
    <row r="79" spans="1:28" x14ac:dyDescent="0.2">
      <c r="C79" s="11" t="s">
        <v>404</v>
      </c>
      <c r="D79" s="41"/>
      <c r="E79" s="41"/>
      <c r="F79" s="41"/>
      <c r="G79" s="41" t="str">
        <f>CONCATENATE(Source!DL31,Source!FT31, "=", Source!FX31, "%")</f>
        <v>*0,9=106,2%</v>
      </c>
      <c r="H79" s="41" t="str">
        <f>CONCATENATE(Source!AT31)</f>
        <v>106</v>
      </c>
    </row>
    <row r="80" spans="1:28" x14ac:dyDescent="0.2">
      <c r="C80" s="11" t="s">
        <v>405</v>
      </c>
      <c r="D80" s="41"/>
      <c r="E80" s="41"/>
      <c r="F80" s="41">
        <f>Source!CA31</f>
        <v>63</v>
      </c>
      <c r="G80" s="65">
        <f>(Source!AF31+Source!AE31)*Source!FY31/100</f>
        <v>817.99151175000009</v>
      </c>
      <c r="H80" s="66">
        <f>Source!Y31</f>
        <v>4824.87</v>
      </c>
    </row>
    <row r="81" spans="1:28" x14ac:dyDescent="0.2">
      <c r="C81" s="11" t="s">
        <v>406</v>
      </c>
      <c r="D81" s="41"/>
      <c r="E81" s="41"/>
      <c r="F81" s="41"/>
      <c r="G81" s="41" t="str">
        <f>CONCATENATE(Source!DM31,Source!FU31, "=", Source!FY31, "%")</f>
        <v>*0,85=53,55%</v>
      </c>
      <c r="H81" s="41" t="str">
        <f>CONCATENATE(Source!AU31)</f>
        <v>54</v>
      </c>
    </row>
    <row r="82" spans="1:28" x14ac:dyDescent="0.2">
      <c r="C82" s="11" t="s">
        <v>407</v>
      </c>
      <c r="D82" s="41"/>
      <c r="E82" s="41"/>
      <c r="F82" s="41"/>
      <c r="G82" s="65">
        <f>((Source!AF31+Source!AE31)*Source!FX31/100)+((Source!AF31+Source!AE31)*Source!FY31/100)+Source!AB31</f>
        <v>12522.21777875</v>
      </c>
      <c r="H82" s="66">
        <f>Source!O31+Source!X31+Source!Y31</f>
        <v>73268.289999999994</v>
      </c>
    </row>
    <row r="83" spans="1:28" ht="39.75" x14ac:dyDescent="0.2">
      <c r="A83" s="54">
        <v>5</v>
      </c>
      <c r="B83" s="54" t="str">
        <f>Source!E35</f>
        <v>4,2</v>
      </c>
      <c r="C83" s="54" t="s">
        <v>358</v>
      </c>
      <c r="D83" s="54" t="str">
        <f>Source!F35</f>
        <v>Цена поставщика</v>
      </c>
      <c r="E83" s="37" t="str">
        <f>Source!H35</f>
        <v>м2</v>
      </c>
      <c r="F83" s="14">
        <f>Source!I35</f>
        <v>86.4</v>
      </c>
      <c r="G83" s="27">
        <f>Source!AB35</f>
        <v>717.27</v>
      </c>
      <c r="H83" s="28">
        <f>Source!O35</f>
        <v>419551.31</v>
      </c>
      <c r="T83">
        <f>Source!O35+Source!X35+Source!Y35</f>
        <v>419551.31</v>
      </c>
      <c r="U83">
        <f>Source!P35</f>
        <v>419551.31</v>
      </c>
      <c r="V83">
        <f>Source!S35</f>
        <v>0</v>
      </c>
      <c r="W83">
        <f>Source!Q35</f>
        <v>0</v>
      </c>
      <c r="X83">
        <f>Source!R35</f>
        <v>0</v>
      </c>
      <c r="Y83">
        <f>Source!U35</f>
        <v>0</v>
      </c>
      <c r="Z83">
        <f>Source!V35</f>
        <v>0</v>
      </c>
      <c r="AA83">
        <f>Source!X35</f>
        <v>0</v>
      </c>
      <c r="AB83">
        <f>Source!Y35</f>
        <v>0</v>
      </c>
    </row>
    <row r="84" spans="1:28" ht="14.25" x14ac:dyDescent="0.2">
      <c r="C84" s="29" t="s">
        <v>401</v>
      </c>
      <c r="D84" s="29">
        <f>Source!BC35</f>
        <v>6.77</v>
      </c>
      <c r="F84" s="14"/>
      <c r="G84" s="14"/>
      <c r="H84" s="14"/>
    </row>
    <row r="85" spans="1:28" ht="42.75" x14ac:dyDescent="0.2">
      <c r="A85" s="54">
        <v>6</v>
      </c>
      <c r="B85" s="54" t="str">
        <f>Source!E37</f>
        <v>5</v>
      </c>
      <c r="C85" s="54" t="str">
        <f>Source!G37</f>
        <v>Устройство мелких покрытий (брандмауэры, парапеты, свесы и т.п.) из листовой оцинкованной стали</v>
      </c>
      <c r="D85" s="54" t="str">
        <f>Source!F37</f>
        <v>12-01-010-01</v>
      </c>
      <c r="E85" s="37" t="str">
        <f>Source!H37</f>
        <v>100 м2</v>
      </c>
      <c r="F85" s="14">
        <f>Source!I37</f>
        <v>0.09</v>
      </c>
      <c r="G85" s="27">
        <f>Source!AB37</f>
        <v>10023.954</v>
      </c>
      <c r="H85" s="28">
        <f>Source!O37</f>
        <v>6107.59</v>
      </c>
      <c r="T85">
        <f>Source!O37+Source!X37+Source!Y37</f>
        <v>7210.4</v>
      </c>
      <c r="U85">
        <f>Source!P37</f>
        <v>5417.03</v>
      </c>
      <c r="V85">
        <f>Source!S37</f>
        <v>673.9</v>
      </c>
      <c r="W85">
        <f>Source!Q37</f>
        <v>16.66</v>
      </c>
      <c r="X85">
        <f>Source!R37</f>
        <v>2.67</v>
      </c>
      <c r="Y85">
        <f>Source!U37</f>
        <v>11.669625</v>
      </c>
      <c r="Z85">
        <f>Source!V37</f>
        <v>3.0374999999999999E-2</v>
      </c>
      <c r="AA85">
        <f>Source!X37</f>
        <v>730.7</v>
      </c>
      <c r="AB85">
        <f>Source!Y37</f>
        <v>372.11</v>
      </c>
    </row>
    <row r="86" spans="1:28" ht="14.25" x14ac:dyDescent="0.2">
      <c r="C86" s="29" t="str">
        <f>"Объем: "&amp;Source!I37&amp;"=9/"&amp;"100"</f>
        <v>Объем: 0,09=9/100</v>
      </c>
      <c r="F86" s="14"/>
      <c r="G86" s="14"/>
      <c r="H86" s="14"/>
    </row>
    <row r="87" spans="1:28" x14ac:dyDescent="0.2">
      <c r="C87" s="29" t="s">
        <v>399</v>
      </c>
      <c r="D87" s="29">
        <f>Source!BA37</f>
        <v>6.77</v>
      </c>
    </row>
    <row r="88" spans="1:28" x14ac:dyDescent="0.2">
      <c r="C88" s="29" t="s">
        <v>400</v>
      </c>
      <c r="D88" s="29">
        <f>Source!BB37</f>
        <v>6.77</v>
      </c>
    </row>
    <row r="89" spans="1:28" x14ac:dyDescent="0.2">
      <c r="C89" s="29" t="s">
        <v>401</v>
      </c>
      <c r="D89" s="29">
        <f>Source!BC37</f>
        <v>6.77</v>
      </c>
    </row>
    <row r="90" spans="1:28" x14ac:dyDescent="0.2">
      <c r="C90" s="29" t="s">
        <v>402</v>
      </c>
      <c r="D90" s="29">
        <f>Source!BS37</f>
        <v>6.77</v>
      </c>
    </row>
    <row r="91" spans="1:28" x14ac:dyDescent="0.2">
      <c r="C91" s="29" t="s">
        <v>408</v>
      </c>
      <c r="D91" s="112" t="s">
        <v>41</v>
      </c>
      <c r="E91" s="112"/>
      <c r="F91" s="112"/>
      <c r="G91" s="112"/>
      <c r="H91" s="112"/>
    </row>
    <row r="92" spans="1:28" x14ac:dyDescent="0.2">
      <c r="C92" s="29" t="s">
        <v>409</v>
      </c>
      <c r="D92" s="112" t="s">
        <v>41</v>
      </c>
      <c r="E92" s="112"/>
      <c r="F92" s="112"/>
      <c r="G92" s="112"/>
      <c r="H92" s="112"/>
    </row>
    <row r="93" spans="1:28" x14ac:dyDescent="0.2">
      <c r="C93" s="29" t="s">
        <v>410</v>
      </c>
      <c r="D93" s="112" t="s">
        <v>42</v>
      </c>
      <c r="E93" s="112"/>
      <c r="F93" s="112"/>
      <c r="G93" s="112"/>
      <c r="H93" s="112"/>
    </row>
    <row r="94" spans="1:28" x14ac:dyDescent="0.2">
      <c r="C94" s="29" t="s">
        <v>411</v>
      </c>
      <c r="D94" s="112" t="s">
        <v>42</v>
      </c>
      <c r="E94" s="112"/>
      <c r="F94" s="112"/>
      <c r="G94" s="112"/>
      <c r="H94" s="112"/>
    </row>
    <row r="95" spans="1:28" x14ac:dyDescent="0.2">
      <c r="C95" s="29" t="s">
        <v>412</v>
      </c>
      <c r="D95" s="112" t="s">
        <v>41</v>
      </c>
      <c r="E95" s="112"/>
      <c r="F95" s="112"/>
      <c r="G95" s="112"/>
      <c r="H95" s="112"/>
    </row>
    <row r="96" spans="1:28" x14ac:dyDescent="0.2">
      <c r="C96" s="11" t="s">
        <v>403</v>
      </c>
      <c r="D96" s="41"/>
      <c r="E96" s="41"/>
      <c r="F96" s="41">
        <f>Source!BZ37</f>
        <v>120</v>
      </c>
      <c r="G96" s="65">
        <f>(Source!AF37+Source!AE37)*Source!FX37/100</f>
        <v>1199.24442</v>
      </c>
      <c r="H96" s="66">
        <f>Source!X37</f>
        <v>730.7</v>
      </c>
    </row>
    <row r="97" spans="1:28" x14ac:dyDescent="0.2">
      <c r="C97" s="11" t="s">
        <v>404</v>
      </c>
      <c r="D97" s="41"/>
      <c r="E97" s="41"/>
      <c r="F97" s="41"/>
      <c r="G97" s="41" t="str">
        <f>CONCATENATE(Source!DL37,Source!FT37, "=", Source!FX37, "%")</f>
        <v>*0,9=108%</v>
      </c>
      <c r="H97" s="41" t="str">
        <f>CONCATENATE(Source!AT37)</f>
        <v>108</v>
      </c>
    </row>
    <row r="98" spans="1:28" x14ac:dyDescent="0.2">
      <c r="C98" s="11" t="s">
        <v>405</v>
      </c>
      <c r="D98" s="41"/>
      <c r="E98" s="41"/>
      <c r="F98" s="41">
        <f>Source!CA37</f>
        <v>65</v>
      </c>
      <c r="G98" s="65">
        <f>(Source!AF37+Source!AE37)*Source!FY37/100</f>
        <v>613.50235375</v>
      </c>
      <c r="H98" s="66">
        <f>Source!Y37</f>
        <v>372.11</v>
      </c>
    </row>
    <row r="99" spans="1:28" x14ac:dyDescent="0.2">
      <c r="C99" s="11" t="s">
        <v>406</v>
      </c>
      <c r="D99" s="41"/>
      <c r="E99" s="41"/>
      <c r="F99" s="41"/>
      <c r="G99" s="41" t="str">
        <f>CONCATENATE(Source!DM37,Source!FU37, "=", Source!FY37, "%")</f>
        <v>*0,85=55,25%</v>
      </c>
      <c r="H99" s="41" t="str">
        <f>CONCATENATE(Source!AU37)</f>
        <v>55</v>
      </c>
    </row>
    <row r="100" spans="1:28" x14ac:dyDescent="0.2">
      <c r="C100" s="11" t="s">
        <v>407</v>
      </c>
      <c r="D100" s="41"/>
      <c r="E100" s="41"/>
      <c r="F100" s="41"/>
      <c r="G100" s="65">
        <f>((Source!AF37+Source!AE37)*Source!FX37/100)+((Source!AF37+Source!AE37)*Source!FY37/100)+Source!AB37</f>
        <v>11836.700773749999</v>
      </c>
      <c r="H100" s="66">
        <f>Source!O37+Source!X37+Source!Y37</f>
        <v>7210.4</v>
      </c>
    </row>
    <row r="101" spans="1:28" ht="28.5" x14ac:dyDescent="0.2">
      <c r="A101" s="54">
        <v>7</v>
      </c>
      <c r="B101" s="54" t="str">
        <f>Source!E39</f>
        <v>6</v>
      </c>
      <c r="C101" s="54" t="str">
        <f>Source!G39</f>
        <v>Установка подоконных досок из ПВХ в каменных стенах толщиной до 0,51 м</v>
      </c>
      <c r="D101" s="54" t="str">
        <f>Source!F39</f>
        <v>10-01-035-01</v>
      </c>
      <c r="E101" s="37" t="str">
        <f>Source!H39</f>
        <v>100 м</v>
      </c>
      <c r="F101" s="14">
        <f>Source!I39</f>
        <v>0.36</v>
      </c>
      <c r="G101" s="27">
        <f>Source!AB39</f>
        <v>4213.95</v>
      </c>
      <c r="H101" s="28">
        <f>Source!O39</f>
        <v>10270.24</v>
      </c>
      <c r="T101">
        <f>Source!O39+Source!X39+Source!Y39</f>
        <v>11091.92</v>
      </c>
      <c r="U101">
        <f>Source!P39</f>
        <v>9729.7900000000009</v>
      </c>
      <c r="V101">
        <f>Source!S39</f>
        <v>506.6</v>
      </c>
      <c r="W101">
        <f>Source!Q39</f>
        <v>33.85</v>
      </c>
      <c r="X101">
        <f>Source!R39</f>
        <v>6.95</v>
      </c>
      <c r="Y101">
        <f>Source!U39</f>
        <v>8.7726600000000001</v>
      </c>
      <c r="Z101">
        <f>Source!V39</f>
        <v>8.5499999999999993E-2</v>
      </c>
      <c r="AA101">
        <f>Source!X39</f>
        <v>544.36</v>
      </c>
      <c r="AB101">
        <f>Source!Y39</f>
        <v>277.32</v>
      </c>
    </row>
    <row r="102" spans="1:28" ht="14.25" x14ac:dyDescent="0.2">
      <c r="C102" s="29" t="str">
        <f>"Объем: "&amp;Source!I39&amp;"=36/"&amp;"100"</f>
        <v>Объем: 0,36=36/100</v>
      </c>
      <c r="F102" s="14"/>
      <c r="G102" s="14"/>
      <c r="H102" s="14"/>
    </row>
    <row r="103" spans="1:28" x14ac:dyDescent="0.2">
      <c r="C103" s="29" t="s">
        <v>399</v>
      </c>
      <c r="D103" s="29">
        <f>Source!BA39</f>
        <v>6.77</v>
      </c>
    </row>
    <row r="104" spans="1:28" x14ac:dyDescent="0.2">
      <c r="C104" s="29" t="s">
        <v>400</v>
      </c>
      <c r="D104" s="29">
        <f>Source!BB39</f>
        <v>6.77</v>
      </c>
    </row>
    <row r="105" spans="1:28" x14ac:dyDescent="0.2">
      <c r="C105" s="29" t="s">
        <v>401</v>
      </c>
      <c r="D105" s="29">
        <f>Source!BC39</f>
        <v>6.77</v>
      </c>
    </row>
    <row r="106" spans="1:28" x14ac:dyDescent="0.2">
      <c r="C106" s="29" t="s">
        <v>402</v>
      </c>
      <c r="D106" s="29">
        <f>Source!BS39</f>
        <v>6.77</v>
      </c>
    </row>
    <row r="107" spans="1:28" x14ac:dyDescent="0.2">
      <c r="C107" s="29" t="s">
        <v>408</v>
      </c>
      <c r="D107" s="112" t="s">
        <v>41</v>
      </c>
      <c r="E107" s="112"/>
      <c r="F107" s="112"/>
      <c r="G107" s="112"/>
      <c r="H107" s="112"/>
    </row>
    <row r="108" spans="1:28" x14ac:dyDescent="0.2">
      <c r="C108" s="29" t="s">
        <v>409</v>
      </c>
      <c r="D108" s="112" t="s">
        <v>41</v>
      </c>
      <c r="E108" s="112"/>
      <c r="F108" s="112"/>
      <c r="G108" s="112"/>
      <c r="H108" s="112"/>
    </row>
    <row r="109" spans="1:28" x14ac:dyDescent="0.2">
      <c r="C109" s="29" t="s">
        <v>410</v>
      </c>
      <c r="D109" s="112" t="s">
        <v>42</v>
      </c>
      <c r="E109" s="112"/>
      <c r="F109" s="112"/>
      <c r="G109" s="112"/>
      <c r="H109" s="112"/>
    </row>
    <row r="110" spans="1:28" x14ac:dyDescent="0.2">
      <c r="C110" s="29" t="s">
        <v>411</v>
      </c>
      <c r="D110" s="112" t="s">
        <v>42</v>
      </c>
      <c r="E110" s="112"/>
      <c r="F110" s="112"/>
      <c r="G110" s="112"/>
      <c r="H110" s="112"/>
    </row>
    <row r="111" spans="1:28" x14ac:dyDescent="0.2">
      <c r="C111" s="29" t="s">
        <v>412</v>
      </c>
      <c r="D111" s="112" t="s">
        <v>41</v>
      </c>
      <c r="E111" s="112"/>
      <c r="F111" s="112"/>
      <c r="G111" s="112"/>
      <c r="H111" s="112"/>
    </row>
    <row r="112" spans="1:28" x14ac:dyDescent="0.2">
      <c r="C112" s="11" t="s">
        <v>403</v>
      </c>
      <c r="D112" s="41"/>
      <c r="E112" s="41"/>
      <c r="F112" s="41">
        <f>Source!BZ39</f>
        <v>118</v>
      </c>
      <c r="G112" s="65">
        <f>(Source!AF39+Source!AE39)*Source!FX39/100</f>
        <v>223.77667499999998</v>
      </c>
      <c r="H112" s="66">
        <f>Source!X39</f>
        <v>544.36</v>
      </c>
    </row>
    <row r="113" spans="1:28" x14ac:dyDescent="0.2">
      <c r="C113" s="11" t="s">
        <v>404</v>
      </c>
      <c r="D113" s="41"/>
      <c r="E113" s="41"/>
      <c r="F113" s="41"/>
      <c r="G113" s="41" t="str">
        <f>CONCATENATE(Source!DL39,Source!FT39, "=", Source!FX39, "%")</f>
        <v>*0,9=106,2%</v>
      </c>
      <c r="H113" s="41" t="str">
        <f>CONCATENATE(Source!AT39)</f>
        <v>106</v>
      </c>
    </row>
    <row r="114" spans="1:28" x14ac:dyDescent="0.2">
      <c r="C114" s="11" t="s">
        <v>405</v>
      </c>
      <c r="D114" s="41"/>
      <c r="E114" s="41"/>
      <c r="F114" s="41">
        <f>Source!CA39</f>
        <v>63</v>
      </c>
      <c r="G114" s="65">
        <f>(Source!AF39+Source!AE39)*Source!FY39/100</f>
        <v>112.83654375</v>
      </c>
      <c r="H114" s="66">
        <f>Source!Y39</f>
        <v>277.32</v>
      </c>
    </row>
    <row r="115" spans="1:28" x14ac:dyDescent="0.2">
      <c r="C115" s="11" t="s">
        <v>406</v>
      </c>
      <c r="D115" s="41"/>
      <c r="E115" s="41"/>
      <c r="F115" s="41"/>
      <c r="G115" s="41" t="str">
        <f>CONCATENATE(Source!DM39,Source!FU39, "=", Source!FY39, "%")</f>
        <v>*0,85=53,55%</v>
      </c>
      <c r="H115" s="41" t="str">
        <f>CONCATENATE(Source!AU39)</f>
        <v>54</v>
      </c>
    </row>
    <row r="116" spans="1:28" x14ac:dyDescent="0.2">
      <c r="C116" s="11" t="s">
        <v>407</v>
      </c>
      <c r="D116" s="41"/>
      <c r="E116" s="41"/>
      <c r="F116" s="41"/>
      <c r="G116" s="65">
        <f>((Source!AF39+Source!AE39)*Source!FX39/100)+((Source!AF39+Source!AE39)*Source!FY39/100)+Source!AB39</f>
        <v>4550.5632187499996</v>
      </c>
      <c r="H116" s="66">
        <f>Source!O39+Source!X39+Source!Y39</f>
        <v>11091.92</v>
      </c>
    </row>
    <row r="117" spans="1:28" ht="28.5" x14ac:dyDescent="0.2">
      <c r="A117" s="54">
        <v>8</v>
      </c>
      <c r="B117" s="54" t="str">
        <f>Source!E41</f>
        <v>6,1</v>
      </c>
      <c r="C117" s="54" t="str">
        <f>Source!G41</f>
        <v>Доски подоконные ПВХ, шириной 300 мм</v>
      </c>
      <c r="D117" s="54" t="str">
        <f>Source!F41</f>
        <v>11.3.03.01-0005</v>
      </c>
      <c r="E117" s="37" t="str">
        <f>Source!H41</f>
        <v>м</v>
      </c>
      <c r="F117" s="14">
        <f>Source!I41</f>
        <v>36</v>
      </c>
      <c r="G117" s="27">
        <f>Source!AB41</f>
        <v>36.369999999999997</v>
      </c>
      <c r="H117" s="28">
        <f>Source!O41</f>
        <v>8864.1</v>
      </c>
      <c r="T117">
        <f>Source!O41+Source!X41+Source!Y41</f>
        <v>8864.1</v>
      </c>
      <c r="U117">
        <f>Source!P41</f>
        <v>8864.1</v>
      </c>
      <c r="V117">
        <f>Source!S41</f>
        <v>0</v>
      </c>
      <c r="W117">
        <f>Source!Q41</f>
        <v>0</v>
      </c>
      <c r="X117">
        <f>Source!R41</f>
        <v>0</v>
      </c>
      <c r="Y117">
        <f>Source!U41</f>
        <v>0</v>
      </c>
      <c r="Z117">
        <f>Source!V41</f>
        <v>0</v>
      </c>
      <c r="AA117">
        <f>Source!X41</f>
        <v>0</v>
      </c>
      <c r="AB117">
        <f>Source!Y41</f>
        <v>0</v>
      </c>
    </row>
    <row r="118" spans="1:28" ht="14.25" x14ac:dyDescent="0.2">
      <c r="C118" s="29" t="s">
        <v>401</v>
      </c>
      <c r="D118" s="29">
        <f>Source!BC41</f>
        <v>6.77</v>
      </c>
      <c r="F118" s="14"/>
      <c r="G118" s="14"/>
      <c r="H118" s="14"/>
    </row>
    <row r="119" spans="1:28" ht="57" x14ac:dyDescent="0.2">
      <c r="A119" s="54">
        <v>9</v>
      </c>
      <c r="B119" s="54" t="str">
        <f>Source!E43</f>
        <v>7</v>
      </c>
      <c r="C119" s="54" t="str">
        <f>Source!G43</f>
        <v>Облицовка оконных и дверных откосов декоративным бумажно-слоистым пластиком или листами из синтетических материалов на клее</v>
      </c>
      <c r="D119" s="54" t="str">
        <f>Source!F43</f>
        <v>15-01-050-04</v>
      </c>
      <c r="E119" s="37" t="str">
        <f>Source!H43</f>
        <v>100 м2</v>
      </c>
      <c r="F119" s="14">
        <f>Source!I43</f>
        <v>0.33</v>
      </c>
      <c r="G119" s="27">
        <f>Source!AB43</f>
        <v>1801.9784999999999</v>
      </c>
      <c r="H119" s="28">
        <f>Source!O43</f>
        <v>4025.8</v>
      </c>
      <c r="T119">
        <f>Source!O43+Source!X43+Source!Y43</f>
        <v>9628.36</v>
      </c>
      <c r="U119">
        <f>Source!P43</f>
        <v>0.8</v>
      </c>
      <c r="V119">
        <f>Source!S43</f>
        <v>3926.25</v>
      </c>
      <c r="W119">
        <f>Source!Q43</f>
        <v>98.75</v>
      </c>
      <c r="X119">
        <f>Source!R43</f>
        <v>19.21</v>
      </c>
      <c r="Y119">
        <f>Source!U43</f>
        <v>63.175364999999999</v>
      </c>
      <c r="Z119">
        <f>Source!V43</f>
        <v>0.23924999999999999</v>
      </c>
      <c r="AA119">
        <f>Source!X43</f>
        <v>3748.19</v>
      </c>
      <c r="AB119">
        <f>Source!Y43</f>
        <v>1854.37</v>
      </c>
    </row>
    <row r="120" spans="1:28" ht="14.25" x14ac:dyDescent="0.2">
      <c r="C120" s="29" t="str">
        <f>"Объем: "&amp;Source!I43&amp;"=33/"&amp;"100"</f>
        <v>Объем: 0,33=33/100</v>
      </c>
      <c r="F120" s="14"/>
      <c r="G120" s="14"/>
      <c r="H120" s="14"/>
    </row>
    <row r="121" spans="1:28" x14ac:dyDescent="0.2">
      <c r="C121" s="29" t="s">
        <v>399</v>
      </c>
      <c r="D121" s="29">
        <f>Source!BA43</f>
        <v>6.77</v>
      </c>
    </row>
    <row r="122" spans="1:28" x14ac:dyDescent="0.2">
      <c r="C122" s="29" t="s">
        <v>400</v>
      </c>
      <c r="D122" s="29">
        <f>Source!BB43</f>
        <v>6.77</v>
      </c>
    </row>
    <row r="123" spans="1:28" x14ac:dyDescent="0.2">
      <c r="C123" s="29" t="s">
        <v>401</v>
      </c>
      <c r="D123" s="29">
        <f>Source!BC43</f>
        <v>6.77</v>
      </c>
    </row>
    <row r="124" spans="1:28" x14ac:dyDescent="0.2">
      <c r="C124" s="29" t="s">
        <v>402</v>
      </c>
      <c r="D124" s="29">
        <f>Source!BS43</f>
        <v>6.77</v>
      </c>
    </row>
    <row r="125" spans="1:28" x14ac:dyDescent="0.2">
      <c r="C125" s="29" t="s">
        <v>408</v>
      </c>
      <c r="D125" s="112" t="s">
        <v>41</v>
      </c>
      <c r="E125" s="112"/>
      <c r="F125" s="112"/>
      <c r="G125" s="112"/>
      <c r="H125" s="112"/>
    </row>
    <row r="126" spans="1:28" x14ac:dyDescent="0.2">
      <c r="C126" s="29" t="s">
        <v>409</v>
      </c>
      <c r="D126" s="112" t="s">
        <v>41</v>
      </c>
      <c r="E126" s="112"/>
      <c r="F126" s="112"/>
      <c r="G126" s="112"/>
      <c r="H126" s="112"/>
    </row>
    <row r="127" spans="1:28" x14ac:dyDescent="0.2">
      <c r="C127" s="29" t="s">
        <v>410</v>
      </c>
      <c r="D127" s="112" t="s">
        <v>42</v>
      </c>
      <c r="E127" s="112"/>
      <c r="F127" s="112"/>
      <c r="G127" s="112"/>
      <c r="H127" s="112"/>
    </row>
    <row r="128" spans="1:28" x14ac:dyDescent="0.2">
      <c r="C128" s="29" t="s">
        <v>411</v>
      </c>
      <c r="D128" s="112" t="s">
        <v>42</v>
      </c>
      <c r="E128" s="112"/>
      <c r="F128" s="112"/>
      <c r="G128" s="112"/>
      <c r="H128" s="112"/>
    </row>
    <row r="129" spans="1:28" x14ac:dyDescent="0.2">
      <c r="C129" s="29" t="s">
        <v>412</v>
      </c>
      <c r="D129" s="112" t="s">
        <v>41</v>
      </c>
      <c r="E129" s="112"/>
      <c r="F129" s="112"/>
      <c r="G129" s="112"/>
      <c r="H129" s="112"/>
    </row>
    <row r="130" spans="1:28" x14ac:dyDescent="0.2">
      <c r="C130" s="11" t="s">
        <v>403</v>
      </c>
      <c r="D130" s="41"/>
      <c r="E130" s="41"/>
      <c r="F130" s="41">
        <f>Source!BZ43</f>
        <v>105</v>
      </c>
      <c r="G130" s="65">
        <f>(Source!AF43+Source!AE43)*Source!FX43/100</f>
        <v>1668.8874825</v>
      </c>
      <c r="H130" s="66">
        <f>Source!X43</f>
        <v>3748.19</v>
      </c>
    </row>
    <row r="131" spans="1:28" x14ac:dyDescent="0.2">
      <c r="C131" s="11" t="s">
        <v>404</v>
      </c>
      <c r="D131" s="41"/>
      <c r="E131" s="41"/>
      <c r="F131" s="41"/>
      <c r="G131" s="41" t="str">
        <f>CONCATENATE(Source!DL43,Source!FT43, "=", Source!FX43, "%")</f>
        <v>*0,9=94,5%</v>
      </c>
      <c r="H131" s="41" t="str">
        <f>CONCATENATE(Source!AT43)</f>
        <v>95</v>
      </c>
    </row>
    <row r="132" spans="1:28" x14ac:dyDescent="0.2">
      <c r="C132" s="11" t="s">
        <v>405</v>
      </c>
      <c r="D132" s="41"/>
      <c r="E132" s="41"/>
      <c r="F132" s="41">
        <f>Source!CA43</f>
        <v>55</v>
      </c>
      <c r="G132" s="65">
        <f>(Source!AF43+Source!AE43)*Source!FY43/100</f>
        <v>825.61364875000004</v>
      </c>
      <c r="H132" s="66">
        <f>Source!Y43</f>
        <v>1854.37</v>
      </c>
    </row>
    <row r="133" spans="1:28" x14ac:dyDescent="0.2">
      <c r="C133" s="11" t="s">
        <v>406</v>
      </c>
      <c r="D133" s="41"/>
      <c r="E133" s="41"/>
      <c r="F133" s="41"/>
      <c r="G133" s="41" t="str">
        <f>CONCATENATE(Source!DM43,Source!FU43, "=", Source!FY43, "%")</f>
        <v>*0,85=46,75%</v>
      </c>
      <c r="H133" s="41" t="str">
        <f>CONCATENATE(Source!AU43)</f>
        <v>47</v>
      </c>
    </row>
    <row r="134" spans="1:28" x14ac:dyDescent="0.2">
      <c r="C134" s="11" t="s">
        <v>407</v>
      </c>
      <c r="D134" s="41"/>
      <c r="E134" s="41"/>
      <c r="F134" s="41"/>
      <c r="G134" s="65">
        <f>((Source!AF43+Source!AE43)*Source!FX43/100)+((Source!AF43+Source!AE43)*Source!FY43/100)+Source!AB43</f>
        <v>4296.4796312500002</v>
      </c>
      <c r="H134" s="66">
        <f>Source!O43+Source!X43+Source!Y43</f>
        <v>9628.36</v>
      </c>
    </row>
    <row r="135" spans="1:28" ht="14.25" x14ac:dyDescent="0.2">
      <c r="A135" s="54">
        <v>10</v>
      </c>
      <c r="B135" s="54" t="str">
        <f>Source!E45</f>
        <v>7,1</v>
      </c>
      <c r="C135" s="54" t="str">
        <f>Source!G45</f>
        <v>Листы облицовочные декоративные</v>
      </c>
      <c r="D135" s="54" t="str">
        <f>Source!F45</f>
        <v>01.6.01.11</v>
      </c>
      <c r="E135" s="37" t="str">
        <f>Source!H45</f>
        <v>м2</v>
      </c>
      <c r="F135" s="14">
        <f>Source!I45</f>
        <v>34.65</v>
      </c>
      <c r="G135" s="27">
        <f>Source!AB45</f>
        <v>0</v>
      </c>
      <c r="H135" s="28">
        <f>Source!O45</f>
        <v>0</v>
      </c>
      <c r="T135">
        <f>Source!O45+Source!X45+Source!Y45</f>
        <v>0</v>
      </c>
      <c r="U135">
        <f>Source!P45</f>
        <v>0</v>
      </c>
      <c r="V135">
        <f>Source!S45</f>
        <v>0</v>
      </c>
      <c r="W135">
        <f>Source!Q45</f>
        <v>0</v>
      </c>
      <c r="X135">
        <f>Source!R45</f>
        <v>0</v>
      </c>
      <c r="Y135">
        <f>Source!U45</f>
        <v>0</v>
      </c>
      <c r="Z135">
        <f>Source!V45</f>
        <v>0</v>
      </c>
      <c r="AA135">
        <f>Source!X45</f>
        <v>0</v>
      </c>
      <c r="AB135">
        <f>Source!Y45</f>
        <v>0</v>
      </c>
    </row>
    <row r="136" spans="1:28" ht="14.25" x14ac:dyDescent="0.2">
      <c r="C136" s="29" t="s">
        <v>401</v>
      </c>
      <c r="D136" s="29">
        <f>Source!BC45</f>
        <v>6.77</v>
      </c>
      <c r="F136" s="14"/>
      <c r="G136" s="14"/>
      <c r="H136" s="14"/>
    </row>
    <row r="137" spans="1:28" ht="85.5" x14ac:dyDescent="0.2">
      <c r="A137" s="54">
        <v>11</v>
      </c>
      <c r="B137" s="54" t="str">
        <f>Source!E47</f>
        <v>7,2</v>
      </c>
      <c r="C137" s="54" t="str">
        <f>Source!G47</f>
        <v>Сэндвич-панели для откосов (наружные слои – листы из поливинилхлорида, внутреннее наполнение – вспененный пенополистирол) белые, ширина 1,5 м, длина 3,0 м, толщина 10 мм</v>
      </c>
      <c r="D137" s="54" t="str">
        <f>Source!F47</f>
        <v>11.3.03.05-0011</v>
      </c>
      <c r="E137" s="37" t="str">
        <f>Source!H47</f>
        <v>м2</v>
      </c>
      <c r="F137" s="14">
        <f>Source!I47</f>
        <v>34.65</v>
      </c>
      <c r="G137" s="27">
        <f>Source!AB47</f>
        <v>59.16</v>
      </c>
      <c r="H137" s="28">
        <f>Source!O47</f>
        <v>13877.78</v>
      </c>
      <c r="T137">
        <f>Source!O47+Source!X47+Source!Y47</f>
        <v>13877.78</v>
      </c>
      <c r="U137">
        <f>Source!P47</f>
        <v>13877.78</v>
      </c>
      <c r="V137">
        <f>Source!S47</f>
        <v>0</v>
      </c>
      <c r="W137">
        <f>Source!Q47</f>
        <v>0</v>
      </c>
      <c r="X137">
        <f>Source!R47</f>
        <v>0</v>
      </c>
      <c r="Y137">
        <f>Source!U47</f>
        <v>0</v>
      </c>
      <c r="Z137">
        <f>Source!V47</f>
        <v>0</v>
      </c>
      <c r="AA137">
        <f>Source!X47</f>
        <v>0</v>
      </c>
      <c r="AB137">
        <f>Source!Y47</f>
        <v>0</v>
      </c>
    </row>
    <row r="138" spans="1:28" ht="14.25" x14ac:dyDescent="0.2">
      <c r="C138" s="29" t="s">
        <v>401</v>
      </c>
      <c r="D138" s="29">
        <f>Source!BC47</f>
        <v>6.77</v>
      </c>
      <c r="F138" s="14"/>
      <c r="G138" s="14"/>
      <c r="H138" s="14"/>
    </row>
    <row r="139" spans="1:28" ht="14.25" x14ac:dyDescent="0.2">
      <c r="A139" s="54">
        <v>12</v>
      </c>
      <c r="B139" s="54" t="str">
        <f>Source!E49</f>
        <v>7,3</v>
      </c>
      <c r="C139" s="54" t="str">
        <f>Source!G49</f>
        <v>Клей</v>
      </c>
      <c r="D139" s="54" t="str">
        <f>Source!F49</f>
        <v>14.1.06.05</v>
      </c>
      <c r="E139" s="37" t="str">
        <f>Source!H49</f>
        <v>кг</v>
      </c>
      <c r="F139" s="14">
        <f>Source!I49</f>
        <v>9.9</v>
      </c>
      <c r="G139" s="27">
        <f>Source!AB49</f>
        <v>0</v>
      </c>
      <c r="H139" s="28">
        <f>Source!O49</f>
        <v>0</v>
      </c>
      <c r="T139">
        <f>Source!O49+Source!X49+Source!Y49</f>
        <v>0</v>
      </c>
      <c r="U139">
        <f>Source!P49</f>
        <v>0</v>
      </c>
      <c r="V139">
        <f>Source!S49</f>
        <v>0</v>
      </c>
      <c r="W139">
        <f>Source!Q49</f>
        <v>0</v>
      </c>
      <c r="X139">
        <f>Source!R49</f>
        <v>0</v>
      </c>
      <c r="Y139">
        <f>Source!U49</f>
        <v>0</v>
      </c>
      <c r="Z139">
        <f>Source!V49</f>
        <v>0</v>
      </c>
      <c r="AA139">
        <f>Source!X49</f>
        <v>0</v>
      </c>
      <c r="AB139">
        <f>Source!Y49</f>
        <v>0</v>
      </c>
    </row>
    <row r="140" spans="1:28" ht="14.25" x14ac:dyDescent="0.2">
      <c r="C140" s="29" t="s">
        <v>401</v>
      </c>
      <c r="D140" s="29">
        <f>Source!BC49</f>
        <v>6.77</v>
      </c>
      <c r="F140" s="14"/>
      <c r="G140" s="14"/>
      <c r="H140" s="14"/>
    </row>
    <row r="141" spans="1:28" ht="28.5" x14ac:dyDescent="0.2">
      <c r="A141" s="54">
        <v>13</v>
      </c>
      <c r="B141" s="54" t="str">
        <f>Source!E51</f>
        <v>7,4</v>
      </c>
      <c r="C141" s="54" t="str">
        <f>Source!G51</f>
        <v>Клей Forbo 522, для укладки ПВХ-покрытий</v>
      </c>
      <c r="D141" s="54" t="str">
        <f>Source!F51</f>
        <v>14.1.02.04-0102</v>
      </c>
      <c r="E141" s="37" t="str">
        <f>Source!H51</f>
        <v>кг</v>
      </c>
      <c r="F141" s="14">
        <f>Source!I51</f>
        <v>9.9</v>
      </c>
      <c r="G141" s="27">
        <f>Source!AB51</f>
        <v>25.56</v>
      </c>
      <c r="H141" s="28">
        <f>Source!O51</f>
        <v>1713.11</v>
      </c>
      <c r="T141">
        <f>Source!O51+Source!X51+Source!Y51</f>
        <v>1713.11</v>
      </c>
      <c r="U141">
        <f>Source!P51</f>
        <v>1713.11</v>
      </c>
      <c r="V141">
        <f>Source!S51</f>
        <v>0</v>
      </c>
      <c r="W141">
        <f>Source!Q51</f>
        <v>0</v>
      </c>
      <c r="X141">
        <f>Source!R51</f>
        <v>0</v>
      </c>
      <c r="Y141">
        <f>Source!U51</f>
        <v>0</v>
      </c>
      <c r="Z141">
        <f>Source!V51</f>
        <v>0</v>
      </c>
      <c r="AA141">
        <f>Source!X51</f>
        <v>0</v>
      </c>
      <c r="AB141">
        <f>Source!Y51</f>
        <v>0</v>
      </c>
    </row>
    <row r="142" spans="1:28" ht="14.25" x14ac:dyDescent="0.2">
      <c r="C142" s="29" t="s">
        <v>401</v>
      </c>
      <c r="D142" s="29">
        <f>Source!BC51</f>
        <v>6.77</v>
      </c>
      <c r="F142" s="14"/>
      <c r="G142" s="14"/>
      <c r="H142" s="14"/>
    </row>
    <row r="143" spans="1:28" ht="28.5" x14ac:dyDescent="0.2">
      <c r="A143" s="54">
        <v>14</v>
      </c>
      <c r="B143" s="54" t="str">
        <f>Source!E53</f>
        <v>7,5</v>
      </c>
      <c r="C143" s="54" t="str">
        <f>Source!G53</f>
        <v>Грунтовка: водно-дисперсионная "БИРСС Бетон-контакт"</v>
      </c>
      <c r="D143" s="54" t="str">
        <f>Source!F53</f>
        <v>14.3.01.02-0102</v>
      </c>
      <c r="E143" s="37" t="str">
        <f>Source!H53</f>
        <v>т</v>
      </c>
      <c r="F143" s="14">
        <f>Source!I53</f>
        <v>2.9380000000000001E-3</v>
      </c>
      <c r="G143" s="27">
        <f>Source!AB53</f>
        <v>18390.16</v>
      </c>
      <c r="H143" s="28">
        <f>Source!O53</f>
        <v>365.79</v>
      </c>
      <c r="T143">
        <f>Source!O53+Source!X53+Source!Y53</f>
        <v>365.79</v>
      </c>
      <c r="U143">
        <f>Source!P53</f>
        <v>365.79</v>
      </c>
      <c r="V143">
        <f>Source!S53</f>
        <v>0</v>
      </c>
      <c r="W143">
        <f>Source!Q53</f>
        <v>0</v>
      </c>
      <c r="X143">
        <f>Source!R53</f>
        <v>0</v>
      </c>
      <c r="Y143">
        <f>Source!U53</f>
        <v>0</v>
      </c>
      <c r="Z143">
        <f>Source!V53</f>
        <v>0</v>
      </c>
      <c r="AA143">
        <f>Source!X53</f>
        <v>0</v>
      </c>
      <c r="AB143">
        <f>Source!Y53</f>
        <v>0</v>
      </c>
    </row>
    <row r="144" spans="1:28" ht="14.25" x14ac:dyDescent="0.2">
      <c r="C144" s="29" t="s">
        <v>401</v>
      </c>
      <c r="D144" s="29">
        <f>Source!BC53</f>
        <v>6.77</v>
      </c>
      <c r="F144" s="14"/>
      <c r="G144" s="14"/>
      <c r="H144" s="14"/>
    </row>
    <row r="145" spans="1:28" ht="14.25" x14ac:dyDescent="0.2">
      <c r="A145" s="54">
        <v>15</v>
      </c>
      <c r="B145" s="54" t="str">
        <f>Source!E55</f>
        <v>7,6</v>
      </c>
      <c r="C145" s="54" t="str">
        <f>Source!G55</f>
        <v>Грунтовка</v>
      </c>
      <c r="D145" s="54" t="str">
        <f>Source!F55</f>
        <v>14.4.01.21</v>
      </c>
      <c r="E145" s="37" t="str">
        <f>Source!H55</f>
        <v>т</v>
      </c>
      <c r="F145" s="14">
        <f>Source!I55</f>
        <v>2.9369999999999999E-3</v>
      </c>
      <c r="G145" s="27">
        <f>Source!AB55</f>
        <v>0</v>
      </c>
      <c r="H145" s="28">
        <f>Source!O55</f>
        <v>0</v>
      </c>
      <c r="T145">
        <f>Source!O55+Source!X55+Source!Y55</f>
        <v>0</v>
      </c>
      <c r="U145">
        <f>Source!P55</f>
        <v>0</v>
      </c>
      <c r="V145">
        <f>Source!S55</f>
        <v>0</v>
      </c>
      <c r="W145">
        <f>Source!Q55</f>
        <v>0</v>
      </c>
      <c r="X145">
        <f>Source!R55</f>
        <v>0</v>
      </c>
      <c r="Y145">
        <f>Source!U55</f>
        <v>0</v>
      </c>
      <c r="Z145">
        <f>Source!V55</f>
        <v>0</v>
      </c>
      <c r="AA145">
        <f>Source!X55</f>
        <v>0</v>
      </c>
      <c r="AB145">
        <f>Source!Y55</f>
        <v>0</v>
      </c>
    </row>
    <row r="146" spans="1:28" ht="14.25" x14ac:dyDescent="0.2">
      <c r="C146" s="29" t="s">
        <v>401</v>
      </c>
      <c r="D146" s="29">
        <f>Source!BC55</f>
        <v>6.77</v>
      </c>
      <c r="F146" s="14"/>
      <c r="G146" s="14"/>
      <c r="H146" s="14"/>
    </row>
    <row r="147" spans="1:28" ht="28.5" x14ac:dyDescent="0.2">
      <c r="A147" s="54">
        <v>16</v>
      </c>
      <c r="B147" s="54" t="str">
        <f>Source!E57</f>
        <v>8</v>
      </c>
      <c r="C147" s="54" t="str">
        <f>Source!G57</f>
        <v>Установка уголков ПВХ на клее</v>
      </c>
      <c r="D147" s="54" t="str">
        <f>Source!F57</f>
        <v>10-01-036-01</v>
      </c>
      <c r="E147" s="37" t="str">
        <f>Source!H57</f>
        <v>100 м</v>
      </c>
      <c r="F147" s="14">
        <f>Source!I57</f>
        <v>1.32</v>
      </c>
      <c r="G147" s="27">
        <f>Source!AB57</f>
        <v>101.7225</v>
      </c>
      <c r="H147" s="28">
        <f>Source!O57</f>
        <v>909.03</v>
      </c>
      <c r="T147">
        <f>Source!O57+Source!X57+Source!Y57</f>
        <v>1848.7399999999998</v>
      </c>
      <c r="U147">
        <f>Source!P57</f>
        <v>321.70999999999998</v>
      </c>
      <c r="V147">
        <f>Source!S57</f>
        <v>587.32000000000005</v>
      </c>
      <c r="W147">
        <f>Source!Q57</f>
        <v>0</v>
      </c>
      <c r="X147">
        <f>Source!R57</f>
        <v>0</v>
      </c>
      <c r="Y147">
        <f>Source!U57</f>
        <v>10.170599999999999</v>
      </c>
      <c r="Z147">
        <f>Source!V57</f>
        <v>0</v>
      </c>
      <c r="AA147">
        <f>Source!X57</f>
        <v>622.55999999999995</v>
      </c>
      <c r="AB147">
        <f>Source!Y57</f>
        <v>317.14999999999998</v>
      </c>
    </row>
    <row r="148" spans="1:28" ht="14.25" x14ac:dyDescent="0.2">
      <c r="C148" s="29" t="str">
        <f>"Объем: "&amp;Source!I57&amp;"=132/"&amp;"100"</f>
        <v>Объем: 1,32=132/100</v>
      </c>
      <c r="F148" s="14"/>
      <c r="G148" s="14"/>
      <c r="H148" s="14"/>
    </row>
    <row r="149" spans="1:28" x14ac:dyDescent="0.2">
      <c r="C149" s="29" t="s">
        <v>399</v>
      </c>
      <c r="D149" s="29">
        <f>Source!BA57</f>
        <v>6.77</v>
      </c>
    </row>
    <row r="150" spans="1:28" x14ac:dyDescent="0.2">
      <c r="C150" s="29" t="s">
        <v>400</v>
      </c>
      <c r="D150" s="29">
        <f>Source!BB57</f>
        <v>6.77</v>
      </c>
    </row>
    <row r="151" spans="1:28" x14ac:dyDescent="0.2">
      <c r="C151" s="29" t="s">
        <v>401</v>
      </c>
      <c r="D151" s="29">
        <f>Source!BC57</f>
        <v>6.77</v>
      </c>
    </row>
    <row r="152" spans="1:28" x14ac:dyDescent="0.2">
      <c r="C152" s="29" t="s">
        <v>402</v>
      </c>
      <c r="D152" s="29">
        <f>Source!BS57</f>
        <v>6.77</v>
      </c>
    </row>
    <row r="153" spans="1:28" x14ac:dyDescent="0.2">
      <c r="C153" s="29" t="s">
        <v>408</v>
      </c>
      <c r="D153" s="112" t="s">
        <v>41</v>
      </c>
      <c r="E153" s="112"/>
      <c r="F153" s="112"/>
      <c r="G153" s="112"/>
      <c r="H153" s="112"/>
    </row>
    <row r="154" spans="1:28" x14ac:dyDescent="0.2">
      <c r="C154" s="29" t="s">
        <v>409</v>
      </c>
      <c r="D154" s="112" t="s">
        <v>41</v>
      </c>
      <c r="E154" s="112"/>
      <c r="F154" s="112"/>
      <c r="G154" s="112"/>
      <c r="H154" s="112"/>
    </row>
    <row r="155" spans="1:28" x14ac:dyDescent="0.2">
      <c r="C155" s="29" t="s">
        <v>410</v>
      </c>
      <c r="D155" s="112" t="s">
        <v>42</v>
      </c>
      <c r="E155" s="112"/>
      <c r="F155" s="112"/>
      <c r="G155" s="112"/>
      <c r="H155" s="112"/>
    </row>
    <row r="156" spans="1:28" x14ac:dyDescent="0.2">
      <c r="C156" s="29" t="s">
        <v>411</v>
      </c>
      <c r="D156" s="112" t="s">
        <v>42</v>
      </c>
      <c r="E156" s="112"/>
      <c r="F156" s="112"/>
      <c r="G156" s="112"/>
      <c r="H156" s="112"/>
    </row>
    <row r="157" spans="1:28" x14ac:dyDescent="0.2">
      <c r="C157" s="29" t="s">
        <v>412</v>
      </c>
      <c r="D157" s="112" t="s">
        <v>41</v>
      </c>
      <c r="E157" s="112"/>
      <c r="F157" s="112"/>
      <c r="G157" s="112"/>
      <c r="H157" s="112"/>
    </row>
    <row r="158" spans="1:28" x14ac:dyDescent="0.2">
      <c r="C158" s="11" t="s">
        <v>403</v>
      </c>
      <c r="D158" s="41"/>
      <c r="E158" s="41"/>
      <c r="F158" s="41">
        <f>Source!BZ57</f>
        <v>118</v>
      </c>
      <c r="G158" s="65">
        <f>(Source!AF57+Source!AE57)*Source!FX57/100</f>
        <v>69.797294999999991</v>
      </c>
      <c r="H158" s="66">
        <f>Source!X57</f>
        <v>622.55999999999995</v>
      </c>
    </row>
    <row r="159" spans="1:28" x14ac:dyDescent="0.2">
      <c r="C159" s="11" t="s">
        <v>404</v>
      </c>
      <c r="D159" s="41"/>
      <c r="E159" s="41"/>
      <c r="F159" s="41"/>
      <c r="G159" s="41" t="str">
        <f>CONCATENATE(Source!DL57,Source!FT57, "=", Source!FX57, "%")</f>
        <v>*0,9=106,2%</v>
      </c>
      <c r="H159" s="41" t="str">
        <f>CONCATENATE(Source!AT57)</f>
        <v>106</v>
      </c>
    </row>
    <row r="160" spans="1:28" x14ac:dyDescent="0.2">
      <c r="C160" s="11" t="s">
        <v>405</v>
      </c>
      <c r="D160" s="41"/>
      <c r="E160" s="41"/>
      <c r="F160" s="41">
        <f>Source!CA57</f>
        <v>63</v>
      </c>
      <c r="G160" s="65">
        <f>(Source!AF57+Source!AE57)*Source!FY57/100</f>
        <v>35.194398749999998</v>
      </c>
      <c r="H160" s="66">
        <f>Source!Y57</f>
        <v>317.14999999999998</v>
      </c>
    </row>
    <row r="161" spans="1:28" x14ac:dyDescent="0.2">
      <c r="C161" s="11" t="s">
        <v>406</v>
      </c>
      <c r="D161" s="41"/>
      <c r="E161" s="41"/>
      <c r="F161" s="41"/>
      <c r="G161" s="41" t="str">
        <f>CONCATENATE(Source!DM57,Source!FU57, "=", Source!FY57, "%")</f>
        <v>*0,85=53,55%</v>
      </c>
      <c r="H161" s="41" t="str">
        <f>CONCATENATE(Source!AU57)</f>
        <v>54</v>
      </c>
    </row>
    <row r="162" spans="1:28" x14ac:dyDescent="0.2">
      <c r="C162" s="11" t="s">
        <v>407</v>
      </c>
      <c r="D162" s="41"/>
      <c r="E162" s="41"/>
      <c r="F162" s="41"/>
      <c r="G162" s="65">
        <f>((Source!AF57+Source!AE57)*Source!FX57/100)+((Source!AF57+Source!AE57)*Source!FY57/100)+Source!AB57</f>
        <v>206.71419374999999</v>
      </c>
      <c r="H162" s="66">
        <f>Source!O57+Source!X57+Source!Y57</f>
        <v>1848.7399999999998</v>
      </c>
    </row>
    <row r="163" spans="1:28" ht="14.25" x14ac:dyDescent="0.2">
      <c r="A163" s="54">
        <v>17</v>
      </c>
      <c r="B163" s="54" t="str">
        <f>Source!E59</f>
        <v>8,1</v>
      </c>
      <c r="C163" s="54" t="str">
        <f>Source!G59</f>
        <v>Уголок ПВХ</v>
      </c>
      <c r="D163" s="54" t="str">
        <f>Source!F59</f>
        <v>11.3.03.13</v>
      </c>
      <c r="E163" s="37" t="str">
        <f>Source!H59</f>
        <v>П.М</v>
      </c>
      <c r="F163" s="14">
        <f>Source!I59</f>
        <v>132</v>
      </c>
      <c r="G163" s="27">
        <f>Source!AB59</f>
        <v>0</v>
      </c>
      <c r="H163" s="28">
        <f>Source!O59</f>
        <v>0</v>
      </c>
      <c r="T163">
        <f>Source!O59+Source!X59+Source!Y59</f>
        <v>0</v>
      </c>
      <c r="U163">
        <f>Source!P59</f>
        <v>0</v>
      </c>
      <c r="V163">
        <f>Source!S59</f>
        <v>0</v>
      </c>
      <c r="W163">
        <f>Source!Q59</f>
        <v>0</v>
      </c>
      <c r="X163">
        <f>Source!R59</f>
        <v>0</v>
      </c>
      <c r="Y163">
        <f>Source!U59</f>
        <v>0</v>
      </c>
      <c r="Z163">
        <f>Source!V59</f>
        <v>0</v>
      </c>
      <c r="AA163">
        <f>Source!X59</f>
        <v>0</v>
      </c>
      <c r="AB163">
        <f>Source!Y59</f>
        <v>0</v>
      </c>
    </row>
    <row r="164" spans="1:28" ht="14.25" x14ac:dyDescent="0.2">
      <c r="C164" s="29" t="s">
        <v>401</v>
      </c>
      <c r="D164" s="29">
        <f>Source!BC59</f>
        <v>6.77</v>
      </c>
      <c r="F164" s="14"/>
      <c r="G164" s="14"/>
      <c r="H164" s="14"/>
    </row>
    <row r="165" spans="1:28" ht="28.5" x14ac:dyDescent="0.2">
      <c r="A165" s="54">
        <v>18</v>
      </c>
      <c r="B165" s="54" t="str">
        <f>Source!E61</f>
        <v>8,2</v>
      </c>
      <c r="C165" s="54" t="str">
        <f>Source!G61</f>
        <v>Уголок ПВХ, размером 20х20 мм</v>
      </c>
      <c r="D165" s="54" t="str">
        <f>Source!F61</f>
        <v>11.3.03.13-0043</v>
      </c>
      <c r="E165" s="37" t="str">
        <f>Source!H61</f>
        <v>10 м</v>
      </c>
      <c r="F165" s="14">
        <f>Source!I61</f>
        <v>13.199999999999998</v>
      </c>
      <c r="G165" s="27">
        <f>Source!AB61</f>
        <v>25.6</v>
      </c>
      <c r="H165" s="28">
        <f>Source!O61</f>
        <v>2287.7199999999998</v>
      </c>
      <c r="T165">
        <f>Source!O61+Source!X61+Source!Y61</f>
        <v>2287.7199999999998</v>
      </c>
      <c r="U165">
        <f>Source!P61</f>
        <v>2287.7199999999998</v>
      </c>
      <c r="V165">
        <f>Source!S61</f>
        <v>0</v>
      </c>
      <c r="W165">
        <f>Source!Q61</f>
        <v>0</v>
      </c>
      <c r="X165">
        <f>Source!R61</f>
        <v>0</v>
      </c>
      <c r="Y165">
        <f>Source!U61</f>
        <v>0</v>
      </c>
      <c r="Z165">
        <f>Source!V61</f>
        <v>0</v>
      </c>
      <c r="AA165">
        <f>Source!X61</f>
        <v>0</v>
      </c>
      <c r="AB165">
        <f>Source!Y61</f>
        <v>0</v>
      </c>
    </row>
    <row r="166" spans="1:28" ht="14.25" x14ac:dyDescent="0.2">
      <c r="C166" s="29" t="s">
        <v>401</v>
      </c>
      <c r="D166" s="29">
        <f>Source!BC61</f>
        <v>6.77</v>
      </c>
      <c r="F166" s="14"/>
      <c r="G166" s="14"/>
      <c r="H166" s="14"/>
    </row>
    <row r="167" spans="1:28" ht="42.75" x14ac:dyDescent="0.2">
      <c r="A167" s="54">
        <v>19</v>
      </c>
      <c r="B167" s="54" t="str">
        <f>Source!E63</f>
        <v>9</v>
      </c>
      <c r="C167" s="54" t="str">
        <f>Source!G63</f>
        <v>Погрузочные работы при автомобильных перевозках мусора строительного с погрузкой вручную</v>
      </c>
      <c r="D167" s="54" t="str">
        <f>Source!F63</f>
        <v>т01-01-01-041</v>
      </c>
      <c r="E167" s="37" t="str">
        <f>Source!H63</f>
        <v>1 Т ГРУЗА</v>
      </c>
      <c r="F167" s="14">
        <f>Source!I63</f>
        <v>6</v>
      </c>
      <c r="G167" s="27">
        <f>Source!AB63</f>
        <v>42.98</v>
      </c>
      <c r="H167" s="28">
        <f>Source!GM63</f>
        <v>1745.85</v>
      </c>
      <c r="T167">
        <f>Source!GM63</f>
        <v>1745.85</v>
      </c>
      <c r="U167">
        <f>Source!P63</f>
        <v>0</v>
      </c>
      <c r="V167">
        <f>Source!S63</f>
        <v>0</v>
      </c>
      <c r="W167">
        <f>Source!Q63</f>
        <v>0</v>
      </c>
      <c r="X167">
        <f>Source!R63</f>
        <v>0</v>
      </c>
      <c r="Y167">
        <f>Source!U63</f>
        <v>0</v>
      </c>
      <c r="Z167">
        <f>Source!V63</f>
        <v>0</v>
      </c>
      <c r="AA167">
        <f>Source!X63</f>
        <v>0</v>
      </c>
      <c r="AB167">
        <f>Source!Y63</f>
        <v>0</v>
      </c>
    </row>
    <row r="168" spans="1:28" ht="14.25" x14ac:dyDescent="0.2">
      <c r="C168" s="29" t="s">
        <v>413</v>
      </c>
      <c r="D168" s="29">
        <f>Source!AZ63</f>
        <v>6.77</v>
      </c>
      <c r="F168" s="14"/>
      <c r="G168" s="14"/>
      <c r="H168" s="14"/>
    </row>
    <row r="169" spans="1:28" ht="57" x14ac:dyDescent="0.2">
      <c r="A169" s="54">
        <v>20</v>
      </c>
      <c r="B169" s="54" t="str">
        <f>Source!E65</f>
        <v>10</v>
      </c>
      <c r="C169" s="54" t="str">
        <f>Source!G65</f>
        <v>Перевозка грузов III класса автомобилями бортовыми грузоподъемностью до 15 т на расстояние до 50 км</v>
      </c>
      <c r="D169" s="54" t="str">
        <f>Source!F65</f>
        <v>т03-01-03-050</v>
      </c>
      <c r="E169" s="37" t="str">
        <f>Source!H65</f>
        <v>1 Т ГРУЗА</v>
      </c>
      <c r="F169" s="14">
        <f>Source!I65</f>
        <v>6</v>
      </c>
      <c r="G169" s="27">
        <f>Source!AB65</f>
        <v>39.15</v>
      </c>
      <c r="H169" s="28">
        <f>Source!GM65</f>
        <v>1590.27</v>
      </c>
      <c r="T169">
        <f>Source!GM65</f>
        <v>1590.27</v>
      </c>
      <c r="U169">
        <f>Source!P65</f>
        <v>0</v>
      </c>
      <c r="V169">
        <f>Source!S65</f>
        <v>0</v>
      </c>
      <c r="W169">
        <f>Source!Q65</f>
        <v>0</v>
      </c>
      <c r="X169">
        <f>Source!R65</f>
        <v>0</v>
      </c>
      <c r="Y169">
        <f>Source!U65</f>
        <v>0</v>
      </c>
      <c r="Z169">
        <f>Source!V65</f>
        <v>0</v>
      </c>
      <c r="AA169">
        <f>Source!X65</f>
        <v>0</v>
      </c>
      <c r="AB169">
        <f>Source!Y65</f>
        <v>0</v>
      </c>
    </row>
    <row r="170" spans="1:28" ht="14.25" x14ac:dyDescent="0.2">
      <c r="C170" s="29" t="s">
        <v>413</v>
      </c>
      <c r="D170" s="29">
        <f>Source!AZ65</f>
        <v>6.77</v>
      </c>
      <c r="F170" s="14"/>
      <c r="G170" s="14"/>
      <c r="H170" s="14"/>
    </row>
    <row r="172" spans="1:28" ht="15" x14ac:dyDescent="0.25">
      <c r="A172" s="67"/>
      <c r="B172" s="67"/>
      <c r="C172" s="85" t="str">
        <f>CONCATENATE("Итого по локальной смете: ",IF(Source!G67&lt;&gt;"Новая локальная смета", Source!G67, ""))</f>
        <v xml:space="preserve">Итого по локальной смете: </v>
      </c>
      <c r="D172" s="85"/>
      <c r="E172" s="85"/>
      <c r="F172" s="85"/>
      <c r="G172" s="67"/>
      <c r="H172" s="68">
        <f>IF(SUM(T37:T171)=0, "-", SUM(T37:T171))</f>
        <v>579578.53</v>
      </c>
    </row>
    <row r="173" spans="1:28" ht="15" x14ac:dyDescent="0.25">
      <c r="A173" s="67"/>
      <c r="B173" s="67"/>
      <c r="C173" s="67"/>
      <c r="D173" s="67"/>
      <c r="E173" s="67"/>
      <c r="F173" s="67"/>
      <c r="G173" s="67"/>
      <c r="H173" s="67"/>
    </row>
    <row r="175" spans="1:28" ht="14.25" x14ac:dyDescent="0.2">
      <c r="C175" s="114" t="str">
        <f>Source!H95</f>
        <v>Всего</v>
      </c>
      <c r="D175" s="114"/>
      <c r="E175" s="114"/>
      <c r="F175" s="114"/>
      <c r="G175" s="81">
        <f>IF(Source!P95=0, "", Source!P95)</f>
        <v>579578.53</v>
      </c>
      <c r="H175" s="81"/>
    </row>
    <row r="176" spans="1:28" ht="14.25" x14ac:dyDescent="0.2">
      <c r="C176" s="114" t="str">
        <f>Source!H96</f>
        <v>Итого НДС 20 %</v>
      </c>
      <c r="D176" s="114"/>
      <c r="E176" s="114"/>
      <c r="F176" s="114"/>
      <c r="G176" s="81">
        <f>IF(Source!P96=0, "", Source!P96)</f>
        <v>115915.71</v>
      </c>
      <c r="H176" s="81"/>
    </row>
    <row r="177" spans="1:33" ht="14.25" x14ac:dyDescent="0.2">
      <c r="C177" s="114" t="str">
        <f>Source!H97</f>
        <v>Всего по смете</v>
      </c>
      <c r="D177" s="114"/>
      <c r="E177" s="114"/>
      <c r="F177" s="114"/>
      <c r="G177" s="81">
        <f>IF(Source!P97=0, "", Source!P97)</f>
        <v>695494.24</v>
      </c>
      <c r="H177" s="81"/>
    </row>
    <row r="179" spans="1:33" ht="90" x14ac:dyDescent="0.25">
      <c r="A179" s="67"/>
      <c r="B179" s="67"/>
      <c r="C179" s="85" t="str">
        <f>CONCATENATE("Итого по смете: ",IF(Source!G99&lt;&gt;"Новый объект", Source!G99, ""))</f>
        <v>Итого по смете: 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v>
      </c>
      <c r="D179" s="85"/>
      <c r="E179" s="85"/>
      <c r="F179" s="85"/>
      <c r="G179" s="67"/>
      <c r="H179" s="68">
        <f>IF(SUM(T1:T178)=0, "-", SUM(T1:T178))</f>
        <v>579578.53</v>
      </c>
      <c r="AG179" s="69" t="str">
        <f>CONCATENATE("Итого по смете: ",IF(Source!G99&lt;&gt;"Новый объект", Source!G99, ""))</f>
        <v>Итого по смете: 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v>
      </c>
    </row>
    <row r="180" spans="1:33" ht="15" x14ac:dyDescent="0.25">
      <c r="A180" s="67"/>
      <c r="B180" s="67"/>
      <c r="C180" s="67"/>
      <c r="D180" s="67"/>
      <c r="E180" s="67"/>
      <c r="F180" s="67"/>
      <c r="G180" s="67"/>
      <c r="H180" s="67"/>
    </row>
    <row r="181" spans="1:33" ht="14.25" x14ac:dyDescent="0.2">
      <c r="C181" s="114" t="str">
        <f>Source!H127</f>
        <v>Всего</v>
      </c>
      <c r="D181" s="114"/>
      <c r="E181" s="114"/>
      <c r="F181" s="114"/>
      <c r="G181" s="81">
        <f>IF(Source!P127=0, "", Source!P127)</f>
        <v>579578.53</v>
      </c>
      <c r="H181" s="81"/>
    </row>
    <row r="182" spans="1:33" ht="14.25" x14ac:dyDescent="0.2">
      <c r="C182" s="114" t="str">
        <f>Source!H128</f>
        <v>Итого НДС 20 %</v>
      </c>
      <c r="D182" s="114"/>
      <c r="E182" s="114"/>
      <c r="F182" s="114"/>
      <c r="G182" s="81">
        <f>IF(Source!P128=0, "", Source!P128)</f>
        <v>115915.71</v>
      </c>
      <c r="H182" s="81"/>
    </row>
    <row r="183" spans="1:33" ht="14.25" x14ac:dyDescent="0.2">
      <c r="C183" s="114" t="str">
        <f>Source!H129</f>
        <v>Всего по смете</v>
      </c>
      <c r="D183" s="114"/>
      <c r="E183" s="114"/>
      <c r="F183" s="114"/>
      <c r="G183" s="81">
        <f>IF(Source!P129=0, "", Source!P129)</f>
        <v>695494.24</v>
      </c>
      <c r="H183" s="81"/>
    </row>
    <row r="186" spans="1:33" ht="15" thickBot="1" x14ac:dyDescent="0.25">
      <c r="A186" s="116" t="s">
        <v>414</v>
      </c>
      <c r="B186" s="116"/>
      <c r="C186" s="70" t="str">
        <f>IF(Source!AC12&lt;&gt;"", Source!AC12," ")</f>
        <v xml:space="preserve"> </v>
      </c>
      <c r="D186" s="14"/>
      <c r="E186" s="71"/>
      <c r="F186" s="14"/>
      <c r="G186" s="117" t="str">
        <f>IF(Source!AB12&lt;&gt;"", Source!AB12," ")</f>
        <v xml:space="preserve"> </v>
      </c>
      <c r="H186" s="117"/>
      <c r="I186" s="14"/>
      <c r="J186" s="14"/>
      <c r="K186" s="14"/>
      <c r="L186" s="14"/>
    </row>
    <row r="187" spans="1:33" ht="14.25" x14ac:dyDescent="0.2">
      <c r="A187" s="14"/>
      <c r="B187" s="14"/>
      <c r="C187" s="72" t="s">
        <v>415</v>
      </c>
      <c r="D187" s="14"/>
      <c r="E187" s="72" t="s">
        <v>416</v>
      </c>
      <c r="F187" s="14"/>
      <c r="G187" s="115" t="s">
        <v>417</v>
      </c>
      <c r="H187" s="115"/>
      <c r="I187" s="14"/>
      <c r="J187" s="14"/>
      <c r="K187" s="14"/>
      <c r="L187" s="14"/>
    </row>
    <row r="188" spans="1:33" ht="14.25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33" ht="14.25" x14ac:dyDescent="0.2">
      <c r="A189" s="14"/>
      <c r="B189" s="14"/>
      <c r="C189" s="18" t="s">
        <v>418</v>
      </c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33" ht="14.25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33" ht="15" thickBot="1" x14ac:dyDescent="0.25">
      <c r="A191" s="116" t="s">
        <v>419</v>
      </c>
      <c r="B191" s="116"/>
      <c r="C191" s="70" t="str">
        <f>IF(Source!AG12&lt;&gt;"", Source!AG12," ")</f>
        <v xml:space="preserve"> </v>
      </c>
      <c r="D191" s="14"/>
      <c r="E191" s="71"/>
      <c r="F191" s="14"/>
      <c r="G191" s="117" t="str">
        <f>IF(Source!AF12&lt;&gt;"", Source!AF12," ")</f>
        <v xml:space="preserve"> </v>
      </c>
      <c r="H191" s="117"/>
      <c r="I191" s="14"/>
      <c r="J191" s="14"/>
      <c r="K191" s="14"/>
      <c r="L191" s="14"/>
    </row>
    <row r="192" spans="1:33" ht="14.25" x14ac:dyDescent="0.2">
      <c r="A192" s="14"/>
      <c r="B192" s="14"/>
      <c r="C192" s="72" t="s">
        <v>415</v>
      </c>
      <c r="D192" s="14"/>
      <c r="E192" s="72" t="s">
        <v>416</v>
      </c>
      <c r="F192" s="14"/>
      <c r="G192" s="115" t="s">
        <v>417</v>
      </c>
      <c r="H192" s="115"/>
      <c r="I192" s="14"/>
      <c r="J192" s="14"/>
      <c r="K192" s="14"/>
      <c r="L192" s="14"/>
    </row>
    <row r="193" spans="1:12" ht="14.25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4.25" x14ac:dyDescent="0.2">
      <c r="A194" s="14"/>
      <c r="B194" s="14"/>
      <c r="C194" s="18" t="s">
        <v>418</v>
      </c>
      <c r="D194" s="14"/>
      <c r="E194" s="14"/>
      <c r="F194" s="14"/>
      <c r="G194" s="14"/>
      <c r="H194" s="14"/>
      <c r="I194" s="14"/>
      <c r="J194" s="14"/>
      <c r="K194" s="14"/>
      <c r="L194" s="14"/>
    </row>
  </sheetData>
  <mergeCells count="83">
    <mergeCell ref="G192:H192"/>
    <mergeCell ref="C183:F183"/>
    <mergeCell ref="G183:H183"/>
    <mergeCell ref="A186:B186"/>
    <mergeCell ref="G186:H186"/>
    <mergeCell ref="G187:H187"/>
    <mergeCell ref="A191:B191"/>
    <mergeCell ref="G191:H191"/>
    <mergeCell ref="C182:F182"/>
    <mergeCell ref="G182:H182"/>
    <mergeCell ref="D156:H156"/>
    <mergeCell ref="D157:H157"/>
    <mergeCell ref="C172:F172"/>
    <mergeCell ref="C175:F175"/>
    <mergeCell ref="G175:H175"/>
    <mergeCell ref="C176:F176"/>
    <mergeCell ref="G176:H176"/>
    <mergeCell ref="C177:F177"/>
    <mergeCell ref="G177:H177"/>
    <mergeCell ref="C179:F179"/>
    <mergeCell ref="C181:F181"/>
    <mergeCell ref="G181:H181"/>
    <mergeCell ref="D155:H155"/>
    <mergeCell ref="D108:H108"/>
    <mergeCell ref="D109:H109"/>
    <mergeCell ref="D110:H110"/>
    <mergeCell ref="D111:H111"/>
    <mergeCell ref="D125:H125"/>
    <mergeCell ref="D126:H126"/>
    <mergeCell ref="D127:H127"/>
    <mergeCell ref="D128:H128"/>
    <mergeCell ref="D129:H129"/>
    <mergeCell ref="D153:H153"/>
    <mergeCell ref="D154:H154"/>
    <mergeCell ref="D107:H107"/>
    <mergeCell ref="A37:H37"/>
    <mergeCell ref="D73:H73"/>
    <mergeCell ref="D74:H74"/>
    <mergeCell ref="D75:H75"/>
    <mergeCell ref="D76:H76"/>
    <mergeCell ref="D77:H77"/>
    <mergeCell ref="D91:H91"/>
    <mergeCell ref="D92:H92"/>
    <mergeCell ref="D93:H93"/>
    <mergeCell ref="D94:H94"/>
    <mergeCell ref="D95:H95"/>
    <mergeCell ref="F31:G31"/>
    <mergeCell ref="A33:B33"/>
    <mergeCell ref="C33:C34"/>
    <mergeCell ref="D33:D34"/>
    <mergeCell ref="E33:E34"/>
    <mergeCell ref="F33:H33"/>
    <mergeCell ref="A29:H29"/>
    <mergeCell ref="C18:E18"/>
    <mergeCell ref="D19:F19"/>
    <mergeCell ref="G19:H19"/>
    <mergeCell ref="D20:E20"/>
    <mergeCell ref="G20:H20"/>
    <mergeCell ref="G21:H21"/>
    <mergeCell ref="G22:H22"/>
    <mergeCell ref="D24:D25"/>
    <mergeCell ref="E24:E25"/>
    <mergeCell ref="F24:G24"/>
    <mergeCell ref="A28:H28"/>
    <mergeCell ref="C14:E14"/>
    <mergeCell ref="G14:H15"/>
    <mergeCell ref="C15:E15"/>
    <mergeCell ref="C16:E16"/>
    <mergeCell ref="G16:H17"/>
    <mergeCell ref="C17:E17"/>
    <mergeCell ref="C10:E10"/>
    <mergeCell ref="G10:H11"/>
    <mergeCell ref="C11:E11"/>
    <mergeCell ref="C12:E12"/>
    <mergeCell ref="G12:H13"/>
    <mergeCell ref="C13:E13"/>
    <mergeCell ref="G8:H9"/>
    <mergeCell ref="C9:E9"/>
    <mergeCell ref="E2:H2"/>
    <mergeCell ref="E3:H3"/>
    <mergeCell ref="E4:H4"/>
    <mergeCell ref="G6:H6"/>
    <mergeCell ref="G7:H7"/>
  </mergeCells>
  <pageMargins left="0.4" right="0.2" top="0.4" bottom="0.4" header="0.2" footer="0.2"/>
  <pageSetup paperSize="9" scale="85" fitToHeight="0" orientation="portrait" r:id="rId1"/>
  <headerFooter>
    <oddHeader>&amp;L&amp;8НИЯУ МИФИ  Доп. раб. место  MCCS-0027251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6"/>
  <sheetViews>
    <sheetView workbookViewId="0">
      <selection activeCell="G12" sqref="G12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27251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160</v>
      </c>
      <c r="C12" s="1">
        <v>0</v>
      </c>
      <c r="D12" s="1">
        <f>ROW(A99)</f>
        <v>99</v>
      </c>
      <c r="E12" s="1">
        <v>0</v>
      </c>
      <c r="F12" s="1" t="s">
        <v>4</v>
      </c>
      <c r="G12" s="1" t="s">
        <v>421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11</v>
      </c>
      <c r="CF12" s="1">
        <v>0</v>
      </c>
      <c r="CG12" s="1">
        <v>0</v>
      </c>
      <c r="CH12" s="1">
        <v>17301512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B99</f>
        <v>160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объект_(Копия)_(Копия)</v>
      </c>
      <c r="G18" s="3" t="str">
        <f t="shared" si="0"/>
        <v>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v>
      </c>
      <c r="H18" s="3"/>
      <c r="I18" s="3"/>
      <c r="J18" s="3"/>
      <c r="K18" s="3"/>
      <c r="L18" s="3"/>
      <c r="M18" s="3"/>
      <c r="N18" s="3"/>
      <c r="O18" s="3">
        <f t="shared" ref="O18:AT18" si="1">O99</f>
        <v>17461.79</v>
      </c>
      <c r="P18" s="3">
        <f t="shared" si="1"/>
        <v>13458.95</v>
      </c>
      <c r="Q18" s="3">
        <f t="shared" si="1"/>
        <v>510.83</v>
      </c>
      <c r="R18" s="3">
        <f t="shared" si="1"/>
        <v>148.88999999999999</v>
      </c>
      <c r="S18" s="3">
        <f t="shared" si="1"/>
        <v>3492.01</v>
      </c>
      <c r="T18" s="3">
        <f t="shared" si="1"/>
        <v>0</v>
      </c>
      <c r="U18" s="3">
        <f t="shared" si="1"/>
        <v>410.95948199999992</v>
      </c>
      <c r="V18" s="3">
        <f t="shared" si="1"/>
        <v>11.610885</v>
      </c>
      <c r="W18" s="3">
        <f t="shared" si="1"/>
        <v>0</v>
      </c>
      <c r="X18" s="3">
        <f t="shared" si="1"/>
        <v>3663.95</v>
      </c>
      <c r="Y18" s="3">
        <f t="shared" si="1"/>
        <v>2019.17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23637.69</v>
      </c>
      <c r="AS18" s="3">
        <f t="shared" si="1"/>
        <v>23637.69</v>
      </c>
      <c r="AT18" s="3">
        <f t="shared" si="1"/>
        <v>0</v>
      </c>
      <c r="AU18" s="3">
        <f t="shared" ref="AU18:BZ18" si="2">AU99</f>
        <v>0</v>
      </c>
      <c r="AV18" s="3">
        <f t="shared" si="2"/>
        <v>13458.95</v>
      </c>
      <c r="AW18" s="3">
        <f t="shared" si="2"/>
        <v>13458.95</v>
      </c>
      <c r="AX18" s="3">
        <f t="shared" si="2"/>
        <v>0</v>
      </c>
      <c r="AY18" s="3">
        <f t="shared" si="2"/>
        <v>13458.95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CA99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DG99</f>
        <v>537767.79</v>
      </c>
      <c r="DH18" s="4">
        <f t="shared" si="4"/>
        <v>510668.51</v>
      </c>
      <c r="DI18" s="4">
        <f t="shared" si="4"/>
        <v>3458.35</v>
      </c>
      <c r="DJ18" s="4">
        <f t="shared" si="4"/>
        <v>1007.94</v>
      </c>
      <c r="DK18" s="4">
        <f t="shared" si="4"/>
        <v>23640.93</v>
      </c>
      <c r="DL18" s="4">
        <f t="shared" si="4"/>
        <v>0</v>
      </c>
      <c r="DM18" s="4">
        <f t="shared" si="4"/>
        <v>410.95948199999992</v>
      </c>
      <c r="DN18" s="4">
        <f t="shared" si="4"/>
        <v>11.610885</v>
      </c>
      <c r="DO18" s="4">
        <f t="shared" si="4"/>
        <v>0</v>
      </c>
      <c r="DP18" s="4">
        <f t="shared" si="4"/>
        <v>24804.9</v>
      </c>
      <c r="DQ18" s="4">
        <f t="shared" si="4"/>
        <v>13669.72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579578.53</v>
      </c>
      <c r="EK18" s="4">
        <f t="shared" si="4"/>
        <v>579578.53</v>
      </c>
      <c r="EL18" s="4">
        <f t="shared" si="4"/>
        <v>0</v>
      </c>
      <c r="EM18" s="4">
        <f t="shared" ref="EM18:FR18" si="5">EM99</f>
        <v>0</v>
      </c>
      <c r="EN18" s="4">
        <f t="shared" si="5"/>
        <v>510668.51</v>
      </c>
      <c r="EO18" s="4">
        <f t="shared" si="5"/>
        <v>510668.51</v>
      </c>
      <c r="EP18" s="4">
        <f t="shared" si="5"/>
        <v>0</v>
      </c>
      <c r="EQ18" s="4">
        <f t="shared" si="5"/>
        <v>510668.51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FS99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ROW(A67)</f>
        <v>67</v>
      </c>
      <c r="E20" s="1"/>
      <c r="F20" s="1" t="s">
        <v>12</v>
      </c>
      <c r="G20" s="1" t="s">
        <v>12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B67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O67</f>
        <v>17461.79</v>
      </c>
      <c r="P22" s="3">
        <f t="shared" si="8"/>
        <v>13458.95</v>
      </c>
      <c r="Q22" s="3">
        <f t="shared" si="8"/>
        <v>510.83</v>
      </c>
      <c r="R22" s="3">
        <f t="shared" si="8"/>
        <v>148.88999999999999</v>
      </c>
      <c r="S22" s="3">
        <f t="shared" si="8"/>
        <v>3492.01</v>
      </c>
      <c r="T22" s="3">
        <f t="shared" si="8"/>
        <v>0</v>
      </c>
      <c r="U22" s="3">
        <f t="shared" si="8"/>
        <v>410.95948199999992</v>
      </c>
      <c r="V22" s="3">
        <f t="shared" si="8"/>
        <v>11.610885</v>
      </c>
      <c r="W22" s="3">
        <f t="shared" si="8"/>
        <v>0</v>
      </c>
      <c r="X22" s="3">
        <f t="shared" si="8"/>
        <v>3663.95</v>
      </c>
      <c r="Y22" s="3">
        <f t="shared" si="8"/>
        <v>2019.17</v>
      </c>
      <c r="Z22" s="3">
        <f t="shared" si="8"/>
        <v>0</v>
      </c>
      <c r="AA22" s="3">
        <f t="shared" si="8"/>
        <v>0</v>
      </c>
      <c r="AB22" s="3">
        <f t="shared" si="8"/>
        <v>17461.79</v>
      </c>
      <c r="AC22" s="3">
        <f t="shared" si="8"/>
        <v>13458.95</v>
      </c>
      <c r="AD22" s="3">
        <f t="shared" si="8"/>
        <v>510.83</v>
      </c>
      <c r="AE22" s="3">
        <f t="shared" si="8"/>
        <v>148.88999999999999</v>
      </c>
      <c r="AF22" s="3">
        <f t="shared" si="8"/>
        <v>3492.01</v>
      </c>
      <c r="AG22" s="3">
        <f t="shared" si="8"/>
        <v>0</v>
      </c>
      <c r="AH22" s="3">
        <f t="shared" si="8"/>
        <v>410.95948199999992</v>
      </c>
      <c r="AI22" s="3">
        <f t="shared" si="8"/>
        <v>11.610885</v>
      </c>
      <c r="AJ22" s="3">
        <f t="shared" si="8"/>
        <v>0</v>
      </c>
      <c r="AK22" s="3">
        <f t="shared" si="8"/>
        <v>3663.95</v>
      </c>
      <c r="AL22" s="3">
        <f t="shared" si="8"/>
        <v>2019.17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23637.69</v>
      </c>
      <c r="AS22" s="3">
        <f t="shared" si="8"/>
        <v>23637.69</v>
      </c>
      <c r="AT22" s="3">
        <f t="shared" si="8"/>
        <v>0</v>
      </c>
      <c r="AU22" s="3">
        <f t="shared" ref="AU22:BZ22" si="9">AU67</f>
        <v>0</v>
      </c>
      <c r="AV22" s="3">
        <f t="shared" si="9"/>
        <v>13458.95</v>
      </c>
      <c r="AW22" s="3">
        <f t="shared" si="9"/>
        <v>13458.95</v>
      </c>
      <c r="AX22" s="3">
        <f t="shared" si="9"/>
        <v>0</v>
      </c>
      <c r="AY22" s="3">
        <f t="shared" si="9"/>
        <v>13458.95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CA67</f>
        <v>23637.69</v>
      </c>
      <c r="CB22" s="3">
        <f t="shared" si="10"/>
        <v>23637.69</v>
      </c>
      <c r="CC22" s="3">
        <f t="shared" si="10"/>
        <v>0</v>
      </c>
      <c r="CD22" s="3">
        <f t="shared" si="10"/>
        <v>0</v>
      </c>
      <c r="CE22" s="3">
        <f t="shared" si="10"/>
        <v>13458.95</v>
      </c>
      <c r="CF22" s="3">
        <f t="shared" si="10"/>
        <v>13458.95</v>
      </c>
      <c r="CG22" s="3">
        <f t="shared" si="10"/>
        <v>0</v>
      </c>
      <c r="CH22" s="3">
        <f t="shared" si="10"/>
        <v>13458.95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DG67</f>
        <v>537767.79</v>
      </c>
      <c r="DH22" s="4">
        <f t="shared" si="11"/>
        <v>510668.51</v>
      </c>
      <c r="DI22" s="4">
        <f t="shared" si="11"/>
        <v>3458.35</v>
      </c>
      <c r="DJ22" s="4">
        <f t="shared" si="11"/>
        <v>1007.94</v>
      </c>
      <c r="DK22" s="4">
        <f t="shared" si="11"/>
        <v>23640.93</v>
      </c>
      <c r="DL22" s="4">
        <f t="shared" si="11"/>
        <v>0</v>
      </c>
      <c r="DM22" s="4">
        <f t="shared" si="11"/>
        <v>410.95948199999992</v>
      </c>
      <c r="DN22" s="4">
        <f t="shared" si="11"/>
        <v>11.610885</v>
      </c>
      <c r="DO22" s="4">
        <f t="shared" si="11"/>
        <v>0</v>
      </c>
      <c r="DP22" s="4">
        <f t="shared" si="11"/>
        <v>24804.9</v>
      </c>
      <c r="DQ22" s="4">
        <f t="shared" si="11"/>
        <v>13669.72</v>
      </c>
      <c r="DR22" s="4">
        <f t="shared" si="11"/>
        <v>0</v>
      </c>
      <c r="DS22" s="4">
        <f t="shared" si="11"/>
        <v>0</v>
      </c>
      <c r="DT22" s="4">
        <f t="shared" si="11"/>
        <v>537767.79</v>
      </c>
      <c r="DU22" s="4">
        <f t="shared" si="11"/>
        <v>510668.51</v>
      </c>
      <c r="DV22" s="4">
        <f t="shared" si="11"/>
        <v>3458.35</v>
      </c>
      <c r="DW22" s="4">
        <f t="shared" si="11"/>
        <v>1007.94</v>
      </c>
      <c r="DX22" s="4">
        <f t="shared" si="11"/>
        <v>23640.93</v>
      </c>
      <c r="DY22" s="4">
        <f t="shared" si="11"/>
        <v>0</v>
      </c>
      <c r="DZ22" s="4">
        <f t="shared" si="11"/>
        <v>410.95948199999992</v>
      </c>
      <c r="EA22" s="4">
        <f t="shared" si="11"/>
        <v>11.610885</v>
      </c>
      <c r="EB22" s="4">
        <f t="shared" si="11"/>
        <v>0</v>
      </c>
      <c r="EC22" s="4">
        <f t="shared" si="11"/>
        <v>24804.9</v>
      </c>
      <c r="ED22" s="4">
        <f t="shared" si="11"/>
        <v>13669.72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579578.53</v>
      </c>
      <c r="EK22" s="4">
        <f t="shared" si="11"/>
        <v>579578.53</v>
      </c>
      <c r="EL22" s="4">
        <f t="shared" si="11"/>
        <v>0</v>
      </c>
      <c r="EM22" s="4">
        <f t="shared" ref="EM22:FR22" si="12">EM67</f>
        <v>0</v>
      </c>
      <c r="EN22" s="4">
        <f t="shared" si="12"/>
        <v>510668.51</v>
      </c>
      <c r="EO22" s="4">
        <f t="shared" si="12"/>
        <v>510668.51</v>
      </c>
      <c r="EP22" s="4">
        <f t="shared" si="12"/>
        <v>0</v>
      </c>
      <c r="EQ22" s="4">
        <f t="shared" si="12"/>
        <v>510668.51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FS67</f>
        <v>579578.53</v>
      </c>
      <c r="FT22" s="4">
        <f t="shared" si="13"/>
        <v>579578.53</v>
      </c>
      <c r="FU22" s="4">
        <f t="shared" si="13"/>
        <v>0</v>
      </c>
      <c r="FV22" s="4">
        <f t="shared" si="13"/>
        <v>0</v>
      </c>
      <c r="FW22" s="4">
        <f t="shared" si="13"/>
        <v>510668.51</v>
      </c>
      <c r="FX22" s="4">
        <f t="shared" si="13"/>
        <v>510668.51</v>
      </c>
      <c r="FY22" s="4">
        <f t="shared" si="13"/>
        <v>0</v>
      </c>
      <c r="FZ22" s="4">
        <f t="shared" si="13"/>
        <v>510668.51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13</v>
      </c>
      <c r="F24" s="2" t="s">
        <v>14</v>
      </c>
      <c r="G24" s="2" t="s">
        <v>15</v>
      </c>
      <c r="H24" s="2" t="s">
        <v>16</v>
      </c>
      <c r="I24" s="2">
        <f>ROUND(86.4/100,9)</f>
        <v>0.86399999999999999</v>
      </c>
      <c r="J24" s="2">
        <v>0</v>
      </c>
      <c r="K24" s="2"/>
      <c r="L24" s="2"/>
      <c r="M24" s="2"/>
      <c r="N24" s="2"/>
      <c r="O24" s="2">
        <f t="shared" ref="O24:O61" si="14">ROUND(CP24,2)</f>
        <v>1416.59</v>
      </c>
      <c r="P24" s="2">
        <f t="shared" ref="P24:P61" si="15">ROUND(CQ24*I24,2)</f>
        <v>0</v>
      </c>
      <c r="Q24" s="2">
        <f t="shared" ref="Q24:Q61" si="16">ROUND(CR24*I24,2)</f>
        <v>209.04</v>
      </c>
      <c r="R24" s="2">
        <f t="shared" ref="R24:R61" si="17">ROUND(CS24*I24,2)</f>
        <v>90.28</v>
      </c>
      <c r="S24" s="2">
        <f t="shared" ref="S24:S61" si="18">ROUND(CT24*I24,2)</f>
        <v>1207.55</v>
      </c>
      <c r="T24" s="2">
        <f t="shared" ref="T24:T61" si="19">ROUND(CU24*I24,2)</f>
        <v>0</v>
      </c>
      <c r="U24" s="2">
        <f t="shared" ref="U24:U61" si="20">CV24*I24</f>
        <v>149.26463999999999</v>
      </c>
      <c r="V24" s="2">
        <f t="shared" ref="V24:V61" si="21">CW24*I24</f>
        <v>6.68736</v>
      </c>
      <c r="W24" s="2">
        <f t="shared" ref="W24:W61" si="22">ROUND(CX24*I24,2)</f>
        <v>0</v>
      </c>
      <c r="X24" s="2">
        <f t="shared" ref="X24:X61" si="23">ROUND(CY24,2)</f>
        <v>1284.8499999999999</v>
      </c>
      <c r="Y24" s="2">
        <f t="shared" ref="Y24:Y61" si="24">ROUND(CZ24,2)</f>
        <v>778.7</v>
      </c>
      <c r="Z24" s="2"/>
      <c r="AA24" s="2">
        <v>16878659</v>
      </c>
      <c r="AB24" s="2">
        <f t="shared" ref="AB24:AB61" si="25">ROUND((AC24+AD24+AF24),6)</f>
        <v>1639.58</v>
      </c>
      <c r="AC24" s="2">
        <f t="shared" ref="AC24:AC61" si="26">ROUND((ES24),6)</f>
        <v>0</v>
      </c>
      <c r="AD24" s="2">
        <f t="shared" ref="AD24:AD29" si="27">ROUND((((ET24)-(EU24))+AE24),6)</f>
        <v>241.95</v>
      </c>
      <c r="AE24" s="2">
        <f t="shared" ref="AE24:AF29" si="28">ROUND((EU24),6)</f>
        <v>104.49</v>
      </c>
      <c r="AF24" s="2">
        <f t="shared" si="28"/>
        <v>1397.63</v>
      </c>
      <c r="AG24" s="2">
        <f t="shared" ref="AG24:AG61" si="29">ROUND((AP24),6)</f>
        <v>0</v>
      </c>
      <c r="AH24" s="2">
        <f t="shared" ref="AH24:AI29" si="30">(EW24)</f>
        <v>172.76</v>
      </c>
      <c r="AI24" s="2">
        <f t="shared" si="30"/>
        <v>7.74</v>
      </c>
      <c r="AJ24" s="2">
        <f t="shared" ref="AJ24:AJ61" si="31">(AS24)</f>
        <v>0</v>
      </c>
      <c r="AK24" s="2">
        <v>1639.58</v>
      </c>
      <c r="AL24" s="2">
        <v>0</v>
      </c>
      <c r="AM24" s="2">
        <v>241.95</v>
      </c>
      <c r="AN24" s="2">
        <v>104.49</v>
      </c>
      <c r="AO24" s="2">
        <v>1397.63</v>
      </c>
      <c r="AP24" s="2">
        <v>0</v>
      </c>
      <c r="AQ24" s="2">
        <v>172.76</v>
      </c>
      <c r="AR24" s="2">
        <v>7.74</v>
      </c>
      <c r="AS24" s="2">
        <v>0</v>
      </c>
      <c r="AT24" s="2">
        <v>99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17</v>
      </c>
      <c r="BK24" s="2"/>
      <c r="BL24" s="2"/>
      <c r="BM24" s="2">
        <v>46001</v>
      </c>
      <c r="BN24" s="2">
        <v>0</v>
      </c>
      <c r="BO24" s="2" t="s">
        <v>6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110</v>
      </c>
      <c r="CA24" s="2">
        <v>70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61" si="32">(P24+Q24+S24)</f>
        <v>1416.59</v>
      </c>
      <c r="CQ24" s="2">
        <f t="shared" ref="CQ24:CQ61" si="33">AC24*BC24</f>
        <v>0</v>
      </c>
      <c r="CR24" s="2">
        <f t="shared" ref="CR24:CR61" si="34">AD24*BB24</f>
        <v>241.95</v>
      </c>
      <c r="CS24" s="2">
        <f t="shared" ref="CS24:CS61" si="35">AE24*BS24</f>
        <v>104.49</v>
      </c>
      <c r="CT24" s="2">
        <f t="shared" ref="CT24:CT61" si="36">AF24*BA24</f>
        <v>1397.63</v>
      </c>
      <c r="CU24" s="2">
        <f t="shared" ref="CU24:CU61" si="37">AG24</f>
        <v>0</v>
      </c>
      <c r="CV24" s="2">
        <f t="shared" ref="CV24:CV61" si="38">AH24</f>
        <v>172.76</v>
      </c>
      <c r="CW24" s="2">
        <f t="shared" ref="CW24:CW61" si="39">AI24</f>
        <v>7.74</v>
      </c>
      <c r="CX24" s="2">
        <f t="shared" ref="CX24:CX61" si="40">AJ24</f>
        <v>0</v>
      </c>
      <c r="CY24" s="2">
        <f t="shared" ref="CY24:CY61" si="41">(((S24+R24)*AT24)/100)</f>
        <v>1284.8516999999999</v>
      </c>
      <c r="CZ24" s="2">
        <f t="shared" ref="CZ24:CZ61" si="42">(((S24+R24)*AU24)/100)</f>
        <v>778.69799999999987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1005</v>
      </c>
      <c r="DV24" s="2" t="s">
        <v>16</v>
      </c>
      <c r="DW24" s="2" t="s">
        <v>16</v>
      </c>
      <c r="DX24" s="2">
        <v>100</v>
      </c>
      <c r="DY24" s="2"/>
      <c r="DZ24" s="2"/>
      <c r="EA24" s="2"/>
      <c r="EB24" s="2"/>
      <c r="EC24" s="2"/>
      <c r="ED24" s="2"/>
      <c r="EE24" s="2">
        <v>16510555</v>
      </c>
      <c r="EF24" s="2">
        <v>2</v>
      </c>
      <c r="EG24" s="2" t="s">
        <v>18</v>
      </c>
      <c r="EH24" s="2">
        <v>0</v>
      </c>
      <c r="EI24" s="2" t="s">
        <v>6</v>
      </c>
      <c r="EJ24" s="2">
        <v>1</v>
      </c>
      <c r="EK24" s="2">
        <v>46001</v>
      </c>
      <c r="EL24" s="2" t="s">
        <v>19</v>
      </c>
      <c r="EM24" s="2" t="s">
        <v>20</v>
      </c>
      <c r="EN24" s="2"/>
      <c r="EO24" s="2" t="s">
        <v>6</v>
      </c>
      <c r="EP24" s="2"/>
      <c r="EQ24" s="2">
        <v>0</v>
      </c>
      <c r="ER24" s="2">
        <v>1639.58</v>
      </c>
      <c r="ES24" s="2">
        <v>0</v>
      </c>
      <c r="ET24" s="2">
        <v>241.95</v>
      </c>
      <c r="EU24" s="2">
        <v>104.49</v>
      </c>
      <c r="EV24" s="2">
        <v>1397.63</v>
      </c>
      <c r="EW24" s="2">
        <v>172.76</v>
      </c>
      <c r="EX24" s="2">
        <v>7.74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5" si="43">ROUND(IF(AND(BH24=3,BI24=3),P24,0),2)</f>
        <v>0</v>
      </c>
      <c r="FS24" s="2">
        <v>0</v>
      </c>
      <c r="FT24" s="2" t="s">
        <v>21</v>
      </c>
      <c r="FU24" s="2" t="s">
        <v>22</v>
      </c>
      <c r="FV24" s="2"/>
      <c r="FW24" s="2"/>
      <c r="FX24" s="2">
        <v>99</v>
      </c>
      <c r="FY24" s="2">
        <v>59.5</v>
      </c>
      <c r="FZ24" s="2"/>
      <c r="GA24" s="2" t="s">
        <v>6</v>
      </c>
      <c r="GB24" s="2"/>
      <c r="GC24" s="2"/>
      <c r="GD24" s="2">
        <v>1</v>
      </c>
      <c r="GE24" s="2"/>
      <c r="GF24" s="2">
        <v>1660145298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65" si="44">ROUND(IF(AND(BH24=3,BI24=3,FS24&lt;&gt;0),P24,0),2)</f>
        <v>0</v>
      </c>
      <c r="GM24" s="2">
        <f t="shared" ref="GM24:GM61" si="45">ROUND(O24+X24+Y24,2)+GX24</f>
        <v>3480.14</v>
      </c>
      <c r="GN24" s="2">
        <f t="shared" ref="GN24:GN61" si="46">IF(OR(BI24=0,BI24=1),ROUND(O24+X24+Y24,2),0)</f>
        <v>3480.14</v>
      </c>
      <c r="GO24" s="2">
        <f t="shared" ref="GO24:GO61" si="47">IF(BI24=2,ROUND(O24+X24+Y24,2),0)</f>
        <v>0</v>
      </c>
      <c r="GP24" s="2">
        <f t="shared" ref="GP24:GP61" si="48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61" si="49">ROUND((GT24),6)</f>
        <v>0</v>
      </c>
      <c r="GW24" s="2">
        <v>1</v>
      </c>
      <c r="GX24" s="2">
        <f t="shared" ref="GX24:GX61" si="50">ROUND(HC24*I24,2)</f>
        <v>0</v>
      </c>
      <c r="GY24" s="2"/>
      <c r="GZ24" s="2"/>
      <c r="HA24" s="2">
        <v>0</v>
      </c>
      <c r="HB24" s="2">
        <v>0</v>
      </c>
      <c r="HC24" s="2">
        <f t="shared" ref="HC24:HC61" si="51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13</v>
      </c>
      <c r="F25" t="s">
        <v>14</v>
      </c>
      <c r="G25" t="s">
        <v>15</v>
      </c>
      <c r="H25" t="s">
        <v>16</v>
      </c>
      <c r="I25">
        <f>ROUND(86.4/100,9)</f>
        <v>0.86399999999999999</v>
      </c>
      <c r="J25">
        <v>0</v>
      </c>
      <c r="O25">
        <f t="shared" si="14"/>
        <v>9590.36</v>
      </c>
      <c r="P25">
        <f t="shared" si="15"/>
        <v>0</v>
      </c>
      <c r="Q25">
        <f t="shared" si="16"/>
        <v>1415.23</v>
      </c>
      <c r="R25">
        <f t="shared" si="17"/>
        <v>611.19000000000005</v>
      </c>
      <c r="S25">
        <f t="shared" si="18"/>
        <v>8175.13</v>
      </c>
      <c r="T25">
        <f t="shared" si="19"/>
        <v>0</v>
      </c>
      <c r="U25">
        <f t="shared" si="20"/>
        <v>149.26463999999999</v>
      </c>
      <c r="V25">
        <f t="shared" si="21"/>
        <v>6.68736</v>
      </c>
      <c r="W25">
        <f t="shared" si="22"/>
        <v>0</v>
      </c>
      <c r="X25">
        <f t="shared" si="23"/>
        <v>8698.4599999999991</v>
      </c>
      <c r="Y25">
        <f t="shared" si="24"/>
        <v>5271.79</v>
      </c>
      <c r="AA25">
        <v>16878660</v>
      </c>
      <c r="AB25">
        <f t="shared" si="25"/>
        <v>1639.58</v>
      </c>
      <c r="AC25">
        <f t="shared" si="26"/>
        <v>0</v>
      </c>
      <c r="AD25">
        <f t="shared" si="27"/>
        <v>241.95</v>
      </c>
      <c r="AE25">
        <f t="shared" si="28"/>
        <v>104.49</v>
      </c>
      <c r="AF25">
        <f t="shared" si="28"/>
        <v>1397.63</v>
      </c>
      <c r="AG25">
        <f t="shared" si="29"/>
        <v>0</v>
      </c>
      <c r="AH25">
        <f t="shared" si="30"/>
        <v>172.76</v>
      </c>
      <c r="AI25">
        <f t="shared" si="30"/>
        <v>7.74</v>
      </c>
      <c r="AJ25">
        <f t="shared" si="31"/>
        <v>0</v>
      </c>
      <c r="AK25">
        <v>1639.58</v>
      </c>
      <c r="AL25">
        <v>0</v>
      </c>
      <c r="AM25">
        <v>241.95</v>
      </c>
      <c r="AN25">
        <v>104.49</v>
      </c>
      <c r="AO25">
        <v>1397.63</v>
      </c>
      <c r="AP25">
        <v>0</v>
      </c>
      <c r="AQ25">
        <v>172.76</v>
      </c>
      <c r="AR25">
        <v>7.74</v>
      </c>
      <c r="AS25">
        <v>0</v>
      </c>
      <c r="AT25">
        <v>99</v>
      </c>
      <c r="AU25">
        <v>60</v>
      </c>
      <c r="AV25">
        <v>1</v>
      </c>
      <c r="AW25">
        <v>1</v>
      </c>
      <c r="AZ25">
        <v>6.77</v>
      </c>
      <c r="BA25">
        <v>6.77</v>
      </c>
      <c r="BB25">
        <v>6.77</v>
      </c>
      <c r="BC25">
        <v>6.77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17</v>
      </c>
      <c r="BM25">
        <v>46001</v>
      </c>
      <c r="BN25">
        <v>0</v>
      </c>
      <c r="BO25" t="s">
        <v>6</v>
      </c>
      <c r="BP25">
        <v>0</v>
      </c>
      <c r="BQ25">
        <v>2</v>
      </c>
      <c r="BR25">
        <v>0</v>
      </c>
      <c r="BS25">
        <v>6.77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110</v>
      </c>
      <c r="CA25">
        <v>70</v>
      </c>
      <c r="CE25">
        <v>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2"/>
        <v>9590.36</v>
      </c>
      <c r="CQ25">
        <f t="shared" si="33"/>
        <v>0</v>
      </c>
      <c r="CR25">
        <f t="shared" si="34"/>
        <v>1638.0014999999999</v>
      </c>
      <c r="CS25">
        <f t="shared" si="35"/>
        <v>707.39729999999997</v>
      </c>
      <c r="CT25">
        <f t="shared" si="36"/>
        <v>9461.955100000001</v>
      </c>
      <c r="CU25">
        <f t="shared" si="37"/>
        <v>0</v>
      </c>
      <c r="CV25">
        <f t="shared" si="38"/>
        <v>172.76</v>
      </c>
      <c r="CW25">
        <f t="shared" si="39"/>
        <v>7.74</v>
      </c>
      <c r="CX25">
        <f t="shared" si="40"/>
        <v>0</v>
      </c>
      <c r="CY25">
        <f t="shared" si="41"/>
        <v>8698.4567999999999</v>
      </c>
      <c r="CZ25">
        <f t="shared" si="42"/>
        <v>5271.7919999999995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1005</v>
      </c>
      <c r="DV25" t="s">
        <v>16</v>
      </c>
      <c r="DW25" t="s">
        <v>16</v>
      </c>
      <c r="DX25">
        <v>100</v>
      </c>
      <c r="EE25">
        <v>16510555</v>
      </c>
      <c r="EF25">
        <v>2</v>
      </c>
      <c r="EG25" t="s">
        <v>18</v>
      </c>
      <c r="EH25">
        <v>0</v>
      </c>
      <c r="EI25" t="s">
        <v>6</v>
      </c>
      <c r="EJ25">
        <v>1</v>
      </c>
      <c r="EK25">
        <v>46001</v>
      </c>
      <c r="EL25" t="s">
        <v>19</v>
      </c>
      <c r="EM25" t="s">
        <v>20</v>
      </c>
      <c r="EO25" t="s">
        <v>6</v>
      </c>
      <c r="EQ25">
        <v>0</v>
      </c>
      <c r="ER25">
        <v>1639.58</v>
      </c>
      <c r="ES25">
        <v>0</v>
      </c>
      <c r="ET25">
        <v>241.95</v>
      </c>
      <c r="EU25">
        <v>104.49</v>
      </c>
      <c r="EV25">
        <v>1397.63</v>
      </c>
      <c r="EW25">
        <v>172.76</v>
      </c>
      <c r="EX25">
        <v>7.74</v>
      </c>
      <c r="EY25">
        <v>0</v>
      </c>
      <c r="FQ25">
        <v>0</v>
      </c>
      <c r="FR25">
        <f t="shared" si="43"/>
        <v>0</v>
      </c>
      <c r="FS25">
        <v>0</v>
      </c>
      <c r="FT25" t="s">
        <v>21</v>
      </c>
      <c r="FU25" t="s">
        <v>22</v>
      </c>
      <c r="FX25">
        <v>99</v>
      </c>
      <c r="FY25">
        <v>59.5</v>
      </c>
      <c r="GA25" t="s">
        <v>6</v>
      </c>
      <c r="GD25">
        <v>1</v>
      </c>
      <c r="GF25">
        <v>1660145298</v>
      </c>
      <c r="GG25">
        <v>1</v>
      </c>
      <c r="GH25">
        <v>1</v>
      </c>
      <c r="GI25">
        <v>4</v>
      </c>
      <c r="GJ25">
        <v>0</v>
      </c>
      <c r="GK25">
        <v>0</v>
      </c>
      <c r="GL25">
        <f t="shared" si="44"/>
        <v>0</v>
      </c>
      <c r="GM25">
        <f t="shared" si="45"/>
        <v>23560.61</v>
      </c>
      <c r="GN25">
        <f t="shared" si="46"/>
        <v>23560.61</v>
      </c>
      <c r="GO25">
        <f t="shared" si="47"/>
        <v>0</v>
      </c>
      <c r="GP25">
        <f t="shared" si="48"/>
        <v>0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</v>
      </c>
      <c r="GX25">
        <f t="shared" si="50"/>
        <v>0</v>
      </c>
      <c r="HA25">
        <v>0</v>
      </c>
      <c r="HB25">
        <v>0</v>
      </c>
      <c r="HC25">
        <f t="shared" si="51"/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ROW(EtalonRes!A9)</f>
        <v>9</v>
      </c>
      <c r="E26" s="2" t="s">
        <v>23</v>
      </c>
      <c r="F26" s="2" t="s">
        <v>24</v>
      </c>
      <c r="G26" s="2" t="s">
        <v>25</v>
      </c>
      <c r="H26" s="2" t="s">
        <v>26</v>
      </c>
      <c r="I26" s="2">
        <f>ROUND(36/100,9)</f>
        <v>0.36</v>
      </c>
      <c r="J26" s="2">
        <v>0</v>
      </c>
      <c r="K26" s="2"/>
      <c r="L26" s="2"/>
      <c r="M26" s="2"/>
      <c r="N26" s="2"/>
      <c r="O26" s="2">
        <f t="shared" si="14"/>
        <v>25.62</v>
      </c>
      <c r="P26" s="2">
        <f t="shared" si="15"/>
        <v>0</v>
      </c>
      <c r="Q26" s="2">
        <f t="shared" si="16"/>
        <v>7.0000000000000007E-2</v>
      </c>
      <c r="R26" s="2">
        <f t="shared" si="17"/>
        <v>0</v>
      </c>
      <c r="S26" s="2">
        <f t="shared" si="18"/>
        <v>25.55</v>
      </c>
      <c r="T26" s="2">
        <f t="shared" si="19"/>
        <v>0</v>
      </c>
      <c r="U26" s="2">
        <f t="shared" si="20"/>
        <v>3.2759999999999998</v>
      </c>
      <c r="V26" s="2">
        <f t="shared" si="21"/>
        <v>0</v>
      </c>
      <c r="W26" s="2">
        <f t="shared" si="22"/>
        <v>0</v>
      </c>
      <c r="X26" s="2">
        <f t="shared" si="23"/>
        <v>21.21</v>
      </c>
      <c r="Y26" s="2">
        <f t="shared" si="24"/>
        <v>16.61</v>
      </c>
      <c r="Z26" s="2"/>
      <c r="AA26" s="2">
        <v>16878659</v>
      </c>
      <c r="AB26" s="2">
        <f t="shared" si="25"/>
        <v>71.180000000000007</v>
      </c>
      <c r="AC26" s="2">
        <f t="shared" si="26"/>
        <v>0</v>
      </c>
      <c r="AD26" s="2">
        <f t="shared" si="27"/>
        <v>0.2</v>
      </c>
      <c r="AE26" s="2">
        <f t="shared" si="28"/>
        <v>0</v>
      </c>
      <c r="AF26" s="2">
        <f t="shared" si="28"/>
        <v>70.98</v>
      </c>
      <c r="AG26" s="2">
        <f t="shared" si="29"/>
        <v>0</v>
      </c>
      <c r="AH26" s="2">
        <f t="shared" si="30"/>
        <v>9.1</v>
      </c>
      <c r="AI26" s="2">
        <f t="shared" si="30"/>
        <v>0</v>
      </c>
      <c r="AJ26" s="2">
        <f t="shared" si="31"/>
        <v>0</v>
      </c>
      <c r="AK26" s="2">
        <v>71.180000000000007</v>
      </c>
      <c r="AL26" s="2">
        <v>0</v>
      </c>
      <c r="AM26" s="2">
        <v>0.2</v>
      </c>
      <c r="AN26" s="2">
        <v>0</v>
      </c>
      <c r="AO26" s="2">
        <v>70.98</v>
      </c>
      <c r="AP26" s="2">
        <v>0</v>
      </c>
      <c r="AQ26" s="2">
        <v>9.1</v>
      </c>
      <c r="AR26" s="2">
        <v>0</v>
      </c>
      <c r="AS26" s="2">
        <v>0</v>
      </c>
      <c r="AT26" s="2">
        <v>83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58001</v>
      </c>
      <c r="BN26" s="2">
        <v>0</v>
      </c>
      <c r="BO26" s="2" t="s">
        <v>6</v>
      </c>
      <c r="BP26" s="2">
        <v>0</v>
      </c>
      <c r="BQ26" s="2">
        <v>6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83</v>
      </c>
      <c r="CA26" s="2">
        <v>65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2"/>
        <v>25.62</v>
      </c>
      <c r="CQ26" s="2">
        <f t="shared" si="33"/>
        <v>0</v>
      </c>
      <c r="CR26" s="2">
        <f t="shared" si="34"/>
        <v>0.2</v>
      </c>
      <c r="CS26" s="2">
        <f t="shared" si="35"/>
        <v>0</v>
      </c>
      <c r="CT26" s="2">
        <f t="shared" si="36"/>
        <v>70.98</v>
      </c>
      <c r="CU26" s="2">
        <f t="shared" si="37"/>
        <v>0</v>
      </c>
      <c r="CV26" s="2">
        <f t="shared" si="38"/>
        <v>9.1</v>
      </c>
      <c r="CW26" s="2">
        <f t="shared" si="39"/>
        <v>0</v>
      </c>
      <c r="CX26" s="2">
        <f t="shared" si="40"/>
        <v>0</v>
      </c>
      <c r="CY26" s="2">
        <f t="shared" si="41"/>
        <v>21.206500000000002</v>
      </c>
      <c r="CZ26" s="2">
        <f t="shared" si="42"/>
        <v>16.607500000000002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26</v>
      </c>
      <c r="DW26" s="2" t="s">
        <v>26</v>
      </c>
      <c r="DX26" s="2">
        <v>100</v>
      </c>
      <c r="DY26" s="2"/>
      <c r="DZ26" s="2"/>
      <c r="EA26" s="2"/>
      <c r="EB26" s="2"/>
      <c r="EC26" s="2"/>
      <c r="ED26" s="2"/>
      <c r="EE26" s="2">
        <v>16510567</v>
      </c>
      <c r="EF26" s="2">
        <v>6</v>
      </c>
      <c r="EG26" s="2" t="s">
        <v>28</v>
      </c>
      <c r="EH26" s="2">
        <v>0</v>
      </c>
      <c r="EI26" s="2" t="s">
        <v>6</v>
      </c>
      <c r="EJ26" s="2">
        <v>1</v>
      </c>
      <c r="EK26" s="2">
        <v>58001</v>
      </c>
      <c r="EL26" s="2" t="s">
        <v>29</v>
      </c>
      <c r="EM26" s="2" t="s">
        <v>30</v>
      </c>
      <c r="EN26" s="2"/>
      <c r="EO26" s="2" t="s">
        <v>6</v>
      </c>
      <c r="EP26" s="2"/>
      <c r="EQ26" s="2">
        <v>0</v>
      </c>
      <c r="ER26" s="2">
        <v>71.180000000000007</v>
      </c>
      <c r="ES26" s="2">
        <v>0</v>
      </c>
      <c r="ET26" s="2">
        <v>0.2</v>
      </c>
      <c r="EU26" s="2">
        <v>0</v>
      </c>
      <c r="EV26" s="2">
        <v>70.98</v>
      </c>
      <c r="EW26" s="2">
        <v>9.1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83</v>
      </c>
      <c r="FY26" s="2">
        <v>65</v>
      </c>
      <c r="FZ26" s="2"/>
      <c r="GA26" s="2" t="s">
        <v>6</v>
      </c>
      <c r="GB26" s="2"/>
      <c r="GC26" s="2"/>
      <c r="GD26" s="2">
        <v>1</v>
      </c>
      <c r="GE26" s="2"/>
      <c r="GF26" s="2">
        <v>-902764851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4"/>
        <v>0</v>
      </c>
      <c r="GM26" s="2">
        <f t="shared" si="45"/>
        <v>63.44</v>
      </c>
      <c r="GN26" s="2">
        <f t="shared" si="46"/>
        <v>63.44</v>
      </c>
      <c r="GO26" s="2">
        <f t="shared" si="47"/>
        <v>0</v>
      </c>
      <c r="GP26" s="2">
        <f t="shared" si="48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>
        <f t="shared" si="51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ROW(EtalonRes!A12)</f>
        <v>12</v>
      </c>
      <c r="E27" t="s">
        <v>23</v>
      </c>
      <c r="F27" t="s">
        <v>24</v>
      </c>
      <c r="G27" t="s">
        <v>25</v>
      </c>
      <c r="H27" t="s">
        <v>26</v>
      </c>
      <c r="I27">
        <f>ROUND(36/100,9)</f>
        <v>0.36</v>
      </c>
      <c r="J27">
        <v>0</v>
      </c>
      <c r="O27">
        <f t="shared" si="14"/>
        <v>173.48</v>
      </c>
      <c r="P27">
        <f t="shared" si="15"/>
        <v>0</v>
      </c>
      <c r="Q27">
        <f t="shared" si="16"/>
        <v>0.49</v>
      </c>
      <c r="R27">
        <f t="shared" si="17"/>
        <v>0</v>
      </c>
      <c r="S27">
        <f t="shared" si="18"/>
        <v>172.99</v>
      </c>
      <c r="T27">
        <f t="shared" si="19"/>
        <v>0</v>
      </c>
      <c r="U27">
        <f t="shared" si="20"/>
        <v>3.2759999999999998</v>
      </c>
      <c r="V27">
        <f t="shared" si="21"/>
        <v>0</v>
      </c>
      <c r="W27">
        <f t="shared" si="22"/>
        <v>0</v>
      </c>
      <c r="X27">
        <f t="shared" si="23"/>
        <v>143.58000000000001</v>
      </c>
      <c r="Y27">
        <f t="shared" si="24"/>
        <v>112.44</v>
      </c>
      <c r="AA27">
        <v>16878660</v>
      </c>
      <c r="AB27">
        <f t="shared" si="25"/>
        <v>71.180000000000007</v>
      </c>
      <c r="AC27">
        <f t="shared" si="26"/>
        <v>0</v>
      </c>
      <c r="AD27">
        <f t="shared" si="27"/>
        <v>0.2</v>
      </c>
      <c r="AE27">
        <f t="shared" si="28"/>
        <v>0</v>
      </c>
      <c r="AF27">
        <f t="shared" si="28"/>
        <v>70.98</v>
      </c>
      <c r="AG27">
        <f t="shared" si="29"/>
        <v>0</v>
      </c>
      <c r="AH27">
        <f t="shared" si="30"/>
        <v>9.1</v>
      </c>
      <c r="AI27">
        <f t="shared" si="30"/>
        <v>0</v>
      </c>
      <c r="AJ27">
        <f t="shared" si="31"/>
        <v>0</v>
      </c>
      <c r="AK27">
        <v>71.180000000000007</v>
      </c>
      <c r="AL27">
        <v>0</v>
      </c>
      <c r="AM27">
        <v>0.2</v>
      </c>
      <c r="AN27">
        <v>0</v>
      </c>
      <c r="AO27">
        <v>70.98</v>
      </c>
      <c r="AP27">
        <v>0</v>
      </c>
      <c r="AQ27">
        <v>9.1</v>
      </c>
      <c r="AR27">
        <v>0</v>
      </c>
      <c r="AS27">
        <v>0</v>
      </c>
      <c r="AT27">
        <v>83</v>
      </c>
      <c r="AU27">
        <v>65</v>
      </c>
      <c r="AV27">
        <v>1</v>
      </c>
      <c r="AW27">
        <v>1</v>
      </c>
      <c r="AZ27">
        <v>6.77</v>
      </c>
      <c r="BA27">
        <v>6.77</v>
      </c>
      <c r="BB27">
        <v>6.77</v>
      </c>
      <c r="BC27">
        <v>6.77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58001</v>
      </c>
      <c r="BN27">
        <v>0</v>
      </c>
      <c r="BO27" t="s">
        <v>6</v>
      </c>
      <c r="BP27">
        <v>0</v>
      </c>
      <c r="BQ27">
        <v>6</v>
      </c>
      <c r="BR27">
        <v>0</v>
      </c>
      <c r="BS27">
        <v>6.77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83</v>
      </c>
      <c r="CA27">
        <v>65</v>
      </c>
      <c r="CE27">
        <v>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2"/>
        <v>173.48000000000002</v>
      </c>
      <c r="CQ27">
        <f t="shared" si="33"/>
        <v>0</v>
      </c>
      <c r="CR27">
        <f t="shared" si="34"/>
        <v>1.3540000000000001</v>
      </c>
      <c r="CS27">
        <f t="shared" si="35"/>
        <v>0</v>
      </c>
      <c r="CT27">
        <f t="shared" si="36"/>
        <v>480.53460000000001</v>
      </c>
      <c r="CU27">
        <f t="shared" si="37"/>
        <v>0</v>
      </c>
      <c r="CV27">
        <f t="shared" si="38"/>
        <v>9.1</v>
      </c>
      <c r="CW27">
        <f t="shared" si="39"/>
        <v>0</v>
      </c>
      <c r="CX27">
        <f t="shared" si="40"/>
        <v>0</v>
      </c>
      <c r="CY27">
        <f t="shared" si="41"/>
        <v>143.58170000000001</v>
      </c>
      <c r="CZ27">
        <f t="shared" si="42"/>
        <v>112.4435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26</v>
      </c>
      <c r="DW27" t="s">
        <v>26</v>
      </c>
      <c r="DX27">
        <v>100</v>
      </c>
      <c r="EE27">
        <v>16510567</v>
      </c>
      <c r="EF27">
        <v>6</v>
      </c>
      <c r="EG27" t="s">
        <v>28</v>
      </c>
      <c r="EH27">
        <v>0</v>
      </c>
      <c r="EI27" t="s">
        <v>6</v>
      </c>
      <c r="EJ27">
        <v>1</v>
      </c>
      <c r="EK27">
        <v>58001</v>
      </c>
      <c r="EL27" t="s">
        <v>29</v>
      </c>
      <c r="EM27" t="s">
        <v>30</v>
      </c>
      <c r="EO27" t="s">
        <v>6</v>
      </c>
      <c r="EQ27">
        <v>0</v>
      </c>
      <c r="ER27">
        <v>71.180000000000007</v>
      </c>
      <c r="ES27">
        <v>0</v>
      </c>
      <c r="ET27">
        <v>0.2</v>
      </c>
      <c r="EU27">
        <v>0</v>
      </c>
      <c r="EV27">
        <v>70.98</v>
      </c>
      <c r="EW27">
        <v>9.1</v>
      </c>
      <c r="EX27">
        <v>0</v>
      </c>
      <c r="EY27">
        <v>0</v>
      </c>
      <c r="FQ27">
        <v>0</v>
      </c>
      <c r="FR27">
        <f t="shared" si="43"/>
        <v>0</v>
      </c>
      <c r="FS27">
        <v>0</v>
      </c>
      <c r="FX27">
        <v>83</v>
      </c>
      <c r="FY27">
        <v>65</v>
      </c>
      <c r="GA27" t="s">
        <v>6</v>
      </c>
      <c r="GD27">
        <v>1</v>
      </c>
      <c r="GF27">
        <v>-902764851</v>
      </c>
      <c r="GG27">
        <v>1</v>
      </c>
      <c r="GH27">
        <v>1</v>
      </c>
      <c r="GI27">
        <v>4</v>
      </c>
      <c r="GJ27">
        <v>0</v>
      </c>
      <c r="GK27">
        <v>0</v>
      </c>
      <c r="GL27">
        <f t="shared" si="44"/>
        <v>0</v>
      </c>
      <c r="GM27">
        <f t="shared" si="45"/>
        <v>429.5</v>
      </c>
      <c r="GN27">
        <f t="shared" si="46"/>
        <v>429.5</v>
      </c>
      <c r="GO27">
        <f t="shared" si="47"/>
        <v>0</v>
      </c>
      <c r="GP27">
        <f t="shared" si="48"/>
        <v>0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</v>
      </c>
      <c r="GX27">
        <f t="shared" si="50"/>
        <v>0</v>
      </c>
      <c r="HA27">
        <v>0</v>
      </c>
      <c r="HB27">
        <v>0</v>
      </c>
      <c r="HC27">
        <f t="shared" si="51"/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ROW(SmtRes!A13)</f>
        <v>13</v>
      </c>
      <c r="D28" s="2">
        <f>ROW(EtalonRes!A16)</f>
        <v>16</v>
      </c>
      <c r="E28" s="2" t="s">
        <v>31</v>
      </c>
      <c r="F28" s="2" t="s">
        <v>32</v>
      </c>
      <c r="G28" s="2" t="s">
        <v>33</v>
      </c>
      <c r="H28" s="2" t="s">
        <v>16</v>
      </c>
      <c r="I28" s="2">
        <f>ROUND(7.2/100,9)</f>
        <v>7.1999999999999995E-2</v>
      </c>
      <c r="J28" s="2">
        <v>0</v>
      </c>
      <c r="K28" s="2"/>
      <c r="L28" s="2"/>
      <c r="M28" s="2"/>
      <c r="N28" s="2"/>
      <c r="O28" s="2">
        <f t="shared" si="14"/>
        <v>156.44</v>
      </c>
      <c r="P28" s="2">
        <f t="shared" si="15"/>
        <v>0</v>
      </c>
      <c r="Q28" s="2">
        <f t="shared" si="16"/>
        <v>4.04</v>
      </c>
      <c r="R28" s="2">
        <f t="shared" si="17"/>
        <v>0</v>
      </c>
      <c r="S28" s="2">
        <f t="shared" si="18"/>
        <v>152.4</v>
      </c>
      <c r="T28" s="2">
        <f t="shared" si="19"/>
        <v>0</v>
      </c>
      <c r="U28" s="2">
        <f t="shared" si="20"/>
        <v>19.8432</v>
      </c>
      <c r="V28" s="2">
        <f t="shared" si="21"/>
        <v>0</v>
      </c>
      <c r="W28" s="2">
        <f t="shared" si="22"/>
        <v>0</v>
      </c>
      <c r="X28" s="2">
        <f t="shared" si="23"/>
        <v>124.97</v>
      </c>
      <c r="Y28" s="2">
        <f t="shared" si="24"/>
        <v>94.49</v>
      </c>
      <c r="Z28" s="2"/>
      <c r="AA28" s="2">
        <v>16878659</v>
      </c>
      <c r="AB28" s="2">
        <f t="shared" si="25"/>
        <v>2172.79</v>
      </c>
      <c r="AC28" s="2">
        <f t="shared" si="26"/>
        <v>0</v>
      </c>
      <c r="AD28" s="2">
        <f t="shared" si="27"/>
        <v>56.18</v>
      </c>
      <c r="AE28" s="2">
        <f t="shared" si="28"/>
        <v>0</v>
      </c>
      <c r="AF28" s="2">
        <f t="shared" si="28"/>
        <v>2116.61</v>
      </c>
      <c r="AG28" s="2">
        <f t="shared" si="29"/>
        <v>0</v>
      </c>
      <c r="AH28" s="2">
        <f t="shared" si="30"/>
        <v>275.60000000000002</v>
      </c>
      <c r="AI28" s="2">
        <f t="shared" si="30"/>
        <v>0</v>
      </c>
      <c r="AJ28" s="2">
        <f t="shared" si="31"/>
        <v>0</v>
      </c>
      <c r="AK28" s="2">
        <v>2172.79</v>
      </c>
      <c r="AL28" s="2">
        <v>0</v>
      </c>
      <c r="AM28" s="2">
        <v>56.18</v>
      </c>
      <c r="AN28" s="2">
        <v>0</v>
      </c>
      <c r="AO28" s="2">
        <v>2116.61</v>
      </c>
      <c r="AP28" s="2">
        <v>0</v>
      </c>
      <c r="AQ28" s="2">
        <v>275.60000000000002</v>
      </c>
      <c r="AR28" s="2">
        <v>0</v>
      </c>
      <c r="AS28" s="2">
        <v>0</v>
      </c>
      <c r="AT28" s="2">
        <v>82</v>
      </c>
      <c r="AU28" s="2">
        <v>62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34</v>
      </c>
      <c r="BK28" s="2"/>
      <c r="BL28" s="2"/>
      <c r="BM28" s="2">
        <v>56001</v>
      </c>
      <c r="BN28" s="2">
        <v>0</v>
      </c>
      <c r="BO28" s="2" t="s">
        <v>6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82</v>
      </c>
      <c r="CA28" s="2">
        <v>62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2"/>
        <v>156.44</v>
      </c>
      <c r="CQ28" s="2">
        <f t="shared" si="33"/>
        <v>0</v>
      </c>
      <c r="CR28" s="2">
        <f t="shared" si="34"/>
        <v>56.18</v>
      </c>
      <c r="CS28" s="2">
        <f t="shared" si="35"/>
        <v>0</v>
      </c>
      <c r="CT28" s="2">
        <f t="shared" si="36"/>
        <v>2116.61</v>
      </c>
      <c r="CU28" s="2">
        <f t="shared" si="37"/>
        <v>0</v>
      </c>
      <c r="CV28" s="2">
        <f t="shared" si="38"/>
        <v>275.60000000000002</v>
      </c>
      <c r="CW28" s="2">
        <f t="shared" si="39"/>
        <v>0</v>
      </c>
      <c r="CX28" s="2">
        <f t="shared" si="40"/>
        <v>0</v>
      </c>
      <c r="CY28" s="2">
        <f t="shared" si="41"/>
        <v>124.96800000000002</v>
      </c>
      <c r="CZ28" s="2">
        <f t="shared" si="42"/>
        <v>94.488000000000014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16</v>
      </c>
      <c r="DW28" s="2" t="s">
        <v>16</v>
      </c>
      <c r="DX28" s="2">
        <v>100</v>
      </c>
      <c r="DY28" s="2"/>
      <c r="DZ28" s="2"/>
      <c r="EA28" s="2"/>
      <c r="EB28" s="2"/>
      <c r="EC28" s="2"/>
      <c r="ED28" s="2"/>
      <c r="EE28" s="2">
        <v>16510565</v>
      </c>
      <c r="EF28" s="2">
        <v>6</v>
      </c>
      <c r="EG28" s="2" t="s">
        <v>28</v>
      </c>
      <c r="EH28" s="2">
        <v>0</v>
      </c>
      <c r="EI28" s="2" t="s">
        <v>6</v>
      </c>
      <c r="EJ28" s="2">
        <v>1</v>
      </c>
      <c r="EK28" s="2">
        <v>56001</v>
      </c>
      <c r="EL28" s="2" t="s">
        <v>35</v>
      </c>
      <c r="EM28" s="2" t="s">
        <v>36</v>
      </c>
      <c r="EN28" s="2"/>
      <c r="EO28" s="2" t="s">
        <v>6</v>
      </c>
      <c r="EP28" s="2"/>
      <c r="EQ28" s="2">
        <v>0</v>
      </c>
      <c r="ER28" s="2">
        <v>2172.79</v>
      </c>
      <c r="ES28" s="2">
        <v>0</v>
      </c>
      <c r="ET28" s="2">
        <v>56.18</v>
      </c>
      <c r="EU28" s="2">
        <v>0</v>
      </c>
      <c r="EV28" s="2">
        <v>2116.61</v>
      </c>
      <c r="EW28" s="2">
        <v>275.60000000000002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82</v>
      </c>
      <c r="FY28" s="2">
        <v>62</v>
      </c>
      <c r="FZ28" s="2"/>
      <c r="GA28" s="2" t="s">
        <v>6</v>
      </c>
      <c r="GB28" s="2"/>
      <c r="GC28" s="2"/>
      <c r="GD28" s="2">
        <v>1</v>
      </c>
      <c r="GE28" s="2"/>
      <c r="GF28" s="2">
        <v>825266154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4"/>
        <v>0</v>
      </c>
      <c r="GM28" s="2">
        <f t="shared" si="45"/>
        <v>375.9</v>
      </c>
      <c r="GN28" s="2">
        <f t="shared" si="46"/>
        <v>375.9</v>
      </c>
      <c r="GO28" s="2">
        <f t="shared" si="47"/>
        <v>0</v>
      </c>
      <c r="GP28" s="2">
        <f t="shared" si="48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>
        <f t="shared" si="51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ROW(SmtRes!A16)</f>
        <v>16</v>
      </c>
      <c r="D29">
        <f>ROW(EtalonRes!A20)</f>
        <v>20</v>
      </c>
      <c r="E29" t="s">
        <v>31</v>
      </c>
      <c r="F29" t="s">
        <v>32</v>
      </c>
      <c r="G29" t="s">
        <v>33</v>
      </c>
      <c r="H29" t="s">
        <v>16</v>
      </c>
      <c r="I29">
        <f>ROUND(7.2/100,9)</f>
        <v>7.1999999999999995E-2</v>
      </c>
      <c r="J29">
        <v>0</v>
      </c>
      <c r="O29">
        <f t="shared" si="14"/>
        <v>1059.0999999999999</v>
      </c>
      <c r="P29">
        <f t="shared" si="15"/>
        <v>0</v>
      </c>
      <c r="Q29">
        <f t="shared" si="16"/>
        <v>27.38</v>
      </c>
      <c r="R29">
        <f t="shared" si="17"/>
        <v>0</v>
      </c>
      <c r="S29">
        <f t="shared" si="18"/>
        <v>1031.72</v>
      </c>
      <c r="T29">
        <f t="shared" si="19"/>
        <v>0</v>
      </c>
      <c r="U29">
        <f t="shared" si="20"/>
        <v>19.8432</v>
      </c>
      <c r="V29">
        <f t="shared" si="21"/>
        <v>0</v>
      </c>
      <c r="W29">
        <f t="shared" si="22"/>
        <v>0</v>
      </c>
      <c r="X29">
        <f t="shared" si="23"/>
        <v>846.01</v>
      </c>
      <c r="Y29">
        <f t="shared" si="24"/>
        <v>639.66999999999996</v>
      </c>
      <c r="AA29">
        <v>16878660</v>
      </c>
      <c r="AB29">
        <f t="shared" si="25"/>
        <v>2172.79</v>
      </c>
      <c r="AC29">
        <f t="shared" si="26"/>
        <v>0</v>
      </c>
      <c r="AD29">
        <f t="shared" si="27"/>
        <v>56.18</v>
      </c>
      <c r="AE29">
        <f t="shared" si="28"/>
        <v>0</v>
      </c>
      <c r="AF29">
        <f t="shared" si="28"/>
        <v>2116.61</v>
      </c>
      <c r="AG29">
        <f t="shared" si="29"/>
        <v>0</v>
      </c>
      <c r="AH29">
        <f t="shared" si="30"/>
        <v>275.60000000000002</v>
      </c>
      <c r="AI29">
        <f t="shared" si="30"/>
        <v>0</v>
      </c>
      <c r="AJ29">
        <f t="shared" si="31"/>
        <v>0</v>
      </c>
      <c r="AK29">
        <v>2172.79</v>
      </c>
      <c r="AL29">
        <v>0</v>
      </c>
      <c r="AM29">
        <v>56.18</v>
      </c>
      <c r="AN29">
        <v>0</v>
      </c>
      <c r="AO29">
        <v>2116.61</v>
      </c>
      <c r="AP29">
        <v>0</v>
      </c>
      <c r="AQ29">
        <v>275.60000000000002</v>
      </c>
      <c r="AR29">
        <v>0</v>
      </c>
      <c r="AS29">
        <v>0</v>
      </c>
      <c r="AT29">
        <v>82</v>
      </c>
      <c r="AU29">
        <v>62</v>
      </c>
      <c r="AV29">
        <v>1</v>
      </c>
      <c r="AW29">
        <v>1</v>
      </c>
      <c r="AZ29">
        <v>6.77</v>
      </c>
      <c r="BA29">
        <v>6.77</v>
      </c>
      <c r="BB29">
        <v>6.77</v>
      </c>
      <c r="BC29">
        <v>6.77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34</v>
      </c>
      <c r="BM29">
        <v>56001</v>
      </c>
      <c r="BN29">
        <v>0</v>
      </c>
      <c r="BO29" t="s">
        <v>6</v>
      </c>
      <c r="BP29">
        <v>0</v>
      </c>
      <c r="BQ29">
        <v>6</v>
      </c>
      <c r="BR29">
        <v>0</v>
      </c>
      <c r="BS29">
        <v>6.77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82</v>
      </c>
      <c r="CA29">
        <v>62</v>
      </c>
      <c r="CE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2"/>
        <v>1059.1000000000001</v>
      </c>
      <c r="CQ29">
        <f t="shared" si="33"/>
        <v>0</v>
      </c>
      <c r="CR29">
        <f t="shared" si="34"/>
        <v>380.33859999999999</v>
      </c>
      <c r="CS29">
        <f t="shared" si="35"/>
        <v>0</v>
      </c>
      <c r="CT29">
        <f t="shared" si="36"/>
        <v>14329.449699999999</v>
      </c>
      <c r="CU29">
        <f t="shared" si="37"/>
        <v>0</v>
      </c>
      <c r="CV29">
        <f t="shared" si="38"/>
        <v>275.60000000000002</v>
      </c>
      <c r="CW29">
        <f t="shared" si="39"/>
        <v>0</v>
      </c>
      <c r="CX29">
        <f t="shared" si="40"/>
        <v>0</v>
      </c>
      <c r="CY29">
        <f t="shared" si="41"/>
        <v>846.01040000000012</v>
      </c>
      <c r="CZ29">
        <f t="shared" si="42"/>
        <v>639.66639999999995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16</v>
      </c>
      <c r="DW29" t="s">
        <v>16</v>
      </c>
      <c r="DX29">
        <v>100</v>
      </c>
      <c r="EE29">
        <v>16510565</v>
      </c>
      <c r="EF29">
        <v>6</v>
      </c>
      <c r="EG29" t="s">
        <v>28</v>
      </c>
      <c r="EH29">
        <v>0</v>
      </c>
      <c r="EI29" t="s">
        <v>6</v>
      </c>
      <c r="EJ29">
        <v>1</v>
      </c>
      <c r="EK29">
        <v>56001</v>
      </c>
      <c r="EL29" t="s">
        <v>35</v>
      </c>
      <c r="EM29" t="s">
        <v>36</v>
      </c>
      <c r="EO29" t="s">
        <v>6</v>
      </c>
      <c r="EQ29">
        <v>0</v>
      </c>
      <c r="ER29">
        <v>2172.79</v>
      </c>
      <c r="ES29">
        <v>0</v>
      </c>
      <c r="ET29">
        <v>56.18</v>
      </c>
      <c r="EU29">
        <v>0</v>
      </c>
      <c r="EV29">
        <v>2116.61</v>
      </c>
      <c r="EW29">
        <v>275.60000000000002</v>
      </c>
      <c r="EX29">
        <v>0</v>
      </c>
      <c r="EY29">
        <v>0</v>
      </c>
      <c r="FQ29">
        <v>0</v>
      </c>
      <c r="FR29">
        <f t="shared" si="43"/>
        <v>0</v>
      </c>
      <c r="FS29">
        <v>0</v>
      </c>
      <c r="FX29">
        <v>82</v>
      </c>
      <c r="FY29">
        <v>62</v>
      </c>
      <c r="GA29" t="s">
        <v>6</v>
      </c>
      <c r="GD29">
        <v>1</v>
      </c>
      <c r="GF29">
        <v>825266154</v>
      </c>
      <c r="GG29">
        <v>1</v>
      </c>
      <c r="GH29">
        <v>1</v>
      </c>
      <c r="GI29">
        <v>4</v>
      </c>
      <c r="GJ29">
        <v>0</v>
      </c>
      <c r="GK29">
        <v>0</v>
      </c>
      <c r="GL29">
        <f t="shared" si="44"/>
        <v>0</v>
      </c>
      <c r="GM29">
        <f t="shared" si="45"/>
        <v>2544.7800000000002</v>
      </c>
      <c r="GN29">
        <f t="shared" si="46"/>
        <v>2544.7800000000002</v>
      </c>
      <c r="GO29">
        <f t="shared" si="47"/>
        <v>0</v>
      </c>
      <c r="GP29">
        <f t="shared" si="48"/>
        <v>0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</v>
      </c>
      <c r="GX29">
        <f t="shared" si="50"/>
        <v>0</v>
      </c>
      <c r="HA29">
        <v>0</v>
      </c>
      <c r="HB29">
        <v>0</v>
      </c>
      <c r="HC29">
        <f t="shared" si="51"/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ROW(SmtRes!A28)</f>
        <v>28</v>
      </c>
      <c r="D30" s="2">
        <f>ROW(EtalonRes!A31)</f>
        <v>31</v>
      </c>
      <c r="E30" s="2" t="s">
        <v>37</v>
      </c>
      <c r="F30" s="2" t="s">
        <v>38</v>
      </c>
      <c r="G30" s="2" t="s">
        <v>39</v>
      </c>
      <c r="H30" s="2" t="s">
        <v>16</v>
      </c>
      <c r="I30" s="2">
        <f>ROUND(86.4/100,9)</f>
        <v>0.86399999999999999</v>
      </c>
      <c r="J30" s="2">
        <v>0</v>
      </c>
      <c r="K30" s="2"/>
      <c r="L30" s="2"/>
      <c r="M30" s="2"/>
      <c r="N30" s="2"/>
      <c r="O30" s="2">
        <f t="shared" si="14"/>
        <v>8710.84</v>
      </c>
      <c r="P30" s="2">
        <f t="shared" si="15"/>
        <v>7169.77</v>
      </c>
      <c r="Q30" s="2">
        <f t="shared" si="16"/>
        <v>275.63</v>
      </c>
      <c r="R30" s="2">
        <f t="shared" si="17"/>
        <v>54.35</v>
      </c>
      <c r="S30" s="2">
        <f t="shared" si="18"/>
        <v>1265.44</v>
      </c>
      <c r="T30" s="2">
        <f t="shared" si="19"/>
        <v>0</v>
      </c>
      <c r="U30" s="2">
        <f t="shared" si="20"/>
        <v>144.78739199999998</v>
      </c>
      <c r="V30" s="2">
        <f t="shared" si="21"/>
        <v>4.5684000000000005</v>
      </c>
      <c r="W30" s="2">
        <f t="shared" si="22"/>
        <v>0</v>
      </c>
      <c r="X30" s="2">
        <f t="shared" si="23"/>
        <v>1398.98</v>
      </c>
      <c r="Y30" s="2">
        <f t="shared" si="24"/>
        <v>712.69</v>
      </c>
      <c r="Z30" s="2"/>
      <c r="AA30" s="2">
        <v>16878659</v>
      </c>
      <c r="AB30" s="2">
        <f t="shared" si="25"/>
        <v>10081.991</v>
      </c>
      <c r="AC30" s="2">
        <f t="shared" si="26"/>
        <v>8298.35</v>
      </c>
      <c r="AD30" s="2">
        <f>ROUND(((((ET30*1.25))-((EU30*1.25)))+AE30),6)</f>
        <v>319.01249999999999</v>
      </c>
      <c r="AE30" s="2">
        <f>ROUND(((EU30*1.25)),6)</f>
        <v>62.9</v>
      </c>
      <c r="AF30" s="2">
        <f>ROUND(((EV30*1.15)),6)</f>
        <v>1464.6285</v>
      </c>
      <c r="AG30" s="2">
        <f t="shared" si="29"/>
        <v>0</v>
      </c>
      <c r="AH30" s="2">
        <f>((EW30*1.15))</f>
        <v>167.57799999999997</v>
      </c>
      <c r="AI30" s="2">
        <f>((EX30*1.25))</f>
        <v>5.2875000000000005</v>
      </c>
      <c r="AJ30" s="2">
        <f t="shared" si="31"/>
        <v>0</v>
      </c>
      <c r="AK30" s="2">
        <v>9827.15</v>
      </c>
      <c r="AL30" s="2">
        <v>8298.35</v>
      </c>
      <c r="AM30" s="2">
        <v>255.21</v>
      </c>
      <c r="AN30" s="2">
        <v>50.32</v>
      </c>
      <c r="AO30" s="2">
        <v>1273.5899999999999</v>
      </c>
      <c r="AP30" s="2">
        <v>0</v>
      </c>
      <c r="AQ30" s="2">
        <v>145.72</v>
      </c>
      <c r="AR30" s="2">
        <v>4.2300000000000004</v>
      </c>
      <c r="AS30" s="2">
        <v>0</v>
      </c>
      <c r="AT30" s="2">
        <v>106</v>
      </c>
      <c r="AU30" s="2">
        <v>54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40</v>
      </c>
      <c r="BK30" s="2"/>
      <c r="BL30" s="2"/>
      <c r="BM30" s="2">
        <v>10001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118</v>
      </c>
      <c r="CA30" s="2">
        <v>63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325</v>
      </c>
      <c r="CO30" s="2">
        <v>0</v>
      </c>
      <c r="CP30" s="2">
        <f t="shared" si="32"/>
        <v>8710.84</v>
      </c>
      <c r="CQ30" s="2">
        <f t="shared" si="33"/>
        <v>8298.35</v>
      </c>
      <c r="CR30" s="2">
        <f t="shared" si="34"/>
        <v>319.01249999999999</v>
      </c>
      <c r="CS30" s="2">
        <f t="shared" si="35"/>
        <v>62.9</v>
      </c>
      <c r="CT30" s="2">
        <f t="shared" si="36"/>
        <v>1464.6285</v>
      </c>
      <c r="CU30" s="2">
        <f t="shared" si="37"/>
        <v>0</v>
      </c>
      <c r="CV30" s="2">
        <f t="shared" si="38"/>
        <v>167.57799999999997</v>
      </c>
      <c r="CW30" s="2">
        <f t="shared" si="39"/>
        <v>5.2875000000000005</v>
      </c>
      <c r="CX30" s="2">
        <f t="shared" si="40"/>
        <v>0</v>
      </c>
      <c r="CY30" s="2">
        <f t="shared" si="41"/>
        <v>1398.9774</v>
      </c>
      <c r="CZ30" s="2">
        <f t="shared" si="42"/>
        <v>712.6866</v>
      </c>
      <c r="DA30" s="2"/>
      <c r="DB30" s="2"/>
      <c r="DC30" s="2" t="s">
        <v>6</v>
      </c>
      <c r="DD30" s="2" t="s">
        <v>6</v>
      </c>
      <c r="DE30" s="2" t="s">
        <v>41</v>
      </c>
      <c r="DF30" s="2" t="s">
        <v>41</v>
      </c>
      <c r="DG30" s="2" t="s">
        <v>42</v>
      </c>
      <c r="DH30" s="2" t="s">
        <v>6</v>
      </c>
      <c r="DI30" s="2" t="s">
        <v>42</v>
      </c>
      <c r="DJ30" s="2" t="s">
        <v>41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16</v>
      </c>
      <c r="DW30" s="2" t="s">
        <v>16</v>
      </c>
      <c r="DX30" s="2">
        <v>100</v>
      </c>
      <c r="DY30" s="2"/>
      <c r="DZ30" s="2"/>
      <c r="EA30" s="2"/>
      <c r="EB30" s="2"/>
      <c r="EC30" s="2"/>
      <c r="ED30" s="2"/>
      <c r="EE30" s="2">
        <v>16510487</v>
      </c>
      <c r="EF30" s="2">
        <v>2</v>
      </c>
      <c r="EG30" s="2" t="s">
        <v>18</v>
      </c>
      <c r="EH30" s="2">
        <v>0</v>
      </c>
      <c r="EI30" s="2" t="s">
        <v>6</v>
      </c>
      <c r="EJ30" s="2">
        <v>1</v>
      </c>
      <c r="EK30" s="2">
        <v>10001</v>
      </c>
      <c r="EL30" s="2" t="s">
        <v>43</v>
      </c>
      <c r="EM30" s="2" t="s">
        <v>44</v>
      </c>
      <c r="EN30" s="2"/>
      <c r="EO30" s="2" t="s">
        <v>45</v>
      </c>
      <c r="EP30" s="2"/>
      <c r="EQ30" s="2">
        <v>0</v>
      </c>
      <c r="ER30" s="2">
        <v>9827.15</v>
      </c>
      <c r="ES30" s="2">
        <v>8298.35</v>
      </c>
      <c r="ET30" s="2">
        <v>255.21</v>
      </c>
      <c r="EU30" s="2">
        <v>50.32</v>
      </c>
      <c r="EV30" s="2">
        <v>1273.5899999999999</v>
      </c>
      <c r="EW30" s="2">
        <v>145.72</v>
      </c>
      <c r="EX30" s="2">
        <v>4.2300000000000004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 t="s">
        <v>21</v>
      </c>
      <c r="FU30" s="2" t="s">
        <v>22</v>
      </c>
      <c r="FV30" s="2"/>
      <c r="FW30" s="2"/>
      <c r="FX30" s="2">
        <v>106.2</v>
      </c>
      <c r="FY30" s="2">
        <v>53.55</v>
      </c>
      <c r="FZ30" s="2"/>
      <c r="GA30" s="2" t="s">
        <v>6</v>
      </c>
      <c r="GB30" s="2"/>
      <c r="GC30" s="2"/>
      <c r="GD30" s="2">
        <v>1</v>
      </c>
      <c r="GE30" s="2"/>
      <c r="GF30" s="2">
        <v>1452579699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4"/>
        <v>0</v>
      </c>
      <c r="GM30" s="2">
        <f t="shared" si="45"/>
        <v>10822.51</v>
      </c>
      <c r="GN30" s="2">
        <f t="shared" si="46"/>
        <v>10822.51</v>
      </c>
      <c r="GO30" s="2">
        <f t="shared" si="47"/>
        <v>0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>
        <f t="shared" si="51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ROW(SmtRes!A40)</f>
        <v>40</v>
      </c>
      <c r="D31">
        <f>ROW(EtalonRes!A42)</f>
        <v>42</v>
      </c>
      <c r="E31" t="s">
        <v>37</v>
      </c>
      <c r="F31" t="s">
        <v>38</v>
      </c>
      <c r="G31" t="s">
        <v>39</v>
      </c>
      <c r="H31" t="s">
        <v>16</v>
      </c>
      <c r="I31">
        <f>ROUND(86.4/100,9)</f>
        <v>0.86399999999999999</v>
      </c>
      <c r="J31">
        <v>0</v>
      </c>
      <c r="O31">
        <f t="shared" si="14"/>
        <v>58972.38</v>
      </c>
      <c r="P31">
        <f t="shared" si="15"/>
        <v>48539.37</v>
      </c>
      <c r="Q31">
        <f t="shared" si="16"/>
        <v>1865.99</v>
      </c>
      <c r="R31">
        <f t="shared" si="17"/>
        <v>367.92</v>
      </c>
      <c r="S31">
        <f t="shared" si="18"/>
        <v>8567.02</v>
      </c>
      <c r="T31">
        <f t="shared" si="19"/>
        <v>0</v>
      </c>
      <c r="U31">
        <f t="shared" si="20"/>
        <v>144.78739199999998</v>
      </c>
      <c r="V31">
        <f t="shared" si="21"/>
        <v>4.5684000000000005</v>
      </c>
      <c r="W31">
        <f t="shared" si="22"/>
        <v>0</v>
      </c>
      <c r="X31">
        <f t="shared" si="23"/>
        <v>9471.0400000000009</v>
      </c>
      <c r="Y31">
        <f t="shared" si="24"/>
        <v>4824.87</v>
      </c>
      <c r="AA31">
        <v>16878660</v>
      </c>
      <c r="AB31">
        <f t="shared" si="25"/>
        <v>10081.991</v>
      </c>
      <c r="AC31">
        <f t="shared" si="26"/>
        <v>8298.35</v>
      </c>
      <c r="AD31">
        <f>ROUND(((((ET31*1.25))-((EU31*1.25)))+AE31),6)</f>
        <v>319.01249999999999</v>
      </c>
      <c r="AE31">
        <f>ROUND(((EU31*1.25)),6)</f>
        <v>62.9</v>
      </c>
      <c r="AF31">
        <f>ROUND(((EV31*1.15)),6)</f>
        <v>1464.6285</v>
      </c>
      <c r="AG31">
        <f t="shared" si="29"/>
        <v>0</v>
      </c>
      <c r="AH31">
        <f>((EW31*1.15))</f>
        <v>167.57799999999997</v>
      </c>
      <c r="AI31">
        <f>((EX31*1.25))</f>
        <v>5.2875000000000005</v>
      </c>
      <c r="AJ31">
        <f t="shared" si="31"/>
        <v>0</v>
      </c>
      <c r="AK31">
        <v>9827.15</v>
      </c>
      <c r="AL31">
        <v>8298.35</v>
      </c>
      <c r="AM31">
        <v>255.21</v>
      </c>
      <c r="AN31">
        <v>50.32</v>
      </c>
      <c r="AO31">
        <v>1273.5899999999999</v>
      </c>
      <c r="AP31">
        <v>0</v>
      </c>
      <c r="AQ31">
        <v>145.72</v>
      </c>
      <c r="AR31">
        <v>4.2300000000000004</v>
      </c>
      <c r="AS31">
        <v>0</v>
      </c>
      <c r="AT31">
        <v>106</v>
      </c>
      <c r="AU31">
        <v>54</v>
      </c>
      <c r="AV31">
        <v>1</v>
      </c>
      <c r="AW31">
        <v>1</v>
      </c>
      <c r="AZ31">
        <v>6.77</v>
      </c>
      <c r="BA31">
        <v>6.77</v>
      </c>
      <c r="BB31">
        <v>6.77</v>
      </c>
      <c r="BC31">
        <v>6.77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40</v>
      </c>
      <c r="BM31">
        <v>10001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6.77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118</v>
      </c>
      <c r="CA31">
        <v>63</v>
      </c>
      <c r="CE31">
        <v>0</v>
      </c>
      <c r="CF31">
        <v>0</v>
      </c>
      <c r="CG31">
        <v>0</v>
      </c>
      <c r="CM31">
        <v>0</v>
      </c>
      <c r="CN31" t="s">
        <v>325</v>
      </c>
      <c r="CO31">
        <v>0</v>
      </c>
      <c r="CP31">
        <f t="shared" si="32"/>
        <v>58972.380000000005</v>
      </c>
      <c r="CQ31">
        <f t="shared" si="33"/>
        <v>56179.8295</v>
      </c>
      <c r="CR31">
        <f t="shared" si="34"/>
        <v>2159.7146249999996</v>
      </c>
      <c r="CS31">
        <f t="shared" si="35"/>
        <v>425.83299999999997</v>
      </c>
      <c r="CT31">
        <f t="shared" si="36"/>
        <v>9915.5349449999994</v>
      </c>
      <c r="CU31">
        <f t="shared" si="37"/>
        <v>0</v>
      </c>
      <c r="CV31">
        <f t="shared" si="38"/>
        <v>167.57799999999997</v>
      </c>
      <c r="CW31">
        <f t="shared" si="39"/>
        <v>5.2875000000000005</v>
      </c>
      <c r="CX31">
        <f t="shared" si="40"/>
        <v>0</v>
      </c>
      <c r="CY31">
        <f t="shared" si="41"/>
        <v>9471.0364000000009</v>
      </c>
      <c r="CZ31">
        <f t="shared" si="42"/>
        <v>4824.8676000000005</v>
      </c>
      <c r="DC31" t="s">
        <v>6</v>
      </c>
      <c r="DD31" t="s">
        <v>6</v>
      </c>
      <c r="DE31" t="s">
        <v>41</v>
      </c>
      <c r="DF31" t="s">
        <v>41</v>
      </c>
      <c r="DG31" t="s">
        <v>42</v>
      </c>
      <c r="DH31" t="s">
        <v>6</v>
      </c>
      <c r="DI31" t="s">
        <v>42</v>
      </c>
      <c r="DJ31" t="s">
        <v>41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16</v>
      </c>
      <c r="DW31" t="s">
        <v>16</v>
      </c>
      <c r="DX31">
        <v>100</v>
      </c>
      <c r="EE31">
        <v>16510487</v>
      </c>
      <c r="EF31">
        <v>2</v>
      </c>
      <c r="EG31" t="s">
        <v>18</v>
      </c>
      <c r="EH31">
        <v>0</v>
      </c>
      <c r="EI31" t="s">
        <v>6</v>
      </c>
      <c r="EJ31">
        <v>1</v>
      </c>
      <c r="EK31">
        <v>10001</v>
      </c>
      <c r="EL31" t="s">
        <v>43</v>
      </c>
      <c r="EM31" t="s">
        <v>44</v>
      </c>
      <c r="EO31" t="s">
        <v>45</v>
      </c>
      <c r="EQ31">
        <v>0</v>
      </c>
      <c r="ER31">
        <v>9827.15</v>
      </c>
      <c r="ES31">
        <v>8298.35</v>
      </c>
      <c r="ET31">
        <v>255.21</v>
      </c>
      <c r="EU31">
        <v>50.32</v>
      </c>
      <c r="EV31">
        <v>1273.5899999999999</v>
      </c>
      <c r="EW31">
        <v>145.72</v>
      </c>
      <c r="EX31">
        <v>4.2300000000000004</v>
      </c>
      <c r="EY31">
        <v>0</v>
      </c>
      <c r="FQ31">
        <v>0</v>
      </c>
      <c r="FR31">
        <f t="shared" si="43"/>
        <v>0</v>
      </c>
      <c r="FS31">
        <v>0</v>
      </c>
      <c r="FT31" t="s">
        <v>21</v>
      </c>
      <c r="FU31" t="s">
        <v>22</v>
      </c>
      <c r="FX31">
        <v>106.2</v>
      </c>
      <c r="FY31">
        <v>53.55</v>
      </c>
      <c r="GA31" t="s">
        <v>6</v>
      </c>
      <c r="GD31">
        <v>1</v>
      </c>
      <c r="GF31">
        <v>1452579699</v>
      </c>
      <c r="GG31">
        <v>1</v>
      </c>
      <c r="GH31">
        <v>1</v>
      </c>
      <c r="GI31">
        <v>4</v>
      </c>
      <c r="GJ31">
        <v>0</v>
      </c>
      <c r="GK31">
        <v>0</v>
      </c>
      <c r="GL31">
        <f t="shared" si="44"/>
        <v>0</v>
      </c>
      <c r="GM31">
        <f t="shared" si="45"/>
        <v>73268.289999999994</v>
      </c>
      <c r="GN31">
        <f t="shared" si="46"/>
        <v>73268.289999999994</v>
      </c>
      <c r="GO31">
        <f t="shared" si="47"/>
        <v>0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</v>
      </c>
      <c r="GX31">
        <f t="shared" si="50"/>
        <v>0</v>
      </c>
      <c r="HA31">
        <v>0</v>
      </c>
      <c r="HB31">
        <v>0</v>
      </c>
      <c r="HC31">
        <f t="shared" si="51"/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25</v>
      </c>
      <c r="D32" s="2"/>
      <c r="E32" s="2" t="s">
        <v>46</v>
      </c>
      <c r="F32" s="2" t="s">
        <v>47</v>
      </c>
      <c r="G32" s="2" t="s">
        <v>48</v>
      </c>
      <c r="H32" s="2" t="s">
        <v>49</v>
      </c>
      <c r="I32" s="2">
        <f>I30*J32</f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16878659</v>
      </c>
      <c r="AB32" s="2">
        <f t="shared" si="25"/>
        <v>2321.71</v>
      </c>
      <c r="AC32" s="2">
        <f t="shared" si="26"/>
        <v>2321.71</v>
      </c>
      <c r="AD32" s="2">
        <f>ROUND((((ET32)-(EU32))+AE32),6)</f>
        <v>0</v>
      </c>
      <c r="AE32" s="2">
        <f t="shared" ref="AE32:AF35" si="52">ROUND((EU32),6)</f>
        <v>0</v>
      </c>
      <c r="AF32" s="2">
        <f t="shared" si="52"/>
        <v>0</v>
      </c>
      <c r="AG32" s="2">
        <f t="shared" si="29"/>
        <v>0</v>
      </c>
      <c r="AH32" s="2">
        <f t="shared" ref="AH32:AI35" si="53">(EW32)</f>
        <v>0</v>
      </c>
      <c r="AI32" s="2">
        <f t="shared" si="53"/>
        <v>0</v>
      </c>
      <c r="AJ32" s="2">
        <f t="shared" si="31"/>
        <v>0</v>
      </c>
      <c r="AK32" s="2">
        <v>2321.71</v>
      </c>
      <c r="AL32" s="2">
        <v>2321.71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54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50</v>
      </c>
      <c r="BK32" s="2"/>
      <c r="BL32" s="2"/>
      <c r="BM32" s="2">
        <v>10001</v>
      </c>
      <c r="BN32" s="2">
        <v>0</v>
      </c>
      <c r="BO32" s="2" t="s">
        <v>6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118</v>
      </c>
      <c r="CA32" s="2">
        <v>63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2"/>
        <v>0</v>
      </c>
      <c r="CQ32" s="2">
        <f t="shared" si="33"/>
        <v>2321.71</v>
      </c>
      <c r="CR32" s="2">
        <f t="shared" si="34"/>
        <v>0</v>
      </c>
      <c r="CS32" s="2">
        <f t="shared" si="35"/>
        <v>0</v>
      </c>
      <c r="CT32" s="2">
        <f t="shared" si="36"/>
        <v>0</v>
      </c>
      <c r="CU32" s="2">
        <f t="shared" si="37"/>
        <v>0</v>
      </c>
      <c r="CV32" s="2">
        <f t="shared" si="38"/>
        <v>0</v>
      </c>
      <c r="CW32" s="2">
        <f t="shared" si="39"/>
        <v>0</v>
      </c>
      <c r="CX32" s="2">
        <f t="shared" si="40"/>
        <v>0</v>
      </c>
      <c r="CY32" s="2">
        <f t="shared" si="41"/>
        <v>0</v>
      </c>
      <c r="CZ32" s="2">
        <f t="shared" si="42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49</v>
      </c>
      <c r="DW32" s="2" t="s">
        <v>49</v>
      </c>
      <c r="DX32" s="2">
        <v>1</v>
      </c>
      <c r="DY32" s="2"/>
      <c r="DZ32" s="2"/>
      <c r="EA32" s="2"/>
      <c r="EB32" s="2"/>
      <c r="EC32" s="2"/>
      <c r="ED32" s="2"/>
      <c r="EE32" s="2">
        <v>16510487</v>
      </c>
      <c r="EF32" s="2">
        <v>2</v>
      </c>
      <c r="EG32" s="2" t="s">
        <v>18</v>
      </c>
      <c r="EH32" s="2">
        <v>0</v>
      </c>
      <c r="EI32" s="2" t="s">
        <v>6</v>
      </c>
      <c r="EJ32" s="2">
        <v>1</v>
      </c>
      <c r="EK32" s="2">
        <v>10001</v>
      </c>
      <c r="EL32" s="2" t="s">
        <v>43</v>
      </c>
      <c r="EM32" s="2" t="s">
        <v>44</v>
      </c>
      <c r="EN32" s="2"/>
      <c r="EO32" s="2" t="s">
        <v>6</v>
      </c>
      <c r="EP32" s="2"/>
      <c r="EQ32" s="2">
        <v>0</v>
      </c>
      <c r="ER32" s="2">
        <v>2321.71</v>
      </c>
      <c r="ES32" s="2">
        <v>2321.71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 t="s">
        <v>21</v>
      </c>
      <c r="FU32" s="2" t="s">
        <v>22</v>
      </c>
      <c r="FV32" s="2"/>
      <c r="FW32" s="2"/>
      <c r="FX32" s="2">
        <v>106.2</v>
      </c>
      <c r="FY32" s="2">
        <v>53.55</v>
      </c>
      <c r="FZ32" s="2"/>
      <c r="GA32" s="2" t="s">
        <v>6</v>
      </c>
      <c r="GB32" s="2"/>
      <c r="GC32" s="2"/>
      <c r="GD32" s="2">
        <v>1</v>
      </c>
      <c r="GE32" s="2"/>
      <c r="GF32" s="2">
        <v>2113984949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4"/>
        <v>0</v>
      </c>
      <c r="GM32" s="2">
        <f t="shared" si="45"/>
        <v>0</v>
      </c>
      <c r="GN32" s="2">
        <f t="shared" si="46"/>
        <v>0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>
        <f t="shared" si="51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37</v>
      </c>
      <c r="E33" t="s">
        <v>46</v>
      </c>
      <c r="F33" t="s">
        <v>47</v>
      </c>
      <c r="G33" t="s">
        <v>48</v>
      </c>
      <c r="H33" t="s">
        <v>49</v>
      </c>
      <c r="I33">
        <f>I31*J33</f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16878660</v>
      </c>
      <c r="AB33">
        <f t="shared" si="25"/>
        <v>2321.71</v>
      </c>
      <c r="AC33">
        <f t="shared" si="26"/>
        <v>2321.71</v>
      </c>
      <c r="AD33">
        <f>ROUND((((ET33)-(EU33))+AE33),6)</f>
        <v>0</v>
      </c>
      <c r="AE33">
        <f t="shared" si="52"/>
        <v>0</v>
      </c>
      <c r="AF33">
        <f t="shared" si="52"/>
        <v>0</v>
      </c>
      <c r="AG33">
        <f t="shared" si="29"/>
        <v>0</v>
      </c>
      <c r="AH33">
        <f t="shared" si="53"/>
        <v>0</v>
      </c>
      <c r="AI33">
        <f t="shared" si="53"/>
        <v>0</v>
      </c>
      <c r="AJ33">
        <f t="shared" si="31"/>
        <v>0</v>
      </c>
      <c r="AK33">
        <v>2321.71</v>
      </c>
      <c r="AL33">
        <v>2321.71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106</v>
      </c>
      <c r="AU33">
        <v>54</v>
      </c>
      <c r="AV33">
        <v>1</v>
      </c>
      <c r="AW33">
        <v>1</v>
      </c>
      <c r="AZ33">
        <v>6.77</v>
      </c>
      <c r="BA33">
        <v>1</v>
      </c>
      <c r="BB33">
        <v>1</v>
      </c>
      <c r="BC33">
        <v>6.77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50</v>
      </c>
      <c r="BM33">
        <v>10001</v>
      </c>
      <c r="BN33">
        <v>0</v>
      </c>
      <c r="BO33" t="s">
        <v>6</v>
      </c>
      <c r="BP33">
        <v>0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118</v>
      </c>
      <c r="CA33">
        <v>63</v>
      </c>
      <c r="CE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2"/>
        <v>0</v>
      </c>
      <c r="CQ33">
        <f t="shared" si="33"/>
        <v>15717.976699999999</v>
      </c>
      <c r="CR33">
        <f t="shared" si="34"/>
        <v>0</v>
      </c>
      <c r="CS33">
        <f t="shared" si="35"/>
        <v>0</v>
      </c>
      <c r="CT33">
        <f t="shared" si="36"/>
        <v>0</v>
      </c>
      <c r="CU33">
        <f t="shared" si="37"/>
        <v>0</v>
      </c>
      <c r="CV33">
        <f t="shared" si="38"/>
        <v>0</v>
      </c>
      <c r="CW33">
        <f t="shared" si="39"/>
        <v>0</v>
      </c>
      <c r="CX33">
        <f t="shared" si="40"/>
        <v>0</v>
      </c>
      <c r="CY33">
        <f t="shared" si="41"/>
        <v>0</v>
      </c>
      <c r="CZ33">
        <f t="shared" si="42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49</v>
      </c>
      <c r="DW33" t="s">
        <v>49</v>
      </c>
      <c r="DX33">
        <v>1</v>
      </c>
      <c r="EE33">
        <v>16510487</v>
      </c>
      <c r="EF33">
        <v>2</v>
      </c>
      <c r="EG33" t="s">
        <v>18</v>
      </c>
      <c r="EH33">
        <v>0</v>
      </c>
      <c r="EI33" t="s">
        <v>6</v>
      </c>
      <c r="EJ33">
        <v>1</v>
      </c>
      <c r="EK33">
        <v>10001</v>
      </c>
      <c r="EL33" t="s">
        <v>43</v>
      </c>
      <c r="EM33" t="s">
        <v>44</v>
      </c>
      <c r="EO33" t="s">
        <v>6</v>
      </c>
      <c r="EQ33">
        <v>0</v>
      </c>
      <c r="ER33">
        <v>2321.71</v>
      </c>
      <c r="ES33">
        <v>2321.71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3"/>
        <v>0</v>
      </c>
      <c r="FS33">
        <v>0</v>
      </c>
      <c r="FT33" t="s">
        <v>21</v>
      </c>
      <c r="FU33" t="s">
        <v>22</v>
      </c>
      <c r="FX33">
        <v>106.2</v>
      </c>
      <c r="FY33">
        <v>53.55</v>
      </c>
      <c r="GA33" t="s">
        <v>6</v>
      </c>
      <c r="GD33">
        <v>1</v>
      </c>
      <c r="GF33">
        <v>2113984949</v>
      </c>
      <c r="GG33">
        <v>1</v>
      </c>
      <c r="GH33">
        <v>1</v>
      </c>
      <c r="GI33">
        <v>4</v>
      </c>
      <c r="GJ33">
        <v>0</v>
      </c>
      <c r="GK33">
        <v>0</v>
      </c>
      <c r="GL33">
        <f t="shared" si="44"/>
        <v>0</v>
      </c>
      <c r="GM33">
        <f t="shared" si="45"/>
        <v>0</v>
      </c>
      <c r="GN33">
        <f t="shared" si="46"/>
        <v>0</v>
      </c>
      <c r="GO33">
        <f t="shared" si="47"/>
        <v>0</v>
      </c>
      <c r="GP33">
        <f t="shared" si="48"/>
        <v>0</v>
      </c>
      <c r="GR33">
        <v>0</v>
      </c>
      <c r="GS33">
        <v>3</v>
      </c>
      <c r="GT33">
        <v>0</v>
      </c>
      <c r="GU33" t="s">
        <v>6</v>
      </c>
      <c r="GV33">
        <f t="shared" si="49"/>
        <v>0</v>
      </c>
      <c r="GW33">
        <v>1</v>
      </c>
      <c r="GX33">
        <f t="shared" si="50"/>
        <v>0</v>
      </c>
      <c r="HA33">
        <v>0</v>
      </c>
      <c r="HB33">
        <v>0</v>
      </c>
      <c r="HC33">
        <f t="shared" si="51"/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28</v>
      </c>
      <c r="D34" s="2"/>
      <c r="E34" s="2" t="s">
        <v>51</v>
      </c>
      <c r="F34" s="2" t="s">
        <v>52</v>
      </c>
      <c r="G34" s="2" t="s">
        <v>53</v>
      </c>
      <c r="H34" s="2" t="s">
        <v>49</v>
      </c>
      <c r="I34" s="2">
        <f>I30*J34</f>
        <v>86.4</v>
      </c>
      <c r="J34" s="2">
        <v>100.00000000000001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16878659</v>
      </c>
      <c r="AB34" s="2">
        <f t="shared" si="25"/>
        <v>0</v>
      </c>
      <c r="AC34" s="2">
        <f t="shared" si="26"/>
        <v>0</v>
      </c>
      <c r="AD34" s="2">
        <f>ROUND((((ET34)-(EU34))+AE34),6)</f>
        <v>0</v>
      </c>
      <c r="AE34" s="2">
        <f t="shared" si="52"/>
        <v>0</v>
      </c>
      <c r="AF34" s="2">
        <f t="shared" si="52"/>
        <v>0</v>
      </c>
      <c r="AG34" s="2">
        <f t="shared" si="29"/>
        <v>0</v>
      </c>
      <c r="AH34" s="2">
        <f t="shared" si="53"/>
        <v>0</v>
      </c>
      <c r="AI34" s="2">
        <f t="shared" si="53"/>
        <v>0</v>
      </c>
      <c r="AJ34" s="2">
        <f t="shared" si="31"/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54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10001</v>
      </c>
      <c r="BN34" s="2">
        <v>0</v>
      </c>
      <c r="BO34" s="2" t="s">
        <v>6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118</v>
      </c>
      <c r="CA34" s="2">
        <v>63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0</v>
      </c>
      <c r="CQ34" s="2">
        <f t="shared" si="33"/>
        <v>0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1005</v>
      </c>
      <c r="DV34" s="2" t="s">
        <v>49</v>
      </c>
      <c r="DW34" s="2" t="s">
        <v>49</v>
      </c>
      <c r="DX34" s="2">
        <v>1</v>
      </c>
      <c r="DY34" s="2"/>
      <c r="DZ34" s="2"/>
      <c r="EA34" s="2"/>
      <c r="EB34" s="2"/>
      <c r="EC34" s="2"/>
      <c r="ED34" s="2"/>
      <c r="EE34" s="2">
        <v>16510487</v>
      </c>
      <c r="EF34" s="2">
        <v>2</v>
      </c>
      <c r="EG34" s="2" t="s">
        <v>18</v>
      </c>
      <c r="EH34" s="2">
        <v>0</v>
      </c>
      <c r="EI34" s="2" t="s">
        <v>6</v>
      </c>
      <c r="EJ34" s="2">
        <v>1</v>
      </c>
      <c r="EK34" s="2">
        <v>10001</v>
      </c>
      <c r="EL34" s="2" t="s">
        <v>43</v>
      </c>
      <c r="EM34" s="2" t="s">
        <v>44</v>
      </c>
      <c r="EN34" s="2"/>
      <c r="EO34" s="2" t="s">
        <v>6</v>
      </c>
      <c r="EP34" s="2"/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 t="s">
        <v>21</v>
      </c>
      <c r="FU34" s="2" t="s">
        <v>22</v>
      </c>
      <c r="FV34" s="2"/>
      <c r="FW34" s="2"/>
      <c r="FX34" s="2">
        <v>106.2</v>
      </c>
      <c r="FY34" s="2">
        <v>53.55</v>
      </c>
      <c r="FZ34" s="2"/>
      <c r="GA34" s="2" t="s">
        <v>6</v>
      </c>
      <c r="GB34" s="2"/>
      <c r="GC34" s="2"/>
      <c r="GD34" s="2">
        <v>1</v>
      </c>
      <c r="GE34" s="2"/>
      <c r="GF34" s="2">
        <v>-1535074792</v>
      </c>
      <c r="GG34" s="2">
        <v>2</v>
      </c>
      <c r="GH34" s="2">
        <v>0</v>
      </c>
      <c r="GI34" s="2">
        <v>-2</v>
      </c>
      <c r="GJ34" s="2">
        <v>0</v>
      </c>
      <c r="GK34" s="2">
        <v>0</v>
      </c>
      <c r="GL34" s="2">
        <f t="shared" si="44"/>
        <v>0</v>
      </c>
      <c r="GM34" s="2">
        <f t="shared" si="45"/>
        <v>0</v>
      </c>
      <c r="GN34" s="2">
        <f t="shared" si="46"/>
        <v>0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>
        <f t="shared" si="51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40</v>
      </c>
      <c r="E35" t="s">
        <v>51</v>
      </c>
      <c r="F35" t="s">
        <v>52</v>
      </c>
      <c r="G35" t="s">
        <v>53</v>
      </c>
      <c r="H35" t="s">
        <v>49</v>
      </c>
      <c r="I35">
        <f>I31*J35</f>
        <v>86.4</v>
      </c>
      <c r="J35">
        <v>100.00000000000001</v>
      </c>
      <c r="O35">
        <f t="shared" si="14"/>
        <v>419551.31</v>
      </c>
      <c r="P35">
        <f t="shared" si="15"/>
        <v>419551.31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16878660</v>
      </c>
      <c r="AB35">
        <f t="shared" si="25"/>
        <v>717.27</v>
      </c>
      <c r="AC35">
        <f t="shared" si="26"/>
        <v>717.27</v>
      </c>
      <c r="AD35">
        <f>ROUND((((ET35)-(EU35))+AE35),6)</f>
        <v>0</v>
      </c>
      <c r="AE35">
        <f t="shared" si="52"/>
        <v>0</v>
      </c>
      <c r="AF35">
        <f t="shared" si="52"/>
        <v>0</v>
      </c>
      <c r="AG35">
        <f t="shared" si="29"/>
        <v>0</v>
      </c>
      <c r="AH35">
        <f t="shared" si="53"/>
        <v>0</v>
      </c>
      <c r="AI35">
        <f t="shared" si="53"/>
        <v>0</v>
      </c>
      <c r="AJ35">
        <f t="shared" si="31"/>
        <v>0</v>
      </c>
      <c r="AK35">
        <v>717.27</v>
      </c>
      <c r="AL35">
        <v>717.27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106</v>
      </c>
      <c r="AU35">
        <v>54</v>
      </c>
      <c r="AV35">
        <v>1</v>
      </c>
      <c r="AW35">
        <v>1</v>
      </c>
      <c r="AZ35">
        <v>6.77</v>
      </c>
      <c r="BA35">
        <v>1</v>
      </c>
      <c r="BB35">
        <v>1</v>
      </c>
      <c r="BC35">
        <v>6.77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10001</v>
      </c>
      <c r="BN35">
        <v>0</v>
      </c>
      <c r="BO35" t="s">
        <v>6</v>
      </c>
      <c r="BP35">
        <v>0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118</v>
      </c>
      <c r="CA35">
        <v>63</v>
      </c>
      <c r="CE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419551.31</v>
      </c>
      <c r="CQ35">
        <f t="shared" si="33"/>
        <v>4855.9178999999995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49</v>
      </c>
      <c r="DW35" t="s">
        <v>49</v>
      </c>
      <c r="DX35">
        <v>1</v>
      </c>
      <c r="EE35">
        <v>16510487</v>
      </c>
      <c r="EF35">
        <v>2</v>
      </c>
      <c r="EG35" t="s">
        <v>18</v>
      </c>
      <c r="EH35">
        <v>0</v>
      </c>
      <c r="EI35" t="s">
        <v>6</v>
      </c>
      <c r="EJ35">
        <v>1</v>
      </c>
      <c r="EK35">
        <v>10001</v>
      </c>
      <c r="EL35" t="s">
        <v>43</v>
      </c>
      <c r="EM35" t="s">
        <v>44</v>
      </c>
      <c r="EO35" t="s">
        <v>6</v>
      </c>
      <c r="EQ35">
        <v>0</v>
      </c>
      <c r="ER35">
        <v>717.27</v>
      </c>
      <c r="ES35">
        <v>717.27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1</v>
      </c>
      <c r="FD35">
        <v>18</v>
      </c>
      <c r="FF35">
        <v>5729.99</v>
      </c>
      <c r="FQ35">
        <v>0</v>
      </c>
      <c r="FR35">
        <f t="shared" si="43"/>
        <v>0</v>
      </c>
      <c r="FS35">
        <v>0</v>
      </c>
      <c r="FT35" t="s">
        <v>21</v>
      </c>
      <c r="FU35" t="s">
        <v>22</v>
      </c>
      <c r="FX35">
        <v>106.2</v>
      </c>
      <c r="FY35">
        <v>53.55</v>
      </c>
      <c r="GA35" t="s">
        <v>54</v>
      </c>
      <c r="GD35">
        <v>1</v>
      </c>
      <c r="GF35">
        <v>-1535074792</v>
      </c>
      <c r="GG35">
        <v>1</v>
      </c>
      <c r="GH35">
        <v>3</v>
      </c>
      <c r="GI35">
        <v>4</v>
      </c>
      <c r="GJ35">
        <v>0</v>
      </c>
      <c r="GK35">
        <v>0</v>
      </c>
      <c r="GL35">
        <f t="shared" si="44"/>
        <v>0</v>
      </c>
      <c r="GM35">
        <f t="shared" si="45"/>
        <v>419551.31</v>
      </c>
      <c r="GN35">
        <f t="shared" si="46"/>
        <v>419551.31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HC35">
        <f t="shared" si="51"/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ROW(EtalonRes!A49)</f>
        <v>49</v>
      </c>
      <c r="E36" s="2" t="s">
        <v>55</v>
      </c>
      <c r="F36" s="2" t="s">
        <v>56</v>
      </c>
      <c r="G36" s="2" t="s">
        <v>57</v>
      </c>
      <c r="H36" s="2" t="s">
        <v>16</v>
      </c>
      <c r="I36" s="2">
        <f>ROUND(9/100,9)</f>
        <v>0.09</v>
      </c>
      <c r="J36" s="2">
        <v>0</v>
      </c>
      <c r="K36" s="2"/>
      <c r="L36" s="2"/>
      <c r="M36" s="2"/>
      <c r="N36" s="2"/>
      <c r="O36" s="2">
        <f t="shared" si="14"/>
        <v>902.15</v>
      </c>
      <c r="P36" s="2">
        <f t="shared" si="15"/>
        <v>800.15</v>
      </c>
      <c r="Q36" s="2">
        <f t="shared" si="16"/>
        <v>2.46</v>
      </c>
      <c r="R36" s="2">
        <f t="shared" si="17"/>
        <v>0.39</v>
      </c>
      <c r="S36" s="2">
        <f t="shared" si="18"/>
        <v>99.54</v>
      </c>
      <c r="T36" s="2">
        <f t="shared" si="19"/>
        <v>0</v>
      </c>
      <c r="U36" s="2">
        <f t="shared" si="20"/>
        <v>11.669625</v>
      </c>
      <c r="V36" s="2">
        <f t="shared" si="21"/>
        <v>3.0374999999999999E-2</v>
      </c>
      <c r="W36" s="2">
        <f t="shared" si="22"/>
        <v>0</v>
      </c>
      <c r="X36" s="2">
        <f t="shared" si="23"/>
        <v>107.92</v>
      </c>
      <c r="Y36" s="2">
        <f t="shared" si="24"/>
        <v>54.96</v>
      </c>
      <c r="Z36" s="2"/>
      <c r="AA36" s="2">
        <v>16878659</v>
      </c>
      <c r="AB36" s="2">
        <f t="shared" si="25"/>
        <v>10023.954</v>
      </c>
      <c r="AC36" s="2">
        <f t="shared" si="26"/>
        <v>8890.58</v>
      </c>
      <c r="AD36" s="2">
        <f>ROUND(((((ET36*1.25))-((EU36*1.25)))+AE36),6)</f>
        <v>27.35</v>
      </c>
      <c r="AE36" s="2">
        <f>ROUND(((EU36*1.25)),6)</f>
        <v>4.3875000000000002</v>
      </c>
      <c r="AF36" s="2">
        <f>ROUND(((EV36*1.15)),6)</f>
        <v>1106.0239999999999</v>
      </c>
      <c r="AG36" s="2">
        <f t="shared" si="29"/>
        <v>0</v>
      </c>
      <c r="AH36" s="2">
        <f>((EW36*1.15))</f>
        <v>129.66249999999999</v>
      </c>
      <c r="AI36" s="2">
        <f>((EX36*1.25))</f>
        <v>0.33750000000000002</v>
      </c>
      <c r="AJ36" s="2">
        <f t="shared" si="31"/>
        <v>0</v>
      </c>
      <c r="AK36" s="2">
        <v>9874.2199999999993</v>
      </c>
      <c r="AL36" s="2">
        <v>8890.58</v>
      </c>
      <c r="AM36" s="2">
        <v>21.88</v>
      </c>
      <c r="AN36" s="2">
        <v>3.51</v>
      </c>
      <c r="AO36" s="2">
        <v>961.76</v>
      </c>
      <c r="AP36" s="2">
        <v>0</v>
      </c>
      <c r="AQ36" s="2">
        <v>112.75</v>
      </c>
      <c r="AR36" s="2">
        <v>0.27</v>
      </c>
      <c r="AS36" s="2">
        <v>0</v>
      </c>
      <c r="AT36" s="2">
        <v>108</v>
      </c>
      <c r="AU36" s="2">
        <v>55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0</v>
      </c>
      <c r="BI36" s="2">
        <v>1</v>
      </c>
      <c r="BJ36" s="2" t="s">
        <v>58</v>
      </c>
      <c r="BK36" s="2"/>
      <c r="BL36" s="2"/>
      <c r="BM36" s="2">
        <v>12001</v>
      </c>
      <c r="BN36" s="2">
        <v>0</v>
      </c>
      <c r="BO36" s="2" t="s">
        <v>6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120</v>
      </c>
      <c r="CA36" s="2">
        <v>65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325</v>
      </c>
      <c r="CO36" s="2">
        <v>0</v>
      </c>
      <c r="CP36" s="2">
        <f t="shared" si="32"/>
        <v>902.15</v>
      </c>
      <c r="CQ36" s="2">
        <f t="shared" si="33"/>
        <v>8890.58</v>
      </c>
      <c r="CR36" s="2">
        <f t="shared" si="34"/>
        <v>27.35</v>
      </c>
      <c r="CS36" s="2">
        <f t="shared" si="35"/>
        <v>4.3875000000000002</v>
      </c>
      <c r="CT36" s="2">
        <f t="shared" si="36"/>
        <v>1106.0239999999999</v>
      </c>
      <c r="CU36" s="2">
        <f t="shared" si="37"/>
        <v>0</v>
      </c>
      <c r="CV36" s="2">
        <f t="shared" si="38"/>
        <v>129.66249999999999</v>
      </c>
      <c r="CW36" s="2">
        <f t="shared" si="39"/>
        <v>0.33750000000000002</v>
      </c>
      <c r="CX36" s="2">
        <f t="shared" si="40"/>
        <v>0</v>
      </c>
      <c r="CY36" s="2">
        <f t="shared" si="41"/>
        <v>107.92440000000001</v>
      </c>
      <c r="CZ36" s="2">
        <f t="shared" si="42"/>
        <v>54.961500000000008</v>
      </c>
      <c r="DA36" s="2"/>
      <c r="DB36" s="2"/>
      <c r="DC36" s="2" t="s">
        <v>6</v>
      </c>
      <c r="DD36" s="2" t="s">
        <v>6</v>
      </c>
      <c r="DE36" s="2" t="s">
        <v>41</v>
      </c>
      <c r="DF36" s="2" t="s">
        <v>41</v>
      </c>
      <c r="DG36" s="2" t="s">
        <v>42</v>
      </c>
      <c r="DH36" s="2" t="s">
        <v>6</v>
      </c>
      <c r="DI36" s="2" t="s">
        <v>42</v>
      </c>
      <c r="DJ36" s="2" t="s">
        <v>41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1005</v>
      </c>
      <c r="DV36" s="2" t="s">
        <v>16</v>
      </c>
      <c r="DW36" s="2" t="s">
        <v>16</v>
      </c>
      <c r="DX36" s="2">
        <v>100</v>
      </c>
      <c r="DY36" s="2"/>
      <c r="DZ36" s="2"/>
      <c r="EA36" s="2"/>
      <c r="EB36" s="2"/>
      <c r="EC36" s="2"/>
      <c r="ED36" s="2"/>
      <c r="EE36" s="2">
        <v>16510489</v>
      </c>
      <c r="EF36" s="2">
        <v>2</v>
      </c>
      <c r="EG36" s="2" t="s">
        <v>18</v>
      </c>
      <c r="EH36" s="2">
        <v>0</v>
      </c>
      <c r="EI36" s="2" t="s">
        <v>6</v>
      </c>
      <c r="EJ36" s="2">
        <v>1</v>
      </c>
      <c r="EK36" s="2">
        <v>12001</v>
      </c>
      <c r="EL36" s="2" t="s">
        <v>59</v>
      </c>
      <c r="EM36" s="2" t="s">
        <v>60</v>
      </c>
      <c r="EN36" s="2"/>
      <c r="EO36" s="2" t="s">
        <v>45</v>
      </c>
      <c r="EP36" s="2"/>
      <c r="EQ36" s="2">
        <v>0</v>
      </c>
      <c r="ER36" s="2">
        <v>9874.2199999999993</v>
      </c>
      <c r="ES36" s="2">
        <v>8890.58</v>
      </c>
      <c r="ET36" s="2">
        <v>21.88</v>
      </c>
      <c r="EU36" s="2">
        <v>3.51</v>
      </c>
      <c r="EV36" s="2">
        <v>961.76</v>
      </c>
      <c r="EW36" s="2">
        <v>112.75</v>
      </c>
      <c r="EX36" s="2">
        <v>0.27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 t="s">
        <v>21</v>
      </c>
      <c r="FU36" s="2" t="s">
        <v>22</v>
      </c>
      <c r="FV36" s="2"/>
      <c r="FW36" s="2"/>
      <c r="FX36" s="2">
        <v>108</v>
      </c>
      <c r="FY36" s="2">
        <v>55.25</v>
      </c>
      <c r="FZ36" s="2"/>
      <c r="GA36" s="2" t="s">
        <v>6</v>
      </c>
      <c r="GB36" s="2"/>
      <c r="GC36" s="2"/>
      <c r="GD36" s="2">
        <v>1</v>
      </c>
      <c r="GE36" s="2"/>
      <c r="GF36" s="2">
        <v>-1197977700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4"/>
        <v>0</v>
      </c>
      <c r="GM36" s="2">
        <f t="shared" si="45"/>
        <v>1065.03</v>
      </c>
      <c r="GN36" s="2">
        <f t="shared" si="46"/>
        <v>1065.03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>
        <f t="shared" si="51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ROW(SmtRes!A54)</f>
        <v>54</v>
      </c>
      <c r="D37">
        <f>ROW(EtalonRes!A56)</f>
        <v>56</v>
      </c>
      <c r="E37" t="s">
        <v>55</v>
      </c>
      <c r="F37" t="s">
        <v>56</v>
      </c>
      <c r="G37" t="s">
        <v>57</v>
      </c>
      <c r="H37" t="s">
        <v>16</v>
      </c>
      <c r="I37">
        <f>ROUND(9/100,9)</f>
        <v>0.09</v>
      </c>
      <c r="J37">
        <v>0</v>
      </c>
      <c r="O37">
        <f t="shared" si="14"/>
        <v>6107.59</v>
      </c>
      <c r="P37">
        <f t="shared" si="15"/>
        <v>5417.03</v>
      </c>
      <c r="Q37">
        <f t="shared" si="16"/>
        <v>16.66</v>
      </c>
      <c r="R37">
        <f t="shared" si="17"/>
        <v>2.67</v>
      </c>
      <c r="S37">
        <f t="shared" si="18"/>
        <v>673.9</v>
      </c>
      <c r="T37">
        <f t="shared" si="19"/>
        <v>0</v>
      </c>
      <c r="U37">
        <f t="shared" si="20"/>
        <v>11.669625</v>
      </c>
      <c r="V37">
        <f t="shared" si="21"/>
        <v>3.0374999999999999E-2</v>
      </c>
      <c r="W37">
        <f t="shared" si="22"/>
        <v>0</v>
      </c>
      <c r="X37">
        <f t="shared" si="23"/>
        <v>730.7</v>
      </c>
      <c r="Y37">
        <f t="shared" si="24"/>
        <v>372.11</v>
      </c>
      <c r="AA37">
        <v>16878660</v>
      </c>
      <c r="AB37">
        <f t="shared" si="25"/>
        <v>10023.954</v>
      </c>
      <c r="AC37">
        <f t="shared" si="26"/>
        <v>8890.58</v>
      </c>
      <c r="AD37">
        <f>ROUND(((((ET37*1.25))-((EU37*1.25)))+AE37),6)</f>
        <v>27.35</v>
      </c>
      <c r="AE37">
        <f>ROUND(((EU37*1.25)),6)</f>
        <v>4.3875000000000002</v>
      </c>
      <c r="AF37">
        <f>ROUND(((EV37*1.15)),6)</f>
        <v>1106.0239999999999</v>
      </c>
      <c r="AG37">
        <f t="shared" si="29"/>
        <v>0</v>
      </c>
      <c r="AH37">
        <f>((EW37*1.15))</f>
        <v>129.66249999999999</v>
      </c>
      <c r="AI37">
        <f>((EX37*1.25))</f>
        <v>0.33750000000000002</v>
      </c>
      <c r="AJ37">
        <f t="shared" si="31"/>
        <v>0</v>
      </c>
      <c r="AK37">
        <v>9874.2199999999993</v>
      </c>
      <c r="AL37">
        <v>8890.58</v>
      </c>
      <c r="AM37">
        <v>21.88</v>
      </c>
      <c r="AN37">
        <v>3.51</v>
      </c>
      <c r="AO37">
        <v>961.76</v>
      </c>
      <c r="AP37">
        <v>0</v>
      </c>
      <c r="AQ37">
        <v>112.75</v>
      </c>
      <c r="AR37">
        <v>0.27</v>
      </c>
      <c r="AS37">
        <v>0</v>
      </c>
      <c r="AT37">
        <v>108</v>
      </c>
      <c r="AU37">
        <v>55</v>
      </c>
      <c r="AV37">
        <v>1</v>
      </c>
      <c r="AW37">
        <v>1</v>
      </c>
      <c r="AZ37">
        <v>6.77</v>
      </c>
      <c r="BA37">
        <v>6.77</v>
      </c>
      <c r="BB37">
        <v>6.77</v>
      </c>
      <c r="BC37">
        <v>6.77</v>
      </c>
      <c r="BD37" t="s">
        <v>6</v>
      </c>
      <c r="BE37" t="s">
        <v>6</v>
      </c>
      <c r="BF37" t="s">
        <v>6</v>
      </c>
      <c r="BG37" t="s">
        <v>6</v>
      </c>
      <c r="BH37">
        <v>0</v>
      </c>
      <c r="BI37">
        <v>1</v>
      </c>
      <c r="BJ37" t="s">
        <v>58</v>
      </c>
      <c r="BM37">
        <v>12001</v>
      </c>
      <c r="BN37">
        <v>0</v>
      </c>
      <c r="BO37" t="s">
        <v>6</v>
      </c>
      <c r="BP37">
        <v>0</v>
      </c>
      <c r="BQ37">
        <v>2</v>
      </c>
      <c r="BR37">
        <v>0</v>
      </c>
      <c r="BS37">
        <v>6.77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120</v>
      </c>
      <c r="CA37">
        <v>65</v>
      </c>
      <c r="CE37">
        <v>0</v>
      </c>
      <c r="CF37">
        <v>0</v>
      </c>
      <c r="CG37">
        <v>0</v>
      </c>
      <c r="CM37">
        <v>0</v>
      </c>
      <c r="CN37" t="s">
        <v>325</v>
      </c>
      <c r="CO37">
        <v>0</v>
      </c>
      <c r="CP37">
        <f t="shared" si="32"/>
        <v>6107.5899999999992</v>
      </c>
      <c r="CQ37">
        <f t="shared" si="33"/>
        <v>60189.226599999995</v>
      </c>
      <c r="CR37">
        <f t="shared" si="34"/>
        <v>185.15950000000001</v>
      </c>
      <c r="CS37">
        <f t="shared" si="35"/>
        <v>29.703374999999998</v>
      </c>
      <c r="CT37">
        <f t="shared" si="36"/>
        <v>7487.7824799999989</v>
      </c>
      <c r="CU37">
        <f t="shared" si="37"/>
        <v>0</v>
      </c>
      <c r="CV37">
        <f t="shared" si="38"/>
        <v>129.66249999999999</v>
      </c>
      <c r="CW37">
        <f t="shared" si="39"/>
        <v>0.33750000000000002</v>
      </c>
      <c r="CX37">
        <f t="shared" si="40"/>
        <v>0</v>
      </c>
      <c r="CY37">
        <f t="shared" si="41"/>
        <v>730.69560000000001</v>
      </c>
      <c r="CZ37">
        <f t="shared" si="42"/>
        <v>372.11349999999999</v>
      </c>
      <c r="DC37" t="s">
        <v>6</v>
      </c>
      <c r="DD37" t="s">
        <v>6</v>
      </c>
      <c r="DE37" t="s">
        <v>41</v>
      </c>
      <c r="DF37" t="s">
        <v>41</v>
      </c>
      <c r="DG37" t="s">
        <v>42</v>
      </c>
      <c r="DH37" t="s">
        <v>6</v>
      </c>
      <c r="DI37" t="s">
        <v>42</v>
      </c>
      <c r="DJ37" t="s">
        <v>41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16</v>
      </c>
      <c r="DW37" t="s">
        <v>16</v>
      </c>
      <c r="DX37">
        <v>100</v>
      </c>
      <c r="EE37">
        <v>16510489</v>
      </c>
      <c r="EF37">
        <v>2</v>
      </c>
      <c r="EG37" t="s">
        <v>18</v>
      </c>
      <c r="EH37">
        <v>0</v>
      </c>
      <c r="EI37" t="s">
        <v>6</v>
      </c>
      <c r="EJ37">
        <v>1</v>
      </c>
      <c r="EK37">
        <v>12001</v>
      </c>
      <c r="EL37" t="s">
        <v>59</v>
      </c>
      <c r="EM37" t="s">
        <v>60</v>
      </c>
      <c r="EO37" t="s">
        <v>45</v>
      </c>
      <c r="EQ37">
        <v>0</v>
      </c>
      <c r="ER37">
        <v>9874.2199999999993</v>
      </c>
      <c r="ES37">
        <v>8890.58</v>
      </c>
      <c r="ET37">
        <v>21.88</v>
      </c>
      <c r="EU37">
        <v>3.51</v>
      </c>
      <c r="EV37">
        <v>961.76</v>
      </c>
      <c r="EW37">
        <v>112.75</v>
      </c>
      <c r="EX37">
        <v>0.27</v>
      </c>
      <c r="EY37">
        <v>0</v>
      </c>
      <c r="FQ37">
        <v>0</v>
      </c>
      <c r="FR37">
        <f t="shared" si="43"/>
        <v>0</v>
      </c>
      <c r="FS37">
        <v>0</v>
      </c>
      <c r="FT37" t="s">
        <v>21</v>
      </c>
      <c r="FU37" t="s">
        <v>22</v>
      </c>
      <c r="FX37">
        <v>108</v>
      </c>
      <c r="FY37">
        <v>55.25</v>
      </c>
      <c r="GA37" t="s">
        <v>6</v>
      </c>
      <c r="GD37">
        <v>1</v>
      </c>
      <c r="GF37">
        <v>-1197977700</v>
      </c>
      <c r="GG37">
        <v>1</v>
      </c>
      <c r="GH37">
        <v>1</v>
      </c>
      <c r="GI37">
        <v>4</v>
      </c>
      <c r="GJ37">
        <v>0</v>
      </c>
      <c r="GK37">
        <v>0</v>
      </c>
      <c r="GL37">
        <f t="shared" si="44"/>
        <v>0</v>
      </c>
      <c r="GM37">
        <f t="shared" si="45"/>
        <v>7210.4</v>
      </c>
      <c r="GN37">
        <f t="shared" si="46"/>
        <v>7210.4</v>
      </c>
      <c r="GO37">
        <f t="shared" si="47"/>
        <v>0</v>
      </c>
      <c r="GP37">
        <f t="shared" si="48"/>
        <v>0</v>
      </c>
      <c r="GR37">
        <v>0</v>
      </c>
      <c r="GS37">
        <v>3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HC37">
        <f t="shared" si="51"/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ROW(SmtRes!A61)</f>
        <v>61</v>
      </c>
      <c r="D38" s="2">
        <f>ROW(EtalonRes!A63)</f>
        <v>63</v>
      </c>
      <c r="E38" s="2" t="s">
        <v>61</v>
      </c>
      <c r="F38" s="2" t="s">
        <v>62</v>
      </c>
      <c r="G38" s="2" t="s">
        <v>63</v>
      </c>
      <c r="H38" s="2" t="s">
        <v>26</v>
      </c>
      <c r="I38" s="2">
        <f>ROUND(36/100,9)</f>
        <v>0.36</v>
      </c>
      <c r="J38" s="2">
        <v>0</v>
      </c>
      <c r="K38" s="2"/>
      <c r="L38" s="2"/>
      <c r="M38" s="2"/>
      <c r="N38" s="2"/>
      <c r="O38" s="2">
        <f t="shared" si="14"/>
        <v>1517.02</v>
      </c>
      <c r="P38" s="2">
        <f t="shared" si="15"/>
        <v>1437.19</v>
      </c>
      <c r="Q38" s="2">
        <f t="shared" si="16"/>
        <v>5</v>
      </c>
      <c r="R38" s="2">
        <f t="shared" si="17"/>
        <v>1.03</v>
      </c>
      <c r="S38" s="2">
        <f t="shared" si="18"/>
        <v>74.83</v>
      </c>
      <c r="T38" s="2">
        <f t="shared" si="19"/>
        <v>0</v>
      </c>
      <c r="U38" s="2">
        <f t="shared" si="20"/>
        <v>8.7726600000000001</v>
      </c>
      <c r="V38" s="2">
        <f t="shared" si="21"/>
        <v>8.5499999999999993E-2</v>
      </c>
      <c r="W38" s="2">
        <f t="shared" si="22"/>
        <v>0</v>
      </c>
      <c r="X38" s="2">
        <f t="shared" si="23"/>
        <v>80.41</v>
      </c>
      <c r="Y38" s="2">
        <f t="shared" si="24"/>
        <v>40.96</v>
      </c>
      <c r="Z38" s="2"/>
      <c r="AA38" s="2">
        <v>16878659</v>
      </c>
      <c r="AB38" s="2">
        <f t="shared" si="25"/>
        <v>4213.95</v>
      </c>
      <c r="AC38" s="2">
        <f t="shared" si="26"/>
        <v>3992.2</v>
      </c>
      <c r="AD38" s="2">
        <f>ROUND(((((ET38*1.25))-((EU38*1.25)))+AE38),6)</f>
        <v>13.887499999999999</v>
      </c>
      <c r="AE38" s="2">
        <f>ROUND(((EU38*1.25)),6)</f>
        <v>2.85</v>
      </c>
      <c r="AF38" s="2">
        <f>ROUND(((EV38*1.15)),6)</f>
        <v>207.86250000000001</v>
      </c>
      <c r="AG38" s="2">
        <f t="shared" si="29"/>
        <v>0</v>
      </c>
      <c r="AH38" s="2">
        <f>((EW38*1.15))</f>
        <v>24.368500000000001</v>
      </c>
      <c r="AI38" s="2">
        <f>((EX38*1.25))</f>
        <v>0.23749999999999999</v>
      </c>
      <c r="AJ38" s="2">
        <f t="shared" si="31"/>
        <v>0</v>
      </c>
      <c r="AK38" s="2">
        <v>4184.0600000000004</v>
      </c>
      <c r="AL38" s="2">
        <v>3992.2</v>
      </c>
      <c r="AM38" s="2">
        <v>11.11</v>
      </c>
      <c r="AN38" s="2">
        <v>2.2799999999999998</v>
      </c>
      <c r="AO38" s="2">
        <v>180.75</v>
      </c>
      <c r="AP38" s="2">
        <v>0</v>
      </c>
      <c r="AQ38" s="2">
        <v>21.19</v>
      </c>
      <c r="AR38" s="2">
        <v>0.19</v>
      </c>
      <c r="AS38" s="2">
        <v>0</v>
      </c>
      <c r="AT38" s="2">
        <v>106</v>
      </c>
      <c r="AU38" s="2">
        <v>54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1</v>
      </c>
      <c r="BJ38" s="2" t="s">
        <v>64</v>
      </c>
      <c r="BK38" s="2"/>
      <c r="BL38" s="2"/>
      <c r="BM38" s="2">
        <v>10001</v>
      </c>
      <c r="BN38" s="2">
        <v>0</v>
      </c>
      <c r="BO38" s="2" t="s">
        <v>6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118</v>
      </c>
      <c r="CA38" s="2">
        <v>63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325</v>
      </c>
      <c r="CO38" s="2">
        <v>0</v>
      </c>
      <c r="CP38" s="2">
        <f t="shared" si="32"/>
        <v>1517.02</v>
      </c>
      <c r="CQ38" s="2">
        <f t="shared" si="33"/>
        <v>3992.2</v>
      </c>
      <c r="CR38" s="2">
        <f t="shared" si="34"/>
        <v>13.887499999999999</v>
      </c>
      <c r="CS38" s="2">
        <f t="shared" si="35"/>
        <v>2.85</v>
      </c>
      <c r="CT38" s="2">
        <f t="shared" si="36"/>
        <v>207.86250000000001</v>
      </c>
      <c r="CU38" s="2">
        <f t="shared" si="37"/>
        <v>0</v>
      </c>
      <c r="CV38" s="2">
        <f t="shared" si="38"/>
        <v>24.368500000000001</v>
      </c>
      <c r="CW38" s="2">
        <f t="shared" si="39"/>
        <v>0.23749999999999999</v>
      </c>
      <c r="CX38" s="2">
        <f t="shared" si="40"/>
        <v>0</v>
      </c>
      <c r="CY38" s="2">
        <f t="shared" si="41"/>
        <v>80.411599999999993</v>
      </c>
      <c r="CZ38" s="2">
        <f t="shared" si="42"/>
        <v>40.964399999999998</v>
      </c>
      <c r="DA38" s="2"/>
      <c r="DB38" s="2"/>
      <c r="DC38" s="2" t="s">
        <v>6</v>
      </c>
      <c r="DD38" s="2" t="s">
        <v>6</v>
      </c>
      <c r="DE38" s="2" t="s">
        <v>41</v>
      </c>
      <c r="DF38" s="2" t="s">
        <v>41</v>
      </c>
      <c r="DG38" s="2" t="s">
        <v>42</v>
      </c>
      <c r="DH38" s="2" t="s">
        <v>6</v>
      </c>
      <c r="DI38" s="2" t="s">
        <v>42</v>
      </c>
      <c r="DJ38" s="2" t="s">
        <v>41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26</v>
      </c>
      <c r="DW38" s="2" t="s">
        <v>26</v>
      </c>
      <c r="DX38" s="2">
        <v>100</v>
      </c>
      <c r="DY38" s="2"/>
      <c r="DZ38" s="2"/>
      <c r="EA38" s="2"/>
      <c r="EB38" s="2"/>
      <c r="EC38" s="2"/>
      <c r="ED38" s="2"/>
      <c r="EE38" s="2">
        <v>16510487</v>
      </c>
      <c r="EF38" s="2">
        <v>2</v>
      </c>
      <c r="EG38" s="2" t="s">
        <v>18</v>
      </c>
      <c r="EH38" s="2">
        <v>0</v>
      </c>
      <c r="EI38" s="2" t="s">
        <v>6</v>
      </c>
      <c r="EJ38" s="2">
        <v>1</v>
      </c>
      <c r="EK38" s="2">
        <v>10001</v>
      </c>
      <c r="EL38" s="2" t="s">
        <v>43</v>
      </c>
      <c r="EM38" s="2" t="s">
        <v>44</v>
      </c>
      <c r="EN38" s="2"/>
      <c r="EO38" s="2" t="s">
        <v>45</v>
      </c>
      <c r="EP38" s="2"/>
      <c r="EQ38" s="2">
        <v>0</v>
      </c>
      <c r="ER38" s="2">
        <v>4184.0600000000004</v>
      </c>
      <c r="ES38" s="2">
        <v>3992.2</v>
      </c>
      <c r="ET38" s="2">
        <v>11.11</v>
      </c>
      <c r="EU38" s="2">
        <v>2.2799999999999998</v>
      </c>
      <c r="EV38" s="2">
        <v>180.75</v>
      </c>
      <c r="EW38" s="2">
        <v>21.19</v>
      </c>
      <c r="EX38" s="2">
        <v>0.19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 t="s">
        <v>21</v>
      </c>
      <c r="FU38" s="2" t="s">
        <v>22</v>
      </c>
      <c r="FV38" s="2"/>
      <c r="FW38" s="2"/>
      <c r="FX38" s="2">
        <v>106.2</v>
      </c>
      <c r="FY38" s="2">
        <v>53.55</v>
      </c>
      <c r="FZ38" s="2"/>
      <c r="GA38" s="2" t="s">
        <v>6</v>
      </c>
      <c r="GB38" s="2"/>
      <c r="GC38" s="2"/>
      <c r="GD38" s="2">
        <v>1</v>
      </c>
      <c r="GE38" s="2"/>
      <c r="GF38" s="2">
        <v>756108961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4"/>
        <v>0</v>
      </c>
      <c r="GM38" s="2">
        <f t="shared" si="45"/>
        <v>1638.39</v>
      </c>
      <c r="GN38" s="2">
        <f t="shared" si="46"/>
        <v>1638.39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>
        <f t="shared" si="51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ROW(SmtRes!A68)</f>
        <v>68</v>
      </c>
      <c r="D39">
        <f>ROW(EtalonRes!A70)</f>
        <v>70</v>
      </c>
      <c r="E39" t="s">
        <v>61</v>
      </c>
      <c r="F39" t="s">
        <v>62</v>
      </c>
      <c r="G39" t="s">
        <v>63</v>
      </c>
      <c r="H39" t="s">
        <v>26</v>
      </c>
      <c r="I39">
        <f>ROUND(36/100,9)</f>
        <v>0.36</v>
      </c>
      <c r="J39">
        <v>0</v>
      </c>
      <c r="O39">
        <f t="shared" si="14"/>
        <v>10270.24</v>
      </c>
      <c r="P39">
        <f t="shared" si="15"/>
        <v>9729.7900000000009</v>
      </c>
      <c r="Q39">
        <f t="shared" si="16"/>
        <v>33.85</v>
      </c>
      <c r="R39">
        <f t="shared" si="17"/>
        <v>6.95</v>
      </c>
      <c r="S39">
        <f t="shared" si="18"/>
        <v>506.6</v>
      </c>
      <c r="T39">
        <f t="shared" si="19"/>
        <v>0</v>
      </c>
      <c r="U39">
        <f t="shared" si="20"/>
        <v>8.7726600000000001</v>
      </c>
      <c r="V39">
        <f t="shared" si="21"/>
        <v>8.5499999999999993E-2</v>
      </c>
      <c r="W39">
        <f t="shared" si="22"/>
        <v>0</v>
      </c>
      <c r="X39">
        <f t="shared" si="23"/>
        <v>544.36</v>
      </c>
      <c r="Y39">
        <f t="shared" si="24"/>
        <v>277.32</v>
      </c>
      <c r="AA39">
        <v>16878660</v>
      </c>
      <c r="AB39">
        <f t="shared" si="25"/>
        <v>4213.95</v>
      </c>
      <c r="AC39">
        <f t="shared" si="26"/>
        <v>3992.2</v>
      </c>
      <c r="AD39">
        <f>ROUND(((((ET39*1.25))-((EU39*1.25)))+AE39),6)</f>
        <v>13.887499999999999</v>
      </c>
      <c r="AE39">
        <f>ROUND(((EU39*1.25)),6)</f>
        <v>2.85</v>
      </c>
      <c r="AF39">
        <f>ROUND(((EV39*1.15)),6)</f>
        <v>207.86250000000001</v>
      </c>
      <c r="AG39">
        <f t="shared" si="29"/>
        <v>0</v>
      </c>
      <c r="AH39">
        <f>((EW39*1.15))</f>
        <v>24.368500000000001</v>
      </c>
      <c r="AI39">
        <f>((EX39*1.25))</f>
        <v>0.23749999999999999</v>
      </c>
      <c r="AJ39">
        <f t="shared" si="31"/>
        <v>0</v>
      </c>
      <c r="AK39">
        <v>4184.0600000000004</v>
      </c>
      <c r="AL39">
        <v>3992.2</v>
      </c>
      <c r="AM39">
        <v>11.11</v>
      </c>
      <c r="AN39">
        <v>2.2799999999999998</v>
      </c>
      <c r="AO39">
        <v>180.75</v>
      </c>
      <c r="AP39">
        <v>0</v>
      </c>
      <c r="AQ39">
        <v>21.19</v>
      </c>
      <c r="AR39">
        <v>0.19</v>
      </c>
      <c r="AS39">
        <v>0</v>
      </c>
      <c r="AT39">
        <v>106</v>
      </c>
      <c r="AU39">
        <v>54</v>
      </c>
      <c r="AV39">
        <v>1</v>
      </c>
      <c r="AW39">
        <v>1</v>
      </c>
      <c r="AZ39">
        <v>6.77</v>
      </c>
      <c r="BA39">
        <v>6.77</v>
      </c>
      <c r="BB39">
        <v>6.77</v>
      </c>
      <c r="BC39">
        <v>6.77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1</v>
      </c>
      <c r="BJ39" t="s">
        <v>64</v>
      </c>
      <c r="BM39">
        <v>10001</v>
      </c>
      <c r="BN39">
        <v>0</v>
      </c>
      <c r="BO39" t="s">
        <v>6</v>
      </c>
      <c r="BP39">
        <v>0</v>
      </c>
      <c r="BQ39">
        <v>2</v>
      </c>
      <c r="BR39">
        <v>0</v>
      </c>
      <c r="BS39">
        <v>6.77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118</v>
      </c>
      <c r="CA39">
        <v>63</v>
      </c>
      <c r="CE39">
        <v>0</v>
      </c>
      <c r="CF39">
        <v>0</v>
      </c>
      <c r="CG39">
        <v>0</v>
      </c>
      <c r="CM39">
        <v>0</v>
      </c>
      <c r="CN39" t="s">
        <v>325</v>
      </c>
      <c r="CO39">
        <v>0</v>
      </c>
      <c r="CP39">
        <f t="shared" si="32"/>
        <v>10270.240000000002</v>
      </c>
      <c r="CQ39">
        <f t="shared" si="33"/>
        <v>27027.193999999996</v>
      </c>
      <c r="CR39">
        <f t="shared" si="34"/>
        <v>94.018374999999992</v>
      </c>
      <c r="CS39">
        <f t="shared" si="35"/>
        <v>19.294499999999999</v>
      </c>
      <c r="CT39">
        <f t="shared" si="36"/>
        <v>1407.2291250000001</v>
      </c>
      <c r="CU39">
        <f t="shared" si="37"/>
        <v>0</v>
      </c>
      <c r="CV39">
        <f t="shared" si="38"/>
        <v>24.368500000000001</v>
      </c>
      <c r="CW39">
        <f t="shared" si="39"/>
        <v>0.23749999999999999</v>
      </c>
      <c r="CX39">
        <f t="shared" si="40"/>
        <v>0</v>
      </c>
      <c r="CY39">
        <f t="shared" si="41"/>
        <v>544.36300000000006</v>
      </c>
      <c r="CZ39">
        <f t="shared" si="42"/>
        <v>277.31700000000006</v>
      </c>
      <c r="DC39" t="s">
        <v>6</v>
      </c>
      <c r="DD39" t="s">
        <v>6</v>
      </c>
      <c r="DE39" t="s">
        <v>41</v>
      </c>
      <c r="DF39" t="s">
        <v>41</v>
      </c>
      <c r="DG39" t="s">
        <v>42</v>
      </c>
      <c r="DH39" t="s">
        <v>6</v>
      </c>
      <c r="DI39" t="s">
        <v>42</v>
      </c>
      <c r="DJ39" t="s">
        <v>41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26</v>
      </c>
      <c r="DW39" t="s">
        <v>26</v>
      </c>
      <c r="DX39">
        <v>100</v>
      </c>
      <c r="EE39">
        <v>16510487</v>
      </c>
      <c r="EF39">
        <v>2</v>
      </c>
      <c r="EG39" t="s">
        <v>18</v>
      </c>
      <c r="EH39">
        <v>0</v>
      </c>
      <c r="EI39" t="s">
        <v>6</v>
      </c>
      <c r="EJ39">
        <v>1</v>
      </c>
      <c r="EK39">
        <v>10001</v>
      </c>
      <c r="EL39" t="s">
        <v>43</v>
      </c>
      <c r="EM39" t="s">
        <v>44</v>
      </c>
      <c r="EO39" t="s">
        <v>45</v>
      </c>
      <c r="EQ39">
        <v>0</v>
      </c>
      <c r="ER39">
        <v>4184.0600000000004</v>
      </c>
      <c r="ES39">
        <v>3992.2</v>
      </c>
      <c r="ET39">
        <v>11.11</v>
      </c>
      <c r="EU39">
        <v>2.2799999999999998</v>
      </c>
      <c r="EV39">
        <v>180.75</v>
      </c>
      <c r="EW39">
        <v>21.19</v>
      </c>
      <c r="EX39">
        <v>0.19</v>
      </c>
      <c r="EY39">
        <v>0</v>
      </c>
      <c r="FQ39">
        <v>0</v>
      </c>
      <c r="FR39">
        <f t="shared" si="43"/>
        <v>0</v>
      </c>
      <c r="FS39">
        <v>0</v>
      </c>
      <c r="FT39" t="s">
        <v>21</v>
      </c>
      <c r="FU39" t="s">
        <v>22</v>
      </c>
      <c r="FX39">
        <v>106.2</v>
      </c>
      <c r="FY39">
        <v>53.55</v>
      </c>
      <c r="GA39" t="s">
        <v>6</v>
      </c>
      <c r="GD39">
        <v>1</v>
      </c>
      <c r="GF39">
        <v>756108961</v>
      </c>
      <c r="GG39">
        <v>1</v>
      </c>
      <c r="GH39">
        <v>1</v>
      </c>
      <c r="GI39">
        <v>4</v>
      </c>
      <c r="GJ39">
        <v>0</v>
      </c>
      <c r="GK39">
        <v>0</v>
      </c>
      <c r="GL39">
        <f t="shared" si="44"/>
        <v>0</v>
      </c>
      <c r="GM39">
        <f t="shared" si="45"/>
        <v>11091.92</v>
      </c>
      <c r="GN39">
        <f t="shared" si="46"/>
        <v>11091.92</v>
      </c>
      <c r="GO39">
        <f t="shared" si="47"/>
        <v>0</v>
      </c>
      <c r="GP39">
        <f t="shared" si="48"/>
        <v>0</v>
      </c>
      <c r="GR39">
        <v>0</v>
      </c>
      <c r="GS39">
        <v>3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HC39">
        <f t="shared" si="51"/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59</v>
      </c>
      <c r="D40" s="2"/>
      <c r="E40" s="2" t="s">
        <v>65</v>
      </c>
      <c r="F40" s="2" t="s">
        <v>66</v>
      </c>
      <c r="G40" s="2" t="s">
        <v>67</v>
      </c>
      <c r="H40" s="2" t="s">
        <v>68</v>
      </c>
      <c r="I40" s="2">
        <f>I38*J40</f>
        <v>36</v>
      </c>
      <c r="J40" s="2">
        <v>100</v>
      </c>
      <c r="K40" s="2"/>
      <c r="L40" s="2"/>
      <c r="M40" s="2"/>
      <c r="N40" s="2"/>
      <c r="O40" s="2">
        <f t="shared" si="14"/>
        <v>1309.32</v>
      </c>
      <c r="P40" s="2">
        <f t="shared" si="15"/>
        <v>1309.32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16878659</v>
      </c>
      <c r="AB40" s="2">
        <f t="shared" si="25"/>
        <v>36.369999999999997</v>
      </c>
      <c r="AC40" s="2">
        <f t="shared" si="26"/>
        <v>36.369999999999997</v>
      </c>
      <c r="AD40" s="2">
        <f>ROUND((((ET40)-(EU40))+AE40),6)</f>
        <v>0</v>
      </c>
      <c r="AE40" s="2">
        <f>ROUND((EU40),6)</f>
        <v>0</v>
      </c>
      <c r="AF40" s="2">
        <f>ROUND((EV40),6)</f>
        <v>0</v>
      </c>
      <c r="AG40" s="2">
        <f t="shared" si="29"/>
        <v>0</v>
      </c>
      <c r="AH40" s="2">
        <f>(EW40)</f>
        <v>0</v>
      </c>
      <c r="AI40" s="2">
        <f>(EX40)</f>
        <v>0</v>
      </c>
      <c r="AJ40" s="2">
        <f t="shared" si="31"/>
        <v>0</v>
      </c>
      <c r="AK40" s="2">
        <v>36.369999999999997</v>
      </c>
      <c r="AL40" s="2">
        <v>36.369999999999997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54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69</v>
      </c>
      <c r="BK40" s="2"/>
      <c r="BL40" s="2"/>
      <c r="BM40" s="2">
        <v>10001</v>
      </c>
      <c r="BN40" s="2">
        <v>0</v>
      </c>
      <c r="BO40" s="2" t="s">
        <v>6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118</v>
      </c>
      <c r="CA40" s="2">
        <v>63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1309.32</v>
      </c>
      <c r="CQ40" s="2">
        <f t="shared" si="33"/>
        <v>36.369999999999997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68</v>
      </c>
      <c r="DW40" s="2" t="s">
        <v>68</v>
      </c>
      <c r="DX40" s="2">
        <v>1</v>
      </c>
      <c r="DY40" s="2"/>
      <c r="DZ40" s="2"/>
      <c r="EA40" s="2"/>
      <c r="EB40" s="2"/>
      <c r="EC40" s="2"/>
      <c r="ED40" s="2"/>
      <c r="EE40" s="2">
        <v>16510487</v>
      </c>
      <c r="EF40" s="2">
        <v>2</v>
      </c>
      <c r="EG40" s="2" t="s">
        <v>18</v>
      </c>
      <c r="EH40" s="2">
        <v>0</v>
      </c>
      <c r="EI40" s="2" t="s">
        <v>6</v>
      </c>
      <c r="EJ40" s="2">
        <v>1</v>
      </c>
      <c r="EK40" s="2">
        <v>10001</v>
      </c>
      <c r="EL40" s="2" t="s">
        <v>43</v>
      </c>
      <c r="EM40" s="2" t="s">
        <v>44</v>
      </c>
      <c r="EN40" s="2"/>
      <c r="EO40" s="2" t="s">
        <v>6</v>
      </c>
      <c r="EP40" s="2"/>
      <c r="EQ40" s="2">
        <v>0</v>
      </c>
      <c r="ER40" s="2">
        <v>36.369999999999997</v>
      </c>
      <c r="ES40" s="2">
        <v>36.369999999999997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 t="s">
        <v>21</v>
      </c>
      <c r="FU40" s="2" t="s">
        <v>22</v>
      </c>
      <c r="FV40" s="2"/>
      <c r="FW40" s="2"/>
      <c r="FX40" s="2">
        <v>106.2</v>
      </c>
      <c r="FY40" s="2">
        <v>53.55</v>
      </c>
      <c r="FZ40" s="2"/>
      <c r="GA40" s="2" t="s">
        <v>6</v>
      </c>
      <c r="GB40" s="2"/>
      <c r="GC40" s="2"/>
      <c r="GD40" s="2">
        <v>1</v>
      </c>
      <c r="GE40" s="2"/>
      <c r="GF40" s="2">
        <v>-2119394786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4"/>
        <v>0</v>
      </c>
      <c r="GM40" s="2">
        <f t="shared" si="45"/>
        <v>1309.32</v>
      </c>
      <c r="GN40" s="2">
        <f t="shared" si="46"/>
        <v>1309.32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>
        <f t="shared" si="51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66</v>
      </c>
      <c r="E41" t="s">
        <v>65</v>
      </c>
      <c r="F41" t="s">
        <v>66</v>
      </c>
      <c r="G41" t="s">
        <v>67</v>
      </c>
      <c r="H41" t="s">
        <v>68</v>
      </c>
      <c r="I41">
        <f>I39*J41</f>
        <v>36</v>
      </c>
      <c r="J41">
        <v>100</v>
      </c>
      <c r="O41">
        <f t="shared" si="14"/>
        <v>8864.1</v>
      </c>
      <c r="P41">
        <f t="shared" si="15"/>
        <v>8864.1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16878660</v>
      </c>
      <c r="AB41">
        <f t="shared" si="25"/>
        <v>36.369999999999997</v>
      </c>
      <c r="AC41">
        <f t="shared" si="26"/>
        <v>36.369999999999997</v>
      </c>
      <c r="AD41">
        <f>ROUND((((ET41)-(EU41))+AE41),6)</f>
        <v>0</v>
      </c>
      <c r="AE41">
        <f>ROUND((EU41),6)</f>
        <v>0</v>
      </c>
      <c r="AF41">
        <f>ROUND((EV41),6)</f>
        <v>0</v>
      </c>
      <c r="AG41">
        <f t="shared" si="29"/>
        <v>0</v>
      </c>
      <c r="AH41">
        <f>(EW41)</f>
        <v>0</v>
      </c>
      <c r="AI41">
        <f>(EX41)</f>
        <v>0</v>
      </c>
      <c r="AJ41">
        <f t="shared" si="31"/>
        <v>0</v>
      </c>
      <c r="AK41">
        <v>36.369999999999997</v>
      </c>
      <c r="AL41">
        <v>36.369999999999997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106</v>
      </c>
      <c r="AU41">
        <v>54</v>
      </c>
      <c r="AV41">
        <v>1</v>
      </c>
      <c r="AW41">
        <v>1</v>
      </c>
      <c r="AZ41">
        <v>6.77</v>
      </c>
      <c r="BA41">
        <v>1</v>
      </c>
      <c r="BB41">
        <v>1</v>
      </c>
      <c r="BC41">
        <v>6.77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69</v>
      </c>
      <c r="BM41">
        <v>10001</v>
      </c>
      <c r="BN41">
        <v>0</v>
      </c>
      <c r="BO41" t="s">
        <v>6</v>
      </c>
      <c r="BP41">
        <v>0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118</v>
      </c>
      <c r="CA41">
        <v>63</v>
      </c>
      <c r="CE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8864.1</v>
      </c>
      <c r="CQ41">
        <f t="shared" si="33"/>
        <v>246.22489999999996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68</v>
      </c>
      <c r="DW41" t="s">
        <v>68</v>
      </c>
      <c r="DX41">
        <v>1</v>
      </c>
      <c r="EE41">
        <v>16510487</v>
      </c>
      <c r="EF41">
        <v>2</v>
      </c>
      <c r="EG41" t="s">
        <v>18</v>
      </c>
      <c r="EH41">
        <v>0</v>
      </c>
      <c r="EI41" t="s">
        <v>6</v>
      </c>
      <c r="EJ41">
        <v>1</v>
      </c>
      <c r="EK41">
        <v>10001</v>
      </c>
      <c r="EL41" t="s">
        <v>43</v>
      </c>
      <c r="EM41" t="s">
        <v>44</v>
      </c>
      <c r="EO41" t="s">
        <v>6</v>
      </c>
      <c r="EQ41">
        <v>0</v>
      </c>
      <c r="ER41">
        <v>36.369999999999997</v>
      </c>
      <c r="ES41">
        <v>36.369999999999997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3"/>
        <v>0</v>
      </c>
      <c r="FS41">
        <v>0</v>
      </c>
      <c r="FT41" t="s">
        <v>21</v>
      </c>
      <c r="FU41" t="s">
        <v>22</v>
      </c>
      <c r="FX41">
        <v>106.2</v>
      </c>
      <c r="FY41">
        <v>53.55</v>
      </c>
      <c r="GA41" t="s">
        <v>6</v>
      </c>
      <c r="GD41">
        <v>1</v>
      </c>
      <c r="GF41">
        <v>-2119394786</v>
      </c>
      <c r="GG41">
        <v>1</v>
      </c>
      <c r="GH41">
        <v>1</v>
      </c>
      <c r="GI41">
        <v>4</v>
      </c>
      <c r="GJ41">
        <v>0</v>
      </c>
      <c r="GK41">
        <v>0</v>
      </c>
      <c r="GL41">
        <f t="shared" si="44"/>
        <v>0</v>
      </c>
      <c r="GM41">
        <f t="shared" si="45"/>
        <v>8864.1</v>
      </c>
      <c r="GN41">
        <f t="shared" si="46"/>
        <v>8864.1</v>
      </c>
      <c r="GO41">
        <f t="shared" si="47"/>
        <v>0</v>
      </c>
      <c r="GP41">
        <f t="shared" si="48"/>
        <v>0</v>
      </c>
      <c r="GR41">
        <v>0</v>
      </c>
      <c r="GS41">
        <v>3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HC41">
        <f t="shared" si="51"/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ROW(SmtRes!A79)</f>
        <v>79</v>
      </c>
      <c r="D42" s="2">
        <f>ROW(EtalonRes!A78)</f>
        <v>78</v>
      </c>
      <c r="E42" s="2" t="s">
        <v>70</v>
      </c>
      <c r="F42" s="2" t="s">
        <v>71</v>
      </c>
      <c r="G42" s="2" t="s">
        <v>72</v>
      </c>
      <c r="H42" s="2" t="s">
        <v>16</v>
      </c>
      <c r="I42" s="2">
        <f>ROUND(33/100,9)</f>
        <v>0.33</v>
      </c>
      <c r="J42" s="2">
        <v>0</v>
      </c>
      <c r="K42" s="2"/>
      <c r="L42" s="2"/>
      <c r="M42" s="2"/>
      <c r="N42" s="2"/>
      <c r="O42" s="2">
        <f t="shared" si="14"/>
        <v>594.66</v>
      </c>
      <c r="P42" s="2">
        <f t="shared" si="15"/>
        <v>0.12</v>
      </c>
      <c r="Q42" s="2">
        <f t="shared" si="16"/>
        <v>14.59</v>
      </c>
      <c r="R42" s="2">
        <f t="shared" si="17"/>
        <v>2.84</v>
      </c>
      <c r="S42" s="2">
        <f t="shared" si="18"/>
        <v>579.95000000000005</v>
      </c>
      <c r="T42" s="2">
        <f t="shared" si="19"/>
        <v>0</v>
      </c>
      <c r="U42" s="2">
        <f t="shared" si="20"/>
        <v>63.175364999999999</v>
      </c>
      <c r="V42" s="2">
        <f t="shared" si="21"/>
        <v>0.23924999999999999</v>
      </c>
      <c r="W42" s="2">
        <f t="shared" si="22"/>
        <v>0</v>
      </c>
      <c r="X42" s="2">
        <f t="shared" si="23"/>
        <v>553.65</v>
      </c>
      <c r="Y42" s="2">
        <f t="shared" si="24"/>
        <v>273.91000000000003</v>
      </c>
      <c r="Z42" s="2"/>
      <c r="AA42" s="2">
        <v>16878659</v>
      </c>
      <c r="AB42" s="2">
        <f t="shared" si="25"/>
        <v>1801.9784999999999</v>
      </c>
      <c r="AC42" s="2">
        <f t="shared" si="26"/>
        <v>0.36</v>
      </c>
      <c r="AD42" s="2">
        <f>ROUND(((((ET42*1.25))-((EU42*1.25)))+AE42),6)</f>
        <v>44.2</v>
      </c>
      <c r="AE42" s="2">
        <f>ROUND(((EU42*1.25)),6)</f>
        <v>8.6</v>
      </c>
      <c r="AF42" s="2">
        <f>ROUND(((EV42*1.15)),6)</f>
        <v>1757.4185</v>
      </c>
      <c r="AG42" s="2">
        <f t="shared" si="29"/>
        <v>0</v>
      </c>
      <c r="AH42" s="2">
        <f>((EW42*1.15))</f>
        <v>191.44049999999999</v>
      </c>
      <c r="AI42" s="2">
        <f>((EX42*1.25))</f>
        <v>0.72499999999999998</v>
      </c>
      <c r="AJ42" s="2">
        <f t="shared" si="31"/>
        <v>0</v>
      </c>
      <c r="AK42" s="2">
        <v>1563.91</v>
      </c>
      <c r="AL42" s="2">
        <v>0.36</v>
      </c>
      <c r="AM42" s="2">
        <v>35.36</v>
      </c>
      <c r="AN42" s="2">
        <v>6.88</v>
      </c>
      <c r="AO42" s="2">
        <v>1528.19</v>
      </c>
      <c r="AP42" s="2">
        <v>0</v>
      </c>
      <c r="AQ42" s="2">
        <v>166.47</v>
      </c>
      <c r="AR42" s="2">
        <v>0.57999999999999996</v>
      </c>
      <c r="AS42" s="2">
        <v>0</v>
      </c>
      <c r="AT42" s="2">
        <v>95</v>
      </c>
      <c r="AU42" s="2">
        <v>47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0</v>
      </c>
      <c r="BI42" s="2">
        <v>1</v>
      </c>
      <c r="BJ42" s="2" t="s">
        <v>73</v>
      </c>
      <c r="BK42" s="2"/>
      <c r="BL42" s="2"/>
      <c r="BM42" s="2">
        <v>15001</v>
      </c>
      <c r="BN42" s="2">
        <v>0</v>
      </c>
      <c r="BO42" s="2" t="s">
        <v>6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105</v>
      </c>
      <c r="CA42" s="2">
        <v>55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325</v>
      </c>
      <c r="CO42" s="2">
        <v>0</v>
      </c>
      <c r="CP42" s="2">
        <f t="shared" si="32"/>
        <v>594.66000000000008</v>
      </c>
      <c r="CQ42" s="2">
        <f t="shared" si="33"/>
        <v>0.36</v>
      </c>
      <c r="CR42" s="2">
        <f t="shared" si="34"/>
        <v>44.2</v>
      </c>
      <c r="CS42" s="2">
        <f t="shared" si="35"/>
        <v>8.6</v>
      </c>
      <c r="CT42" s="2">
        <f t="shared" si="36"/>
        <v>1757.4185</v>
      </c>
      <c r="CU42" s="2">
        <f t="shared" si="37"/>
        <v>0</v>
      </c>
      <c r="CV42" s="2">
        <f t="shared" si="38"/>
        <v>191.44049999999999</v>
      </c>
      <c r="CW42" s="2">
        <f t="shared" si="39"/>
        <v>0.72499999999999998</v>
      </c>
      <c r="CX42" s="2">
        <f t="shared" si="40"/>
        <v>0</v>
      </c>
      <c r="CY42" s="2">
        <f t="shared" si="41"/>
        <v>553.65050000000008</v>
      </c>
      <c r="CZ42" s="2">
        <f t="shared" si="42"/>
        <v>273.91130000000004</v>
      </c>
      <c r="DA42" s="2"/>
      <c r="DB42" s="2"/>
      <c r="DC42" s="2" t="s">
        <v>6</v>
      </c>
      <c r="DD42" s="2" t="s">
        <v>6</v>
      </c>
      <c r="DE42" s="2" t="s">
        <v>41</v>
      </c>
      <c r="DF42" s="2" t="s">
        <v>41</v>
      </c>
      <c r="DG42" s="2" t="s">
        <v>42</v>
      </c>
      <c r="DH42" s="2" t="s">
        <v>6</v>
      </c>
      <c r="DI42" s="2" t="s">
        <v>42</v>
      </c>
      <c r="DJ42" s="2" t="s">
        <v>41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1005</v>
      </c>
      <c r="DV42" s="2" t="s">
        <v>16</v>
      </c>
      <c r="DW42" s="2" t="s">
        <v>16</v>
      </c>
      <c r="DX42" s="2">
        <v>100</v>
      </c>
      <c r="DY42" s="2"/>
      <c r="DZ42" s="2"/>
      <c r="EA42" s="2"/>
      <c r="EB42" s="2"/>
      <c r="EC42" s="2"/>
      <c r="ED42" s="2"/>
      <c r="EE42" s="2">
        <v>16510513</v>
      </c>
      <c r="EF42" s="2">
        <v>2</v>
      </c>
      <c r="EG42" s="2" t="s">
        <v>18</v>
      </c>
      <c r="EH42" s="2">
        <v>0</v>
      </c>
      <c r="EI42" s="2" t="s">
        <v>6</v>
      </c>
      <c r="EJ42" s="2">
        <v>1</v>
      </c>
      <c r="EK42" s="2">
        <v>15001</v>
      </c>
      <c r="EL42" s="2" t="s">
        <v>74</v>
      </c>
      <c r="EM42" s="2" t="s">
        <v>75</v>
      </c>
      <c r="EN42" s="2"/>
      <c r="EO42" s="2" t="s">
        <v>45</v>
      </c>
      <c r="EP42" s="2"/>
      <c r="EQ42" s="2">
        <v>0</v>
      </c>
      <c r="ER42" s="2">
        <v>1563.91</v>
      </c>
      <c r="ES42" s="2">
        <v>0.36</v>
      </c>
      <c r="ET42" s="2">
        <v>35.36</v>
      </c>
      <c r="EU42" s="2">
        <v>6.88</v>
      </c>
      <c r="EV42" s="2">
        <v>1528.19</v>
      </c>
      <c r="EW42" s="2">
        <v>166.47</v>
      </c>
      <c r="EX42" s="2">
        <v>0.57999999999999996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 t="s">
        <v>21</v>
      </c>
      <c r="FU42" s="2" t="s">
        <v>22</v>
      </c>
      <c r="FV42" s="2"/>
      <c r="FW42" s="2"/>
      <c r="FX42" s="2">
        <v>94.5</v>
      </c>
      <c r="FY42" s="2">
        <v>46.75</v>
      </c>
      <c r="FZ42" s="2"/>
      <c r="GA42" s="2" t="s">
        <v>6</v>
      </c>
      <c r="GB42" s="2"/>
      <c r="GC42" s="2"/>
      <c r="GD42" s="2">
        <v>1</v>
      </c>
      <c r="GE42" s="2"/>
      <c r="GF42" s="2">
        <v>251333065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4"/>
        <v>0</v>
      </c>
      <c r="GM42" s="2">
        <f t="shared" si="45"/>
        <v>1422.22</v>
      </c>
      <c r="GN42" s="2">
        <f t="shared" si="46"/>
        <v>1422.22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>
        <f t="shared" si="51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ROW(SmtRes!A90)</f>
        <v>90</v>
      </c>
      <c r="D43">
        <f>ROW(EtalonRes!A86)</f>
        <v>86</v>
      </c>
      <c r="E43" t="s">
        <v>70</v>
      </c>
      <c r="F43" t="s">
        <v>71</v>
      </c>
      <c r="G43" t="s">
        <v>72</v>
      </c>
      <c r="H43" t="s">
        <v>16</v>
      </c>
      <c r="I43">
        <f>ROUND(33/100,9)</f>
        <v>0.33</v>
      </c>
      <c r="J43">
        <v>0</v>
      </c>
      <c r="O43">
        <f t="shared" si="14"/>
        <v>4025.8</v>
      </c>
      <c r="P43">
        <f t="shared" si="15"/>
        <v>0.8</v>
      </c>
      <c r="Q43">
        <f t="shared" si="16"/>
        <v>98.75</v>
      </c>
      <c r="R43">
        <f t="shared" si="17"/>
        <v>19.21</v>
      </c>
      <c r="S43">
        <f t="shared" si="18"/>
        <v>3926.25</v>
      </c>
      <c r="T43">
        <f t="shared" si="19"/>
        <v>0</v>
      </c>
      <c r="U43">
        <f t="shared" si="20"/>
        <v>63.175364999999999</v>
      </c>
      <c r="V43">
        <f t="shared" si="21"/>
        <v>0.23924999999999999</v>
      </c>
      <c r="W43">
        <f t="shared" si="22"/>
        <v>0</v>
      </c>
      <c r="X43">
        <f t="shared" si="23"/>
        <v>3748.19</v>
      </c>
      <c r="Y43">
        <f t="shared" si="24"/>
        <v>1854.37</v>
      </c>
      <c r="AA43">
        <v>16878660</v>
      </c>
      <c r="AB43">
        <f t="shared" si="25"/>
        <v>1801.9784999999999</v>
      </c>
      <c r="AC43">
        <f t="shared" si="26"/>
        <v>0.36</v>
      </c>
      <c r="AD43">
        <f>ROUND(((((ET43*1.25))-((EU43*1.25)))+AE43),6)</f>
        <v>44.2</v>
      </c>
      <c r="AE43">
        <f>ROUND(((EU43*1.25)),6)</f>
        <v>8.6</v>
      </c>
      <c r="AF43">
        <f>ROUND(((EV43*1.15)),6)</f>
        <v>1757.4185</v>
      </c>
      <c r="AG43">
        <f t="shared" si="29"/>
        <v>0</v>
      </c>
      <c r="AH43">
        <f>((EW43*1.15))</f>
        <v>191.44049999999999</v>
      </c>
      <c r="AI43">
        <f>((EX43*1.25))</f>
        <v>0.72499999999999998</v>
      </c>
      <c r="AJ43">
        <f t="shared" si="31"/>
        <v>0</v>
      </c>
      <c r="AK43">
        <v>1563.91</v>
      </c>
      <c r="AL43">
        <v>0.36</v>
      </c>
      <c r="AM43">
        <v>35.36</v>
      </c>
      <c r="AN43">
        <v>6.88</v>
      </c>
      <c r="AO43">
        <v>1528.19</v>
      </c>
      <c r="AP43">
        <v>0</v>
      </c>
      <c r="AQ43">
        <v>166.47</v>
      </c>
      <c r="AR43">
        <v>0.57999999999999996</v>
      </c>
      <c r="AS43">
        <v>0</v>
      </c>
      <c r="AT43">
        <v>95</v>
      </c>
      <c r="AU43">
        <v>47</v>
      </c>
      <c r="AV43">
        <v>1</v>
      </c>
      <c r="AW43">
        <v>1</v>
      </c>
      <c r="AZ43">
        <v>6.77</v>
      </c>
      <c r="BA43">
        <v>6.77</v>
      </c>
      <c r="BB43">
        <v>6.77</v>
      </c>
      <c r="BC43">
        <v>6.77</v>
      </c>
      <c r="BD43" t="s">
        <v>6</v>
      </c>
      <c r="BE43" t="s">
        <v>6</v>
      </c>
      <c r="BF43" t="s">
        <v>6</v>
      </c>
      <c r="BG43" t="s">
        <v>6</v>
      </c>
      <c r="BH43">
        <v>0</v>
      </c>
      <c r="BI43">
        <v>1</v>
      </c>
      <c r="BJ43" t="s">
        <v>73</v>
      </c>
      <c r="BM43">
        <v>15001</v>
      </c>
      <c r="BN43">
        <v>0</v>
      </c>
      <c r="BO43" t="s">
        <v>6</v>
      </c>
      <c r="BP43">
        <v>0</v>
      </c>
      <c r="BQ43">
        <v>2</v>
      </c>
      <c r="BR43">
        <v>0</v>
      </c>
      <c r="BS43">
        <v>6.77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105</v>
      </c>
      <c r="CA43">
        <v>55</v>
      </c>
      <c r="CE43">
        <v>0</v>
      </c>
      <c r="CF43">
        <v>0</v>
      </c>
      <c r="CG43">
        <v>0</v>
      </c>
      <c r="CM43">
        <v>0</v>
      </c>
      <c r="CN43" t="s">
        <v>325</v>
      </c>
      <c r="CO43">
        <v>0</v>
      </c>
      <c r="CP43">
        <f t="shared" si="32"/>
        <v>4025.8</v>
      </c>
      <c r="CQ43">
        <f t="shared" si="33"/>
        <v>2.4371999999999998</v>
      </c>
      <c r="CR43">
        <f t="shared" si="34"/>
        <v>299.23399999999998</v>
      </c>
      <c r="CS43">
        <f t="shared" si="35"/>
        <v>58.221999999999994</v>
      </c>
      <c r="CT43">
        <f t="shared" si="36"/>
        <v>11897.723244999999</v>
      </c>
      <c r="CU43">
        <f t="shared" si="37"/>
        <v>0</v>
      </c>
      <c r="CV43">
        <f t="shared" si="38"/>
        <v>191.44049999999999</v>
      </c>
      <c r="CW43">
        <f t="shared" si="39"/>
        <v>0.72499999999999998</v>
      </c>
      <c r="CX43">
        <f t="shared" si="40"/>
        <v>0</v>
      </c>
      <c r="CY43">
        <f t="shared" si="41"/>
        <v>3748.1869999999999</v>
      </c>
      <c r="CZ43">
        <f t="shared" si="42"/>
        <v>1854.3661999999999</v>
      </c>
      <c r="DC43" t="s">
        <v>6</v>
      </c>
      <c r="DD43" t="s">
        <v>6</v>
      </c>
      <c r="DE43" t="s">
        <v>41</v>
      </c>
      <c r="DF43" t="s">
        <v>41</v>
      </c>
      <c r="DG43" t="s">
        <v>42</v>
      </c>
      <c r="DH43" t="s">
        <v>6</v>
      </c>
      <c r="DI43" t="s">
        <v>42</v>
      </c>
      <c r="DJ43" t="s">
        <v>41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16</v>
      </c>
      <c r="DW43" t="s">
        <v>16</v>
      </c>
      <c r="DX43">
        <v>100</v>
      </c>
      <c r="EE43">
        <v>16510513</v>
      </c>
      <c r="EF43">
        <v>2</v>
      </c>
      <c r="EG43" t="s">
        <v>18</v>
      </c>
      <c r="EH43">
        <v>0</v>
      </c>
      <c r="EI43" t="s">
        <v>6</v>
      </c>
      <c r="EJ43">
        <v>1</v>
      </c>
      <c r="EK43">
        <v>15001</v>
      </c>
      <c r="EL43" t="s">
        <v>74</v>
      </c>
      <c r="EM43" t="s">
        <v>75</v>
      </c>
      <c r="EO43" t="s">
        <v>45</v>
      </c>
      <c r="EQ43">
        <v>0</v>
      </c>
      <c r="ER43">
        <v>1563.91</v>
      </c>
      <c r="ES43">
        <v>0.36</v>
      </c>
      <c r="ET43">
        <v>35.36</v>
      </c>
      <c r="EU43">
        <v>6.88</v>
      </c>
      <c r="EV43">
        <v>1528.19</v>
      </c>
      <c r="EW43">
        <v>166.47</v>
      </c>
      <c r="EX43">
        <v>0.57999999999999996</v>
      </c>
      <c r="EY43">
        <v>0</v>
      </c>
      <c r="FQ43">
        <v>0</v>
      </c>
      <c r="FR43">
        <f t="shared" si="43"/>
        <v>0</v>
      </c>
      <c r="FS43">
        <v>0</v>
      </c>
      <c r="FT43" t="s">
        <v>21</v>
      </c>
      <c r="FU43" t="s">
        <v>22</v>
      </c>
      <c r="FX43">
        <v>94.5</v>
      </c>
      <c r="FY43">
        <v>46.75</v>
      </c>
      <c r="GA43" t="s">
        <v>6</v>
      </c>
      <c r="GD43">
        <v>1</v>
      </c>
      <c r="GF43">
        <v>251333065</v>
      </c>
      <c r="GG43">
        <v>1</v>
      </c>
      <c r="GH43">
        <v>1</v>
      </c>
      <c r="GI43">
        <v>4</v>
      </c>
      <c r="GJ43">
        <v>0</v>
      </c>
      <c r="GK43">
        <v>0</v>
      </c>
      <c r="GL43">
        <f t="shared" si="44"/>
        <v>0</v>
      </c>
      <c r="GM43">
        <f t="shared" si="45"/>
        <v>9628.36</v>
      </c>
      <c r="GN43">
        <f t="shared" si="46"/>
        <v>9628.36</v>
      </c>
      <c r="GO43">
        <f t="shared" si="47"/>
        <v>0</v>
      </c>
      <c r="GP43">
        <f t="shared" si="48"/>
        <v>0</v>
      </c>
      <c r="GR43">
        <v>0</v>
      </c>
      <c r="GS43">
        <v>3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HC43">
        <f t="shared" si="51"/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73</v>
      </c>
      <c r="D44" s="2"/>
      <c r="E44" s="2" t="s">
        <v>76</v>
      </c>
      <c r="F44" s="2" t="s">
        <v>77</v>
      </c>
      <c r="G44" s="2" t="s">
        <v>78</v>
      </c>
      <c r="H44" s="2" t="s">
        <v>49</v>
      </c>
      <c r="I44" s="2">
        <f>I42*J44</f>
        <v>34.65</v>
      </c>
      <c r="J44" s="2">
        <v>104.99999999999999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16878659</v>
      </c>
      <c r="AB44" s="2">
        <f t="shared" si="25"/>
        <v>0</v>
      </c>
      <c r="AC44" s="2">
        <f t="shared" si="26"/>
        <v>0</v>
      </c>
      <c r="AD44" s="2">
        <f t="shared" ref="AD44:AD55" si="54">ROUND((((ET44)-(EU44))+AE44),6)</f>
        <v>0</v>
      </c>
      <c r="AE44" s="2">
        <f t="shared" ref="AE44:AE55" si="55">ROUND((EU44),6)</f>
        <v>0</v>
      </c>
      <c r="AF44" s="2">
        <f t="shared" ref="AF44:AF55" si="56">ROUND((EV44),6)</f>
        <v>0</v>
      </c>
      <c r="AG44" s="2">
        <f t="shared" si="29"/>
        <v>0</v>
      </c>
      <c r="AH44" s="2">
        <f t="shared" ref="AH44:AH55" si="57">(EW44)</f>
        <v>0</v>
      </c>
      <c r="AI44" s="2">
        <f t="shared" ref="AI44:AI55" si="58">(EX44)</f>
        <v>0</v>
      </c>
      <c r="AJ44" s="2">
        <f t="shared" si="31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95</v>
      </c>
      <c r="AU44" s="2">
        <v>47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15001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105</v>
      </c>
      <c r="CA44" s="2">
        <v>55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0</v>
      </c>
      <c r="CQ44" s="2">
        <f t="shared" si="33"/>
        <v>0</v>
      </c>
      <c r="CR44" s="2">
        <f t="shared" si="34"/>
        <v>0</v>
      </c>
      <c r="CS44" s="2">
        <f t="shared" si="35"/>
        <v>0</v>
      </c>
      <c r="CT44" s="2">
        <f t="shared" si="36"/>
        <v>0</v>
      </c>
      <c r="CU44" s="2">
        <f t="shared" si="37"/>
        <v>0</v>
      </c>
      <c r="CV44" s="2">
        <f t="shared" si="38"/>
        <v>0</v>
      </c>
      <c r="CW44" s="2">
        <f t="shared" si="39"/>
        <v>0</v>
      </c>
      <c r="CX44" s="2">
        <f t="shared" si="40"/>
        <v>0</v>
      </c>
      <c r="CY44" s="2">
        <f t="shared" si="41"/>
        <v>0</v>
      </c>
      <c r="CZ44" s="2">
        <f t="shared" si="42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1005</v>
      </c>
      <c r="DV44" s="2" t="s">
        <v>49</v>
      </c>
      <c r="DW44" s="2" t="s">
        <v>49</v>
      </c>
      <c r="DX44" s="2">
        <v>1</v>
      </c>
      <c r="DY44" s="2"/>
      <c r="DZ44" s="2"/>
      <c r="EA44" s="2"/>
      <c r="EB44" s="2"/>
      <c r="EC44" s="2"/>
      <c r="ED44" s="2"/>
      <c r="EE44" s="2">
        <v>16510513</v>
      </c>
      <c r="EF44" s="2">
        <v>2</v>
      </c>
      <c r="EG44" s="2" t="s">
        <v>18</v>
      </c>
      <c r="EH44" s="2">
        <v>0</v>
      </c>
      <c r="EI44" s="2" t="s">
        <v>6</v>
      </c>
      <c r="EJ44" s="2">
        <v>1</v>
      </c>
      <c r="EK44" s="2">
        <v>15001</v>
      </c>
      <c r="EL44" s="2" t="s">
        <v>74</v>
      </c>
      <c r="EM44" s="2" t="s">
        <v>75</v>
      </c>
      <c r="EN44" s="2"/>
      <c r="EO44" s="2" t="s">
        <v>6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 t="s">
        <v>21</v>
      </c>
      <c r="FU44" s="2" t="s">
        <v>22</v>
      </c>
      <c r="FV44" s="2"/>
      <c r="FW44" s="2"/>
      <c r="FX44" s="2">
        <v>94.5</v>
      </c>
      <c r="FY44" s="2">
        <v>46.75</v>
      </c>
      <c r="FZ44" s="2"/>
      <c r="GA44" s="2" t="s">
        <v>6</v>
      </c>
      <c r="GB44" s="2"/>
      <c r="GC44" s="2"/>
      <c r="GD44" s="2">
        <v>1</v>
      </c>
      <c r="GE44" s="2"/>
      <c r="GF44" s="2">
        <v>-112006704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4"/>
        <v>0</v>
      </c>
      <c r="GM44" s="2">
        <f t="shared" si="45"/>
        <v>0</v>
      </c>
      <c r="GN44" s="2">
        <f t="shared" si="46"/>
        <v>0</v>
      </c>
      <c r="GO44" s="2">
        <f t="shared" si="47"/>
        <v>0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>
        <f t="shared" si="51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84</v>
      </c>
      <c r="E45" t="s">
        <v>76</v>
      </c>
      <c r="F45" t="s">
        <v>77</v>
      </c>
      <c r="G45" t="s">
        <v>78</v>
      </c>
      <c r="H45" t="s">
        <v>49</v>
      </c>
      <c r="I45">
        <f>I43*J45</f>
        <v>34.65</v>
      </c>
      <c r="J45">
        <v>104.99999999999999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16878660</v>
      </c>
      <c r="AB45">
        <f t="shared" si="25"/>
        <v>0</v>
      </c>
      <c r="AC45">
        <f t="shared" si="26"/>
        <v>0</v>
      </c>
      <c r="AD45">
        <f t="shared" si="54"/>
        <v>0</v>
      </c>
      <c r="AE45">
        <f t="shared" si="55"/>
        <v>0</v>
      </c>
      <c r="AF45">
        <f t="shared" si="56"/>
        <v>0</v>
      </c>
      <c r="AG45">
        <f t="shared" si="29"/>
        <v>0</v>
      </c>
      <c r="AH45">
        <f t="shared" si="57"/>
        <v>0</v>
      </c>
      <c r="AI45">
        <f t="shared" si="58"/>
        <v>0</v>
      </c>
      <c r="AJ45">
        <f t="shared" si="31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95</v>
      </c>
      <c r="AU45">
        <v>47</v>
      </c>
      <c r="AV45">
        <v>1</v>
      </c>
      <c r="AW45">
        <v>1</v>
      </c>
      <c r="AZ45">
        <v>6.77</v>
      </c>
      <c r="BA45">
        <v>1</v>
      </c>
      <c r="BB45">
        <v>1</v>
      </c>
      <c r="BC45">
        <v>6.77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15001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105</v>
      </c>
      <c r="CA45">
        <v>55</v>
      </c>
      <c r="CE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0</v>
      </c>
      <c r="CQ45">
        <f t="shared" si="33"/>
        <v>0</v>
      </c>
      <c r="CR45">
        <f t="shared" si="34"/>
        <v>0</v>
      </c>
      <c r="CS45">
        <f t="shared" si="35"/>
        <v>0</v>
      </c>
      <c r="CT45">
        <f t="shared" si="36"/>
        <v>0</v>
      </c>
      <c r="CU45">
        <f t="shared" si="37"/>
        <v>0</v>
      </c>
      <c r="CV45">
        <f t="shared" si="38"/>
        <v>0</v>
      </c>
      <c r="CW45">
        <f t="shared" si="39"/>
        <v>0</v>
      </c>
      <c r="CX45">
        <f t="shared" si="40"/>
        <v>0</v>
      </c>
      <c r="CY45">
        <f t="shared" si="41"/>
        <v>0</v>
      </c>
      <c r="CZ45">
        <f t="shared" si="42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1005</v>
      </c>
      <c r="DV45" t="s">
        <v>49</v>
      </c>
      <c r="DW45" t="s">
        <v>49</v>
      </c>
      <c r="DX45">
        <v>1</v>
      </c>
      <c r="EE45">
        <v>16510513</v>
      </c>
      <c r="EF45">
        <v>2</v>
      </c>
      <c r="EG45" t="s">
        <v>18</v>
      </c>
      <c r="EH45">
        <v>0</v>
      </c>
      <c r="EI45" t="s">
        <v>6</v>
      </c>
      <c r="EJ45">
        <v>1</v>
      </c>
      <c r="EK45">
        <v>15001</v>
      </c>
      <c r="EL45" t="s">
        <v>74</v>
      </c>
      <c r="EM45" t="s">
        <v>75</v>
      </c>
      <c r="EO45" t="s">
        <v>6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3"/>
        <v>0</v>
      </c>
      <c r="FS45">
        <v>0</v>
      </c>
      <c r="FT45" t="s">
        <v>21</v>
      </c>
      <c r="FU45" t="s">
        <v>22</v>
      </c>
      <c r="FX45">
        <v>94.5</v>
      </c>
      <c r="FY45">
        <v>46.75</v>
      </c>
      <c r="GA45" t="s">
        <v>6</v>
      </c>
      <c r="GD45">
        <v>1</v>
      </c>
      <c r="GF45">
        <v>-112006704</v>
      </c>
      <c r="GG45">
        <v>1</v>
      </c>
      <c r="GH45">
        <v>1</v>
      </c>
      <c r="GI45">
        <v>4</v>
      </c>
      <c r="GJ45">
        <v>0</v>
      </c>
      <c r="GK45">
        <v>0</v>
      </c>
      <c r="GL45">
        <f t="shared" si="44"/>
        <v>0</v>
      </c>
      <c r="GM45">
        <f t="shared" si="45"/>
        <v>0</v>
      </c>
      <c r="GN45">
        <f t="shared" si="46"/>
        <v>0</v>
      </c>
      <c r="GO45">
        <f t="shared" si="47"/>
        <v>0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</v>
      </c>
      <c r="GX45">
        <f t="shared" si="50"/>
        <v>0</v>
      </c>
      <c r="HA45">
        <v>0</v>
      </c>
      <c r="HB45">
        <v>0</v>
      </c>
      <c r="HC45">
        <f t="shared" si="51"/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75</v>
      </c>
      <c r="D46" s="2"/>
      <c r="E46" s="2" t="s">
        <v>79</v>
      </c>
      <c r="F46" s="2" t="s">
        <v>80</v>
      </c>
      <c r="G46" s="2" t="s">
        <v>81</v>
      </c>
      <c r="H46" s="2" t="s">
        <v>49</v>
      </c>
      <c r="I46" s="2">
        <f>I42*J46</f>
        <v>34.65</v>
      </c>
      <c r="J46" s="2">
        <v>104.99999999999999</v>
      </c>
      <c r="K46" s="2"/>
      <c r="L46" s="2"/>
      <c r="M46" s="2"/>
      <c r="N46" s="2"/>
      <c r="O46" s="2">
        <f t="shared" si="14"/>
        <v>2049.89</v>
      </c>
      <c r="P46" s="2">
        <f t="shared" si="15"/>
        <v>2049.89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16878659</v>
      </c>
      <c r="AB46" s="2">
        <f t="shared" si="25"/>
        <v>59.16</v>
      </c>
      <c r="AC46" s="2">
        <f t="shared" si="26"/>
        <v>59.16</v>
      </c>
      <c r="AD46" s="2">
        <f t="shared" si="54"/>
        <v>0</v>
      </c>
      <c r="AE46" s="2">
        <f t="shared" si="55"/>
        <v>0</v>
      </c>
      <c r="AF46" s="2">
        <f t="shared" si="56"/>
        <v>0</v>
      </c>
      <c r="AG46" s="2">
        <f t="shared" si="29"/>
        <v>0</v>
      </c>
      <c r="AH46" s="2">
        <f t="shared" si="57"/>
        <v>0</v>
      </c>
      <c r="AI46" s="2">
        <f t="shared" si="58"/>
        <v>0</v>
      </c>
      <c r="AJ46" s="2">
        <f t="shared" si="31"/>
        <v>0</v>
      </c>
      <c r="AK46" s="2">
        <v>59.16</v>
      </c>
      <c r="AL46" s="2">
        <v>59.16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95</v>
      </c>
      <c r="AU46" s="2">
        <v>47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82</v>
      </c>
      <c r="BK46" s="2"/>
      <c r="BL46" s="2"/>
      <c r="BM46" s="2">
        <v>15001</v>
      </c>
      <c r="BN46" s="2">
        <v>0</v>
      </c>
      <c r="BO46" s="2" t="s">
        <v>6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105</v>
      </c>
      <c r="CA46" s="2">
        <v>55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2049.89</v>
      </c>
      <c r="CQ46" s="2">
        <f t="shared" si="33"/>
        <v>59.16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49</v>
      </c>
      <c r="DW46" s="2" t="s">
        <v>49</v>
      </c>
      <c r="DX46" s="2">
        <v>1</v>
      </c>
      <c r="DY46" s="2"/>
      <c r="DZ46" s="2"/>
      <c r="EA46" s="2"/>
      <c r="EB46" s="2"/>
      <c r="EC46" s="2"/>
      <c r="ED46" s="2"/>
      <c r="EE46" s="2">
        <v>16510513</v>
      </c>
      <c r="EF46" s="2">
        <v>2</v>
      </c>
      <c r="EG46" s="2" t="s">
        <v>18</v>
      </c>
      <c r="EH46" s="2">
        <v>0</v>
      </c>
      <c r="EI46" s="2" t="s">
        <v>6</v>
      </c>
      <c r="EJ46" s="2">
        <v>1</v>
      </c>
      <c r="EK46" s="2">
        <v>15001</v>
      </c>
      <c r="EL46" s="2" t="s">
        <v>74</v>
      </c>
      <c r="EM46" s="2" t="s">
        <v>75</v>
      </c>
      <c r="EN46" s="2"/>
      <c r="EO46" s="2" t="s">
        <v>6</v>
      </c>
      <c r="EP46" s="2"/>
      <c r="EQ46" s="2">
        <v>0</v>
      </c>
      <c r="ER46" s="2">
        <v>59.16</v>
      </c>
      <c r="ES46" s="2">
        <v>59.16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 t="s">
        <v>21</v>
      </c>
      <c r="FU46" s="2" t="s">
        <v>22</v>
      </c>
      <c r="FV46" s="2"/>
      <c r="FW46" s="2"/>
      <c r="FX46" s="2">
        <v>94.5</v>
      </c>
      <c r="FY46" s="2">
        <v>46.75</v>
      </c>
      <c r="FZ46" s="2"/>
      <c r="GA46" s="2" t="s">
        <v>6</v>
      </c>
      <c r="GB46" s="2"/>
      <c r="GC46" s="2"/>
      <c r="GD46" s="2">
        <v>1</v>
      </c>
      <c r="GE46" s="2"/>
      <c r="GF46" s="2">
        <v>-724546537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4"/>
        <v>0</v>
      </c>
      <c r="GM46" s="2">
        <f t="shared" si="45"/>
        <v>2049.89</v>
      </c>
      <c r="GN46" s="2">
        <f t="shared" si="46"/>
        <v>2049.89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>
        <f t="shared" si="51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86</v>
      </c>
      <c r="E47" t="s">
        <v>79</v>
      </c>
      <c r="F47" t="s">
        <v>80</v>
      </c>
      <c r="G47" t="s">
        <v>81</v>
      </c>
      <c r="H47" t="s">
        <v>49</v>
      </c>
      <c r="I47">
        <f>I43*J47</f>
        <v>34.65</v>
      </c>
      <c r="J47">
        <v>104.99999999999999</v>
      </c>
      <c r="O47">
        <f t="shared" si="14"/>
        <v>13877.78</v>
      </c>
      <c r="P47">
        <f t="shared" si="15"/>
        <v>13877.78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16878660</v>
      </c>
      <c r="AB47">
        <f t="shared" si="25"/>
        <v>59.16</v>
      </c>
      <c r="AC47">
        <f t="shared" si="26"/>
        <v>59.16</v>
      </c>
      <c r="AD47">
        <f t="shared" si="54"/>
        <v>0</v>
      </c>
      <c r="AE47">
        <f t="shared" si="55"/>
        <v>0</v>
      </c>
      <c r="AF47">
        <f t="shared" si="56"/>
        <v>0</v>
      </c>
      <c r="AG47">
        <f t="shared" si="29"/>
        <v>0</v>
      </c>
      <c r="AH47">
        <f t="shared" si="57"/>
        <v>0</v>
      </c>
      <c r="AI47">
        <f t="shared" si="58"/>
        <v>0</v>
      </c>
      <c r="AJ47">
        <f t="shared" si="31"/>
        <v>0</v>
      </c>
      <c r="AK47">
        <v>59.16</v>
      </c>
      <c r="AL47">
        <v>59.16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95</v>
      </c>
      <c r="AU47">
        <v>47</v>
      </c>
      <c r="AV47">
        <v>1</v>
      </c>
      <c r="AW47">
        <v>1</v>
      </c>
      <c r="AZ47">
        <v>6.77</v>
      </c>
      <c r="BA47">
        <v>1</v>
      </c>
      <c r="BB47">
        <v>1</v>
      </c>
      <c r="BC47">
        <v>6.77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82</v>
      </c>
      <c r="BM47">
        <v>15001</v>
      </c>
      <c r="BN47">
        <v>0</v>
      </c>
      <c r="BO47" t="s">
        <v>6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105</v>
      </c>
      <c r="CA47">
        <v>55</v>
      </c>
      <c r="CE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13877.78</v>
      </c>
      <c r="CQ47">
        <f t="shared" si="33"/>
        <v>400.51319999999993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49</v>
      </c>
      <c r="DW47" t="s">
        <v>49</v>
      </c>
      <c r="DX47">
        <v>1</v>
      </c>
      <c r="EE47">
        <v>16510513</v>
      </c>
      <c r="EF47">
        <v>2</v>
      </c>
      <c r="EG47" t="s">
        <v>18</v>
      </c>
      <c r="EH47">
        <v>0</v>
      </c>
      <c r="EI47" t="s">
        <v>6</v>
      </c>
      <c r="EJ47">
        <v>1</v>
      </c>
      <c r="EK47">
        <v>15001</v>
      </c>
      <c r="EL47" t="s">
        <v>74</v>
      </c>
      <c r="EM47" t="s">
        <v>75</v>
      </c>
      <c r="EO47" t="s">
        <v>6</v>
      </c>
      <c r="EQ47">
        <v>0</v>
      </c>
      <c r="ER47">
        <v>59.16</v>
      </c>
      <c r="ES47">
        <v>59.16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3"/>
        <v>0</v>
      </c>
      <c r="FS47">
        <v>0</v>
      </c>
      <c r="FT47" t="s">
        <v>21</v>
      </c>
      <c r="FU47" t="s">
        <v>22</v>
      </c>
      <c r="FX47">
        <v>94.5</v>
      </c>
      <c r="FY47">
        <v>46.75</v>
      </c>
      <c r="GA47" t="s">
        <v>6</v>
      </c>
      <c r="GD47">
        <v>1</v>
      </c>
      <c r="GF47">
        <v>-724546537</v>
      </c>
      <c r="GG47">
        <v>1</v>
      </c>
      <c r="GH47">
        <v>1</v>
      </c>
      <c r="GI47">
        <v>4</v>
      </c>
      <c r="GJ47">
        <v>0</v>
      </c>
      <c r="GK47">
        <v>0</v>
      </c>
      <c r="GL47">
        <f t="shared" si="44"/>
        <v>0</v>
      </c>
      <c r="GM47">
        <f t="shared" si="45"/>
        <v>13877.78</v>
      </c>
      <c r="GN47">
        <f t="shared" si="46"/>
        <v>13877.78</v>
      </c>
      <c r="GO47">
        <f t="shared" si="47"/>
        <v>0</v>
      </c>
      <c r="GP47">
        <f t="shared" si="48"/>
        <v>0</v>
      </c>
      <c r="GR47">
        <v>0</v>
      </c>
      <c r="GS47">
        <v>3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HC47">
        <f t="shared" si="51"/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77</v>
      </c>
      <c r="D48" s="2"/>
      <c r="E48" s="2" t="s">
        <v>83</v>
      </c>
      <c r="F48" s="2" t="s">
        <v>84</v>
      </c>
      <c r="G48" s="2" t="s">
        <v>85</v>
      </c>
      <c r="H48" s="2" t="s">
        <v>86</v>
      </c>
      <c r="I48" s="2">
        <f>I42*J48</f>
        <v>9.9</v>
      </c>
      <c r="J48" s="2">
        <v>30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16878659</v>
      </c>
      <c r="AB48" s="2">
        <f t="shared" si="25"/>
        <v>0</v>
      </c>
      <c r="AC48" s="2">
        <f t="shared" si="26"/>
        <v>0</v>
      </c>
      <c r="AD48" s="2">
        <f t="shared" si="54"/>
        <v>0</v>
      </c>
      <c r="AE48" s="2">
        <f t="shared" si="55"/>
        <v>0</v>
      </c>
      <c r="AF48" s="2">
        <f t="shared" si="56"/>
        <v>0</v>
      </c>
      <c r="AG48" s="2">
        <f t="shared" si="29"/>
        <v>0</v>
      </c>
      <c r="AH48" s="2">
        <f t="shared" si="57"/>
        <v>0</v>
      </c>
      <c r="AI48" s="2">
        <f t="shared" si="58"/>
        <v>0</v>
      </c>
      <c r="AJ48" s="2">
        <f t="shared" si="31"/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95</v>
      </c>
      <c r="AU48" s="2">
        <v>47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15001</v>
      </c>
      <c r="BN48" s="2">
        <v>0</v>
      </c>
      <c r="BO48" s="2" t="s">
        <v>6</v>
      </c>
      <c r="BP48" s="2">
        <v>0</v>
      </c>
      <c r="BQ48" s="2">
        <v>2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105</v>
      </c>
      <c r="CA48" s="2">
        <v>55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0</v>
      </c>
      <c r="CQ48" s="2">
        <f t="shared" si="33"/>
        <v>0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86</v>
      </c>
      <c r="DW48" s="2" t="s">
        <v>86</v>
      </c>
      <c r="DX48" s="2">
        <v>1</v>
      </c>
      <c r="DY48" s="2"/>
      <c r="DZ48" s="2"/>
      <c r="EA48" s="2"/>
      <c r="EB48" s="2"/>
      <c r="EC48" s="2"/>
      <c r="ED48" s="2"/>
      <c r="EE48" s="2">
        <v>16510513</v>
      </c>
      <c r="EF48" s="2">
        <v>2</v>
      </c>
      <c r="EG48" s="2" t="s">
        <v>18</v>
      </c>
      <c r="EH48" s="2">
        <v>0</v>
      </c>
      <c r="EI48" s="2" t="s">
        <v>6</v>
      </c>
      <c r="EJ48" s="2">
        <v>1</v>
      </c>
      <c r="EK48" s="2">
        <v>15001</v>
      </c>
      <c r="EL48" s="2" t="s">
        <v>74</v>
      </c>
      <c r="EM48" s="2" t="s">
        <v>75</v>
      </c>
      <c r="EN48" s="2"/>
      <c r="EO48" s="2" t="s">
        <v>6</v>
      </c>
      <c r="EP48" s="2"/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 t="s">
        <v>21</v>
      </c>
      <c r="FU48" s="2" t="s">
        <v>22</v>
      </c>
      <c r="FV48" s="2"/>
      <c r="FW48" s="2"/>
      <c r="FX48" s="2">
        <v>94.5</v>
      </c>
      <c r="FY48" s="2">
        <v>46.75</v>
      </c>
      <c r="FZ48" s="2"/>
      <c r="GA48" s="2" t="s">
        <v>6</v>
      </c>
      <c r="GB48" s="2"/>
      <c r="GC48" s="2"/>
      <c r="GD48" s="2">
        <v>1</v>
      </c>
      <c r="GE48" s="2"/>
      <c r="GF48" s="2">
        <v>-1516100259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4"/>
        <v>0</v>
      </c>
      <c r="GM48" s="2">
        <f t="shared" si="45"/>
        <v>0</v>
      </c>
      <c r="GN48" s="2">
        <f t="shared" si="46"/>
        <v>0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>
        <f t="shared" si="51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88</v>
      </c>
      <c r="E49" t="s">
        <v>83</v>
      </c>
      <c r="F49" t="s">
        <v>84</v>
      </c>
      <c r="G49" t="s">
        <v>85</v>
      </c>
      <c r="H49" t="s">
        <v>86</v>
      </c>
      <c r="I49">
        <f>I43*J49</f>
        <v>9.9</v>
      </c>
      <c r="J49">
        <v>30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16878660</v>
      </c>
      <c r="AB49">
        <f t="shared" si="25"/>
        <v>0</v>
      </c>
      <c r="AC49">
        <f t="shared" si="26"/>
        <v>0</v>
      </c>
      <c r="AD49">
        <f t="shared" si="54"/>
        <v>0</v>
      </c>
      <c r="AE49">
        <f t="shared" si="55"/>
        <v>0</v>
      </c>
      <c r="AF49">
        <f t="shared" si="56"/>
        <v>0</v>
      </c>
      <c r="AG49">
        <f t="shared" si="29"/>
        <v>0</v>
      </c>
      <c r="AH49">
        <f t="shared" si="57"/>
        <v>0</v>
      </c>
      <c r="AI49">
        <f t="shared" si="58"/>
        <v>0</v>
      </c>
      <c r="AJ49">
        <f t="shared" si="31"/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95</v>
      </c>
      <c r="AU49">
        <v>47</v>
      </c>
      <c r="AV49">
        <v>1</v>
      </c>
      <c r="AW49">
        <v>1</v>
      </c>
      <c r="AZ49">
        <v>6.77</v>
      </c>
      <c r="BA49">
        <v>1</v>
      </c>
      <c r="BB49">
        <v>1</v>
      </c>
      <c r="BC49">
        <v>6.77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15001</v>
      </c>
      <c r="BN49">
        <v>0</v>
      </c>
      <c r="BO49" t="s">
        <v>6</v>
      </c>
      <c r="BP49">
        <v>0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105</v>
      </c>
      <c r="CA49">
        <v>55</v>
      </c>
      <c r="CE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0</v>
      </c>
      <c r="CQ49">
        <f t="shared" si="33"/>
        <v>0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86</v>
      </c>
      <c r="DW49" t="s">
        <v>86</v>
      </c>
      <c r="DX49">
        <v>1</v>
      </c>
      <c r="EE49">
        <v>16510513</v>
      </c>
      <c r="EF49">
        <v>2</v>
      </c>
      <c r="EG49" t="s">
        <v>18</v>
      </c>
      <c r="EH49">
        <v>0</v>
      </c>
      <c r="EI49" t="s">
        <v>6</v>
      </c>
      <c r="EJ49">
        <v>1</v>
      </c>
      <c r="EK49">
        <v>15001</v>
      </c>
      <c r="EL49" t="s">
        <v>74</v>
      </c>
      <c r="EM49" t="s">
        <v>75</v>
      </c>
      <c r="EO49" t="s">
        <v>6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T49" t="s">
        <v>21</v>
      </c>
      <c r="FU49" t="s">
        <v>22</v>
      </c>
      <c r="FX49">
        <v>94.5</v>
      </c>
      <c r="FY49">
        <v>46.75</v>
      </c>
      <c r="GA49" t="s">
        <v>6</v>
      </c>
      <c r="GD49">
        <v>1</v>
      </c>
      <c r="GF49">
        <v>-1516100259</v>
      </c>
      <c r="GG49">
        <v>1</v>
      </c>
      <c r="GH49">
        <v>1</v>
      </c>
      <c r="GI49">
        <v>4</v>
      </c>
      <c r="GJ49">
        <v>0</v>
      </c>
      <c r="GK49">
        <v>0</v>
      </c>
      <c r="GL49">
        <f t="shared" si="44"/>
        <v>0</v>
      </c>
      <c r="GM49">
        <f t="shared" si="45"/>
        <v>0</v>
      </c>
      <c r="GN49">
        <f t="shared" si="46"/>
        <v>0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HC49">
        <f t="shared" si="51"/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76</v>
      </c>
      <c r="D50" s="2"/>
      <c r="E50" s="2" t="s">
        <v>87</v>
      </c>
      <c r="F50" s="2" t="s">
        <v>88</v>
      </c>
      <c r="G50" s="2" t="s">
        <v>89</v>
      </c>
      <c r="H50" s="2" t="s">
        <v>86</v>
      </c>
      <c r="I50" s="2">
        <f>I42*J50</f>
        <v>9.9</v>
      </c>
      <c r="J50" s="2">
        <v>30</v>
      </c>
      <c r="K50" s="2"/>
      <c r="L50" s="2"/>
      <c r="M50" s="2"/>
      <c r="N50" s="2"/>
      <c r="O50" s="2">
        <f t="shared" si="14"/>
        <v>253.04</v>
      </c>
      <c r="P50" s="2">
        <f t="shared" si="15"/>
        <v>253.04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16878659</v>
      </c>
      <c r="AB50" s="2">
        <f t="shared" si="25"/>
        <v>25.56</v>
      </c>
      <c r="AC50" s="2">
        <f t="shared" si="26"/>
        <v>25.56</v>
      </c>
      <c r="AD50" s="2">
        <f t="shared" si="54"/>
        <v>0</v>
      </c>
      <c r="AE50" s="2">
        <f t="shared" si="55"/>
        <v>0</v>
      </c>
      <c r="AF50" s="2">
        <f t="shared" si="56"/>
        <v>0</v>
      </c>
      <c r="AG50" s="2">
        <f t="shared" si="29"/>
        <v>0</v>
      </c>
      <c r="AH50" s="2">
        <f t="shared" si="57"/>
        <v>0</v>
      </c>
      <c r="AI50" s="2">
        <f t="shared" si="58"/>
        <v>0</v>
      </c>
      <c r="AJ50" s="2">
        <f t="shared" si="31"/>
        <v>0</v>
      </c>
      <c r="AK50" s="2">
        <v>25.56</v>
      </c>
      <c r="AL50" s="2">
        <v>25.56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95</v>
      </c>
      <c r="AU50" s="2">
        <v>47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90</v>
      </c>
      <c r="BK50" s="2"/>
      <c r="BL50" s="2"/>
      <c r="BM50" s="2">
        <v>15001</v>
      </c>
      <c r="BN50" s="2">
        <v>0</v>
      </c>
      <c r="BO50" s="2" t="s">
        <v>6</v>
      </c>
      <c r="BP50" s="2">
        <v>0</v>
      </c>
      <c r="BQ50" s="2">
        <v>2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105</v>
      </c>
      <c r="CA50" s="2">
        <v>55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253.04</v>
      </c>
      <c r="CQ50" s="2">
        <f t="shared" si="33"/>
        <v>25.56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86</v>
      </c>
      <c r="DW50" s="2" t="s">
        <v>86</v>
      </c>
      <c r="DX50" s="2">
        <v>1</v>
      </c>
      <c r="DY50" s="2"/>
      <c r="DZ50" s="2"/>
      <c r="EA50" s="2"/>
      <c r="EB50" s="2"/>
      <c r="EC50" s="2"/>
      <c r="ED50" s="2"/>
      <c r="EE50" s="2">
        <v>16510513</v>
      </c>
      <c r="EF50" s="2">
        <v>2</v>
      </c>
      <c r="EG50" s="2" t="s">
        <v>18</v>
      </c>
      <c r="EH50" s="2">
        <v>0</v>
      </c>
      <c r="EI50" s="2" t="s">
        <v>6</v>
      </c>
      <c r="EJ50" s="2">
        <v>1</v>
      </c>
      <c r="EK50" s="2">
        <v>15001</v>
      </c>
      <c r="EL50" s="2" t="s">
        <v>74</v>
      </c>
      <c r="EM50" s="2" t="s">
        <v>75</v>
      </c>
      <c r="EN50" s="2"/>
      <c r="EO50" s="2" t="s">
        <v>6</v>
      </c>
      <c r="EP50" s="2"/>
      <c r="EQ50" s="2">
        <v>0</v>
      </c>
      <c r="ER50" s="2">
        <v>25.56</v>
      </c>
      <c r="ES50" s="2">
        <v>25.56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 t="s">
        <v>21</v>
      </c>
      <c r="FU50" s="2" t="s">
        <v>22</v>
      </c>
      <c r="FV50" s="2"/>
      <c r="FW50" s="2"/>
      <c r="FX50" s="2">
        <v>94.5</v>
      </c>
      <c r="FY50" s="2">
        <v>46.75</v>
      </c>
      <c r="FZ50" s="2"/>
      <c r="GA50" s="2" t="s">
        <v>6</v>
      </c>
      <c r="GB50" s="2"/>
      <c r="GC50" s="2"/>
      <c r="GD50" s="2">
        <v>1</v>
      </c>
      <c r="GE50" s="2"/>
      <c r="GF50" s="2">
        <v>-89726692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4"/>
        <v>0</v>
      </c>
      <c r="GM50" s="2">
        <f t="shared" si="45"/>
        <v>253.04</v>
      </c>
      <c r="GN50" s="2">
        <f t="shared" si="46"/>
        <v>253.04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>
        <f t="shared" si="51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87</v>
      </c>
      <c r="E51" t="s">
        <v>87</v>
      </c>
      <c r="F51" t="s">
        <v>88</v>
      </c>
      <c r="G51" t="s">
        <v>89</v>
      </c>
      <c r="H51" t="s">
        <v>86</v>
      </c>
      <c r="I51">
        <f>I43*J51</f>
        <v>9.9</v>
      </c>
      <c r="J51">
        <v>30</v>
      </c>
      <c r="O51">
        <f t="shared" si="14"/>
        <v>1713.11</v>
      </c>
      <c r="P51">
        <f t="shared" si="15"/>
        <v>1713.11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16878660</v>
      </c>
      <c r="AB51">
        <f t="shared" si="25"/>
        <v>25.56</v>
      </c>
      <c r="AC51">
        <f t="shared" si="26"/>
        <v>25.56</v>
      </c>
      <c r="AD51">
        <f t="shared" si="54"/>
        <v>0</v>
      </c>
      <c r="AE51">
        <f t="shared" si="55"/>
        <v>0</v>
      </c>
      <c r="AF51">
        <f t="shared" si="56"/>
        <v>0</v>
      </c>
      <c r="AG51">
        <f t="shared" si="29"/>
        <v>0</v>
      </c>
      <c r="AH51">
        <f t="shared" si="57"/>
        <v>0</v>
      </c>
      <c r="AI51">
        <f t="shared" si="58"/>
        <v>0</v>
      </c>
      <c r="AJ51">
        <f t="shared" si="31"/>
        <v>0</v>
      </c>
      <c r="AK51">
        <v>25.56</v>
      </c>
      <c r="AL51">
        <v>25.56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95</v>
      </c>
      <c r="AU51">
        <v>47</v>
      </c>
      <c r="AV51">
        <v>1</v>
      </c>
      <c r="AW51">
        <v>1</v>
      </c>
      <c r="AZ51">
        <v>6.77</v>
      </c>
      <c r="BA51">
        <v>1</v>
      </c>
      <c r="BB51">
        <v>1</v>
      </c>
      <c r="BC51">
        <v>6.77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90</v>
      </c>
      <c r="BM51">
        <v>15001</v>
      </c>
      <c r="BN51">
        <v>0</v>
      </c>
      <c r="BO51" t="s">
        <v>6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105</v>
      </c>
      <c r="CA51">
        <v>55</v>
      </c>
      <c r="CE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1713.11</v>
      </c>
      <c r="CQ51">
        <f t="shared" si="33"/>
        <v>173.04119999999998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86</v>
      </c>
      <c r="DW51" t="s">
        <v>86</v>
      </c>
      <c r="DX51">
        <v>1</v>
      </c>
      <c r="EE51">
        <v>16510513</v>
      </c>
      <c r="EF51">
        <v>2</v>
      </c>
      <c r="EG51" t="s">
        <v>18</v>
      </c>
      <c r="EH51">
        <v>0</v>
      </c>
      <c r="EI51" t="s">
        <v>6</v>
      </c>
      <c r="EJ51">
        <v>1</v>
      </c>
      <c r="EK51">
        <v>15001</v>
      </c>
      <c r="EL51" t="s">
        <v>74</v>
      </c>
      <c r="EM51" t="s">
        <v>75</v>
      </c>
      <c r="EO51" t="s">
        <v>6</v>
      </c>
      <c r="EQ51">
        <v>0</v>
      </c>
      <c r="ER51">
        <v>25.56</v>
      </c>
      <c r="ES51">
        <v>25.56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T51" t="s">
        <v>21</v>
      </c>
      <c r="FU51" t="s">
        <v>22</v>
      </c>
      <c r="FX51">
        <v>94.5</v>
      </c>
      <c r="FY51">
        <v>46.75</v>
      </c>
      <c r="GA51" t="s">
        <v>6</v>
      </c>
      <c r="GD51">
        <v>1</v>
      </c>
      <c r="GF51">
        <v>-89726692</v>
      </c>
      <c r="GG51">
        <v>1</v>
      </c>
      <c r="GH51">
        <v>1</v>
      </c>
      <c r="GI51">
        <v>4</v>
      </c>
      <c r="GJ51">
        <v>0</v>
      </c>
      <c r="GK51">
        <v>0</v>
      </c>
      <c r="GL51">
        <f t="shared" si="44"/>
        <v>0</v>
      </c>
      <c r="GM51">
        <f t="shared" si="45"/>
        <v>1713.11</v>
      </c>
      <c r="GN51">
        <f t="shared" si="46"/>
        <v>1713.11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HC51">
        <f t="shared" si="51"/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78</v>
      </c>
      <c r="D52" s="2"/>
      <c r="E52" s="2" t="s">
        <v>91</v>
      </c>
      <c r="F52" s="2" t="s">
        <v>92</v>
      </c>
      <c r="G52" s="2" t="s">
        <v>93</v>
      </c>
      <c r="H52" s="2" t="s">
        <v>94</v>
      </c>
      <c r="I52" s="2">
        <f>I42*J52</f>
        <v>2.9380000000000001E-3</v>
      </c>
      <c r="J52" s="2">
        <v>8.9030303030303033E-3</v>
      </c>
      <c r="K52" s="2"/>
      <c r="L52" s="2"/>
      <c r="M52" s="2"/>
      <c r="N52" s="2"/>
      <c r="O52" s="2">
        <f t="shared" si="14"/>
        <v>54.03</v>
      </c>
      <c r="P52" s="2">
        <f t="shared" si="15"/>
        <v>54.03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16878659</v>
      </c>
      <c r="AB52" s="2">
        <f t="shared" si="25"/>
        <v>18390.16</v>
      </c>
      <c r="AC52" s="2">
        <f t="shared" si="26"/>
        <v>18390.16</v>
      </c>
      <c r="AD52" s="2">
        <f t="shared" si="54"/>
        <v>0</v>
      </c>
      <c r="AE52" s="2">
        <f t="shared" si="55"/>
        <v>0</v>
      </c>
      <c r="AF52" s="2">
        <f t="shared" si="56"/>
        <v>0</v>
      </c>
      <c r="AG52" s="2">
        <f t="shared" si="29"/>
        <v>0</v>
      </c>
      <c r="AH52" s="2">
        <f t="shared" si="57"/>
        <v>0</v>
      </c>
      <c r="AI52" s="2">
        <f t="shared" si="58"/>
        <v>0</v>
      </c>
      <c r="AJ52" s="2">
        <f t="shared" si="31"/>
        <v>0</v>
      </c>
      <c r="AK52" s="2">
        <v>18390.16</v>
      </c>
      <c r="AL52" s="2">
        <v>18390.16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95</v>
      </c>
      <c r="AU52" s="2">
        <v>47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95</v>
      </c>
      <c r="BK52" s="2"/>
      <c r="BL52" s="2"/>
      <c r="BM52" s="2">
        <v>15001</v>
      </c>
      <c r="BN52" s="2">
        <v>0</v>
      </c>
      <c r="BO52" s="2" t="s">
        <v>6</v>
      </c>
      <c r="BP52" s="2">
        <v>0</v>
      </c>
      <c r="BQ52" s="2">
        <v>2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105</v>
      </c>
      <c r="CA52" s="2">
        <v>55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54.03</v>
      </c>
      <c r="CQ52" s="2">
        <f t="shared" si="33"/>
        <v>18390.16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94</v>
      </c>
      <c r="DW52" s="2" t="s">
        <v>94</v>
      </c>
      <c r="DX52" s="2">
        <v>1000</v>
      </c>
      <c r="DY52" s="2"/>
      <c r="DZ52" s="2"/>
      <c r="EA52" s="2"/>
      <c r="EB52" s="2"/>
      <c r="EC52" s="2"/>
      <c r="ED52" s="2"/>
      <c r="EE52" s="2">
        <v>16510513</v>
      </c>
      <c r="EF52" s="2">
        <v>2</v>
      </c>
      <c r="EG52" s="2" t="s">
        <v>18</v>
      </c>
      <c r="EH52" s="2">
        <v>0</v>
      </c>
      <c r="EI52" s="2" t="s">
        <v>6</v>
      </c>
      <c r="EJ52" s="2">
        <v>1</v>
      </c>
      <c r="EK52" s="2">
        <v>15001</v>
      </c>
      <c r="EL52" s="2" t="s">
        <v>74</v>
      </c>
      <c r="EM52" s="2" t="s">
        <v>75</v>
      </c>
      <c r="EN52" s="2"/>
      <c r="EO52" s="2" t="s">
        <v>6</v>
      </c>
      <c r="EP52" s="2"/>
      <c r="EQ52" s="2">
        <v>0</v>
      </c>
      <c r="ER52" s="2">
        <v>18390.16</v>
      </c>
      <c r="ES52" s="2">
        <v>18390.16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 t="s">
        <v>21</v>
      </c>
      <c r="FU52" s="2" t="s">
        <v>22</v>
      </c>
      <c r="FV52" s="2"/>
      <c r="FW52" s="2"/>
      <c r="FX52" s="2">
        <v>94.5</v>
      </c>
      <c r="FY52" s="2">
        <v>46.75</v>
      </c>
      <c r="FZ52" s="2"/>
      <c r="GA52" s="2" t="s">
        <v>6</v>
      </c>
      <c r="GB52" s="2"/>
      <c r="GC52" s="2"/>
      <c r="GD52" s="2">
        <v>1</v>
      </c>
      <c r="GE52" s="2"/>
      <c r="GF52" s="2">
        <v>-1919714308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4"/>
        <v>0</v>
      </c>
      <c r="GM52" s="2">
        <f t="shared" si="45"/>
        <v>54.03</v>
      </c>
      <c r="GN52" s="2">
        <f t="shared" si="46"/>
        <v>54.03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>
        <f t="shared" si="51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89</v>
      </c>
      <c r="E53" t="s">
        <v>91</v>
      </c>
      <c r="F53" t="s">
        <v>92</v>
      </c>
      <c r="G53" t="s">
        <v>93</v>
      </c>
      <c r="H53" t="s">
        <v>94</v>
      </c>
      <c r="I53">
        <f>I43*J53</f>
        <v>2.9380000000000001E-3</v>
      </c>
      <c r="J53">
        <v>8.9030303030303033E-3</v>
      </c>
      <c r="O53">
        <f t="shared" si="14"/>
        <v>365.79</v>
      </c>
      <c r="P53">
        <f t="shared" si="15"/>
        <v>365.79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16878660</v>
      </c>
      <c r="AB53">
        <f t="shared" si="25"/>
        <v>18390.16</v>
      </c>
      <c r="AC53">
        <f t="shared" si="26"/>
        <v>18390.16</v>
      </c>
      <c r="AD53">
        <f t="shared" si="54"/>
        <v>0</v>
      </c>
      <c r="AE53">
        <f t="shared" si="55"/>
        <v>0</v>
      </c>
      <c r="AF53">
        <f t="shared" si="56"/>
        <v>0</v>
      </c>
      <c r="AG53">
        <f t="shared" si="29"/>
        <v>0</v>
      </c>
      <c r="AH53">
        <f t="shared" si="57"/>
        <v>0</v>
      </c>
      <c r="AI53">
        <f t="shared" si="58"/>
        <v>0</v>
      </c>
      <c r="AJ53">
        <f t="shared" si="31"/>
        <v>0</v>
      </c>
      <c r="AK53">
        <v>18390.16</v>
      </c>
      <c r="AL53">
        <v>18390.16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95</v>
      </c>
      <c r="AU53">
        <v>47</v>
      </c>
      <c r="AV53">
        <v>1</v>
      </c>
      <c r="AW53">
        <v>1</v>
      </c>
      <c r="AZ53">
        <v>6.77</v>
      </c>
      <c r="BA53">
        <v>1</v>
      </c>
      <c r="BB53">
        <v>1</v>
      </c>
      <c r="BC53">
        <v>6.77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95</v>
      </c>
      <c r="BM53">
        <v>15001</v>
      </c>
      <c r="BN53">
        <v>0</v>
      </c>
      <c r="BO53" t="s">
        <v>6</v>
      </c>
      <c r="BP53">
        <v>0</v>
      </c>
      <c r="BQ53">
        <v>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105</v>
      </c>
      <c r="CA53">
        <v>55</v>
      </c>
      <c r="CE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365.79</v>
      </c>
      <c r="CQ53">
        <f t="shared" si="33"/>
        <v>124501.3832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94</v>
      </c>
      <c r="DW53" t="s">
        <v>94</v>
      </c>
      <c r="DX53">
        <v>1000</v>
      </c>
      <c r="EE53">
        <v>16510513</v>
      </c>
      <c r="EF53">
        <v>2</v>
      </c>
      <c r="EG53" t="s">
        <v>18</v>
      </c>
      <c r="EH53">
        <v>0</v>
      </c>
      <c r="EI53" t="s">
        <v>6</v>
      </c>
      <c r="EJ53">
        <v>1</v>
      </c>
      <c r="EK53">
        <v>15001</v>
      </c>
      <c r="EL53" t="s">
        <v>74</v>
      </c>
      <c r="EM53" t="s">
        <v>75</v>
      </c>
      <c r="EO53" t="s">
        <v>6</v>
      </c>
      <c r="EQ53">
        <v>0</v>
      </c>
      <c r="ER53">
        <v>18390.16</v>
      </c>
      <c r="ES53">
        <v>18390.16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T53" t="s">
        <v>21</v>
      </c>
      <c r="FU53" t="s">
        <v>22</v>
      </c>
      <c r="FX53">
        <v>94.5</v>
      </c>
      <c r="FY53">
        <v>46.75</v>
      </c>
      <c r="GA53" t="s">
        <v>6</v>
      </c>
      <c r="GD53">
        <v>1</v>
      </c>
      <c r="GF53">
        <v>-1919714308</v>
      </c>
      <c r="GG53">
        <v>1</v>
      </c>
      <c r="GH53">
        <v>1</v>
      </c>
      <c r="GI53">
        <v>4</v>
      </c>
      <c r="GJ53">
        <v>0</v>
      </c>
      <c r="GK53">
        <v>0</v>
      </c>
      <c r="GL53">
        <f t="shared" si="44"/>
        <v>0</v>
      </c>
      <c r="GM53">
        <f t="shared" si="45"/>
        <v>365.79</v>
      </c>
      <c r="GN53">
        <f t="shared" si="46"/>
        <v>365.79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HC53">
        <f t="shared" si="51"/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79</v>
      </c>
      <c r="D54" s="2"/>
      <c r="E54" s="2" t="s">
        <v>96</v>
      </c>
      <c r="F54" s="2" t="s">
        <v>97</v>
      </c>
      <c r="G54" s="2" t="s">
        <v>98</v>
      </c>
      <c r="H54" s="2" t="s">
        <v>94</v>
      </c>
      <c r="I54" s="2">
        <f>I42*J54</f>
        <v>2.9369999999999999E-3</v>
      </c>
      <c r="J54" s="2">
        <v>8.8999999999999999E-3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16878659</v>
      </c>
      <c r="AB54" s="2">
        <f t="shared" si="25"/>
        <v>0</v>
      </c>
      <c r="AC54" s="2">
        <f t="shared" si="26"/>
        <v>0</v>
      </c>
      <c r="AD54" s="2">
        <f t="shared" si="54"/>
        <v>0</v>
      </c>
      <c r="AE54" s="2">
        <f t="shared" si="55"/>
        <v>0</v>
      </c>
      <c r="AF54" s="2">
        <f t="shared" si="56"/>
        <v>0</v>
      </c>
      <c r="AG54" s="2">
        <f t="shared" si="29"/>
        <v>0</v>
      </c>
      <c r="AH54" s="2">
        <f t="shared" si="57"/>
        <v>0</v>
      </c>
      <c r="AI54" s="2">
        <f t="shared" si="58"/>
        <v>0</v>
      </c>
      <c r="AJ54" s="2">
        <f t="shared" si="31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95</v>
      </c>
      <c r="AU54" s="2">
        <v>47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15001</v>
      </c>
      <c r="BN54" s="2">
        <v>0</v>
      </c>
      <c r="BO54" s="2" t="s">
        <v>6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105</v>
      </c>
      <c r="CA54" s="2">
        <v>55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0</v>
      </c>
      <c r="CQ54" s="2">
        <f t="shared" si="33"/>
        <v>0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94</v>
      </c>
      <c r="DW54" s="2" t="s">
        <v>94</v>
      </c>
      <c r="DX54" s="2">
        <v>1000</v>
      </c>
      <c r="DY54" s="2"/>
      <c r="DZ54" s="2"/>
      <c r="EA54" s="2"/>
      <c r="EB54" s="2"/>
      <c r="EC54" s="2"/>
      <c r="ED54" s="2"/>
      <c r="EE54" s="2">
        <v>16510513</v>
      </c>
      <c r="EF54" s="2">
        <v>2</v>
      </c>
      <c r="EG54" s="2" t="s">
        <v>18</v>
      </c>
      <c r="EH54" s="2">
        <v>0</v>
      </c>
      <c r="EI54" s="2" t="s">
        <v>6</v>
      </c>
      <c r="EJ54" s="2">
        <v>1</v>
      </c>
      <c r="EK54" s="2">
        <v>15001</v>
      </c>
      <c r="EL54" s="2" t="s">
        <v>74</v>
      </c>
      <c r="EM54" s="2" t="s">
        <v>75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 t="s">
        <v>21</v>
      </c>
      <c r="FU54" s="2" t="s">
        <v>22</v>
      </c>
      <c r="FV54" s="2"/>
      <c r="FW54" s="2"/>
      <c r="FX54" s="2">
        <v>94.5</v>
      </c>
      <c r="FY54" s="2">
        <v>46.75</v>
      </c>
      <c r="FZ54" s="2"/>
      <c r="GA54" s="2" t="s">
        <v>6</v>
      </c>
      <c r="GB54" s="2"/>
      <c r="GC54" s="2"/>
      <c r="GD54" s="2">
        <v>1</v>
      </c>
      <c r="GE54" s="2"/>
      <c r="GF54" s="2">
        <v>-1212923053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4"/>
        <v>0</v>
      </c>
      <c r="GM54" s="2">
        <f t="shared" si="45"/>
        <v>0</v>
      </c>
      <c r="GN54" s="2">
        <f t="shared" si="46"/>
        <v>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>
        <f t="shared" si="51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90</v>
      </c>
      <c r="E55" t="s">
        <v>96</v>
      </c>
      <c r="F55" t="s">
        <v>97</v>
      </c>
      <c r="G55" t="s">
        <v>98</v>
      </c>
      <c r="H55" t="s">
        <v>94</v>
      </c>
      <c r="I55">
        <f>I43*J55</f>
        <v>2.9369999999999999E-3</v>
      </c>
      <c r="J55">
        <v>8.8999999999999999E-3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16878660</v>
      </c>
      <c r="AB55">
        <f t="shared" si="25"/>
        <v>0</v>
      </c>
      <c r="AC55">
        <f t="shared" si="26"/>
        <v>0</v>
      </c>
      <c r="AD55">
        <f t="shared" si="54"/>
        <v>0</v>
      </c>
      <c r="AE55">
        <f t="shared" si="55"/>
        <v>0</v>
      </c>
      <c r="AF55">
        <f t="shared" si="56"/>
        <v>0</v>
      </c>
      <c r="AG55">
        <f t="shared" si="29"/>
        <v>0</v>
      </c>
      <c r="AH55">
        <f t="shared" si="57"/>
        <v>0</v>
      </c>
      <c r="AI55">
        <f t="shared" si="58"/>
        <v>0</v>
      </c>
      <c r="AJ55">
        <f t="shared" si="31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95</v>
      </c>
      <c r="AU55">
        <v>47</v>
      </c>
      <c r="AV55">
        <v>1</v>
      </c>
      <c r="AW55">
        <v>1</v>
      </c>
      <c r="AZ55">
        <v>6.77</v>
      </c>
      <c r="BA55">
        <v>1</v>
      </c>
      <c r="BB55">
        <v>1</v>
      </c>
      <c r="BC55">
        <v>6.77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15001</v>
      </c>
      <c r="BN55">
        <v>0</v>
      </c>
      <c r="BO55" t="s">
        <v>6</v>
      </c>
      <c r="BP55">
        <v>0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105</v>
      </c>
      <c r="CA55">
        <v>55</v>
      </c>
      <c r="CE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0</v>
      </c>
      <c r="CQ55">
        <f t="shared" si="33"/>
        <v>0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94</v>
      </c>
      <c r="DW55" t="s">
        <v>94</v>
      </c>
      <c r="DX55">
        <v>1000</v>
      </c>
      <c r="EE55">
        <v>16510513</v>
      </c>
      <c r="EF55">
        <v>2</v>
      </c>
      <c r="EG55" t="s">
        <v>18</v>
      </c>
      <c r="EH55">
        <v>0</v>
      </c>
      <c r="EI55" t="s">
        <v>6</v>
      </c>
      <c r="EJ55">
        <v>1</v>
      </c>
      <c r="EK55">
        <v>15001</v>
      </c>
      <c r="EL55" t="s">
        <v>74</v>
      </c>
      <c r="EM55" t="s">
        <v>75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T55" t="s">
        <v>21</v>
      </c>
      <c r="FU55" t="s">
        <v>22</v>
      </c>
      <c r="FX55">
        <v>94.5</v>
      </c>
      <c r="FY55">
        <v>46.75</v>
      </c>
      <c r="GA55" t="s">
        <v>6</v>
      </c>
      <c r="GD55">
        <v>1</v>
      </c>
      <c r="GF55">
        <v>-1212923053</v>
      </c>
      <c r="GG55">
        <v>1</v>
      </c>
      <c r="GH55">
        <v>1</v>
      </c>
      <c r="GI55">
        <v>4</v>
      </c>
      <c r="GJ55">
        <v>0</v>
      </c>
      <c r="GK55">
        <v>0</v>
      </c>
      <c r="GL55">
        <f t="shared" si="44"/>
        <v>0</v>
      </c>
      <c r="GM55">
        <f t="shared" si="45"/>
        <v>0</v>
      </c>
      <c r="GN55">
        <f t="shared" si="46"/>
        <v>0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HC55">
        <f t="shared" si="51"/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ROW(SmtRes!A94)</f>
        <v>94</v>
      </c>
      <c r="D56" s="2">
        <f>ROW(EtalonRes!A89)</f>
        <v>89</v>
      </c>
      <c r="E56" s="2" t="s">
        <v>99</v>
      </c>
      <c r="F56" s="2" t="s">
        <v>100</v>
      </c>
      <c r="G56" s="2" t="s">
        <v>101</v>
      </c>
      <c r="H56" s="2" t="s">
        <v>26</v>
      </c>
      <c r="I56" s="2">
        <f>ROUND(132/100,9)</f>
        <v>1.32</v>
      </c>
      <c r="J56" s="2">
        <v>0</v>
      </c>
      <c r="K56" s="2"/>
      <c r="L56" s="2"/>
      <c r="M56" s="2"/>
      <c r="N56" s="2"/>
      <c r="O56" s="2">
        <f t="shared" si="14"/>
        <v>134.27000000000001</v>
      </c>
      <c r="P56" s="2">
        <f t="shared" si="15"/>
        <v>47.52</v>
      </c>
      <c r="Q56" s="2">
        <f t="shared" si="16"/>
        <v>0</v>
      </c>
      <c r="R56" s="2">
        <f t="shared" si="17"/>
        <v>0</v>
      </c>
      <c r="S56" s="2">
        <f t="shared" si="18"/>
        <v>86.75</v>
      </c>
      <c r="T56" s="2">
        <f t="shared" si="19"/>
        <v>0</v>
      </c>
      <c r="U56" s="2">
        <f t="shared" si="20"/>
        <v>10.170599999999999</v>
      </c>
      <c r="V56" s="2">
        <f t="shared" si="21"/>
        <v>0</v>
      </c>
      <c r="W56" s="2">
        <f t="shared" si="22"/>
        <v>0</v>
      </c>
      <c r="X56" s="2">
        <f t="shared" si="23"/>
        <v>91.96</v>
      </c>
      <c r="Y56" s="2">
        <f t="shared" si="24"/>
        <v>46.85</v>
      </c>
      <c r="Z56" s="2"/>
      <c r="AA56" s="2">
        <v>16878659</v>
      </c>
      <c r="AB56" s="2">
        <f t="shared" si="25"/>
        <v>101.7225</v>
      </c>
      <c r="AC56" s="2">
        <f t="shared" si="26"/>
        <v>36</v>
      </c>
      <c r="AD56" s="2">
        <f>ROUND(((((ET56*1.25))-((EU56*1.25)))+AE56),6)</f>
        <v>0</v>
      </c>
      <c r="AE56" s="2">
        <f>ROUND(((EU56*1.25)),6)</f>
        <v>0</v>
      </c>
      <c r="AF56" s="2">
        <f>ROUND(((EV56*1.15)),6)</f>
        <v>65.722499999999997</v>
      </c>
      <c r="AG56" s="2">
        <f t="shared" si="29"/>
        <v>0</v>
      </c>
      <c r="AH56" s="2">
        <f>((EW56*1.15))</f>
        <v>7.7049999999999992</v>
      </c>
      <c r="AI56" s="2">
        <f>((EX56*1.25))</f>
        <v>0</v>
      </c>
      <c r="AJ56" s="2">
        <f t="shared" si="31"/>
        <v>0</v>
      </c>
      <c r="AK56" s="2">
        <v>93.15</v>
      </c>
      <c r="AL56" s="2">
        <v>36</v>
      </c>
      <c r="AM56" s="2">
        <v>0</v>
      </c>
      <c r="AN56" s="2">
        <v>0</v>
      </c>
      <c r="AO56" s="2">
        <v>57.15</v>
      </c>
      <c r="AP56" s="2">
        <v>0</v>
      </c>
      <c r="AQ56" s="2">
        <v>6.7</v>
      </c>
      <c r="AR56" s="2">
        <v>0</v>
      </c>
      <c r="AS56" s="2">
        <v>0</v>
      </c>
      <c r="AT56" s="2">
        <v>106</v>
      </c>
      <c r="AU56" s="2">
        <v>54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1</v>
      </c>
      <c r="BJ56" s="2" t="s">
        <v>102</v>
      </c>
      <c r="BK56" s="2"/>
      <c r="BL56" s="2"/>
      <c r="BM56" s="2">
        <v>10001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118</v>
      </c>
      <c r="CA56" s="2">
        <v>63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325</v>
      </c>
      <c r="CO56" s="2">
        <v>0</v>
      </c>
      <c r="CP56" s="2">
        <f t="shared" si="32"/>
        <v>134.27000000000001</v>
      </c>
      <c r="CQ56" s="2">
        <f t="shared" si="33"/>
        <v>36</v>
      </c>
      <c r="CR56" s="2">
        <f t="shared" si="34"/>
        <v>0</v>
      </c>
      <c r="CS56" s="2">
        <f t="shared" si="35"/>
        <v>0</v>
      </c>
      <c r="CT56" s="2">
        <f t="shared" si="36"/>
        <v>65.722499999999997</v>
      </c>
      <c r="CU56" s="2">
        <f t="shared" si="37"/>
        <v>0</v>
      </c>
      <c r="CV56" s="2">
        <f t="shared" si="38"/>
        <v>7.7049999999999992</v>
      </c>
      <c r="CW56" s="2">
        <f t="shared" si="39"/>
        <v>0</v>
      </c>
      <c r="CX56" s="2">
        <f t="shared" si="40"/>
        <v>0</v>
      </c>
      <c r="CY56" s="2">
        <f t="shared" si="41"/>
        <v>91.954999999999998</v>
      </c>
      <c r="CZ56" s="2">
        <f t="shared" si="42"/>
        <v>46.844999999999999</v>
      </c>
      <c r="DA56" s="2"/>
      <c r="DB56" s="2"/>
      <c r="DC56" s="2" t="s">
        <v>6</v>
      </c>
      <c r="DD56" s="2" t="s">
        <v>6</v>
      </c>
      <c r="DE56" s="2" t="s">
        <v>41</v>
      </c>
      <c r="DF56" s="2" t="s">
        <v>41</v>
      </c>
      <c r="DG56" s="2" t="s">
        <v>42</v>
      </c>
      <c r="DH56" s="2" t="s">
        <v>6</v>
      </c>
      <c r="DI56" s="2" t="s">
        <v>42</v>
      </c>
      <c r="DJ56" s="2" t="s">
        <v>41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1003</v>
      </c>
      <c r="DV56" s="2" t="s">
        <v>26</v>
      </c>
      <c r="DW56" s="2" t="s">
        <v>26</v>
      </c>
      <c r="DX56" s="2">
        <v>100</v>
      </c>
      <c r="DY56" s="2"/>
      <c r="DZ56" s="2"/>
      <c r="EA56" s="2"/>
      <c r="EB56" s="2"/>
      <c r="EC56" s="2"/>
      <c r="ED56" s="2"/>
      <c r="EE56" s="2">
        <v>16510487</v>
      </c>
      <c r="EF56" s="2">
        <v>2</v>
      </c>
      <c r="EG56" s="2" t="s">
        <v>18</v>
      </c>
      <c r="EH56" s="2">
        <v>0</v>
      </c>
      <c r="EI56" s="2" t="s">
        <v>6</v>
      </c>
      <c r="EJ56" s="2">
        <v>1</v>
      </c>
      <c r="EK56" s="2">
        <v>10001</v>
      </c>
      <c r="EL56" s="2" t="s">
        <v>43</v>
      </c>
      <c r="EM56" s="2" t="s">
        <v>44</v>
      </c>
      <c r="EN56" s="2"/>
      <c r="EO56" s="2" t="s">
        <v>45</v>
      </c>
      <c r="EP56" s="2"/>
      <c r="EQ56" s="2">
        <v>0</v>
      </c>
      <c r="ER56" s="2">
        <v>93.15</v>
      </c>
      <c r="ES56" s="2">
        <v>36</v>
      </c>
      <c r="ET56" s="2">
        <v>0</v>
      </c>
      <c r="EU56" s="2">
        <v>0</v>
      </c>
      <c r="EV56" s="2">
        <v>57.15</v>
      </c>
      <c r="EW56" s="2">
        <v>6.7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3"/>
        <v>0</v>
      </c>
      <c r="FS56" s="2">
        <v>0</v>
      </c>
      <c r="FT56" s="2" t="s">
        <v>21</v>
      </c>
      <c r="FU56" s="2" t="s">
        <v>22</v>
      </c>
      <c r="FV56" s="2"/>
      <c r="FW56" s="2"/>
      <c r="FX56" s="2">
        <v>106.2</v>
      </c>
      <c r="FY56" s="2">
        <v>53.55</v>
      </c>
      <c r="FZ56" s="2"/>
      <c r="GA56" s="2" t="s">
        <v>6</v>
      </c>
      <c r="GB56" s="2"/>
      <c r="GC56" s="2"/>
      <c r="GD56" s="2">
        <v>1</v>
      </c>
      <c r="GE56" s="2"/>
      <c r="GF56" s="2">
        <v>-1862938563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si="44"/>
        <v>0</v>
      </c>
      <c r="GM56" s="2">
        <f t="shared" si="45"/>
        <v>273.08</v>
      </c>
      <c r="GN56" s="2">
        <f t="shared" si="46"/>
        <v>273.08</v>
      </c>
      <c r="GO56" s="2">
        <f t="shared" si="47"/>
        <v>0</v>
      </c>
      <c r="GP56" s="2">
        <f t="shared" si="48"/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si="49"/>
        <v>0</v>
      </c>
      <c r="GW56" s="2">
        <v>1</v>
      </c>
      <c r="GX56" s="2">
        <f t="shared" si="50"/>
        <v>0</v>
      </c>
      <c r="GY56" s="2"/>
      <c r="GZ56" s="2"/>
      <c r="HA56" s="2">
        <v>0</v>
      </c>
      <c r="HB56" s="2">
        <v>0</v>
      </c>
      <c r="HC56" s="2">
        <f t="shared" si="51"/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ROW(SmtRes!A98)</f>
        <v>98</v>
      </c>
      <c r="D57">
        <f>ROW(EtalonRes!A92)</f>
        <v>92</v>
      </c>
      <c r="E57" t="s">
        <v>99</v>
      </c>
      <c r="F57" t="s">
        <v>100</v>
      </c>
      <c r="G57" t="s">
        <v>101</v>
      </c>
      <c r="H57" t="s">
        <v>26</v>
      </c>
      <c r="I57">
        <f>ROUND(132/100,9)</f>
        <v>1.32</v>
      </c>
      <c r="J57">
        <v>0</v>
      </c>
      <c r="O57">
        <f t="shared" si="14"/>
        <v>909.03</v>
      </c>
      <c r="P57">
        <f t="shared" si="15"/>
        <v>321.70999999999998</v>
      </c>
      <c r="Q57">
        <f t="shared" si="16"/>
        <v>0</v>
      </c>
      <c r="R57">
        <f t="shared" si="17"/>
        <v>0</v>
      </c>
      <c r="S57">
        <f t="shared" si="18"/>
        <v>587.32000000000005</v>
      </c>
      <c r="T57">
        <f t="shared" si="19"/>
        <v>0</v>
      </c>
      <c r="U57">
        <f t="shared" si="20"/>
        <v>10.170599999999999</v>
      </c>
      <c r="V57">
        <f t="shared" si="21"/>
        <v>0</v>
      </c>
      <c r="W57">
        <f t="shared" si="22"/>
        <v>0</v>
      </c>
      <c r="X57">
        <f t="shared" si="23"/>
        <v>622.55999999999995</v>
      </c>
      <c r="Y57">
        <f t="shared" si="24"/>
        <v>317.14999999999998</v>
      </c>
      <c r="AA57">
        <v>16878660</v>
      </c>
      <c r="AB57">
        <f t="shared" si="25"/>
        <v>101.7225</v>
      </c>
      <c r="AC57">
        <f t="shared" si="26"/>
        <v>36</v>
      </c>
      <c r="AD57">
        <f>ROUND(((((ET57*1.25))-((EU57*1.25)))+AE57),6)</f>
        <v>0</v>
      </c>
      <c r="AE57">
        <f>ROUND(((EU57*1.25)),6)</f>
        <v>0</v>
      </c>
      <c r="AF57">
        <f>ROUND(((EV57*1.15)),6)</f>
        <v>65.722499999999997</v>
      </c>
      <c r="AG57">
        <f t="shared" si="29"/>
        <v>0</v>
      </c>
      <c r="AH57">
        <f>((EW57*1.15))</f>
        <v>7.7049999999999992</v>
      </c>
      <c r="AI57">
        <f>((EX57*1.25))</f>
        <v>0</v>
      </c>
      <c r="AJ57">
        <f t="shared" si="31"/>
        <v>0</v>
      </c>
      <c r="AK57">
        <v>93.15</v>
      </c>
      <c r="AL57">
        <v>36</v>
      </c>
      <c r="AM57">
        <v>0</v>
      </c>
      <c r="AN57">
        <v>0</v>
      </c>
      <c r="AO57">
        <v>57.15</v>
      </c>
      <c r="AP57">
        <v>0</v>
      </c>
      <c r="AQ57">
        <v>6.7</v>
      </c>
      <c r="AR57">
        <v>0</v>
      </c>
      <c r="AS57">
        <v>0</v>
      </c>
      <c r="AT57">
        <v>106</v>
      </c>
      <c r="AU57">
        <v>54</v>
      </c>
      <c r="AV57">
        <v>1</v>
      </c>
      <c r="AW57">
        <v>1</v>
      </c>
      <c r="AZ57">
        <v>6.77</v>
      </c>
      <c r="BA57">
        <v>6.77</v>
      </c>
      <c r="BB57">
        <v>6.77</v>
      </c>
      <c r="BC57">
        <v>6.77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1</v>
      </c>
      <c r="BJ57" t="s">
        <v>102</v>
      </c>
      <c r="BM57">
        <v>10001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v>6.77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118</v>
      </c>
      <c r="CA57">
        <v>63</v>
      </c>
      <c r="CE57">
        <v>0</v>
      </c>
      <c r="CF57">
        <v>0</v>
      </c>
      <c r="CG57">
        <v>0</v>
      </c>
      <c r="CM57">
        <v>0</v>
      </c>
      <c r="CN57" t="s">
        <v>325</v>
      </c>
      <c r="CO57">
        <v>0</v>
      </c>
      <c r="CP57">
        <f t="shared" si="32"/>
        <v>909.03</v>
      </c>
      <c r="CQ57">
        <f t="shared" si="33"/>
        <v>243.71999999999997</v>
      </c>
      <c r="CR57">
        <f t="shared" si="34"/>
        <v>0</v>
      </c>
      <c r="CS57">
        <f t="shared" si="35"/>
        <v>0</v>
      </c>
      <c r="CT57">
        <f t="shared" si="36"/>
        <v>444.94132499999995</v>
      </c>
      <c r="CU57">
        <f t="shared" si="37"/>
        <v>0</v>
      </c>
      <c r="CV57">
        <f t="shared" si="38"/>
        <v>7.7049999999999992</v>
      </c>
      <c r="CW57">
        <f t="shared" si="39"/>
        <v>0</v>
      </c>
      <c r="CX57">
        <f t="shared" si="40"/>
        <v>0</v>
      </c>
      <c r="CY57">
        <f t="shared" si="41"/>
        <v>622.55920000000003</v>
      </c>
      <c r="CZ57">
        <f t="shared" si="42"/>
        <v>317.15280000000001</v>
      </c>
      <c r="DC57" t="s">
        <v>6</v>
      </c>
      <c r="DD57" t="s">
        <v>6</v>
      </c>
      <c r="DE57" t="s">
        <v>41</v>
      </c>
      <c r="DF57" t="s">
        <v>41</v>
      </c>
      <c r="DG57" t="s">
        <v>42</v>
      </c>
      <c r="DH57" t="s">
        <v>6</v>
      </c>
      <c r="DI57" t="s">
        <v>42</v>
      </c>
      <c r="DJ57" t="s">
        <v>41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1003</v>
      </c>
      <c r="DV57" t="s">
        <v>26</v>
      </c>
      <c r="DW57" t="s">
        <v>26</v>
      </c>
      <c r="DX57">
        <v>100</v>
      </c>
      <c r="EE57">
        <v>16510487</v>
      </c>
      <c r="EF57">
        <v>2</v>
      </c>
      <c r="EG57" t="s">
        <v>18</v>
      </c>
      <c r="EH57">
        <v>0</v>
      </c>
      <c r="EI57" t="s">
        <v>6</v>
      </c>
      <c r="EJ57">
        <v>1</v>
      </c>
      <c r="EK57">
        <v>10001</v>
      </c>
      <c r="EL57" t="s">
        <v>43</v>
      </c>
      <c r="EM57" t="s">
        <v>44</v>
      </c>
      <c r="EO57" t="s">
        <v>45</v>
      </c>
      <c r="EQ57">
        <v>0</v>
      </c>
      <c r="ER57">
        <v>93.15</v>
      </c>
      <c r="ES57">
        <v>36</v>
      </c>
      <c r="ET57">
        <v>0</v>
      </c>
      <c r="EU57">
        <v>0</v>
      </c>
      <c r="EV57">
        <v>57.15</v>
      </c>
      <c r="EW57">
        <v>6.7</v>
      </c>
      <c r="EX57">
        <v>0</v>
      </c>
      <c r="EY57">
        <v>0</v>
      </c>
      <c r="FQ57">
        <v>0</v>
      </c>
      <c r="FR57">
        <f t="shared" si="43"/>
        <v>0</v>
      </c>
      <c r="FS57">
        <v>0</v>
      </c>
      <c r="FT57" t="s">
        <v>21</v>
      </c>
      <c r="FU57" t="s">
        <v>22</v>
      </c>
      <c r="FX57">
        <v>106.2</v>
      </c>
      <c r="FY57">
        <v>53.55</v>
      </c>
      <c r="GA57" t="s">
        <v>6</v>
      </c>
      <c r="GD57">
        <v>1</v>
      </c>
      <c r="GF57">
        <v>-1862938563</v>
      </c>
      <c r="GG57">
        <v>1</v>
      </c>
      <c r="GH57">
        <v>1</v>
      </c>
      <c r="GI57">
        <v>4</v>
      </c>
      <c r="GJ57">
        <v>0</v>
      </c>
      <c r="GK57">
        <v>0</v>
      </c>
      <c r="GL57">
        <f t="shared" si="44"/>
        <v>0</v>
      </c>
      <c r="GM57">
        <f t="shared" si="45"/>
        <v>1848.74</v>
      </c>
      <c r="GN57">
        <f t="shared" si="46"/>
        <v>1848.74</v>
      </c>
      <c r="GO57">
        <f t="shared" si="47"/>
        <v>0</v>
      </c>
      <c r="GP57">
        <f t="shared" si="48"/>
        <v>0</v>
      </c>
      <c r="GR57">
        <v>0</v>
      </c>
      <c r="GS57">
        <v>3</v>
      </c>
      <c r="GT57">
        <v>0</v>
      </c>
      <c r="GU57" t="s">
        <v>6</v>
      </c>
      <c r="GV57">
        <f t="shared" si="49"/>
        <v>0</v>
      </c>
      <c r="GW57">
        <v>1</v>
      </c>
      <c r="GX57">
        <f t="shared" si="50"/>
        <v>0</v>
      </c>
      <c r="HA57">
        <v>0</v>
      </c>
      <c r="HB57">
        <v>0</v>
      </c>
      <c r="HC57">
        <f t="shared" si="51"/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92</v>
      </c>
      <c r="D58" s="2"/>
      <c r="E58" s="2" t="s">
        <v>103</v>
      </c>
      <c r="F58" s="2" t="s">
        <v>104</v>
      </c>
      <c r="G58" s="2" t="s">
        <v>105</v>
      </c>
      <c r="H58" s="2" t="s">
        <v>106</v>
      </c>
      <c r="I58" s="2">
        <f>I56*J58</f>
        <v>132</v>
      </c>
      <c r="J58" s="2">
        <v>100</v>
      </c>
      <c r="K58" s="2"/>
      <c r="L58" s="2"/>
      <c r="M58" s="2"/>
      <c r="N58" s="2"/>
      <c r="O58" s="2">
        <f t="shared" si="14"/>
        <v>0</v>
      </c>
      <c r="P58" s="2">
        <f t="shared" si="15"/>
        <v>0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16878659</v>
      </c>
      <c r="AB58" s="2">
        <f t="shared" si="25"/>
        <v>0</v>
      </c>
      <c r="AC58" s="2">
        <f t="shared" si="26"/>
        <v>0</v>
      </c>
      <c r="AD58" s="2">
        <f>ROUND((((ET58)-(EU58))+AE58),6)</f>
        <v>0</v>
      </c>
      <c r="AE58" s="2">
        <f t="shared" ref="AE58:AF61" si="59">ROUND((EU58),6)</f>
        <v>0</v>
      </c>
      <c r="AF58" s="2">
        <f t="shared" si="59"/>
        <v>0</v>
      </c>
      <c r="AG58" s="2">
        <f t="shared" si="29"/>
        <v>0</v>
      </c>
      <c r="AH58" s="2">
        <f t="shared" ref="AH58:AI61" si="60">(EW58)</f>
        <v>0</v>
      </c>
      <c r="AI58" s="2">
        <f t="shared" si="60"/>
        <v>0</v>
      </c>
      <c r="AJ58" s="2">
        <f t="shared" si="31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54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10001</v>
      </c>
      <c r="BN58" s="2">
        <v>0</v>
      </c>
      <c r="BO58" s="2" t="s">
        <v>6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118</v>
      </c>
      <c r="CA58" s="2">
        <v>63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32"/>
        <v>0</v>
      </c>
      <c r="CQ58" s="2">
        <f t="shared" si="33"/>
        <v>0</v>
      </c>
      <c r="CR58" s="2">
        <f t="shared" si="34"/>
        <v>0</v>
      </c>
      <c r="CS58" s="2">
        <f t="shared" si="35"/>
        <v>0</v>
      </c>
      <c r="CT58" s="2">
        <f t="shared" si="36"/>
        <v>0</v>
      </c>
      <c r="CU58" s="2">
        <f t="shared" si="37"/>
        <v>0</v>
      </c>
      <c r="CV58" s="2">
        <f t="shared" si="38"/>
        <v>0</v>
      </c>
      <c r="CW58" s="2">
        <f t="shared" si="39"/>
        <v>0</v>
      </c>
      <c r="CX58" s="2">
        <f t="shared" si="40"/>
        <v>0</v>
      </c>
      <c r="CY58" s="2">
        <f t="shared" si="41"/>
        <v>0</v>
      </c>
      <c r="CZ58" s="2">
        <f t="shared" si="4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106</v>
      </c>
      <c r="DW58" s="2" t="s">
        <v>106</v>
      </c>
      <c r="DX58" s="2">
        <v>1</v>
      </c>
      <c r="DY58" s="2"/>
      <c r="DZ58" s="2"/>
      <c r="EA58" s="2"/>
      <c r="EB58" s="2"/>
      <c r="EC58" s="2"/>
      <c r="ED58" s="2"/>
      <c r="EE58" s="2">
        <v>16510487</v>
      </c>
      <c r="EF58" s="2">
        <v>2</v>
      </c>
      <c r="EG58" s="2" t="s">
        <v>18</v>
      </c>
      <c r="EH58" s="2">
        <v>0</v>
      </c>
      <c r="EI58" s="2" t="s">
        <v>6</v>
      </c>
      <c r="EJ58" s="2">
        <v>1</v>
      </c>
      <c r="EK58" s="2">
        <v>10001</v>
      </c>
      <c r="EL58" s="2" t="s">
        <v>43</v>
      </c>
      <c r="EM58" s="2" t="s">
        <v>44</v>
      </c>
      <c r="EN58" s="2"/>
      <c r="EO58" s="2" t="s">
        <v>6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3"/>
        <v>0</v>
      </c>
      <c r="FS58" s="2">
        <v>0</v>
      </c>
      <c r="FT58" s="2" t="s">
        <v>21</v>
      </c>
      <c r="FU58" s="2" t="s">
        <v>22</v>
      </c>
      <c r="FV58" s="2"/>
      <c r="FW58" s="2"/>
      <c r="FX58" s="2">
        <v>106.2</v>
      </c>
      <c r="FY58" s="2">
        <v>53.55</v>
      </c>
      <c r="FZ58" s="2"/>
      <c r="GA58" s="2" t="s">
        <v>6</v>
      </c>
      <c r="GB58" s="2"/>
      <c r="GC58" s="2"/>
      <c r="GD58" s="2">
        <v>1</v>
      </c>
      <c r="GE58" s="2"/>
      <c r="GF58" s="2">
        <v>-1710570218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44"/>
        <v>0</v>
      </c>
      <c r="GM58" s="2">
        <f t="shared" si="45"/>
        <v>0</v>
      </c>
      <c r="GN58" s="2">
        <f t="shared" si="46"/>
        <v>0</v>
      </c>
      <c r="GO58" s="2">
        <f t="shared" si="47"/>
        <v>0</v>
      </c>
      <c r="GP58" s="2">
        <f t="shared" si="48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49"/>
        <v>0</v>
      </c>
      <c r="GW58" s="2">
        <v>1</v>
      </c>
      <c r="GX58" s="2">
        <f t="shared" si="50"/>
        <v>0</v>
      </c>
      <c r="GY58" s="2"/>
      <c r="GZ58" s="2"/>
      <c r="HA58" s="2">
        <v>0</v>
      </c>
      <c r="HB58" s="2">
        <v>0</v>
      </c>
      <c r="HC58" s="2">
        <f t="shared" si="51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96</v>
      </c>
      <c r="E59" t="s">
        <v>103</v>
      </c>
      <c r="F59" t="s">
        <v>104</v>
      </c>
      <c r="G59" t="s">
        <v>105</v>
      </c>
      <c r="H59" t="s">
        <v>106</v>
      </c>
      <c r="I59">
        <f>I57*J59</f>
        <v>132</v>
      </c>
      <c r="J59">
        <v>100</v>
      </c>
      <c r="O59">
        <f t="shared" si="14"/>
        <v>0</v>
      </c>
      <c r="P59">
        <f t="shared" si="15"/>
        <v>0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16878660</v>
      </c>
      <c r="AB59">
        <f t="shared" si="25"/>
        <v>0</v>
      </c>
      <c r="AC59">
        <f t="shared" si="26"/>
        <v>0</v>
      </c>
      <c r="AD59">
        <f>ROUND((((ET59)-(EU59))+AE59),6)</f>
        <v>0</v>
      </c>
      <c r="AE59">
        <f t="shared" si="59"/>
        <v>0</v>
      </c>
      <c r="AF59">
        <f t="shared" si="59"/>
        <v>0</v>
      </c>
      <c r="AG59">
        <f t="shared" si="29"/>
        <v>0</v>
      </c>
      <c r="AH59">
        <f t="shared" si="60"/>
        <v>0</v>
      </c>
      <c r="AI59">
        <f t="shared" si="60"/>
        <v>0</v>
      </c>
      <c r="AJ59">
        <f t="shared" si="31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106</v>
      </c>
      <c r="AU59">
        <v>54</v>
      </c>
      <c r="AV59">
        <v>1</v>
      </c>
      <c r="AW59">
        <v>1</v>
      </c>
      <c r="AZ59">
        <v>6.77</v>
      </c>
      <c r="BA59">
        <v>1</v>
      </c>
      <c r="BB59">
        <v>1</v>
      </c>
      <c r="BC59">
        <v>6.77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10001</v>
      </c>
      <c r="BN59">
        <v>0</v>
      </c>
      <c r="BO59" t="s">
        <v>6</v>
      </c>
      <c r="BP59">
        <v>0</v>
      </c>
      <c r="BQ59">
        <v>2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118</v>
      </c>
      <c r="CA59">
        <v>63</v>
      </c>
      <c r="CE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32"/>
        <v>0</v>
      </c>
      <c r="CQ59">
        <f t="shared" si="33"/>
        <v>0</v>
      </c>
      <c r="CR59">
        <f t="shared" si="34"/>
        <v>0</v>
      </c>
      <c r="CS59">
        <f t="shared" si="35"/>
        <v>0</v>
      </c>
      <c r="CT59">
        <f t="shared" si="36"/>
        <v>0</v>
      </c>
      <c r="CU59">
        <f t="shared" si="37"/>
        <v>0</v>
      </c>
      <c r="CV59">
        <f t="shared" si="38"/>
        <v>0</v>
      </c>
      <c r="CW59">
        <f t="shared" si="39"/>
        <v>0</v>
      </c>
      <c r="CX59">
        <f t="shared" si="40"/>
        <v>0</v>
      </c>
      <c r="CY59">
        <f t="shared" si="41"/>
        <v>0</v>
      </c>
      <c r="CZ59">
        <f t="shared" si="4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106</v>
      </c>
      <c r="DW59" t="s">
        <v>106</v>
      </c>
      <c r="DX59">
        <v>1</v>
      </c>
      <c r="EE59">
        <v>16510487</v>
      </c>
      <c r="EF59">
        <v>2</v>
      </c>
      <c r="EG59" t="s">
        <v>18</v>
      </c>
      <c r="EH59">
        <v>0</v>
      </c>
      <c r="EI59" t="s">
        <v>6</v>
      </c>
      <c r="EJ59">
        <v>1</v>
      </c>
      <c r="EK59">
        <v>10001</v>
      </c>
      <c r="EL59" t="s">
        <v>43</v>
      </c>
      <c r="EM59" t="s">
        <v>44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43"/>
        <v>0</v>
      </c>
      <c r="FS59">
        <v>0</v>
      </c>
      <c r="FT59" t="s">
        <v>21</v>
      </c>
      <c r="FU59" t="s">
        <v>22</v>
      </c>
      <c r="FX59">
        <v>106.2</v>
      </c>
      <c r="FY59">
        <v>53.55</v>
      </c>
      <c r="GA59" t="s">
        <v>6</v>
      </c>
      <c r="GD59">
        <v>1</v>
      </c>
      <c r="GF59">
        <v>-1710570218</v>
      </c>
      <c r="GG59">
        <v>1</v>
      </c>
      <c r="GH59">
        <v>1</v>
      </c>
      <c r="GI59">
        <v>4</v>
      </c>
      <c r="GJ59">
        <v>0</v>
      </c>
      <c r="GK59">
        <v>0</v>
      </c>
      <c r="GL59">
        <f t="shared" si="44"/>
        <v>0</v>
      </c>
      <c r="GM59">
        <f t="shared" si="45"/>
        <v>0</v>
      </c>
      <c r="GN59">
        <f t="shared" si="46"/>
        <v>0</v>
      </c>
      <c r="GO59">
        <f t="shared" si="47"/>
        <v>0</v>
      </c>
      <c r="GP59">
        <f t="shared" si="48"/>
        <v>0</v>
      </c>
      <c r="GR59">
        <v>0</v>
      </c>
      <c r="GS59">
        <v>3</v>
      </c>
      <c r="GT59">
        <v>0</v>
      </c>
      <c r="GU59" t="s">
        <v>6</v>
      </c>
      <c r="GV59">
        <f t="shared" si="49"/>
        <v>0</v>
      </c>
      <c r="GW59">
        <v>1</v>
      </c>
      <c r="GX59">
        <f t="shared" si="50"/>
        <v>0</v>
      </c>
      <c r="HA59">
        <v>0</v>
      </c>
      <c r="HB59">
        <v>0</v>
      </c>
      <c r="HC59">
        <f t="shared" si="51"/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93</v>
      </c>
      <c r="D60" s="2"/>
      <c r="E60" s="2" t="s">
        <v>107</v>
      </c>
      <c r="F60" s="2" t="s">
        <v>108</v>
      </c>
      <c r="G60" s="2" t="s">
        <v>109</v>
      </c>
      <c r="H60" s="2" t="s">
        <v>110</v>
      </c>
      <c r="I60" s="2">
        <f>I56*J60</f>
        <v>13.199999999999998</v>
      </c>
      <c r="J60" s="2">
        <v>9.9999999999999982</v>
      </c>
      <c r="K60" s="2"/>
      <c r="L60" s="2"/>
      <c r="M60" s="2"/>
      <c r="N60" s="2"/>
      <c r="O60" s="2">
        <f t="shared" si="14"/>
        <v>337.92</v>
      </c>
      <c r="P60" s="2">
        <f t="shared" si="15"/>
        <v>337.92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16878659</v>
      </c>
      <c r="AB60" s="2">
        <f t="shared" si="25"/>
        <v>25.6</v>
      </c>
      <c r="AC60" s="2">
        <f t="shared" si="26"/>
        <v>25.6</v>
      </c>
      <c r="AD60" s="2">
        <f>ROUND((((ET60)-(EU60))+AE60),6)</f>
        <v>0</v>
      </c>
      <c r="AE60" s="2">
        <f t="shared" si="59"/>
        <v>0</v>
      </c>
      <c r="AF60" s="2">
        <f t="shared" si="59"/>
        <v>0</v>
      </c>
      <c r="AG60" s="2">
        <f t="shared" si="29"/>
        <v>0</v>
      </c>
      <c r="AH60" s="2">
        <f t="shared" si="60"/>
        <v>0</v>
      </c>
      <c r="AI60" s="2">
        <f t="shared" si="60"/>
        <v>0</v>
      </c>
      <c r="AJ60" s="2">
        <f t="shared" si="31"/>
        <v>0</v>
      </c>
      <c r="AK60" s="2">
        <v>25.6</v>
      </c>
      <c r="AL60" s="2">
        <v>25.6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54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111</v>
      </c>
      <c r="BK60" s="2"/>
      <c r="BL60" s="2"/>
      <c r="BM60" s="2">
        <v>10001</v>
      </c>
      <c r="BN60" s="2">
        <v>0</v>
      </c>
      <c r="BO60" s="2" t="s">
        <v>6</v>
      </c>
      <c r="BP60" s="2">
        <v>0</v>
      </c>
      <c r="BQ60" s="2">
        <v>2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118</v>
      </c>
      <c r="CA60" s="2">
        <v>63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32"/>
        <v>337.92</v>
      </c>
      <c r="CQ60" s="2">
        <f t="shared" si="33"/>
        <v>25.6</v>
      </c>
      <c r="CR60" s="2">
        <f t="shared" si="34"/>
        <v>0</v>
      </c>
      <c r="CS60" s="2">
        <f t="shared" si="35"/>
        <v>0</v>
      </c>
      <c r="CT60" s="2">
        <f t="shared" si="36"/>
        <v>0</v>
      </c>
      <c r="CU60" s="2">
        <f t="shared" si="37"/>
        <v>0</v>
      </c>
      <c r="CV60" s="2">
        <f t="shared" si="38"/>
        <v>0</v>
      </c>
      <c r="CW60" s="2">
        <f t="shared" si="39"/>
        <v>0</v>
      </c>
      <c r="CX60" s="2">
        <f t="shared" si="40"/>
        <v>0</v>
      </c>
      <c r="CY60" s="2">
        <f t="shared" si="41"/>
        <v>0</v>
      </c>
      <c r="CZ60" s="2">
        <f t="shared" si="4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1003</v>
      </c>
      <c r="DV60" s="2" t="s">
        <v>110</v>
      </c>
      <c r="DW60" s="2" t="s">
        <v>110</v>
      </c>
      <c r="DX60" s="2">
        <v>10</v>
      </c>
      <c r="DY60" s="2"/>
      <c r="DZ60" s="2"/>
      <c r="EA60" s="2"/>
      <c r="EB60" s="2"/>
      <c r="EC60" s="2"/>
      <c r="ED60" s="2"/>
      <c r="EE60" s="2">
        <v>16510487</v>
      </c>
      <c r="EF60" s="2">
        <v>2</v>
      </c>
      <c r="EG60" s="2" t="s">
        <v>18</v>
      </c>
      <c r="EH60" s="2">
        <v>0</v>
      </c>
      <c r="EI60" s="2" t="s">
        <v>6</v>
      </c>
      <c r="EJ60" s="2">
        <v>1</v>
      </c>
      <c r="EK60" s="2">
        <v>10001</v>
      </c>
      <c r="EL60" s="2" t="s">
        <v>43</v>
      </c>
      <c r="EM60" s="2" t="s">
        <v>44</v>
      </c>
      <c r="EN60" s="2"/>
      <c r="EO60" s="2" t="s">
        <v>6</v>
      </c>
      <c r="EP60" s="2"/>
      <c r="EQ60" s="2">
        <v>0</v>
      </c>
      <c r="ER60" s="2">
        <v>25.6</v>
      </c>
      <c r="ES60" s="2">
        <v>25.6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3"/>
        <v>0</v>
      </c>
      <c r="FS60" s="2">
        <v>0</v>
      </c>
      <c r="FT60" s="2" t="s">
        <v>21</v>
      </c>
      <c r="FU60" s="2" t="s">
        <v>22</v>
      </c>
      <c r="FV60" s="2"/>
      <c r="FW60" s="2"/>
      <c r="FX60" s="2">
        <v>106.2</v>
      </c>
      <c r="FY60" s="2">
        <v>53.55</v>
      </c>
      <c r="FZ60" s="2"/>
      <c r="GA60" s="2" t="s">
        <v>6</v>
      </c>
      <c r="GB60" s="2"/>
      <c r="GC60" s="2"/>
      <c r="GD60" s="2">
        <v>1</v>
      </c>
      <c r="GE60" s="2"/>
      <c r="GF60" s="2">
        <v>189188006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t="shared" si="44"/>
        <v>0</v>
      </c>
      <c r="GM60" s="2">
        <f t="shared" si="45"/>
        <v>337.92</v>
      </c>
      <c r="GN60" s="2">
        <f t="shared" si="46"/>
        <v>337.92</v>
      </c>
      <c r="GO60" s="2">
        <f t="shared" si="47"/>
        <v>0</v>
      </c>
      <c r="GP60" s="2">
        <f t="shared" si="48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49"/>
        <v>0</v>
      </c>
      <c r="GW60" s="2">
        <v>1</v>
      </c>
      <c r="GX60" s="2">
        <f t="shared" si="50"/>
        <v>0</v>
      </c>
      <c r="GY60" s="2"/>
      <c r="GZ60" s="2"/>
      <c r="HA60" s="2">
        <v>0</v>
      </c>
      <c r="HB60" s="2">
        <v>0</v>
      </c>
      <c r="HC60" s="2">
        <f t="shared" si="51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97</v>
      </c>
      <c r="E61" t="s">
        <v>107</v>
      </c>
      <c r="F61" t="s">
        <v>108</v>
      </c>
      <c r="G61" t="s">
        <v>109</v>
      </c>
      <c r="H61" t="s">
        <v>110</v>
      </c>
      <c r="I61">
        <f>I57*J61</f>
        <v>13.199999999999998</v>
      </c>
      <c r="J61">
        <v>9.9999999999999982</v>
      </c>
      <c r="O61">
        <f t="shared" si="14"/>
        <v>2287.7199999999998</v>
      </c>
      <c r="P61">
        <f t="shared" si="15"/>
        <v>2287.7199999999998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16878660</v>
      </c>
      <c r="AB61">
        <f t="shared" si="25"/>
        <v>25.6</v>
      </c>
      <c r="AC61">
        <f t="shared" si="26"/>
        <v>25.6</v>
      </c>
      <c r="AD61">
        <f>ROUND((((ET61)-(EU61))+AE61),6)</f>
        <v>0</v>
      </c>
      <c r="AE61">
        <f t="shared" si="59"/>
        <v>0</v>
      </c>
      <c r="AF61">
        <f t="shared" si="59"/>
        <v>0</v>
      </c>
      <c r="AG61">
        <f t="shared" si="29"/>
        <v>0</v>
      </c>
      <c r="AH61">
        <f t="shared" si="60"/>
        <v>0</v>
      </c>
      <c r="AI61">
        <f t="shared" si="60"/>
        <v>0</v>
      </c>
      <c r="AJ61">
        <f t="shared" si="31"/>
        <v>0</v>
      </c>
      <c r="AK61">
        <v>25.6</v>
      </c>
      <c r="AL61">
        <v>25.6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106</v>
      </c>
      <c r="AU61">
        <v>54</v>
      </c>
      <c r="AV61">
        <v>1</v>
      </c>
      <c r="AW61">
        <v>1</v>
      </c>
      <c r="AZ61">
        <v>6.77</v>
      </c>
      <c r="BA61">
        <v>1</v>
      </c>
      <c r="BB61">
        <v>1</v>
      </c>
      <c r="BC61">
        <v>6.77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111</v>
      </c>
      <c r="BM61">
        <v>10001</v>
      </c>
      <c r="BN61">
        <v>0</v>
      </c>
      <c r="BO61" t="s">
        <v>6</v>
      </c>
      <c r="BP61">
        <v>0</v>
      </c>
      <c r="BQ61">
        <v>2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118</v>
      </c>
      <c r="CA61">
        <v>63</v>
      </c>
      <c r="CE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32"/>
        <v>2287.7199999999998</v>
      </c>
      <c r="CQ61">
        <f t="shared" si="33"/>
        <v>173.31200000000001</v>
      </c>
      <c r="CR61">
        <f t="shared" si="34"/>
        <v>0</v>
      </c>
      <c r="CS61">
        <f t="shared" si="35"/>
        <v>0</v>
      </c>
      <c r="CT61">
        <f t="shared" si="36"/>
        <v>0</v>
      </c>
      <c r="CU61">
        <f t="shared" si="37"/>
        <v>0</v>
      </c>
      <c r="CV61">
        <f t="shared" si="38"/>
        <v>0</v>
      </c>
      <c r="CW61">
        <f t="shared" si="39"/>
        <v>0</v>
      </c>
      <c r="CX61">
        <f t="shared" si="40"/>
        <v>0</v>
      </c>
      <c r="CY61">
        <f t="shared" si="41"/>
        <v>0</v>
      </c>
      <c r="CZ61">
        <f t="shared" si="4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1003</v>
      </c>
      <c r="DV61" t="s">
        <v>110</v>
      </c>
      <c r="DW61" t="s">
        <v>110</v>
      </c>
      <c r="DX61">
        <v>10</v>
      </c>
      <c r="EE61">
        <v>16510487</v>
      </c>
      <c r="EF61">
        <v>2</v>
      </c>
      <c r="EG61" t="s">
        <v>18</v>
      </c>
      <c r="EH61">
        <v>0</v>
      </c>
      <c r="EI61" t="s">
        <v>6</v>
      </c>
      <c r="EJ61">
        <v>1</v>
      </c>
      <c r="EK61">
        <v>10001</v>
      </c>
      <c r="EL61" t="s">
        <v>43</v>
      </c>
      <c r="EM61" t="s">
        <v>44</v>
      </c>
      <c r="EO61" t="s">
        <v>6</v>
      </c>
      <c r="EQ61">
        <v>0</v>
      </c>
      <c r="ER61">
        <v>25.6</v>
      </c>
      <c r="ES61">
        <v>25.6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43"/>
        <v>0</v>
      </c>
      <c r="FS61">
        <v>0</v>
      </c>
      <c r="FT61" t="s">
        <v>21</v>
      </c>
      <c r="FU61" t="s">
        <v>22</v>
      </c>
      <c r="FX61">
        <v>106.2</v>
      </c>
      <c r="FY61">
        <v>53.55</v>
      </c>
      <c r="GA61" t="s">
        <v>6</v>
      </c>
      <c r="GD61">
        <v>1</v>
      </c>
      <c r="GF61">
        <v>189188006</v>
      </c>
      <c r="GG61">
        <v>1</v>
      </c>
      <c r="GH61">
        <v>1</v>
      </c>
      <c r="GI61">
        <v>4</v>
      </c>
      <c r="GJ61">
        <v>0</v>
      </c>
      <c r="GK61">
        <v>0</v>
      </c>
      <c r="GL61">
        <f t="shared" si="44"/>
        <v>0</v>
      </c>
      <c r="GM61">
        <f t="shared" si="45"/>
        <v>2287.7199999999998</v>
      </c>
      <c r="GN61">
        <f t="shared" si="46"/>
        <v>2287.7199999999998</v>
      </c>
      <c r="GO61">
        <f t="shared" si="47"/>
        <v>0</v>
      </c>
      <c r="GP61">
        <f t="shared" si="48"/>
        <v>0</v>
      </c>
      <c r="GR61">
        <v>0</v>
      </c>
      <c r="GS61">
        <v>3</v>
      </c>
      <c r="GT61">
        <v>0</v>
      </c>
      <c r="GU61" t="s">
        <v>6</v>
      </c>
      <c r="GV61">
        <f t="shared" si="49"/>
        <v>0</v>
      </c>
      <c r="GW61">
        <v>1</v>
      </c>
      <c r="GX61">
        <f t="shared" si="50"/>
        <v>0</v>
      </c>
      <c r="HA61">
        <v>0</v>
      </c>
      <c r="HB61">
        <v>0</v>
      </c>
      <c r="HC61">
        <f t="shared" si="51"/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112</v>
      </c>
      <c r="F62" s="2" t="s">
        <v>113</v>
      </c>
      <c r="G62" s="2" t="s">
        <v>114</v>
      </c>
      <c r="H62" s="2" t="s">
        <v>115</v>
      </c>
      <c r="I62" s="2">
        <v>6</v>
      </c>
      <c r="J62" s="2">
        <v>0</v>
      </c>
      <c r="K62" s="2"/>
      <c r="L62" s="2"/>
      <c r="M62" s="2"/>
      <c r="N62" s="2"/>
      <c r="O62" s="2">
        <f>0</f>
        <v>0</v>
      </c>
      <c r="P62" s="2">
        <f>0</f>
        <v>0</v>
      </c>
      <c r="Q62" s="2">
        <f>0</f>
        <v>0</v>
      </c>
      <c r="R62" s="2">
        <f>0</f>
        <v>0</v>
      </c>
      <c r="S62" s="2">
        <f>0</f>
        <v>0</v>
      </c>
      <c r="T62" s="2">
        <f>0</f>
        <v>0</v>
      </c>
      <c r="U62" s="2">
        <f>0</f>
        <v>0</v>
      </c>
      <c r="V62" s="2">
        <f>0</f>
        <v>0</v>
      </c>
      <c r="W62" s="2">
        <f>0</f>
        <v>0</v>
      </c>
      <c r="X62" s="2">
        <f>0</f>
        <v>0</v>
      </c>
      <c r="Y62" s="2">
        <f>0</f>
        <v>0</v>
      </c>
      <c r="Z62" s="2"/>
      <c r="AA62" s="2">
        <v>16878659</v>
      </c>
      <c r="AB62" s="2">
        <f>ROUND((AK62),6)</f>
        <v>42.98</v>
      </c>
      <c r="AC62" s="2">
        <f>0</f>
        <v>0</v>
      </c>
      <c r="AD62" s="2">
        <f>0</f>
        <v>0</v>
      </c>
      <c r="AE62" s="2">
        <f>0</f>
        <v>0</v>
      </c>
      <c r="AF62" s="2">
        <f>0</f>
        <v>0</v>
      </c>
      <c r="AG62" s="2">
        <f>0</f>
        <v>0</v>
      </c>
      <c r="AH62" s="2">
        <f>0</f>
        <v>0</v>
      </c>
      <c r="AI62" s="2">
        <f>0</f>
        <v>0</v>
      </c>
      <c r="AJ62" s="2">
        <f>0</f>
        <v>0</v>
      </c>
      <c r="AK62" s="2">
        <v>42.98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1</v>
      </c>
      <c r="BJ62" s="2" t="s">
        <v>116</v>
      </c>
      <c r="BK62" s="2"/>
      <c r="BL62" s="2"/>
      <c r="BM62" s="2">
        <v>700004</v>
      </c>
      <c r="BN62" s="2">
        <v>0</v>
      </c>
      <c r="BO62" s="2" t="s">
        <v>6</v>
      </c>
      <c r="BP62" s="2">
        <v>0</v>
      </c>
      <c r="BQ62" s="2">
        <v>19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>AB62*AZ62</f>
        <v>42.98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115</v>
      </c>
      <c r="DW62" s="2" t="s">
        <v>115</v>
      </c>
      <c r="DX62" s="2">
        <v>1</v>
      </c>
      <c r="DY62" s="2"/>
      <c r="DZ62" s="2"/>
      <c r="EA62" s="2"/>
      <c r="EB62" s="2"/>
      <c r="EC62" s="2"/>
      <c r="ED62" s="2"/>
      <c r="EE62" s="2">
        <v>16510675</v>
      </c>
      <c r="EF62" s="2">
        <v>19</v>
      </c>
      <c r="EG62" s="2" t="s">
        <v>117</v>
      </c>
      <c r="EH62" s="2">
        <v>0</v>
      </c>
      <c r="EI62" s="2" t="s">
        <v>6</v>
      </c>
      <c r="EJ62" s="2">
        <v>1</v>
      </c>
      <c r="EK62" s="2">
        <v>700004</v>
      </c>
      <c r="EL62" s="2" t="s">
        <v>118</v>
      </c>
      <c r="EM62" s="2" t="s">
        <v>119</v>
      </c>
      <c r="EN62" s="2"/>
      <c r="EO62" s="2" t="s">
        <v>6</v>
      </c>
      <c r="EP62" s="2"/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1</v>
      </c>
      <c r="GE62" s="2"/>
      <c r="GF62" s="2">
        <v>811861299</v>
      </c>
      <c r="GG62" s="2">
        <v>2</v>
      </c>
      <c r="GH62" s="2">
        <v>1</v>
      </c>
      <c r="GI62" s="2">
        <v>-2</v>
      </c>
      <c r="GJ62" s="2">
        <v>2</v>
      </c>
      <c r="GK62" s="2">
        <v>0</v>
      </c>
      <c r="GL62" s="2">
        <f t="shared" si="44"/>
        <v>0</v>
      </c>
      <c r="GM62" s="2">
        <f>ROUND(CP62*I62,2)</f>
        <v>257.88</v>
      </c>
      <c r="GN62" s="2">
        <f>IF(OR(BI62=0,BI62=1),ROUND(CP62*I62,2),0)</f>
        <v>257.88</v>
      </c>
      <c r="GO62" s="2">
        <f>IF(BI62=2,ROUND(CP62*I62,2),0)</f>
        <v>0</v>
      </c>
      <c r="GP62" s="2">
        <f>IF(BI62=4,ROUND(CP62*I62,2)+GX62,0)</f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>0</f>
        <v>0</v>
      </c>
      <c r="GW62" s="2">
        <v>1</v>
      </c>
      <c r="GX62" s="2">
        <f>0</f>
        <v>0</v>
      </c>
      <c r="GY62" s="2"/>
      <c r="GZ62" s="2"/>
      <c r="HA62" s="2">
        <v>0</v>
      </c>
      <c r="HB62" s="2">
        <v>0</v>
      </c>
      <c r="HC62" s="2"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112</v>
      </c>
      <c r="F63" t="s">
        <v>113</v>
      </c>
      <c r="G63" t="s">
        <v>114</v>
      </c>
      <c r="H63" t="s">
        <v>115</v>
      </c>
      <c r="I63">
        <v>6</v>
      </c>
      <c r="J63">
        <v>0</v>
      </c>
      <c r="O63">
        <f>0</f>
        <v>0</v>
      </c>
      <c r="P63">
        <f>0</f>
        <v>0</v>
      </c>
      <c r="Q63">
        <f>0</f>
        <v>0</v>
      </c>
      <c r="R63">
        <f>0</f>
        <v>0</v>
      </c>
      <c r="S63">
        <f>0</f>
        <v>0</v>
      </c>
      <c r="T63">
        <f>0</f>
        <v>0</v>
      </c>
      <c r="U63">
        <f>0</f>
        <v>0</v>
      </c>
      <c r="V63">
        <f>0</f>
        <v>0</v>
      </c>
      <c r="W63">
        <f>0</f>
        <v>0</v>
      </c>
      <c r="X63">
        <f>0</f>
        <v>0</v>
      </c>
      <c r="Y63">
        <f>0</f>
        <v>0</v>
      </c>
      <c r="AA63">
        <v>16878660</v>
      </c>
      <c r="AB63">
        <f>ROUND((AK63),6)</f>
        <v>42.98</v>
      </c>
      <c r="AC63">
        <f>0</f>
        <v>0</v>
      </c>
      <c r="AD63">
        <f>0</f>
        <v>0</v>
      </c>
      <c r="AE63">
        <f>0</f>
        <v>0</v>
      </c>
      <c r="AF63">
        <f>0</f>
        <v>0</v>
      </c>
      <c r="AG63">
        <f>0</f>
        <v>0</v>
      </c>
      <c r="AH63">
        <f>0</f>
        <v>0</v>
      </c>
      <c r="AI63">
        <f>0</f>
        <v>0</v>
      </c>
      <c r="AJ63">
        <f>0</f>
        <v>0</v>
      </c>
      <c r="AK63">
        <v>42.98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6.77</v>
      </c>
      <c r="BA63">
        <v>1</v>
      </c>
      <c r="BB63">
        <v>1</v>
      </c>
      <c r="BC63">
        <v>1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1</v>
      </c>
      <c r="BJ63" t="s">
        <v>116</v>
      </c>
      <c r="BM63">
        <v>700004</v>
      </c>
      <c r="BN63">
        <v>0</v>
      </c>
      <c r="BO63" t="s">
        <v>6</v>
      </c>
      <c r="BP63">
        <v>0</v>
      </c>
      <c r="BQ63">
        <v>19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E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>AB63*AZ63</f>
        <v>290.97459999999995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115</v>
      </c>
      <c r="DW63" t="s">
        <v>115</v>
      </c>
      <c r="DX63">
        <v>1</v>
      </c>
      <c r="EE63">
        <v>16510675</v>
      </c>
      <c r="EF63">
        <v>19</v>
      </c>
      <c r="EG63" t="s">
        <v>117</v>
      </c>
      <c r="EH63">
        <v>0</v>
      </c>
      <c r="EI63" t="s">
        <v>6</v>
      </c>
      <c r="EJ63">
        <v>1</v>
      </c>
      <c r="EK63">
        <v>700004</v>
      </c>
      <c r="EL63" t="s">
        <v>118</v>
      </c>
      <c r="EM63" t="s">
        <v>119</v>
      </c>
      <c r="EO63" t="s">
        <v>6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FQ63">
        <v>0</v>
      </c>
      <c r="FR63">
        <f t="shared" si="43"/>
        <v>0</v>
      </c>
      <c r="FS63">
        <v>0</v>
      </c>
      <c r="FX63">
        <v>0</v>
      </c>
      <c r="FY63">
        <v>0</v>
      </c>
      <c r="GA63" t="s">
        <v>6</v>
      </c>
      <c r="GD63">
        <v>1</v>
      </c>
      <c r="GF63">
        <v>811861299</v>
      </c>
      <c r="GG63">
        <v>1</v>
      </c>
      <c r="GH63">
        <v>1</v>
      </c>
      <c r="GI63">
        <v>4</v>
      </c>
      <c r="GJ63">
        <v>2</v>
      </c>
      <c r="GK63">
        <v>0</v>
      </c>
      <c r="GL63">
        <f t="shared" si="44"/>
        <v>0</v>
      </c>
      <c r="GM63">
        <f>ROUND(CP63*I63,2)</f>
        <v>1745.85</v>
      </c>
      <c r="GN63">
        <f>IF(OR(BI63=0,BI63=1),ROUND(CP63*I63,2),0)</f>
        <v>1745.85</v>
      </c>
      <c r="GO63">
        <f>IF(BI63=2,ROUND(CP63*I63,2),0)</f>
        <v>0</v>
      </c>
      <c r="GP63">
        <f>IF(BI63=4,ROUND(CP63*I63,2)+GX63,0)</f>
        <v>0</v>
      </c>
      <c r="GR63">
        <v>0</v>
      </c>
      <c r="GS63">
        <v>3</v>
      </c>
      <c r="GT63">
        <v>0</v>
      </c>
      <c r="GU63" t="s">
        <v>6</v>
      </c>
      <c r="GV63">
        <f>0</f>
        <v>0</v>
      </c>
      <c r="GW63">
        <v>1</v>
      </c>
      <c r="GX63">
        <f>0</f>
        <v>0</v>
      </c>
      <c r="HA63">
        <v>0</v>
      </c>
      <c r="HB63">
        <v>0</v>
      </c>
      <c r="HC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120</v>
      </c>
      <c r="F64" s="2" t="s">
        <v>121</v>
      </c>
      <c r="G64" s="2" t="s">
        <v>122</v>
      </c>
      <c r="H64" s="2" t="s">
        <v>115</v>
      </c>
      <c r="I64" s="2">
        <v>6</v>
      </c>
      <c r="J64" s="2">
        <v>0</v>
      </c>
      <c r="K64" s="2"/>
      <c r="L64" s="2"/>
      <c r="M64" s="2"/>
      <c r="N64" s="2"/>
      <c r="O64" s="2">
        <f>0</f>
        <v>0</v>
      </c>
      <c r="P64" s="2">
        <f>0</f>
        <v>0</v>
      </c>
      <c r="Q64" s="2">
        <f>0</f>
        <v>0</v>
      </c>
      <c r="R64" s="2">
        <f>0</f>
        <v>0</v>
      </c>
      <c r="S64" s="2">
        <f>0</f>
        <v>0</v>
      </c>
      <c r="T64" s="2">
        <f>0</f>
        <v>0</v>
      </c>
      <c r="U64" s="2">
        <f>0</f>
        <v>0</v>
      </c>
      <c r="V64" s="2">
        <f>0</f>
        <v>0</v>
      </c>
      <c r="W64" s="2">
        <f>0</f>
        <v>0</v>
      </c>
      <c r="X64" s="2">
        <f>0</f>
        <v>0</v>
      </c>
      <c r="Y64" s="2">
        <f>0</f>
        <v>0</v>
      </c>
      <c r="Z64" s="2"/>
      <c r="AA64" s="2">
        <v>16878659</v>
      </c>
      <c r="AB64" s="2">
        <f>ROUND((AK64),6)</f>
        <v>39.15</v>
      </c>
      <c r="AC64" s="2">
        <f>0</f>
        <v>0</v>
      </c>
      <c r="AD64" s="2">
        <f>0</f>
        <v>0</v>
      </c>
      <c r="AE64" s="2">
        <f>0</f>
        <v>0</v>
      </c>
      <c r="AF64" s="2">
        <f>0</f>
        <v>0</v>
      </c>
      <c r="AG64" s="2">
        <f>0</f>
        <v>0</v>
      </c>
      <c r="AH64" s="2">
        <f>0</f>
        <v>0</v>
      </c>
      <c r="AI64" s="2">
        <f>0</f>
        <v>0</v>
      </c>
      <c r="AJ64" s="2">
        <f>0</f>
        <v>0</v>
      </c>
      <c r="AK64" s="2">
        <v>39.15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0</v>
      </c>
      <c r="BI64" s="2">
        <v>1</v>
      </c>
      <c r="BJ64" s="2" t="s">
        <v>123</v>
      </c>
      <c r="BK64" s="2"/>
      <c r="BL64" s="2"/>
      <c r="BM64" s="2">
        <v>700005</v>
      </c>
      <c r="BN64" s="2">
        <v>0</v>
      </c>
      <c r="BO64" s="2" t="s">
        <v>6</v>
      </c>
      <c r="BP64" s="2">
        <v>0</v>
      </c>
      <c r="BQ64" s="2">
        <v>10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>AB64*AZ64</f>
        <v>39.15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16510679</v>
      </c>
      <c r="EF64" s="2">
        <v>10</v>
      </c>
      <c r="EG64" s="2" t="s">
        <v>124</v>
      </c>
      <c r="EH64" s="2">
        <v>0</v>
      </c>
      <c r="EI64" s="2" t="s">
        <v>6</v>
      </c>
      <c r="EJ64" s="2">
        <v>1</v>
      </c>
      <c r="EK64" s="2">
        <v>700005</v>
      </c>
      <c r="EL64" s="2" t="s">
        <v>125</v>
      </c>
      <c r="EM64" s="2" t="s">
        <v>126</v>
      </c>
      <c r="EN64" s="2"/>
      <c r="EO64" s="2" t="s">
        <v>6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1</v>
      </c>
      <c r="GE64" s="2"/>
      <c r="GF64" s="2">
        <v>1620404983</v>
      </c>
      <c r="GG64" s="2">
        <v>2</v>
      </c>
      <c r="GH64" s="2">
        <v>1</v>
      </c>
      <c r="GI64" s="2">
        <v>-2</v>
      </c>
      <c r="GJ64" s="2">
        <v>2</v>
      </c>
      <c r="GK64" s="2">
        <v>0</v>
      </c>
      <c r="GL64" s="2">
        <f t="shared" si="44"/>
        <v>0</v>
      </c>
      <c r="GM64" s="2">
        <f>ROUND(CP64*I64,2)</f>
        <v>234.9</v>
      </c>
      <c r="GN64" s="2">
        <f>IF(OR(BI64=0,BI64=1),ROUND(CP64*I64,2),0)</f>
        <v>234.9</v>
      </c>
      <c r="GO64" s="2">
        <f>IF(BI64=2,ROUND(CP64*I64,2),0)</f>
        <v>0</v>
      </c>
      <c r="GP64" s="2">
        <f>IF(BI64=4,ROUND(CP64*I64,2)+GX64,0)</f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>0</f>
        <v>0</v>
      </c>
      <c r="GW64" s="2">
        <v>1</v>
      </c>
      <c r="GX64" s="2">
        <f>0</f>
        <v>0</v>
      </c>
      <c r="GY64" s="2"/>
      <c r="GZ64" s="2"/>
      <c r="HA64" s="2">
        <v>0</v>
      </c>
      <c r="HB64" s="2">
        <v>0</v>
      </c>
      <c r="HC64" s="2"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45" x14ac:dyDescent="0.2">
      <c r="A65">
        <v>17</v>
      </c>
      <c r="B65">
        <v>1</v>
      </c>
      <c r="E65" t="s">
        <v>120</v>
      </c>
      <c r="F65" t="s">
        <v>121</v>
      </c>
      <c r="G65" t="s">
        <v>122</v>
      </c>
      <c r="H65" t="s">
        <v>115</v>
      </c>
      <c r="I65">
        <v>6</v>
      </c>
      <c r="J65">
        <v>0</v>
      </c>
      <c r="O65">
        <f>0</f>
        <v>0</v>
      </c>
      <c r="P65">
        <f>0</f>
        <v>0</v>
      </c>
      <c r="Q65">
        <f>0</f>
        <v>0</v>
      </c>
      <c r="R65">
        <f>0</f>
        <v>0</v>
      </c>
      <c r="S65">
        <f>0</f>
        <v>0</v>
      </c>
      <c r="T65">
        <f>0</f>
        <v>0</v>
      </c>
      <c r="U65">
        <f>0</f>
        <v>0</v>
      </c>
      <c r="V65">
        <f>0</f>
        <v>0</v>
      </c>
      <c r="W65">
        <f>0</f>
        <v>0</v>
      </c>
      <c r="X65">
        <f>0</f>
        <v>0</v>
      </c>
      <c r="Y65">
        <f>0</f>
        <v>0</v>
      </c>
      <c r="AA65">
        <v>16878660</v>
      </c>
      <c r="AB65">
        <f>ROUND((AK65),6)</f>
        <v>39.15</v>
      </c>
      <c r="AC65">
        <f>0</f>
        <v>0</v>
      </c>
      <c r="AD65">
        <f>0</f>
        <v>0</v>
      </c>
      <c r="AE65">
        <f>0</f>
        <v>0</v>
      </c>
      <c r="AF65">
        <f>0</f>
        <v>0</v>
      </c>
      <c r="AG65">
        <f>0</f>
        <v>0</v>
      </c>
      <c r="AH65">
        <f>0</f>
        <v>0</v>
      </c>
      <c r="AI65">
        <f>0</f>
        <v>0</v>
      </c>
      <c r="AJ65">
        <f>0</f>
        <v>0</v>
      </c>
      <c r="AK65">
        <v>39.15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6.77</v>
      </c>
      <c r="BA65">
        <v>1</v>
      </c>
      <c r="BB65">
        <v>1</v>
      </c>
      <c r="BC65">
        <v>1</v>
      </c>
      <c r="BD65" t="s">
        <v>6</v>
      </c>
      <c r="BE65" t="s">
        <v>6</v>
      </c>
      <c r="BF65" t="s">
        <v>6</v>
      </c>
      <c r="BG65" t="s">
        <v>6</v>
      </c>
      <c r="BH65">
        <v>0</v>
      </c>
      <c r="BI65">
        <v>1</v>
      </c>
      <c r="BJ65" t="s">
        <v>123</v>
      </c>
      <c r="BM65">
        <v>700005</v>
      </c>
      <c r="BN65">
        <v>0</v>
      </c>
      <c r="BO65" t="s">
        <v>6</v>
      </c>
      <c r="BP65">
        <v>0</v>
      </c>
      <c r="BQ65">
        <v>10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E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>AB65*AZ65</f>
        <v>265.04549999999995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115</v>
      </c>
      <c r="DW65" t="s">
        <v>115</v>
      </c>
      <c r="DX65">
        <v>1</v>
      </c>
      <c r="EE65">
        <v>16510679</v>
      </c>
      <c r="EF65">
        <v>10</v>
      </c>
      <c r="EG65" t="s">
        <v>124</v>
      </c>
      <c r="EH65">
        <v>0</v>
      </c>
      <c r="EI65" t="s">
        <v>6</v>
      </c>
      <c r="EJ65">
        <v>1</v>
      </c>
      <c r="EK65">
        <v>700005</v>
      </c>
      <c r="EL65" t="s">
        <v>125</v>
      </c>
      <c r="EM65" t="s">
        <v>126</v>
      </c>
      <c r="EO65" t="s">
        <v>6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FQ65">
        <v>0</v>
      </c>
      <c r="FR65">
        <f t="shared" si="43"/>
        <v>0</v>
      </c>
      <c r="FS65">
        <v>0</v>
      </c>
      <c r="FX65">
        <v>0</v>
      </c>
      <c r="FY65">
        <v>0</v>
      </c>
      <c r="GA65" t="s">
        <v>6</v>
      </c>
      <c r="GD65">
        <v>1</v>
      </c>
      <c r="GF65">
        <v>1620404983</v>
      </c>
      <c r="GG65">
        <v>1</v>
      </c>
      <c r="GH65">
        <v>1</v>
      </c>
      <c r="GI65">
        <v>4</v>
      </c>
      <c r="GJ65">
        <v>2</v>
      </c>
      <c r="GK65">
        <v>0</v>
      </c>
      <c r="GL65">
        <f t="shared" si="44"/>
        <v>0</v>
      </c>
      <c r="GM65">
        <f>ROUND(CP65*I65,2)</f>
        <v>1590.27</v>
      </c>
      <c r="GN65">
        <f>IF(OR(BI65=0,BI65=1),ROUND(CP65*I65,2),0)</f>
        <v>1590.27</v>
      </c>
      <c r="GO65">
        <f>IF(BI65=2,ROUND(CP65*I65,2),0)</f>
        <v>0</v>
      </c>
      <c r="GP65">
        <f>IF(BI65=4,ROUND(CP65*I65,2)+GX65,0)</f>
        <v>0</v>
      </c>
      <c r="GR65">
        <v>0</v>
      </c>
      <c r="GS65">
        <v>3</v>
      </c>
      <c r="GT65">
        <v>0</v>
      </c>
      <c r="GU65" t="s">
        <v>6</v>
      </c>
      <c r="GV65">
        <f>0</f>
        <v>0</v>
      </c>
      <c r="GW65">
        <v>1</v>
      </c>
      <c r="GX65">
        <f>0</f>
        <v>0</v>
      </c>
      <c r="HA65">
        <v>0</v>
      </c>
      <c r="HB65">
        <v>0</v>
      </c>
      <c r="HC65">
        <v>0</v>
      </c>
      <c r="IK65">
        <v>0</v>
      </c>
    </row>
    <row r="67" spans="1:245" x14ac:dyDescent="0.2">
      <c r="A67" s="3">
        <v>51</v>
      </c>
      <c r="B67" s="3">
        <f>B20</f>
        <v>1</v>
      </c>
      <c r="C67" s="3">
        <f>A20</f>
        <v>3</v>
      </c>
      <c r="D67" s="3">
        <f>ROW(A20)</f>
        <v>20</v>
      </c>
      <c r="E67" s="3"/>
      <c r="F67" s="3" t="str">
        <f>IF(F20&lt;&gt;"",F20,"")</f>
        <v>Новая локальная смета</v>
      </c>
      <c r="G67" s="3" t="str">
        <f>IF(G20&lt;&gt;"",G20,"")</f>
        <v>Новая локальная смета</v>
      </c>
      <c r="H67" s="3">
        <v>0</v>
      </c>
      <c r="I67" s="3"/>
      <c r="J67" s="3"/>
      <c r="K67" s="3"/>
      <c r="L67" s="3"/>
      <c r="M67" s="3"/>
      <c r="N67" s="3"/>
      <c r="O67" s="3">
        <f t="shared" ref="O67:T67" si="61">ROUND(AB67,2)</f>
        <v>17461.79</v>
      </c>
      <c r="P67" s="3">
        <f t="shared" si="61"/>
        <v>13458.95</v>
      </c>
      <c r="Q67" s="3">
        <f t="shared" si="61"/>
        <v>510.83</v>
      </c>
      <c r="R67" s="3">
        <f t="shared" si="61"/>
        <v>148.88999999999999</v>
      </c>
      <c r="S67" s="3">
        <f t="shared" si="61"/>
        <v>3492.01</v>
      </c>
      <c r="T67" s="3">
        <f t="shared" si="61"/>
        <v>0</v>
      </c>
      <c r="U67" s="3">
        <f>AH67</f>
        <v>410.95948199999992</v>
      </c>
      <c r="V67" s="3">
        <f>AI67</f>
        <v>11.610885</v>
      </c>
      <c r="W67" s="3">
        <f>ROUND(AJ67,2)</f>
        <v>0</v>
      </c>
      <c r="X67" s="3">
        <f>ROUND(AK67,2)</f>
        <v>3663.95</v>
      </c>
      <c r="Y67" s="3">
        <f>ROUND(AL67,2)</f>
        <v>2019.17</v>
      </c>
      <c r="Z67" s="3"/>
      <c r="AA67" s="3"/>
      <c r="AB67" s="3">
        <f>ROUND(SUMIF(AA24:AA65,"=16878659",O24:O65),2)</f>
        <v>17461.79</v>
      </c>
      <c r="AC67" s="3">
        <f>ROUND(SUMIF(AA24:AA65,"=16878659",P24:P65),2)</f>
        <v>13458.95</v>
      </c>
      <c r="AD67" s="3">
        <f>ROUND(SUMIF(AA24:AA65,"=16878659",Q24:Q65),2)</f>
        <v>510.83</v>
      </c>
      <c r="AE67" s="3">
        <f>ROUND(SUMIF(AA24:AA65,"=16878659",R24:R65),2)</f>
        <v>148.88999999999999</v>
      </c>
      <c r="AF67" s="3">
        <f>ROUND(SUMIF(AA24:AA65,"=16878659",S24:S65),2)</f>
        <v>3492.01</v>
      </c>
      <c r="AG67" s="3">
        <f>ROUND(SUMIF(AA24:AA65,"=16878659",T24:T65),2)</f>
        <v>0</v>
      </c>
      <c r="AH67" s="3">
        <f>SUMIF(AA24:AA65,"=16878659",U24:U65)</f>
        <v>410.95948199999992</v>
      </c>
      <c r="AI67" s="3">
        <f>SUMIF(AA24:AA65,"=16878659",V24:V65)</f>
        <v>11.610885</v>
      </c>
      <c r="AJ67" s="3">
        <f>ROUND(SUMIF(AA24:AA65,"=16878659",W24:W65),2)</f>
        <v>0</v>
      </c>
      <c r="AK67" s="3">
        <f>ROUND(SUMIF(AA24:AA65,"=16878659",X24:X65),2)</f>
        <v>3663.95</v>
      </c>
      <c r="AL67" s="3">
        <f>ROUND(SUMIF(AA24:AA65,"=16878659",Y24:Y65),2)</f>
        <v>2019.17</v>
      </c>
      <c r="AM67" s="3"/>
      <c r="AN67" s="3"/>
      <c r="AO67" s="3">
        <f t="shared" ref="AO67:BC67" si="62">ROUND(BX67,2)</f>
        <v>0</v>
      </c>
      <c r="AP67" s="3">
        <f t="shared" si="62"/>
        <v>0</v>
      </c>
      <c r="AQ67" s="3">
        <f t="shared" si="62"/>
        <v>0</v>
      </c>
      <c r="AR67" s="3">
        <f t="shared" si="62"/>
        <v>23637.69</v>
      </c>
      <c r="AS67" s="3">
        <f t="shared" si="62"/>
        <v>23637.69</v>
      </c>
      <c r="AT67" s="3">
        <f t="shared" si="62"/>
        <v>0</v>
      </c>
      <c r="AU67" s="3">
        <f t="shared" si="62"/>
        <v>0</v>
      </c>
      <c r="AV67" s="3">
        <f t="shared" si="62"/>
        <v>13458.95</v>
      </c>
      <c r="AW67" s="3">
        <f t="shared" si="62"/>
        <v>13458.95</v>
      </c>
      <c r="AX67" s="3">
        <f t="shared" si="62"/>
        <v>0</v>
      </c>
      <c r="AY67" s="3">
        <f t="shared" si="62"/>
        <v>13458.95</v>
      </c>
      <c r="AZ67" s="3">
        <f t="shared" si="62"/>
        <v>0</v>
      </c>
      <c r="BA67" s="3">
        <f t="shared" si="62"/>
        <v>0</v>
      </c>
      <c r="BB67" s="3">
        <f t="shared" si="62"/>
        <v>0</v>
      </c>
      <c r="BC67" s="3">
        <f t="shared" si="62"/>
        <v>0</v>
      </c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>
        <f>ROUND(SUMIF(AA24:AA65,"=16878659",FQ24:FQ65),2)</f>
        <v>0</v>
      </c>
      <c r="BY67" s="3">
        <f>ROUND(SUMIF(AA24:AA65,"=16878659",FR24:FR65),2)</f>
        <v>0</v>
      </c>
      <c r="BZ67" s="3">
        <f>ROUND(SUMIF(AA24:AA65,"=16878659",GL24:GL65),2)</f>
        <v>0</v>
      </c>
      <c r="CA67" s="3">
        <f>ROUND(SUMIF(AA24:AA65,"=16878659",GM24:GM65),2)</f>
        <v>23637.69</v>
      </c>
      <c r="CB67" s="3">
        <f>ROUND(SUMIF(AA24:AA65,"=16878659",GN24:GN65),2)</f>
        <v>23637.69</v>
      </c>
      <c r="CC67" s="3">
        <f>ROUND(SUMIF(AA24:AA65,"=16878659",GO24:GO65),2)</f>
        <v>0</v>
      </c>
      <c r="CD67" s="3">
        <f>ROUND(SUMIF(AA24:AA65,"=16878659",GP24:GP65),2)</f>
        <v>0</v>
      </c>
      <c r="CE67" s="3">
        <f>AC67-BX67</f>
        <v>13458.95</v>
      </c>
      <c r="CF67" s="3">
        <f>AC67-BY67</f>
        <v>13458.95</v>
      </c>
      <c r="CG67" s="3">
        <f>BX67-BZ67</f>
        <v>0</v>
      </c>
      <c r="CH67" s="3">
        <f>AC67-BX67-BY67+BZ67</f>
        <v>13458.95</v>
      </c>
      <c r="CI67" s="3">
        <f>BY67-BZ67</f>
        <v>0</v>
      </c>
      <c r="CJ67" s="3">
        <f>ROUND(SUMIF(AA24:AA65,"=16878659",GX24:GX65),2)</f>
        <v>0</v>
      </c>
      <c r="CK67" s="3">
        <f>ROUND(SUMIF(AA24:AA65,"=16878659",GY24:GY65),2)</f>
        <v>0</v>
      </c>
      <c r="CL67" s="3">
        <f>ROUND(SUMIF(AA24:AA65,"=16878659",GZ24:GZ65),2)</f>
        <v>0</v>
      </c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4">
        <f t="shared" ref="DG67:DL67" si="63">ROUND(DT67,2)</f>
        <v>537767.79</v>
      </c>
      <c r="DH67" s="4">
        <f t="shared" si="63"/>
        <v>510668.51</v>
      </c>
      <c r="DI67" s="4">
        <f t="shared" si="63"/>
        <v>3458.35</v>
      </c>
      <c r="DJ67" s="4">
        <f t="shared" si="63"/>
        <v>1007.94</v>
      </c>
      <c r="DK67" s="4">
        <f t="shared" si="63"/>
        <v>23640.93</v>
      </c>
      <c r="DL67" s="4">
        <f t="shared" si="63"/>
        <v>0</v>
      </c>
      <c r="DM67" s="4">
        <f>DZ67</f>
        <v>410.95948199999992</v>
      </c>
      <c r="DN67" s="4">
        <f>EA67</f>
        <v>11.610885</v>
      </c>
      <c r="DO67" s="4">
        <f>ROUND(EB67,2)</f>
        <v>0</v>
      </c>
      <c r="DP67" s="4">
        <f>ROUND(EC67,2)</f>
        <v>24804.9</v>
      </c>
      <c r="DQ67" s="4">
        <f>ROUND(ED67,2)</f>
        <v>13669.72</v>
      </c>
      <c r="DR67" s="4"/>
      <c r="DS67" s="4"/>
      <c r="DT67" s="4">
        <f>ROUND(SUMIF(AA24:AA65,"=16878660",O24:O65),2)</f>
        <v>537767.79</v>
      </c>
      <c r="DU67" s="4">
        <f>ROUND(SUMIF(AA24:AA65,"=16878660",P24:P65),2)</f>
        <v>510668.51</v>
      </c>
      <c r="DV67" s="4">
        <f>ROUND(SUMIF(AA24:AA65,"=16878660",Q24:Q65),2)</f>
        <v>3458.35</v>
      </c>
      <c r="DW67" s="4">
        <f>ROUND(SUMIF(AA24:AA65,"=16878660",R24:R65),2)</f>
        <v>1007.94</v>
      </c>
      <c r="DX67" s="4">
        <f>ROUND(SUMIF(AA24:AA65,"=16878660",S24:S65),2)</f>
        <v>23640.93</v>
      </c>
      <c r="DY67" s="4">
        <f>ROUND(SUMIF(AA24:AA65,"=16878660",T24:T65),2)</f>
        <v>0</v>
      </c>
      <c r="DZ67" s="4">
        <f>SUMIF(AA24:AA65,"=16878660",U24:U65)</f>
        <v>410.95948199999992</v>
      </c>
      <c r="EA67" s="4">
        <f>SUMIF(AA24:AA65,"=16878660",V24:V65)</f>
        <v>11.610885</v>
      </c>
      <c r="EB67" s="4">
        <f>ROUND(SUMIF(AA24:AA65,"=16878660",W24:W65),2)</f>
        <v>0</v>
      </c>
      <c r="EC67" s="4">
        <f>ROUND(SUMIF(AA24:AA65,"=16878660",X24:X65),2)</f>
        <v>24804.9</v>
      </c>
      <c r="ED67" s="4">
        <f>ROUND(SUMIF(AA24:AA65,"=16878660",Y24:Y65),2)</f>
        <v>13669.72</v>
      </c>
      <c r="EE67" s="4"/>
      <c r="EF67" s="4"/>
      <c r="EG67" s="4">
        <f t="shared" ref="EG67:EU67" si="64">ROUND(FP67,2)</f>
        <v>0</v>
      </c>
      <c r="EH67" s="4">
        <f t="shared" si="64"/>
        <v>0</v>
      </c>
      <c r="EI67" s="4">
        <f t="shared" si="64"/>
        <v>0</v>
      </c>
      <c r="EJ67" s="4">
        <f t="shared" si="64"/>
        <v>579578.53</v>
      </c>
      <c r="EK67" s="4">
        <f t="shared" si="64"/>
        <v>579578.53</v>
      </c>
      <c r="EL67" s="4">
        <f t="shared" si="64"/>
        <v>0</v>
      </c>
      <c r="EM67" s="4">
        <f t="shared" si="64"/>
        <v>0</v>
      </c>
      <c r="EN67" s="4">
        <f t="shared" si="64"/>
        <v>510668.51</v>
      </c>
      <c r="EO67" s="4">
        <f t="shared" si="64"/>
        <v>510668.51</v>
      </c>
      <c r="EP67" s="4">
        <f t="shared" si="64"/>
        <v>0</v>
      </c>
      <c r="EQ67" s="4">
        <f t="shared" si="64"/>
        <v>510668.51</v>
      </c>
      <c r="ER67" s="4">
        <f t="shared" si="64"/>
        <v>0</v>
      </c>
      <c r="ES67" s="4">
        <f t="shared" si="64"/>
        <v>0</v>
      </c>
      <c r="ET67" s="4">
        <f t="shared" si="64"/>
        <v>0</v>
      </c>
      <c r="EU67" s="4">
        <f t="shared" si="64"/>
        <v>0</v>
      </c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>
        <f>ROUND(SUMIF(AA24:AA65,"=16878660",FQ24:FQ65),2)</f>
        <v>0</v>
      </c>
      <c r="FQ67" s="4">
        <f>ROUND(SUMIF(AA24:AA65,"=16878660",FR24:FR65),2)</f>
        <v>0</v>
      </c>
      <c r="FR67" s="4">
        <f>ROUND(SUMIF(AA24:AA65,"=16878660",GL24:GL65),2)</f>
        <v>0</v>
      </c>
      <c r="FS67" s="4">
        <f>ROUND(SUMIF(AA24:AA65,"=16878660",GM24:GM65),2)</f>
        <v>579578.53</v>
      </c>
      <c r="FT67" s="4">
        <f>ROUND(SUMIF(AA24:AA65,"=16878660",GN24:GN65),2)</f>
        <v>579578.53</v>
      </c>
      <c r="FU67" s="4">
        <f>ROUND(SUMIF(AA24:AA65,"=16878660",GO24:GO65),2)</f>
        <v>0</v>
      </c>
      <c r="FV67" s="4">
        <f>ROUND(SUMIF(AA24:AA65,"=16878660",GP24:GP65),2)</f>
        <v>0</v>
      </c>
      <c r="FW67" s="4">
        <f>DU67-FP67</f>
        <v>510668.51</v>
      </c>
      <c r="FX67" s="4">
        <f>DU67-FQ67</f>
        <v>510668.51</v>
      </c>
      <c r="FY67" s="4">
        <f>FP67-FR67</f>
        <v>0</v>
      </c>
      <c r="FZ67" s="4">
        <f>DU67-FP67-FQ67+FR67</f>
        <v>510668.51</v>
      </c>
      <c r="GA67" s="4">
        <f>FQ67-FR67</f>
        <v>0</v>
      </c>
      <c r="GB67" s="4">
        <f>ROUND(SUMIF(AA24:AA65,"=16878660",GX24:GX65),2)</f>
        <v>0</v>
      </c>
      <c r="GC67" s="4">
        <f>ROUND(SUMIF(AA24:AA65,"=16878660",GY24:GY65),2)</f>
        <v>0</v>
      </c>
      <c r="GD67" s="4">
        <f>ROUND(SUMIF(AA24:AA65,"=16878660",GZ24:GZ65),2)</f>
        <v>0</v>
      </c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>
        <v>0</v>
      </c>
    </row>
    <row r="69" spans="1:245" x14ac:dyDescent="0.2">
      <c r="A69" s="5">
        <v>50</v>
      </c>
      <c r="B69" s="5">
        <v>0</v>
      </c>
      <c r="C69" s="5">
        <v>0</v>
      </c>
      <c r="D69" s="5">
        <v>1</v>
      </c>
      <c r="E69" s="5">
        <v>201</v>
      </c>
      <c r="F69" s="5">
        <f>ROUND(Source!O67,O69)</f>
        <v>17461.79</v>
      </c>
      <c r="G69" s="5" t="s">
        <v>127</v>
      </c>
      <c r="H69" s="5" t="s">
        <v>128</v>
      </c>
      <c r="I69" s="5"/>
      <c r="J69" s="5"/>
      <c r="K69" s="5">
        <v>201</v>
      </c>
      <c r="L69" s="5">
        <v>1</v>
      </c>
      <c r="M69" s="5">
        <v>3</v>
      </c>
      <c r="N69" s="5" t="s">
        <v>6</v>
      </c>
      <c r="O69" s="5">
        <v>2</v>
      </c>
      <c r="P69" s="5">
        <f>ROUND(Source!DG67,O69)</f>
        <v>537767.79</v>
      </c>
      <c r="Q69" s="5"/>
      <c r="R69" s="5"/>
      <c r="S69" s="5"/>
      <c r="T69" s="5"/>
      <c r="U69" s="5"/>
      <c r="V69" s="5"/>
      <c r="W69" s="5"/>
    </row>
    <row r="70" spans="1:245" x14ac:dyDescent="0.2">
      <c r="A70" s="5">
        <v>50</v>
      </c>
      <c r="B70" s="5">
        <v>0</v>
      </c>
      <c r="C70" s="5">
        <v>0</v>
      </c>
      <c r="D70" s="5">
        <v>1</v>
      </c>
      <c r="E70" s="5">
        <v>202</v>
      </c>
      <c r="F70" s="5">
        <f>ROUND(Source!P67,O70)</f>
        <v>13458.95</v>
      </c>
      <c r="G70" s="5" t="s">
        <v>129</v>
      </c>
      <c r="H70" s="5" t="s">
        <v>130</v>
      </c>
      <c r="I70" s="5"/>
      <c r="J70" s="5"/>
      <c r="K70" s="5">
        <v>202</v>
      </c>
      <c r="L70" s="5">
        <v>2</v>
      </c>
      <c r="M70" s="5">
        <v>3</v>
      </c>
      <c r="N70" s="5" t="s">
        <v>6</v>
      </c>
      <c r="O70" s="5">
        <v>2</v>
      </c>
      <c r="P70" s="5">
        <f>ROUND(Source!DH67,O70)</f>
        <v>510668.51</v>
      </c>
      <c r="Q70" s="5"/>
      <c r="R70" s="5"/>
      <c r="S70" s="5"/>
      <c r="T70" s="5"/>
      <c r="U70" s="5"/>
      <c r="V70" s="5"/>
      <c r="W70" s="5"/>
    </row>
    <row r="71" spans="1:245" x14ac:dyDescent="0.2">
      <c r="A71" s="5">
        <v>50</v>
      </c>
      <c r="B71" s="5">
        <v>0</v>
      </c>
      <c r="C71" s="5">
        <v>0</v>
      </c>
      <c r="D71" s="5">
        <v>1</v>
      </c>
      <c r="E71" s="5">
        <v>222</v>
      </c>
      <c r="F71" s="5">
        <f>ROUND(Source!AO67,O71)</f>
        <v>0</v>
      </c>
      <c r="G71" s="5" t="s">
        <v>131</v>
      </c>
      <c r="H71" s="5" t="s">
        <v>132</v>
      </c>
      <c r="I71" s="5"/>
      <c r="J71" s="5"/>
      <c r="K71" s="5">
        <v>222</v>
      </c>
      <c r="L71" s="5">
        <v>3</v>
      </c>
      <c r="M71" s="5">
        <v>3</v>
      </c>
      <c r="N71" s="5" t="s">
        <v>6</v>
      </c>
      <c r="O71" s="5">
        <v>2</v>
      </c>
      <c r="P71" s="5">
        <f>ROUND(Source!EG67,O71)</f>
        <v>0</v>
      </c>
      <c r="Q71" s="5"/>
      <c r="R71" s="5"/>
      <c r="S71" s="5"/>
      <c r="T71" s="5"/>
      <c r="U71" s="5"/>
      <c r="V71" s="5"/>
      <c r="W71" s="5"/>
    </row>
    <row r="72" spans="1:245" x14ac:dyDescent="0.2">
      <c r="A72" s="5">
        <v>50</v>
      </c>
      <c r="B72" s="5">
        <v>0</v>
      </c>
      <c r="C72" s="5">
        <v>0</v>
      </c>
      <c r="D72" s="5">
        <v>1</v>
      </c>
      <c r="E72" s="5">
        <v>225</v>
      </c>
      <c r="F72" s="5">
        <f>ROUND(Source!AV67,O72)</f>
        <v>13458.95</v>
      </c>
      <c r="G72" s="5" t="s">
        <v>133</v>
      </c>
      <c r="H72" s="5" t="s">
        <v>134</v>
      </c>
      <c r="I72" s="5"/>
      <c r="J72" s="5"/>
      <c r="K72" s="5">
        <v>225</v>
      </c>
      <c r="L72" s="5">
        <v>4</v>
      </c>
      <c r="M72" s="5">
        <v>3</v>
      </c>
      <c r="N72" s="5" t="s">
        <v>6</v>
      </c>
      <c r="O72" s="5">
        <v>2</v>
      </c>
      <c r="P72" s="5">
        <f>ROUND(Source!EN67,O72)</f>
        <v>510668.51</v>
      </c>
      <c r="Q72" s="5"/>
      <c r="R72" s="5"/>
      <c r="S72" s="5"/>
      <c r="T72" s="5"/>
      <c r="U72" s="5"/>
      <c r="V72" s="5"/>
      <c r="W72" s="5"/>
    </row>
    <row r="73" spans="1:245" x14ac:dyDescent="0.2">
      <c r="A73" s="5">
        <v>50</v>
      </c>
      <c r="B73" s="5">
        <v>0</v>
      </c>
      <c r="C73" s="5">
        <v>0</v>
      </c>
      <c r="D73" s="5">
        <v>1</v>
      </c>
      <c r="E73" s="5">
        <v>226</v>
      </c>
      <c r="F73" s="5">
        <f>ROUND(Source!AW67,O73)</f>
        <v>13458.95</v>
      </c>
      <c r="G73" s="5" t="s">
        <v>135</v>
      </c>
      <c r="H73" s="5" t="s">
        <v>136</v>
      </c>
      <c r="I73" s="5"/>
      <c r="J73" s="5"/>
      <c r="K73" s="5">
        <v>226</v>
      </c>
      <c r="L73" s="5">
        <v>5</v>
      </c>
      <c r="M73" s="5">
        <v>3</v>
      </c>
      <c r="N73" s="5" t="s">
        <v>6</v>
      </c>
      <c r="O73" s="5">
        <v>2</v>
      </c>
      <c r="P73" s="5">
        <f>ROUND(Source!EO67,O73)</f>
        <v>510668.51</v>
      </c>
      <c r="Q73" s="5"/>
      <c r="R73" s="5"/>
      <c r="S73" s="5"/>
      <c r="T73" s="5"/>
      <c r="U73" s="5"/>
      <c r="V73" s="5"/>
      <c r="W73" s="5"/>
    </row>
    <row r="74" spans="1:245" x14ac:dyDescent="0.2">
      <c r="A74" s="5">
        <v>50</v>
      </c>
      <c r="B74" s="5">
        <v>0</v>
      </c>
      <c r="C74" s="5">
        <v>0</v>
      </c>
      <c r="D74" s="5">
        <v>1</v>
      </c>
      <c r="E74" s="5">
        <v>227</v>
      </c>
      <c r="F74" s="5">
        <f>ROUND(Source!AX67,O74)</f>
        <v>0</v>
      </c>
      <c r="G74" s="5" t="s">
        <v>137</v>
      </c>
      <c r="H74" s="5" t="s">
        <v>138</v>
      </c>
      <c r="I74" s="5"/>
      <c r="J74" s="5"/>
      <c r="K74" s="5">
        <v>227</v>
      </c>
      <c r="L74" s="5">
        <v>6</v>
      </c>
      <c r="M74" s="5">
        <v>3</v>
      </c>
      <c r="N74" s="5" t="s">
        <v>6</v>
      </c>
      <c r="O74" s="5">
        <v>2</v>
      </c>
      <c r="P74" s="5">
        <f>ROUND(Source!EP67,O74)</f>
        <v>0</v>
      </c>
      <c r="Q74" s="5"/>
      <c r="R74" s="5"/>
      <c r="S74" s="5"/>
      <c r="T74" s="5"/>
      <c r="U74" s="5"/>
      <c r="V74" s="5"/>
      <c r="W74" s="5"/>
    </row>
    <row r="75" spans="1:245" x14ac:dyDescent="0.2">
      <c r="A75" s="5">
        <v>50</v>
      </c>
      <c r="B75" s="5">
        <v>0</v>
      </c>
      <c r="C75" s="5">
        <v>0</v>
      </c>
      <c r="D75" s="5">
        <v>1</v>
      </c>
      <c r="E75" s="5">
        <v>228</v>
      </c>
      <c r="F75" s="5">
        <f>ROUND(Source!AY67,O75)</f>
        <v>13458.95</v>
      </c>
      <c r="G75" s="5" t="s">
        <v>139</v>
      </c>
      <c r="H75" s="5" t="s">
        <v>140</v>
      </c>
      <c r="I75" s="5"/>
      <c r="J75" s="5"/>
      <c r="K75" s="5">
        <v>228</v>
      </c>
      <c r="L75" s="5">
        <v>7</v>
      </c>
      <c r="M75" s="5">
        <v>3</v>
      </c>
      <c r="N75" s="5" t="s">
        <v>6</v>
      </c>
      <c r="O75" s="5">
        <v>2</v>
      </c>
      <c r="P75" s="5">
        <f>ROUND(Source!EQ67,O75)</f>
        <v>510668.51</v>
      </c>
      <c r="Q75" s="5"/>
      <c r="R75" s="5"/>
      <c r="S75" s="5"/>
      <c r="T75" s="5"/>
      <c r="U75" s="5"/>
      <c r="V75" s="5"/>
      <c r="W75" s="5"/>
    </row>
    <row r="76" spans="1:245" x14ac:dyDescent="0.2">
      <c r="A76" s="5">
        <v>50</v>
      </c>
      <c r="B76" s="5">
        <v>0</v>
      </c>
      <c r="C76" s="5">
        <v>0</v>
      </c>
      <c r="D76" s="5">
        <v>1</v>
      </c>
      <c r="E76" s="5">
        <v>216</v>
      </c>
      <c r="F76" s="5">
        <f>ROUND(Source!AP67,O76)</f>
        <v>0</v>
      </c>
      <c r="G76" s="5" t="s">
        <v>141</v>
      </c>
      <c r="H76" s="5" t="s">
        <v>142</v>
      </c>
      <c r="I76" s="5"/>
      <c r="J76" s="5"/>
      <c r="K76" s="5">
        <v>216</v>
      </c>
      <c r="L76" s="5">
        <v>8</v>
      </c>
      <c r="M76" s="5">
        <v>3</v>
      </c>
      <c r="N76" s="5" t="s">
        <v>6</v>
      </c>
      <c r="O76" s="5">
        <v>2</v>
      </c>
      <c r="P76" s="5">
        <f>ROUND(Source!EH67,O76)</f>
        <v>0</v>
      </c>
      <c r="Q76" s="5"/>
      <c r="R76" s="5"/>
      <c r="S76" s="5"/>
      <c r="T76" s="5"/>
      <c r="U76" s="5"/>
      <c r="V76" s="5"/>
      <c r="W76" s="5"/>
    </row>
    <row r="77" spans="1:245" x14ac:dyDescent="0.2">
      <c r="A77" s="5">
        <v>50</v>
      </c>
      <c r="B77" s="5">
        <v>0</v>
      </c>
      <c r="C77" s="5">
        <v>0</v>
      </c>
      <c r="D77" s="5">
        <v>1</v>
      </c>
      <c r="E77" s="5">
        <v>223</v>
      </c>
      <c r="F77" s="5">
        <f>ROUND(Source!AQ67,O77)</f>
        <v>0</v>
      </c>
      <c r="G77" s="5" t="s">
        <v>143</v>
      </c>
      <c r="H77" s="5" t="s">
        <v>144</v>
      </c>
      <c r="I77" s="5"/>
      <c r="J77" s="5"/>
      <c r="K77" s="5">
        <v>223</v>
      </c>
      <c r="L77" s="5">
        <v>9</v>
      </c>
      <c r="M77" s="5">
        <v>3</v>
      </c>
      <c r="N77" s="5" t="s">
        <v>6</v>
      </c>
      <c r="O77" s="5">
        <v>2</v>
      </c>
      <c r="P77" s="5">
        <f>ROUND(Source!EI67,O77)</f>
        <v>0</v>
      </c>
      <c r="Q77" s="5"/>
      <c r="R77" s="5"/>
      <c r="S77" s="5"/>
      <c r="T77" s="5"/>
      <c r="U77" s="5"/>
      <c r="V77" s="5"/>
      <c r="W77" s="5"/>
    </row>
    <row r="78" spans="1:245" x14ac:dyDescent="0.2">
      <c r="A78" s="5">
        <v>50</v>
      </c>
      <c r="B78" s="5">
        <v>0</v>
      </c>
      <c r="C78" s="5">
        <v>0</v>
      </c>
      <c r="D78" s="5">
        <v>1</v>
      </c>
      <c r="E78" s="5">
        <v>229</v>
      </c>
      <c r="F78" s="5">
        <f>ROUND(Source!AZ67,O78)</f>
        <v>0</v>
      </c>
      <c r="G78" s="5" t="s">
        <v>145</v>
      </c>
      <c r="H78" s="5" t="s">
        <v>146</v>
      </c>
      <c r="I78" s="5"/>
      <c r="J78" s="5"/>
      <c r="K78" s="5">
        <v>229</v>
      </c>
      <c r="L78" s="5">
        <v>10</v>
      </c>
      <c r="M78" s="5">
        <v>3</v>
      </c>
      <c r="N78" s="5" t="s">
        <v>6</v>
      </c>
      <c r="O78" s="5">
        <v>2</v>
      </c>
      <c r="P78" s="5">
        <f>ROUND(Source!ER67,O78)</f>
        <v>0</v>
      </c>
      <c r="Q78" s="5"/>
      <c r="R78" s="5"/>
      <c r="S78" s="5"/>
      <c r="T78" s="5"/>
      <c r="U78" s="5"/>
      <c r="V78" s="5"/>
      <c r="W78" s="5"/>
    </row>
    <row r="79" spans="1:245" x14ac:dyDescent="0.2">
      <c r="A79" s="5">
        <v>50</v>
      </c>
      <c r="B79" s="5">
        <v>0</v>
      </c>
      <c r="C79" s="5">
        <v>0</v>
      </c>
      <c r="D79" s="5">
        <v>1</v>
      </c>
      <c r="E79" s="5">
        <v>203</v>
      </c>
      <c r="F79" s="5">
        <f>ROUND(Source!Q67,O79)</f>
        <v>510.83</v>
      </c>
      <c r="G79" s="5" t="s">
        <v>147</v>
      </c>
      <c r="H79" s="5" t="s">
        <v>148</v>
      </c>
      <c r="I79" s="5"/>
      <c r="J79" s="5"/>
      <c r="K79" s="5">
        <v>203</v>
      </c>
      <c r="L79" s="5">
        <v>11</v>
      </c>
      <c r="M79" s="5">
        <v>3</v>
      </c>
      <c r="N79" s="5" t="s">
        <v>6</v>
      </c>
      <c r="O79" s="5">
        <v>2</v>
      </c>
      <c r="P79" s="5">
        <f>ROUND(Source!DI67,O79)</f>
        <v>3458.35</v>
      </c>
      <c r="Q79" s="5"/>
      <c r="R79" s="5"/>
      <c r="S79" s="5"/>
      <c r="T79" s="5"/>
      <c r="U79" s="5"/>
      <c r="V79" s="5"/>
      <c r="W79" s="5"/>
    </row>
    <row r="80" spans="1:245" x14ac:dyDescent="0.2">
      <c r="A80" s="5">
        <v>50</v>
      </c>
      <c r="B80" s="5">
        <v>0</v>
      </c>
      <c r="C80" s="5">
        <v>0</v>
      </c>
      <c r="D80" s="5">
        <v>1</v>
      </c>
      <c r="E80" s="5">
        <v>231</v>
      </c>
      <c r="F80" s="5">
        <f>ROUND(Source!BB67,O80)</f>
        <v>0</v>
      </c>
      <c r="G80" s="5" t="s">
        <v>149</v>
      </c>
      <c r="H80" s="5" t="s">
        <v>150</v>
      </c>
      <c r="I80" s="5"/>
      <c r="J80" s="5"/>
      <c r="K80" s="5">
        <v>231</v>
      </c>
      <c r="L80" s="5">
        <v>12</v>
      </c>
      <c r="M80" s="5">
        <v>3</v>
      </c>
      <c r="N80" s="5" t="s">
        <v>6</v>
      </c>
      <c r="O80" s="5">
        <v>2</v>
      </c>
      <c r="P80" s="5">
        <f>ROUND(Source!ET67,O80)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204</v>
      </c>
      <c r="F81" s="5">
        <f>ROUND(Source!R67,O81)</f>
        <v>148.88999999999999</v>
      </c>
      <c r="G81" s="5" t="s">
        <v>151</v>
      </c>
      <c r="H81" s="5" t="s">
        <v>152</v>
      </c>
      <c r="I81" s="5"/>
      <c r="J81" s="5"/>
      <c r="K81" s="5">
        <v>204</v>
      </c>
      <c r="L81" s="5">
        <v>13</v>
      </c>
      <c r="M81" s="5">
        <v>3</v>
      </c>
      <c r="N81" s="5" t="s">
        <v>6</v>
      </c>
      <c r="O81" s="5">
        <v>2</v>
      </c>
      <c r="P81" s="5">
        <f>ROUND(Source!DJ67,O81)</f>
        <v>1007.94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205</v>
      </c>
      <c r="F82" s="5">
        <f>ROUND(Source!S67,O82)</f>
        <v>3492.01</v>
      </c>
      <c r="G82" s="5" t="s">
        <v>153</v>
      </c>
      <c r="H82" s="5" t="s">
        <v>154</v>
      </c>
      <c r="I82" s="5"/>
      <c r="J82" s="5"/>
      <c r="K82" s="5">
        <v>205</v>
      </c>
      <c r="L82" s="5">
        <v>14</v>
      </c>
      <c r="M82" s="5">
        <v>3</v>
      </c>
      <c r="N82" s="5" t="s">
        <v>6</v>
      </c>
      <c r="O82" s="5">
        <v>2</v>
      </c>
      <c r="P82" s="5">
        <f>ROUND(Source!DK67,O82)</f>
        <v>23640.93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232</v>
      </c>
      <c r="F83" s="5">
        <f>ROUND(Source!BC67,O83)</f>
        <v>0</v>
      </c>
      <c r="G83" s="5" t="s">
        <v>155</v>
      </c>
      <c r="H83" s="5" t="s">
        <v>156</v>
      </c>
      <c r="I83" s="5"/>
      <c r="J83" s="5"/>
      <c r="K83" s="5">
        <v>232</v>
      </c>
      <c r="L83" s="5">
        <v>15</v>
      </c>
      <c r="M83" s="5">
        <v>3</v>
      </c>
      <c r="N83" s="5" t="s">
        <v>6</v>
      </c>
      <c r="O83" s="5">
        <v>2</v>
      </c>
      <c r="P83" s="5">
        <f>ROUND(Source!EU67,O83)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214</v>
      </c>
      <c r="F84" s="5">
        <f>ROUND(Source!AS67,O84)</f>
        <v>23637.69</v>
      </c>
      <c r="G84" s="5" t="s">
        <v>157</v>
      </c>
      <c r="H84" s="5" t="s">
        <v>158</v>
      </c>
      <c r="I84" s="5"/>
      <c r="J84" s="5"/>
      <c r="K84" s="5">
        <v>214</v>
      </c>
      <c r="L84" s="5">
        <v>16</v>
      </c>
      <c r="M84" s="5">
        <v>3</v>
      </c>
      <c r="N84" s="5" t="s">
        <v>6</v>
      </c>
      <c r="O84" s="5">
        <v>2</v>
      </c>
      <c r="P84" s="5">
        <f>ROUND(Source!EK67,O84)</f>
        <v>579578.53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215</v>
      </c>
      <c r="F85" s="5">
        <f>ROUND(Source!AT67,O85)</f>
        <v>0</v>
      </c>
      <c r="G85" s="5" t="s">
        <v>159</v>
      </c>
      <c r="H85" s="5" t="s">
        <v>160</v>
      </c>
      <c r="I85" s="5"/>
      <c r="J85" s="5"/>
      <c r="K85" s="5">
        <v>215</v>
      </c>
      <c r="L85" s="5">
        <v>17</v>
      </c>
      <c r="M85" s="5">
        <v>3</v>
      </c>
      <c r="N85" s="5" t="s">
        <v>6</v>
      </c>
      <c r="O85" s="5">
        <v>2</v>
      </c>
      <c r="P85" s="5">
        <f>ROUND(Source!EL67,O85)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217</v>
      </c>
      <c r="F86" s="5">
        <f>ROUND(Source!AU67,O86)</f>
        <v>0</v>
      </c>
      <c r="G86" s="5" t="s">
        <v>161</v>
      </c>
      <c r="H86" s="5" t="s">
        <v>162</v>
      </c>
      <c r="I86" s="5"/>
      <c r="J86" s="5"/>
      <c r="K86" s="5">
        <v>217</v>
      </c>
      <c r="L86" s="5">
        <v>18</v>
      </c>
      <c r="M86" s="5">
        <v>3</v>
      </c>
      <c r="N86" s="5" t="s">
        <v>6</v>
      </c>
      <c r="O86" s="5">
        <v>2</v>
      </c>
      <c r="P86" s="5">
        <f>ROUND(Source!EM67,O86)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230</v>
      </c>
      <c r="F87" s="5">
        <f>ROUND(Source!BA67,O87)</f>
        <v>0</v>
      </c>
      <c r="G87" s="5" t="s">
        <v>163</v>
      </c>
      <c r="H87" s="5" t="s">
        <v>164</v>
      </c>
      <c r="I87" s="5"/>
      <c r="J87" s="5"/>
      <c r="K87" s="5">
        <v>230</v>
      </c>
      <c r="L87" s="5">
        <v>19</v>
      </c>
      <c r="M87" s="5">
        <v>3</v>
      </c>
      <c r="N87" s="5" t="s">
        <v>6</v>
      </c>
      <c r="O87" s="5">
        <v>2</v>
      </c>
      <c r="P87" s="5">
        <f>ROUND(Source!ES67,O87)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206</v>
      </c>
      <c r="F88" s="5">
        <f>ROUND(Source!T67,O88)</f>
        <v>0</v>
      </c>
      <c r="G88" s="5" t="s">
        <v>165</v>
      </c>
      <c r="H88" s="5" t="s">
        <v>166</v>
      </c>
      <c r="I88" s="5"/>
      <c r="J88" s="5"/>
      <c r="K88" s="5">
        <v>206</v>
      </c>
      <c r="L88" s="5">
        <v>20</v>
      </c>
      <c r="M88" s="5">
        <v>3</v>
      </c>
      <c r="N88" s="5" t="s">
        <v>6</v>
      </c>
      <c r="O88" s="5">
        <v>2</v>
      </c>
      <c r="P88" s="5">
        <f>ROUND(Source!DL67,O88)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207</v>
      </c>
      <c r="F89" s="5">
        <f>Source!U67</f>
        <v>410.95948199999992</v>
      </c>
      <c r="G89" s="5" t="s">
        <v>167</v>
      </c>
      <c r="H89" s="5" t="s">
        <v>168</v>
      </c>
      <c r="I89" s="5"/>
      <c r="J89" s="5"/>
      <c r="K89" s="5">
        <v>207</v>
      </c>
      <c r="L89" s="5">
        <v>21</v>
      </c>
      <c r="M89" s="5">
        <v>3</v>
      </c>
      <c r="N89" s="5" t="s">
        <v>6</v>
      </c>
      <c r="O89" s="5">
        <v>-1</v>
      </c>
      <c r="P89" s="5">
        <f>Source!DM67</f>
        <v>410.95948199999992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208</v>
      </c>
      <c r="F90" s="5">
        <f>Source!V67</f>
        <v>11.610885</v>
      </c>
      <c r="G90" s="5" t="s">
        <v>169</v>
      </c>
      <c r="H90" s="5" t="s">
        <v>170</v>
      </c>
      <c r="I90" s="5"/>
      <c r="J90" s="5"/>
      <c r="K90" s="5">
        <v>208</v>
      </c>
      <c r="L90" s="5">
        <v>22</v>
      </c>
      <c r="M90" s="5">
        <v>3</v>
      </c>
      <c r="N90" s="5" t="s">
        <v>6</v>
      </c>
      <c r="O90" s="5">
        <v>-1</v>
      </c>
      <c r="P90" s="5">
        <f>Source!DN67</f>
        <v>11.610885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209</v>
      </c>
      <c r="F91" s="5">
        <f>ROUND(Source!W67,O91)</f>
        <v>0</v>
      </c>
      <c r="G91" s="5" t="s">
        <v>171</v>
      </c>
      <c r="H91" s="5" t="s">
        <v>172</v>
      </c>
      <c r="I91" s="5"/>
      <c r="J91" s="5"/>
      <c r="K91" s="5">
        <v>209</v>
      </c>
      <c r="L91" s="5">
        <v>23</v>
      </c>
      <c r="M91" s="5">
        <v>3</v>
      </c>
      <c r="N91" s="5" t="s">
        <v>6</v>
      </c>
      <c r="O91" s="5">
        <v>2</v>
      </c>
      <c r="P91" s="5">
        <f>ROUND(Source!DO67,O91)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210</v>
      </c>
      <c r="F92" s="5">
        <f>ROUND(Source!X67,O92)</f>
        <v>3663.95</v>
      </c>
      <c r="G92" s="5" t="s">
        <v>173</v>
      </c>
      <c r="H92" s="5" t="s">
        <v>174</v>
      </c>
      <c r="I92" s="5"/>
      <c r="J92" s="5"/>
      <c r="K92" s="5">
        <v>210</v>
      </c>
      <c r="L92" s="5">
        <v>24</v>
      </c>
      <c r="M92" s="5">
        <v>3</v>
      </c>
      <c r="N92" s="5" t="s">
        <v>6</v>
      </c>
      <c r="O92" s="5">
        <v>2</v>
      </c>
      <c r="P92" s="5">
        <f>ROUND(Source!DP67,O92)</f>
        <v>24804.9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211</v>
      </c>
      <c r="F93" s="5">
        <f>ROUND(Source!Y67,O93)</f>
        <v>2019.17</v>
      </c>
      <c r="G93" s="5" t="s">
        <v>175</v>
      </c>
      <c r="H93" s="5" t="s">
        <v>176</v>
      </c>
      <c r="I93" s="5"/>
      <c r="J93" s="5"/>
      <c r="K93" s="5">
        <v>211</v>
      </c>
      <c r="L93" s="5">
        <v>25</v>
      </c>
      <c r="M93" s="5">
        <v>3</v>
      </c>
      <c r="N93" s="5" t="s">
        <v>6</v>
      </c>
      <c r="O93" s="5">
        <v>2</v>
      </c>
      <c r="P93" s="5">
        <f>ROUND(Source!DQ67,O93)</f>
        <v>13669.72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0</v>
      </c>
      <c r="F94" s="5">
        <f>ROUND(Source!AR67,O94)</f>
        <v>23637.69</v>
      </c>
      <c r="G94" s="5" t="s">
        <v>177</v>
      </c>
      <c r="H94" s="5" t="s">
        <v>178</v>
      </c>
      <c r="I94" s="5"/>
      <c r="J94" s="5"/>
      <c r="K94" s="5">
        <v>224</v>
      </c>
      <c r="L94" s="5">
        <v>26</v>
      </c>
      <c r="M94" s="5">
        <v>3</v>
      </c>
      <c r="N94" s="5" t="s">
        <v>6</v>
      </c>
      <c r="O94" s="5">
        <v>2</v>
      </c>
      <c r="P94" s="5">
        <f>ROUND(Source!EJ67,O94)</f>
        <v>579578.53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1</v>
      </c>
      <c r="C95" s="5">
        <v>0</v>
      </c>
      <c r="D95" s="5">
        <v>2</v>
      </c>
      <c r="E95" s="5">
        <v>0</v>
      </c>
      <c r="F95" s="5">
        <f>ROUND(F94,O95)</f>
        <v>23637.69</v>
      </c>
      <c r="G95" s="5" t="s">
        <v>179</v>
      </c>
      <c r="H95" s="5" t="s">
        <v>177</v>
      </c>
      <c r="I95" s="5"/>
      <c r="J95" s="5"/>
      <c r="K95" s="5">
        <v>212</v>
      </c>
      <c r="L95" s="5">
        <v>27</v>
      </c>
      <c r="M95" s="5">
        <v>0</v>
      </c>
      <c r="N95" s="5" t="s">
        <v>6</v>
      </c>
      <c r="O95" s="5">
        <v>2</v>
      </c>
      <c r="P95" s="5">
        <f>ROUND(P94,O95)</f>
        <v>579578.53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1</v>
      </c>
      <c r="C96" s="5">
        <v>0</v>
      </c>
      <c r="D96" s="5">
        <v>2</v>
      </c>
      <c r="E96" s="5">
        <v>0</v>
      </c>
      <c r="F96" s="5">
        <f>ROUND(F95*0.2,O96)</f>
        <v>4727.54</v>
      </c>
      <c r="G96" s="5" t="s">
        <v>180</v>
      </c>
      <c r="H96" s="5" t="s">
        <v>181</v>
      </c>
      <c r="I96" s="5"/>
      <c r="J96" s="5"/>
      <c r="K96" s="5">
        <v>212</v>
      </c>
      <c r="L96" s="5">
        <v>28</v>
      </c>
      <c r="M96" s="5">
        <v>0</v>
      </c>
      <c r="N96" s="5" t="s">
        <v>6</v>
      </c>
      <c r="O96" s="5">
        <v>2</v>
      </c>
      <c r="P96" s="5">
        <f>ROUND(P95*0.2,O96)</f>
        <v>115915.71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1</v>
      </c>
      <c r="C97" s="5">
        <v>0</v>
      </c>
      <c r="D97" s="5">
        <v>2</v>
      </c>
      <c r="E97" s="5">
        <v>224</v>
      </c>
      <c r="F97" s="5">
        <f>ROUND(F95+F96,O97)</f>
        <v>28365.23</v>
      </c>
      <c r="G97" s="5" t="s">
        <v>182</v>
      </c>
      <c r="H97" s="5" t="s">
        <v>183</v>
      </c>
      <c r="I97" s="5"/>
      <c r="J97" s="5"/>
      <c r="K97" s="5">
        <v>212</v>
      </c>
      <c r="L97" s="5">
        <v>29</v>
      </c>
      <c r="M97" s="5">
        <v>0</v>
      </c>
      <c r="N97" s="5" t="s">
        <v>6</v>
      </c>
      <c r="O97" s="5">
        <v>2</v>
      </c>
      <c r="P97" s="5">
        <f>ROUND(P95+P96,O97)</f>
        <v>695494.24</v>
      </c>
      <c r="Q97" s="5"/>
      <c r="R97" s="5"/>
      <c r="S97" s="5"/>
      <c r="T97" s="5"/>
      <c r="U97" s="5"/>
      <c r="V97" s="5"/>
      <c r="W97" s="5"/>
    </row>
    <row r="99" spans="1:206" x14ac:dyDescent="0.2">
      <c r="A99" s="3">
        <v>51</v>
      </c>
      <c r="B99" s="3">
        <f>B12</f>
        <v>160</v>
      </c>
      <c r="C99" s="3">
        <f>A12</f>
        <v>1</v>
      </c>
      <c r="D99" s="3">
        <f>ROW(A12)</f>
        <v>12</v>
      </c>
      <c r="E99" s="3"/>
      <c r="F99" s="3" t="str">
        <f>IF(F12&lt;&gt;"",F12,"")</f>
        <v>Новый объект_(Копия)_(Копия)</v>
      </c>
      <c r="G99" s="3" t="str">
        <f>IF(G12&lt;&gt;"",G12,"")</f>
        <v>на  ремонт оконных проёмов с заменой деревянных оконных блоков на оконные блоки из ПВХ в помещениях № 26,№ 26в 1-го этажа, помещении № 9 (215) 2-го этажа, помещениях № 2 (308), № 9 (315),№ 15 (302) 3-го этажа  здания Университетского лицея № 1511 Предуниверситария НИЯУ МИФИ по адресу: г. Москва, Пролетарский проспект, д. 6 корп. 3</v>
      </c>
      <c r="H99" s="3">
        <v>0</v>
      </c>
      <c r="I99" s="3"/>
      <c r="J99" s="3"/>
      <c r="K99" s="3"/>
      <c r="L99" s="3"/>
      <c r="M99" s="3"/>
      <c r="N99" s="3"/>
      <c r="O99" s="3">
        <f t="shared" ref="O99:T99" si="65">ROUND(O67,2)</f>
        <v>17461.79</v>
      </c>
      <c r="P99" s="3">
        <f t="shared" si="65"/>
        <v>13458.95</v>
      </c>
      <c r="Q99" s="3">
        <f t="shared" si="65"/>
        <v>510.83</v>
      </c>
      <c r="R99" s="3">
        <f t="shared" si="65"/>
        <v>148.88999999999999</v>
      </c>
      <c r="S99" s="3">
        <f t="shared" si="65"/>
        <v>3492.01</v>
      </c>
      <c r="T99" s="3">
        <f t="shared" si="65"/>
        <v>0</v>
      </c>
      <c r="U99" s="3">
        <f>U67</f>
        <v>410.95948199999992</v>
      </c>
      <c r="V99" s="3">
        <f>V67</f>
        <v>11.610885</v>
      </c>
      <c r="W99" s="3">
        <f>ROUND(W67,2)</f>
        <v>0</v>
      </c>
      <c r="X99" s="3">
        <f>ROUND(X67,2)</f>
        <v>3663.95</v>
      </c>
      <c r="Y99" s="3">
        <f>ROUND(Y67,2)</f>
        <v>2019.17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>
        <f t="shared" ref="AO99:BC99" si="66">ROUND(AO67,2)</f>
        <v>0</v>
      </c>
      <c r="AP99" s="3">
        <f t="shared" si="66"/>
        <v>0</v>
      </c>
      <c r="AQ99" s="3">
        <f t="shared" si="66"/>
        <v>0</v>
      </c>
      <c r="AR99" s="3">
        <f t="shared" si="66"/>
        <v>23637.69</v>
      </c>
      <c r="AS99" s="3">
        <f t="shared" si="66"/>
        <v>23637.69</v>
      </c>
      <c r="AT99" s="3">
        <f t="shared" si="66"/>
        <v>0</v>
      </c>
      <c r="AU99" s="3">
        <f t="shared" si="66"/>
        <v>0</v>
      </c>
      <c r="AV99" s="3">
        <f t="shared" si="66"/>
        <v>13458.95</v>
      </c>
      <c r="AW99" s="3">
        <f t="shared" si="66"/>
        <v>13458.95</v>
      </c>
      <c r="AX99" s="3">
        <f t="shared" si="66"/>
        <v>0</v>
      </c>
      <c r="AY99" s="3">
        <f t="shared" si="66"/>
        <v>13458.95</v>
      </c>
      <c r="AZ99" s="3">
        <f t="shared" si="66"/>
        <v>0</v>
      </c>
      <c r="BA99" s="3">
        <f t="shared" si="66"/>
        <v>0</v>
      </c>
      <c r="BB99" s="3">
        <f t="shared" si="66"/>
        <v>0</v>
      </c>
      <c r="BC99" s="3">
        <f t="shared" si="66"/>
        <v>0</v>
      </c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4">
        <f t="shared" ref="DG99:DL99" si="67">ROUND(DG67,2)</f>
        <v>537767.79</v>
      </c>
      <c r="DH99" s="4">
        <f t="shared" si="67"/>
        <v>510668.51</v>
      </c>
      <c r="DI99" s="4">
        <f t="shared" si="67"/>
        <v>3458.35</v>
      </c>
      <c r="DJ99" s="4">
        <f t="shared" si="67"/>
        <v>1007.94</v>
      </c>
      <c r="DK99" s="4">
        <f t="shared" si="67"/>
        <v>23640.93</v>
      </c>
      <c r="DL99" s="4">
        <f t="shared" si="67"/>
        <v>0</v>
      </c>
      <c r="DM99" s="4">
        <f>DM67</f>
        <v>410.95948199999992</v>
      </c>
      <c r="DN99" s="4">
        <f>DN67</f>
        <v>11.610885</v>
      </c>
      <c r="DO99" s="4">
        <f>ROUND(DO67,2)</f>
        <v>0</v>
      </c>
      <c r="DP99" s="4">
        <f>ROUND(DP67,2)</f>
        <v>24804.9</v>
      </c>
      <c r="DQ99" s="4">
        <f>ROUND(DQ67,2)</f>
        <v>13669.72</v>
      </c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>
        <f t="shared" ref="EG99:EU99" si="68">ROUND(EG67,2)</f>
        <v>0</v>
      </c>
      <c r="EH99" s="4">
        <f t="shared" si="68"/>
        <v>0</v>
      </c>
      <c r="EI99" s="4">
        <f t="shared" si="68"/>
        <v>0</v>
      </c>
      <c r="EJ99" s="4">
        <f t="shared" si="68"/>
        <v>579578.53</v>
      </c>
      <c r="EK99" s="4">
        <f t="shared" si="68"/>
        <v>579578.53</v>
      </c>
      <c r="EL99" s="4">
        <f t="shared" si="68"/>
        <v>0</v>
      </c>
      <c r="EM99" s="4">
        <f t="shared" si="68"/>
        <v>0</v>
      </c>
      <c r="EN99" s="4">
        <f t="shared" si="68"/>
        <v>510668.51</v>
      </c>
      <c r="EO99" s="4">
        <f t="shared" si="68"/>
        <v>510668.51</v>
      </c>
      <c r="EP99" s="4">
        <f t="shared" si="68"/>
        <v>0</v>
      </c>
      <c r="EQ99" s="4">
        <f t="shared" si="68"/>
        <v>510668.51</v>
      </c>
      <c r="ER99" s="4">
        <f t="shared" si="68"/>
        <v>0</v>
      </c>
      <c r="ES99" s="4">
        <f t="shared" si="68"/>
        <v>0</v>
      </c>
      <c r="ET99" s="4">
        <f t="shared" si="68"/>
        <v>0</v>
      </c>
      <c r="EU99" s="4">
        <f t="shared" si="68"/>
        <v>0</v>
      </c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>
        <v>0</v>
      </c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201</v>
      </c>
      <c r="F101" s="5">
        <f>ROUND(Source!O99,O101)</f>
        <v>17461.79</v>
      </c>
      <c r="G101" s="5" t="s">
        <v>127</v>
      </c>
      <c r="H101" s="5" t="s">
        <v>128</v>
      </c>
      <c r="I101" s="5"/>
      <c r="J101" s="5"/>
      <c r="K101" s="5">
        <v>201</v>
      </c>
      <c r="L101" s="5">
        <v>1</v>
      </c>
      <c r="M101" s="5">
        <v>3</v>
      </c>
      <c r="N101" s="5" t="s">
        <v>6</v>
      </c>
      <c r="O101" s="5">
        <v>2</v>
      </c>
      <c r="P101" s="5">
        <f>ROUND(Source!DG99,O101)</f>
        <v>537767.79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202</v>
      </c>
      <c r="F102" s="5">
        <f>ROUND(Source!P99,O102)</f>
        <v>13458.95</v>
      </c>
      <c r="G102" s="5" t="s">
        <v>129</v>
      </c>
      <c r="H102" s="5" t="s">
        <v>130</v>
      </c>
      <c r="I102" s="5"/>
      <c r="J102" s="5"/>
      <c r="K102" s="5">
        <v>202</v>
      </c>
      <c r="L102" s="5">
        <v>2</v>
      </c>
      <c r="M102" s="5">
        <v>3</v>
      </c>
      <c r="N102" s="5" t="s">
        <v>6</v>
      </c>
      <c r="O102" s="5">
        <v>2</v>
      </c>
      <c r="P102" s="5">
        <f>ROUND(Source!DH99,O102)</f>
        <v>510668.51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222</v>
      </c>
      <c r="F103" s="5">
        <f>ROUND(Source!AO99,O103)</f>
        <v>0</v>
      </c>
      <c r="G103" s="5" t="s">
        <v>131</v>
      </c>
      <c r="H103" s="5" t="s">
        <v>132</v>
      </c>
      <c r="I103" s="5"/>
      <c r="J103" s="5"/>
      <c r="K103" s="5">
        <v>222</v>
      </c>
      <c r="L103" s="5">
        <v>3</v>
      </c>
      <c r="M103" s="5">
        <v>3</v>
      </c>
      <c r="N103" s="5" t="s">
        <v>6</v>
      </c>
      <c r="O103" s="5">
        <v>2</v>
      </c>
      <c r="P103" s="5">
        <f>ROUND(Source!EG99,O103)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225</v>
      </c>
      <c r="F104" s="5">
        <f>ROUND(Source!AV99,O104)</f>
        <v>13458.95</v>
      </c>
      <c r="G104" s="5" t="s">
        <v>133</v>
      </c>
      <c r="H104" s="5" t="s">
        <v>134</v>
      </c>
      <c r="I104" s="5"/>
      <c r="J104" s="5"/>
      <c r="K104" s="5">
        <v>225</v>
      </c>
      <c r="L104" s="5">
        <v>4</v>
      </c>
      <c r="M104" s="5">
        <v>3</v>
      </c>
      <c r="N104" s="5" t="s">
        <v>6</v>
      </c>
      <c r="O104" s="5">
        <v>2</v>
      </c>
      <c r="P104" s="5">
        <f>ROUND(Source!EN99,O104)</f>
        <v>510668.51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226</v>
      </c>
      <c r="F105" s="5">
        <f>ROUND(Source!AW99,O105)</f>
        <v>13458.95</v>
      </c>
      <c r="G105" s="5" t="s">
        <v>135</v>
      </c>
      <c r="H105" s="5" t="s">
        <v>136</v>
      </c>
      <c r="I105" s="5"/>
      <c r="J105" s="5"/>
      <c r="K105" s="5">
        <v>226</v>
      </c>
      <c r="L105" s="5">
        <v>5</v>
      </c>
      <c r="M105" s="5">
        <v>3</v>
      </c>
      <c r="N105" s="5" t="s">
        <v>6</v>
      </c>
      <c r="O105" s="5">
        <v>2</v>
      </c>
      <c r="P105" s="5">
        <f>ROUND(Source!EO99,O105)</f>
        <v>510668.51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227</v>
      </c>
      <c r="F106" s="5">
        <f>ROUND(Source!AX99,O106)</f>
        <v>0</v>
      </c>
      <c r="G106" s="5" t="s">
        <v>137</v>
      </c>
      <c r="H106" s="5" t="s">
        <v>138</v>
      </c>
      <c r="I106" s="5"/>
      <c r="J106" s="5"/>
      <c r="K106" s="5">
        <v>227</v>
      </c>
      <c r="L106" s="5">
        <v>6</v>
      </c>
      <c r="M106" s="5">
        <v>3</v>
      </c>
      <c r="N106" s="5" t="s">
        <v>6</v>
      </c>
      <c r="O106" s="5">
        <v>2</v>
      </c>
      <c r="P106" s="5">
        <f>ROUND(Source!EP99,O106)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228</v>
      </c>
      <c r="F107" s="5">
        <f>ROUND(Source!AY99,O107)</f>
        <v>13458.95</v>
      </c>
      <c r="G107" s="5" t="s">
        <v>139</v>
      </c>
      <c r="H107" s="5" t="s">
        <v>140</v>
      </c>
      <c r="I107" s="5"/>
      <c r="J107" s="5"/>
      <c r="K107" s="5">
        <v>228</v>
      </c>
      <c r="L107" s="5">
        <v>7</v>
      </c>
      <c r="M107" s="5">
        <v>3</v>
      </c>
      <c r="N107" s="5" t="s">
        <v>6</v>
      </c>
      <c r="O107" s="5">
        <v>2</v>
      </c>
      <c r="P107" s="5">
        <f>ROUND(Source!EQ99,O107)</f>
        <v>510668.51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216</v>
      </c>
      <c r="F108" s="5">
        <f>ROUND(Source!AP99,O108)</f>
        <v>0</v>
      </c>
      <c r="G108" s="5" t="s">
        <v>141</v>
      </c>
      <c r="H108" s="5" t="s">
        <v>142</v>
      </c>
      <c r="I108" s="5"/>
      <c r="J108" s="5"/>
      <c r="K108" s="5">
        <v>216</v>
      </c>
      <c r="L108" s="5">
        <v>8</v>
      </c>
      <c r="M108" s="5">
        <v>3</v>
      </c>
      <c r="N108" s="5" t="s">
        <v>6</v>
      </c>
      <c r="O108" s="5">
        <v>2</v>
      </c>
      <c r="P108" s="5">
        <f>ROUND(Source!EH99,O108)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223</v>
      </c>
      <c r="F109" s="5">
        <f>ROUND(Source!AQ99,O109)</f>
        <v>0</v>
      </c>
      <c r="G109" s="5" t="s">
        <v>143</v>
      </c>
      <c r="H109" s="5" t="s">
        <v>144</v>
      </c>
      <c r="I109" s="5"/>
      <c r="J109" s="5"/>
      <c r="K109" s="5">
        <v>223</v>
      </c>
      <c r="L109" s="5">
        <v>9</v>
      </c>
      <c r="M109" s="5">
        <v>3</v>
      </c>
      <c r="N109" s="5" t="s">
        <v>6</v>
      </c>
      <c r="O109" s="5">
        <v>2</v>
      </c>
      <c r="P109" s="5">
        <f>ROUND(Source!EI99,O109)</f>
        <v>0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229</v>
      </c>
      <c r="F110" s="5">
        <f>ROUND(Source!AZ99,O110)</f>
        <v>0</v>
      </c>
      <c r="G110" s="5" t="s">
        <v>145</v>
      </c>
      <c r="H110" s="5" t="s">
        <v>146</v>
      </c>
      <c r="I110" s="5"/>
      <c r="J110" s="5"/>
      <c r="K110" s="5">
        <v>229</v>
      </c>
      <c r="L110" s="5">
        <v>10</v>
      </c>
      <c r="M110" s="5">
        <v>3</v>
      </c>
      <c r="N110" s="5" t="s">
        <v>6</v>
      </c>
      <c r="O110" s="5">
        <v>2</v>
      </c>
      <c r="P110" s="5">
        <f>ROUND(Source!ER99,O110)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203</v>
      </c>
      <c r="F111" s="5">
        <f>ROUND(Source!Q99,O111)</f>
        <v>510.83</v>
      </c>
      <c r="G111" s="5" t="s">
        <v>147</v>
      </c>
      <c r="H111" s="5" t="s">
        <v>148</v>
      </c>
      <c r="I111" s="5"/>
      <c r="J111" s="5"/>
      <c r="K111" s="5">
        <v>203</v>
      </c>
      <c r="L111" s="5">
        <v>11</v>
      </c>
      <c r="M111" s="5">
        <v>3</v>
      </c>
      <c r="N111" s="5" t="s">
        <v>6</v>
      </c>
      <c r="O111" s="5">
        <v>2</v>
      </c>
      <c r="P111" s="5">
        <f>ROUND(Source!DI99,O111)</f>
        <v>3458.35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231</v>
      </c>
      <c r="F112" s="5">
        <f>ROUND(Source!BB99,O112)</f>
        <v>0</v>
      </c>
      <c r="G112" s="5" t="s">
        <v>149</v>
      </c>
      <c r="H112" s="5" t="s">
        <v>150</v>
      </c>
      <c r="I112" s="5"/>
      <c r="J112" s="5"/>
      <c r="K112" s="5">
        <v>231</v>
      </c>
      <c r="L112" s="5">
        <v>12</v>
      </c>
      <c r="M112" s="5">
        <v>3</v>
      </c>
      <c r="N112" s="5" t="s">
        <v>6</v>
      </c>
      <c r="O112" s="5">
        <v>2</v>
      </c>
      <c r="P112" s="5">
        <f>ROUND(Source!ET99,O112)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204</v>
      </c>
      <c r="F113" s="5">
        <f>ROUND(Source!R99,O113)</f>
        <v>148.88999999999999</v>
      </c>
      <c r="G113" s="5" t="s">
        <v>151</v>
      </c>
      <c r="H113" s="5" t="s">
        <v>152</v>
      </c>
      <c r="I113" s="5"/>
      <c r="J113" s="5"/>
      <c r="K113" s="5">
        <v>204</v>
      </c>
      <c r="L113" s="5">
        <v>13</v>
      </c>
      <c r="M113" s="5">
        <v>3</v>
      </c>
      <c r="N113" s="5" t="s">
        <v>6</v>
      </c>
      <c r="O113" s="5">
        <v>2</v>
      </c>
      <c r="P113" s="5">
        <f>ROUND(Source!DJ99,O113)</f>
        <v>1007.94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205</v>
      </c>
      <c r="F114" s="5">
        <f>ROUND(Source!S99,O114)</f>
        <v>3492.01</v>
      </c>
      <c r="G114" s="5" t="s">
        <v>153</v>
      </c>
      <c r="H114" s="5" t="s">
        <v>154</v>
      </c>
      <c r="I114" s="5"/>
      <c r="J114" s="5"/>
      <c r="K114" s="5">
        <v>205</v>
      </c>
      <c r="L114" s="5">
        <v>14</v>
      </c>
      <c r="M114" s="5">
        <v>3</v>
      </c>
      <c r="N114" s="5" t="s">
        <v>6</v>
      </c>
      <c r="O114" s="5">
        <v>2</v>
      </c>
      <c r="P114" s="5">
        <f>ROUND(Source!DK99,O114)</f>
        <v>23640.93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232</v>
      </c>
      <c r="F115" s="5">
        <f>ROUND(Source!BC99,O115)</f>
        <v>0</v>
      </c>
      <c r="G115" s="5" t="s">
        <v>155</v>
      </c>
      <c r="H115" s="5" t="s">
        <v>156</v>
      </c>
      <c r="I115" s="5"/>
      <c r="J115" s="5"/>
      <c r="K115" s="5">
        <v>232</v>
      </c>
      <c r="L115" s="5">
        <v>15</v>
      </c>
      <c r="M115" s="5">
        <v>3</v>
      </c>
      <c r="N115" s="5" t="s">
        <v>6</v>
      </c>
      <c r="O115" s="5">
        <v>2</v>
      </c>
      <c r="P115" s="5">
        <f>ROUND(Source!EU99,O115)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214</v>
      </c>
      <c r="F116" s="5">
        <f>ROUND(Source!AS99,O116)</f>
        <v>23637.69</v>
      </c>
      <c r="G116" s="5" t="s">
        <v>157</v>
      </c>
      <c r="H116" s="5" t="s">
        <v>158</v>
      </c>
      <c r="I116" s="5"/>
      <c r="J116" s="5"/>
      <c r="K116" s="5">
        <v>214</v>
      </c>
      <c r="L116" s="5">
        <v>16</v>
      </c>
      <c r="M116" s="5">
        <v>3</v>
      </c>
      <c r="N116" s="5" t="s">
        <v>6</v>
      </c>
      <c r="O116" s="5">
        <v>2</v>
      </c>
      <c r="P116" s="5">
        <f>ROUND(Source!EK99,O116)</f>
        <v>579578.53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215</v>
      </c>
      <c r="F117" s="5">
        <f>ROUND(Source!AT99,O117)</f>
        <v>0</v>
      </c>
      <c r="G117" s="5" t="s">
        <v>159</v>
      </c>
      <c r="H117" s="5" t="s">
        <v>160</v>
      </c>
      <c r="I117" s="5"/>
      <c r="J117" s="5"/>
      <c r="K117" s="5">
        <v>215</v>
      </c>
      <c r="L117" s="5">
        <v>17</v>
      </c>
      <c r="M117" s="5">
        <v>3</v>
      </c>
      <c r="N117" s="5" t="s">
        <v>6</v>
      </c>
      <c r="O117" s="5">
        <v>2</v>
      </c>
      <c r="P117" s="5">
        <f>ROUND(Source!EL99,O117)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217</v>
      </c>
      <c r="F118" s="5">
        <f>ROUND(Source!AU99,O118)</f>
        <v>0</v>
      </c>
      <c r="G118" s="5" t="s">
        <v>161</v>
      </c>
      <c r="H118" s="5" t="s">
        <v>162</v>
      </c>
      <c r="I118" s="5"/>
      <c r="J118" s="5"/>
      <c r="K118" s="5">
        <v>217</v>
      </c>
      <c r="L118" s="5">
        <v>18</v>
      </c>
      <c r="M118" s="5">
        <v>3</v>
      </c>
      <c r="N118" s="5" t="s">
        <v>6</v>
      </c>
      <c r="O118" s="5">
        <v>2</v>
      </c>
      <c r="P118" s="5">
        <f>ROUND(Source!EM99,O118)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230</v>
      </c>
      <c r="F119" s="5">
        <f>ROUND(Source!BA99,O119)</f>
        <v>0</v>
      </c>
      <c r="G119" s="5" t="s">
        <v>163</v>
      </c>
      <c r="H119" s="5" t="s">
        <v>164</v>
      </c>
      <c r="I119" s="5"/>
      <c r="J119" s="5"/>
      <c r="K119" s="5">
        <v>230</v>
      </c>
      <c r="L119" s="5">
        <v>19</v>
      </c>
      <c r="M119" s="5">
        <v>3</v>
      </c>
      <c r="N119" s="5" t="s">
        <v>6</v>
      </c>
      <c r="O119" s="5">
        <v>2</v>
      </c>
      <c r="P119" s="5">
        <f>ROUND(Source!ES99,O119)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206</v>
      </c>
      <c r="F120" s="5">
        <f>ROUND(Source!T99,O120)</f>
        <v>0</v>
      </c>
      <c r="G120" s="5" t="s">
        <v>165</v>
      </c>
      <c r="H120" s="5" t="s">
        <v>166</v>
      </c>
      <c r="I120" s="5"/>
      <c r="J120" s="5"/>
      <c r="K120" s="5">
        <v>206</v>
      </c>
      <c r="L120" s="5">
        <v>20</v>
      </c>
      <c r="M120" s="5">
        <v>3</v>
      </c>
      <c r="N120" s="5" t="s">
        <v>6</v>
      </c>
      <c r="O120" s="5">
        <v>2</v>
      </c>
      <c r="P120" s="5">
        <f>ROUND(Source!DL99,O120)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207</v>
      </c>
      <c r="F121" s="5">
        <f>Source!U99</f>
        <v>410.95948199999992</v>
      </c>
      <c r="G121" s="5" t="s">
        <v>167</v>
      </c>
      <c r="H121" s="5" t="s">
        <v>168</v>
      </c>
      <c r="I121" s="5"/>
      <c r="J121" s="5"/>
      <c r="K121" s="5">
        <v>207</v>
      </c>
      <c r="L121" s="5">
        <v>21</v>
      </c>
      <c r="M121" s="5">
        <v>3</v>
      </c>
      <c r="N121" s="5" t="s">
        <v>6</v>
      </c>
      <c r="O121" s="5">
        <v>-1</v>
      </c>
      <c r="P121" s="5">
        <f>Source!DM99</f>
        <v>410.95948199999992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208</v>
      </c>
      <c r="F122" s="5">
        <f>Source!V99</f>
        <v>11.610885</v>
      </c>
      <c r="G122" s="5" t="s">
        <v>169</v>
      </c>
      <c r="H122" s="5" t="s">
        <v>170</v>
      </c>
      <c r="I122" s="5"/>
      <c r="J122" s="5"/>
      <c r="K122" s="5">
        <v>208</v>
      </c>
      <c r="L122" s="5">
        <v>22</v>
      </c>
      <c r="M122" s="5">
        <v>3</v>
      </c>
      <c r="N122" s="5" t="s">
        <v>6</v>
      </c>
      <c r="O122" s="5">
        <v>-1</v>
      </c>
      <c r="P122" s="5">
        <f>Source!DN99</f>
        <v>11.610885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209</v>
      </c>
      <c r="F123" s="5">
        <f>ROUND(Source!W99,O123)</f>
        <v>0</v>
      </c>
      <c r="G123" s="5" t="s">
        <v>171</v>
      </c>
      <c r="H123" s="5" t="s">
        <v>172</v>
      </c>
      <c r="I123" s="5"/>
      <c r="J123" s="5"/>
      <c r="K123" s="5">
        <v>209</v>
      </c>
      <c r="L123" s="5">
        <v>23</v>
      </c>
      <c r="M123" s="5">
        <v>3</v>
      </c>
      <c r="N123" s="5" t="s">
        <v>6</v>
      </c>
      <c r="O123" s="5">
        <v>2</v>
      </c>
      <c r="P123" s="5">
        <f>ROUND(Source!DO99,O123)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210</v>
      </c>
      <c r="F124" s="5">
        <f>ROUND(Source!X99,O124)</f>
        <v>3663.95</v>
      </c>
      <c r="G124" s="5" t="s">
        <v>173</v>
      </c>
      <c r="H124" s="5" t="s">
        <v>174</v>
      </c>
      <c r="I124" s="5"/>
      <c r="J124" s="5"/>
      <c r="K124" s="5">
        <v>210</v>
      </c>
      <c r="L124" s="5">
        <v>24</v>
      </c>
      <c r="M124" s="5">
        <v>3</v>
      </c>
      <c r="N124" s="5" t="s">
        <v>6</v>
      </c>
      <c r="O124" s="5">
        <v>2</v>
      </c>
      <c r="P124" s="5">
        <f>ROUND(Source!DP99,O124)</f>
        <v>24804.9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211</v>
      </c>
      <c r="F125" s="5">
        <f>ROUND(Source!Y99,O125)</f>
        <v>2019.17</v>
      </c>
      <c r="G125" s="5" t="s">
        <v>175</v>
      </c>
      <c r="H125" s="5" t="s">
        <v>176</v>
      </c>
      <c r="I125" s="5"/>
      <c r="J125" s="5"/>
      <c r="K125" s="5">
        <v>211</v>
      </c>
      <c r="L125" s="5">
        <v>25</v>
      </c>
      <c r="M125" s="5">
        <v>3</v>
      </c>
      <c r="N125" s="5" t="s">
        <v>6</v>
      </c>
      <c r="O125" s="5">
        <v>2</v>
      </c>
      <c r="P125" s="5">
        <f>ROUND(Source!DQ99,O125)</f>
        <v>13669.72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0</v>
      </c>
      <c r="F126" s="5">
        <f>ROUND(Source!AR99,O126)</f>
        <v>23637.69</v>
      </c>
      <c r="G126" s="5" t="s">
        <v>177</v>
      </c>
      <c r="H126" s="5" t="s">
        <v>178</v>
      </c>
      <c r="I126" s="5"/>
      <c r="J126" s="5"/>
      <c r="K126" s="5">
        <v>224</v>
      </c>
      <c r="L126" s="5">
        <v>26</v>
      </c>
      <c r="M126" s="5">
        <v>3</v>
      </c>
      <c r="N126" s="5" t="s">
        <v>6</v>
      </c>
      <c r="O126" s="5">
        <v>2</v>
      </c>
      <c r="P126" s="5">
        <f>ROUND(Source!EJ99,O126)</f>
        <v>579578.53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1</v>
      </c>
      <c r="C127" s="5">
        <v>0</v>
      </c>
      <c r="D127" s="5">
        <v>2</v>
      </c>
      <c r="E127" s="5">
        <v>0</v>
      </c>
      <c r="F127" s="5">
        <f>ROUND(F126,O127)</f>
        <v>23637.69</v>
      </c>
      <c r="G127" s="5" t="s">
        <v>179</v>
      </c>
      <c r="H127" s="5" t="s">
        <v>177</v>
      </c>
      <c r="I127" s="5"/>
      <c r="J127" s="5"/>
      <c r="K127" s="5">
        <v>212</v>
      </c>
      <c r="L127" s="5">
        <v>27</v>
      </c>
      <c r="M127" s="5">
        <v>0</v>
      </c>
      <c r="N127" s="5" t="s">
        <v>6</v>
      </c>
      <c r="O127" s="5">
        <v>2</v>
      </c>
      <c r="P127" s="5">
        <f>ROUND(P126,O127)</f>
        <v>579578.53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1</v>
      </c>
      <c r="C128" s="5">
        <v>0</v>
      </c>
      <c r="D128" s="5">
        <v>2</v>
      </c>
      <c r="E128" s="5">
        <v>0</v>
      </c>
      <c r="F128" s="5">
        <f>ROUND(F127*0.2,O128)</f>
        <v>4727.54</v>
      </c>
      <c r="G128" s="5" t="s">
        <v>180</v>
      </c>
      <c r="H128" s="5" t="s">
        <v>181</v>
      </c>
      <c r="I128" s="5"/>
      <c r="J128" s="5"/>
      <c r="K128" s="5">
        <v>212</v>
      </c>
      <c r="L128" s="5">
        <v>28</v>
      </c>
      <c r="M128" s="5">
        <v>0</v>
      </c>
      <c r="N128" s="5" t="s">
        <v>6</v>
      </c>
      <c r="O128" s="5">
        <v>2</v>
      </c>
      <c r="P128" s="5">
        <f>ROUND(P127*0.2,O128)</f>
        <v>115915.71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1</v>
      </c>
      <c r="C129" s="5">
        <v>0</v>
      </c>
      <c r="D129" s="5">
        <v>2</v>
      </c>
      <c r="E129" s="5">
        <v>224</v>
      </c>
      <c r="F129" s="5">
        <f>ROUND(F127+F128,O129)</f>
        <v>28365.23</v>
      </c>
      <c r="G129" s="5" t="s">
        <v>182</v>
      </c>
      <c r="H129" s="5" t="s">
        <v>183</v>
      </c>
      <c r="I129" s="5"/>
      <c r="J129" s="5"/>
      <c r="K129" s="5">
        <v>212</v>
      </c>
      <c r="L129" s="5">
        <v>29</v>
      </c>
      <c r="M129" s="5">
        <v>0</v>
      </c>
      <c r="N129" s="5" t="s">
        <v>6</v>
      </c>
      <c r="O129" s="5">
        <v>2</v>
      </c>
      <c r="P129" s="5">
        <f>ROUND(P127+P128,O129)</f>
        <v>695494.24</v>
      </c>
      <c r="Q129" s="5"/>
      <c r="R129" s="5"/>
      <c r="S129" s="5"/>
      <c r="T129" s="5"/>
      <c r="U129" s="5"/>
      <c r="V129" s="5"/>
      <c r="W129" s="5"/>
    </row>
    <row r="132" spans="1:23" x14ac:dyDescent="0.2">
      <c r="A132">
        <v>70</v>
      </c>
      <c r="B132">
        <v>1</v>
      </c>
      <c r="D132">
        <v>1</v>
      </c>
      <c r="E132" t="s">
        <v>184</v>
      </c>
      <c r="F132" t="s">
        <v>185</v>
      </c>
      <c r="G132">
        <v>0</v>
      </c>
      <c r="H132">
        <v>0</v>
      </c>
      <c r="I132" t="s">
        <v>6</v>
      </c>
      <c r="J132">
        <v>1</v>
      </c>
      <c r="K132">
        <v>0</v>
      </c>
      <c r="L132" t="s">
        <v>6</v>
      </c>
      <c r="M132" t="s">
        <v>6</v>
      </c>
      <c r="N132">
        <v>0</v>
      </c>
      <c r="O132">
        <v>0</v>
      </c>
    </row>
    <row r="133" spans="1:23" x14ac:dyDescent="0.2">
      <c r="A133">
        <v>70</v>
      </c>
      <c r="B133">
        <v>1</v>
      </c>
      <c r="D133">
        <v>2</v>
      </c>
      <c r="E133" t="s">
        <v>186</v>
      </c>
      <c r="F133" t="s">
        <v>187</v>
      </c>
      <c r="G133">
        <v>1</v>
      </c>
      <c r="H133">
        <v>0</v>
      </c>
      <c r="I133" t="s">
        <v>6</v>
      </c>
      <c r="J133">
        <v>1</v>
      </c>
      <c r="K133">
        <v>0</v>
      </c>
      <c r="L133" t="s">
        <v>6</v>
      </c>
      <c r="M133" t="s">
        <v>6</v>
      </c>
      <c r="N133">
        <v>0</v>
      </c>
      <c r="O133">
        <v>1</v>
      </c>
    </row>
    <row r="134" spans="1:23" x14ac:dyDescent="0.2">
      <c r="A134">
        <v>70</v>
      </c>
      <c r="B134">
        <v>1</v>
      </c>
      <c r="D134">
        <v>3</v>
      </c>
      <c r="E134" t="s">
        <v>188</v>
      </c>
      <c r="F134" t="s">
        <v>189</v>
      </c>
      <c r="G134">
        <v>0</v>
      </c>
      <c r="H134">
        <v>0</v>
      </c>
      <c r="I134" t="s">
        <v>6</v>
      </c>
      <c r="J134">
        <v>1</v>
      </c>
      <c r="K134">
        <v>0</v>
      </c>
      <c r="L134" t="s">
        <v>6</v>
      </c>
      <c r="M134" t="s">
        <v>6</v>
      </c>
      <c r="N134">
        <v>0</v>
      </c>
      <c r="O134">
        <v>0</v>
      </c>
    </row>
    <row r="135" spans="1:23" x14ac:dyDescent="0.2">
      <c r="A135">
        <v>70</v>
      </c>
      <c r="B135">
        <v>1</v>
      </c>
      <c r="D135">
        <v>4</v>
      </c>
      <c r="E135" t="s">
        <v>190</v>
      </c>
      <c r="F135" t="s">
        <v>191</v>
      </c>
      <c r="G135">
        <v>0</v>
      </c>
      <c r="H135">
        <v>0</v>
      </c>
      <c r="I135" t="s">
        <v>192</v>
      </c>
      <c r="J135">
        <v>0</v>
      </c>
      <c r="K135">
        <v>0</v>
      </c>
      <c r="L135" t="s">
        <v>6</v>
      </c>
      <c r="M135" t="s">
        <v>6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5</v>
      </c>
      <c r="E136" t="s">
        <v>193</v>
      </c>
      <c r="F136" t="s">
        <v>194</v>
      </c>
      <c r="G136">
        <v>0</v>
      </c>
      <c r="H136">
        <v>0</v>
      </c>
      <c r="I136" t="s">
        <v>195</v>
      </c>
      <c r="J136">
        <v>0</v>
      </c>
      <c r="K136">
        <v>0</v>
      </c>
      <c r="L136" t="s">
        <v>6</v>
      </c>
      <c r="M136" t="s">
        <v>6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6</v>
      </c>
      <c r="E137" t="s">
        <v>196</v>
      </c>
      <c r="F137" t="s">
        <v>197</v>
      </c>
      <c r="G137">
        <v>0</v>
      </c>
      <c r="H137">
        <v>0</v>
      </c>
      <c r="I137" t="s">
        <v>198</v>
      </c>
      <c r="J137">
        <v>0</v>
      </c>
      <c r="K137">
        <v>0</v>
      </c>
      <c r="L137" t="s">
        <v>6</v>
      </c>
      <c r="M137" t="s">
        <v>6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7</v>
      </c>
      <c r="E138" t="s">
        <v>199</v>
      </c>
      <c r="F138" t="s">
        <v>200</v>
      </c>
      <c r="G138">
        <v>0</v>
      </c>
      <c r="H138">
        <v>0</v>
      </c>
      <c r="I138" t="s">
        <v>6</v>
      </c>
      <c r="J138">
        <v>0</v>
      </c>
      <c r="K138">
        <v>0</v>
      </c>
      <c r="L138" t="s">
        <v>6</v>
      </c>
      <c r="M138" t="s">
        <v>6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8</v>
      </c>
      <c r="E139" t="s">
        <v>201</v>
      </c>
      <c r="F139" t="s">
        <v>202</v>
      </c>
      <c r="G139">
        <v>0</v>
      </c>
      <c r="H139">
        <v>0</v>
      </c>
      <c r="I139" t="s">
        <v>203</v>
      </c>
      <c r="J139">
        <v>0</v>
      </c>
      <c r="K139">
        <v>0</v>
      </c>
      <c r="L139" t="s">
        <v>6</v>
      </c>
      <c r="M139" t="s">
        <v>6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9</v>
      </c>
      <c r="E140" t="s">
        <v>204</v>
      </c>
      <c r="F140" t="s">
        <v>205</v>
      </c>
      <c r="G140">
        <v>0</v>
      </c>
      <c r="H140">
        <v>0</v>
      </c>
      <c r="I140" t="s">
        <v>206</v>
      </c>
      <c r="J140">
        <v>0</v>
      </c>
      <c r="K140">
        <v>0</v>
      </c>
      <c r="L140" t="s">
        <v>6</v>
      </c>
      <c r="M140" t="s">
        <v>6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10</v>
      </c>
      <c r="E141" t="s">
        <v>207</v>
      </c>
      <c r="F141" t="s">
        <v>208</v>
      </c>
      <c r="G141">
        <v>0</v>
      </c>
      <c r="H141">
        <v>0</v>
      </c>
      <c r="I141" t="s">
        <v>209</v>
      </c>
      <c r="J141">
        <v>0</v>
      </c>
      <c r="K141">
        <v>0</v>
      </c>
      <c r="L141" t="s">
        <v>6</v>
      </c>
      <c r="M141" t="s">
        <v>6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11</v>
      </c>
      <c r="E142" t="s">
        <v>210</v>
      </c>
      <c r="F142" t="s">
        <v>211</v>
      </c>
      <c r="G142">
        <v>0</v>
      </c>
      <c r="H142">
        <v>0</v>
      </c>
      <c r="I142" t="s">
        <v>212</v>
      </c>
      <c r="J142">
        <v>0</v>
      </c>
      <c r="K142">
        <v>0</v>
      </c>
      <c r="L142" t="s">
        <v>6</v>
      </c>
      <c r="M142" t="s">
        <v>6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12</v>
      </c>
      <c r="E143" t="s">
        <v>213</v>
      </c>
      <c r="F143" t="s">
        <v>214</v>
      </c>
      <c r="G143">
        <v>0</v>
      </c>
      <c r="H143">
        <v>0</v>
      </c>
      <c r="I143" t="s">
        <v>6</v>
      </c>
      <c r="J143">
        <v>0</v>
      </c>
      <c r="K143">
        <v>0</v>
      </c>
      <c r="L143" t="s">
        <v>6</v>
      </c>
      <c r="M143" t="s">
        <v>6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1</v>
      </c>
      <c r="E144" t="s">
        <v>215</v>
      </c>
      <c r="F144" t="s">
        <v>216</v>
      </c>
      <c r="G144">
        <v>0.9</v>
      </c>
      <c r="H144">
        <v>1</v>
      </c>
      <c r="I144" t="s">
        <v>217</v>
      </c>
      <c r="J144">
        <v>0</v>
      </c>
      <c r="K144">
        <v>0</v>
      </c>
      <c r="L144" t="s">
        <v>6</v>
      </c>
      <c r="M144" t="s">
        <v>6</v>
      </c>
      <c r="N144">
        <v>0</v>
      </c>
      <c r="O144">
        <v>0.9</v>
      </c>
    </row>
    <row r="145" spans="1:15" x14ac:dyDescent="0.2">
      <c r="A145">
        <v>70</v>
      </c>
      <c r="B145">
        <v>1</v>
      </c>
      <c r="D145">
        <v>2</v>
      </c>
      <c r="E145" t="s">
        <v>218</v>
      </c>
      <c r="F145" t="s">
        <v>219</v>
      </c>
      <c r="G145">
        <v>0.85</v>
      </c>
      <c r="H145">
        <v>1</v>
      </c>
      <c r="I145" t="s">
        <v>220</v>
      </c>
      <c r="J145">
        <v>0</v>
      </c>
      <c r="K145">
        <v>0</v>
      </c>
      <c r="L145" t="s">
        <v>6</v>
      </c>
      <c r="M145" t="s">
        <v>6</v>
      </c>
      <c r="N145">
        <v>0</v>
      </c>
      <c r="O145">
        <v>0.85</v>
      </c>
    </row>
    <row r="146" spans="1:15" x14ac:dyDescent="0.2">
      <c r="A146">
        <v>70</v>
      </c>
      <c r="B146">
        <v>1</v>
      </c>
      <c r="D146">
        <v>3</v>
      </c>
      <c r="E146" t="s">
        <v>221</v>
      </c>
      <c r="F146" t="s">
        <v>222</v>
      </c>
      <c r="G146">
        <v>1</v>
      </c>
      <c r="H146">
        <v>0.85</v>
      </c>
      <c r="I146" t="s">
        <v>223</v>
      </c>
      <c r="J146">
        <v>0</v>
      </c>
      <c r="K146">
        <v>0</v>
      </c>
      <c r="L146" t="s">
        <v>6</v>
      </c>
      <c r="M146" t="s">
        <v>6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4</v>
      </c>
      <c r="E147" t="s">
        <v>224</v>
      </c>
      <c r="F147" t="s">
        <v>225</v>
      </c>
      <c r="G147">
        <v>1</v>
      </c>
      <c r="H147">
        <v>0</v>
      </c>
      <c r="I147" t="s">
        <v>6</v>
      </c>
      <c r="J147">
        <v>0</v>
      </c>
      <c r="K147">
        <v>0</v>
      </c>
      <c r="L147" t="s">
        <v>6</v>
      </c>
      <c r="M147" t="s">
        <v>6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5</v>
      </c>
      <c r="E148" t="s">
        <v>226</v>
      </c>
      <c r="F148" t="s">
        <v>227</v>
      </c>
      <c r="G148">
        <v>1</v>
      </c>
      <c r="H148">
        <v>0.8</v>
      </c>
      <c r="I148" t="s">
        <v>228</v>
      </c>
      <c r="J148">
        <v>0</v>
      </c>
      <c r="K148">
        <v>0</v>
      </c>
      <c r="L148" t="s">
        <v>6</v>
      </c>
      <c r="M148" t="s">
        <v>6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6</v>
      </c>
      <c r="E149" t="s">
        <v>229</v>
      </c>
      <c r="F149" t="s">
        <v>230</v>
      </c>
      <c r="G149">
        <v>1</v>
      </c>
      <c r="H149">
        <v>0</v>
      </c>
      <c r="I149" t="s">
        <v>6</v>
      </c>
      <c r="J149">
        <v>0</v>
      </c>
      <c r="K149">
        <v>0</v>
      </c>
      <c r="L149" t="s">
        <v>6</v>
      </c>
      <c r="M149" t="s">
        <v>6</v>
      </c>
      <c r="N149">
        <v>0</v>
      </c>
      <c r="O149">
        <v>0.85</v>
      </c>
    </row>
    <row r="150" spans="1:15" x14ac:dyDescent="0.2">
      <c r="A150">
        <v>70</v>
      </c>
      <c r="B150">
        <v>1</v>
      </c>
      <c r="D150">
        <v>7</v>
      </c>
      <c r="E150" t="s">
        <v>231</v>
      </c>
      <c r="F150" t="s">
        <v>232</v>
      </c>
      <c r="G150">
        <v>1</v>
      </c>
      <c r="H150">
        <v>0</v>
      </c>
      <c r="I150" t="s">
        <v>6</v>
      </c>
      <c r="J150">
        <v>0</v>
      </c>
      <c r="K150">
        <v>0</v>
      </c>
      <c r="L150" t="s">
        <v>6</v>
      </c>
      <c r="M150" t="s">
        <v>6</v>
      </c>
      <c r="N150">
        <v>0</v>
      </c>
      <c r="O150">
        <v>0.8</v>
      </c>
    </row>
    <row r="151" spans="1:15" x14ac:dyDescent="0.2">
      <c r="A151">
        <v>70</v>
      </c>
      <c r="B151">
        <v>1</v>
      </c>
      <c r="D151">
        <v>8</v>
      </c>
      <c r="E151" t="s">
        <v>233</v>
      </c>
      <c r="F151" t="s">
        <v>234</v>
      </c>
      <c r="G151">
        <v>0.7</v>
      </c>
      <c r="H151">
        <v>0</v>
      </c>
      <c r="I151" t="s">
        <v>6</v>
      </c>
      <c r="J151">
        <v>0</v>
      </c>
      <c r="K151">
        <v>0</v>
      </c>
      <c r="L151" t="s">
        <v>6</v>
      </c>
      <c r="M151" t="s">
        <v>6</v>
      </c>
      <c r="N151">
        <v>0</v>
      </c>
      <c r="O151">
        <v>0.94</v>
      </c>
    </row>
    <row r="152" spans="1:15" x14ac:dyDescent="0.2">
      <c r="A152">
        <v>70</v>
      </c>
      <c r="B152">
        <v>1</v>
      </c>
      <c r="D152">
        <v>9</v>
      </c>
      <c r="E152" t="s">
        <v>235</v>
      </c>
      <c r="F152" t="s">
        <v>236</v>
      </c>
      <c r="G152">
        <v>0.9</v>
      </c>
      <c r="H152">
        <v>0</v>
      </c>
      <c r="I152" t="s">
        <v>6</v>
      </c>
      <c r="J152">
        <v>0</v>
      </c>
      <c r="K152">
        <v>0</v>
      </c>
      <c r="L152" t="s">
        <v>6</v>
      </c>
      <c r="M152" t="s">
        <v>6</v>
      </c>
      <c r="N152">
        <v>0</v>
      </c>
      <c r="O152">
        <v>0.9</v>
      </c>
    </row>
    <row r="153" spans="1:15" x14ac:dyDescent="0.2">
      <c r="A153">
        <v>70</v>
      </c>
      <c r="B153">
        <v>1</v>
      </c>
      <c r="D153">
        <v>10</v>
      </c>
      <c r="E153" t="s">
        <v>237</v>
      </c>
      <c r="F153" t="s">
        <v>238</v>
      </c>
      <c r="G153">
        <v>0.6</v>
      </c>
      <c r="H153">
        <v>0</v>
      </c>
      <c r="I153" t="s">
        <v>6</v>
      </c>
      <c r="J153">
        <v>0</v>
      </c>
      <c r="K153">
        <v>0</v>
      </c>
      <c r="L153" t="s">
        <v>6</v>
      </c>
      <c r="M153" t="s">
        <v>6</v>
      </c>
      <c r="N153">
        <v>0</v>
      </c>
      <c r="O153">
        <v>0.6</v>
      </c>
    </row>
    <row r="154" spans="1:15" x14ac:dyDescent="0.2">
      <c r="A154">
        <v>70</v>
      </c>
      <c r="B154">
        <v>1</v>
      </c>
      <c r="D154">
        <v>11</v>
      </c>
      <c r="E154" t="s">
        <v>239</v>
      </c>
      <c r="F154" t="s">
        <v>240</v>
      </c>
      <c r="G154">
        <v>1.2</v>
      </c>
      <c r="H154">
        <v>0</v>
      </c>
      <c r="I154" t="s">
        <v>6</v>
      </c>
      <c r="J154">
        <v>0</v>
      </c>
      <c r="K154">
        <v>0</v>
      </c>
      <c r="L154" t="s">
        <v>6</v>
      </c>
      <c r="M154" t="s">
        <v>6</v>
      </c>
      <c r="N154">
        <v>0</v>
      </c>
      <c r="O154">
        <v>1.2</v>
      </c>
    </row>
    <row r="155" spans="1:15" x14ac:dyDescent="0.2">
      <c r="A155">
        <v>70</v>
      </c>
      <c r="B155">
        <v>1</v>
      </c>
      <c r="D155">
        <v>12</v>
      </c>
      <c r="E155" t="s">
        <v>241</v>
      </c>
      <c r="F155" t="s">
        <v>242</v>
      </c>
      <c r="G155">
        <v>0</v>
      </c>
      <c r="H155">
        <v>0</v>
      </c>
      <c r="I155" t="s">
        <v>6</v>
      </c>
      <c r="J155">
        <v>0</v>
      </c>
      <c r="K155">
        <v>0</v>
      </c>
      <c r="L155" t="s">
        <v>6</v>
      </c>
      <c r="M155" t="s">
        <v>6</v>
      </c>
      <c r="N155">
        <v>0</v>
      </c>
      <c r="O155">
        <v>0</v>
      </c>
    </row>
    <row r="156" spans="1:15" x14ac:dyDescent="0.2">
      <c r="A156">
        <v>70</v>
      </c>
      <c r="B156">
        <v>1</v>
      </c>
      <c r="D156">
        <v>13</v>
      </c>
      <c r="E156" t="s">
        <v>243</v>
      </c>
      <c r="F156" t="s">
        <v>244</v>
      </c>
      <c r="G156">
        <v>1</v>
      </c>
      <c r="H156">
        <v>0</v>
      </c>
      <c r="I156" t="s">
        <v>6</v>
      </c>
      <c r="J156">
        <v>0</v>
      </c>
      <c r="K156">
        <v>0</v>
      </c>
      <c r="L156" t="s">
        <v>6</v>
      </c>
      <c r="M156" t="s">
        <v>6</v>
      </c>
      <c r="N156">
        <v>0</v>
      </c>
      <c r="O156">
        <v>0.94</v>
      </c>
    </row>
    <row r="158" spans="1:15" x14ac:dyDescent="0.2">
      <c r="A158">
        <v>-1</v>
      </c>
    </row>
    <row r="160" spans="1:15" x14ac:dyDescent="0.2">
      <c r="A160" s="4">
        <v>75</v>
      </c>
      <c r="B160" s="4" t="s">
        <v>245</v>
      </c>
      <c r="C160" s="4">
        <v>2000</v>
      </c>
      <c r="D160" s="4">
        <v>0</v>
      </c>
      <c r="E160" s="4">
        <v>1</v>
      </c>
      <c r="F160" s="4">
        <v>0</v>
      </c>
      <c r="G160" s="4">
        <v>0</v>
      </c>
      <c r="H160" s="4">
        <v>1</v>
      </c>
      <c r="I160" s="4">
        <v>0</v>
      </c>
      <c r="J160" s="4">
        <v>1</v>
      </c>
      <c r="K160" s="4">
        <v>0</v>
      </c>
      <c r="L160" s="4">
        <v>0</v>
      </c>
      <c r="M160" s="4">
        <v>0</v>
      </c>
      <c r="N160" s="4">
        <v>16878659</v>
      </c>
      <c r="O160" s="4">
        <v>1</v>
      </c>
    </row>
    <row r="161" spans="1:34" x14ac:dyDescent="0.2">
      <c r="A161" s="4">
        <v>75</v>
      </c>
      <c r="B161" s="4" t="s">
        <v>246</v>
      </c>
      <c r="C161" s="4">
        <v>2018</v>
      </c>
      <c r="D161" s="4">
        <v>4</v>
      </c>
      <c r="E161" s="4">
        <v>0</v>
      </c>
      <c r="F161" s="4"/>
      <c r="G161" s="4">
        <v>0</v>
      </c>
      <c r="H161" s="4">
        <v>1</v>
      </c>
      <c r="I161" s="4">
        <v>0</v>
      </c>
      <c r="J161" s="4">
        <v>1</v>
      </c>
      <c r="K161" s="4">
        <v>0</v>
      </c>
      <c r="L161" s="4">
        <v>0</v>
      </c>
      <c r="M161" s="4">
        <v>1</v>
      </c>
      <c r="N161" s="4">
        <v>16878660</v>
      </c>
      <c r="O161" s="4">
        <v>2</v>
      </c>
    </row>
    <row r="162" spans="1:34" x14ac:dyDescent="0.2">
      <c r="A162" s="6">
        <v>3</v>
      </c>
      <c r="B162" s="6" t="s">
        <v>247</v>
      </c>
      <c r="C162" s="6">
        <v>6.77</v>
      </c>
      <c r="D162" s="6">
        <v>1</v>
      </c>
      <c r="E162" s="6">
        <v>1</v>
      </c>
      <c r="F162" s="6">
        <v>1</v>
      </c>
      <c r="G162" s="6">
        <v>1</v>
      </c>
      <c r="H162" s="6">
        <v>1</v>
      </c>
      <c r="I162" s="6">
        <v>1</v>
      </c>
      <c r="J162" s="6">
        <v>1</v>
      </c>
      <c r="K162" s="6">
        <v>1</v>
      </c>
      <c r="L162" s="6">
        <v>1</v>
      </c>
      <c r="M162" s="6">
        <v>6.77</v>
      </c>
      <c r="N162" s="6">
        <v>1</v>
      </c>
      <c r="O162" s="6">
        <v>1</v>
      </c>
      <c r="P162" s="6">
        <v>1</v>
      </c>
      <c r="Q162" s="6">
        <v>1</v>
      </c>
      <c r="R162" s="6">
        <v>1</v>
      </c>
      <c r="S162" s="6" t="s">
        <v>6</v>
      </c>
      <c r="T162" s="6" t="s">
        <v>6</v>
      </c>
      <c r="U162" s="6" t="s">
        <v>6</v>
      </c>
      <c r="V162" s="6" t="s">
        <v>6</v>
      </c>
      <c r="W162" s="6" t="s">
        <v>6</v>
      </c>
      <c r="X162" s="6" t="s">
        <v>6</v>
      </c>
      <c r="Y162" s="6" t="s">
        <v>6</v>
      </c>
      <c r="Z162" s="6" t="s">
        <v>6</v>
      </c>
      <c r="AA162" s="6" t="s">
        <v>6</v>
      </c>
      <c r="AB162" s="6" t="s">
        <v>6</v>
      </c>
      <c r="AC162" s="6" t="s">
        <v>6</v>
      </c>
      <c r="AD162" s="6" t="s">
        <v>6</v>
      </c>
      <c r="AE162" s="6" t="s">
        <v>6</v>
      </c>
      <c r="AF162" s="6" t="s">
        <v>6</v>
      </c>
      <c r="AG162" s="6" t="s">
        <v>6</v>
      </c>
      <c r="AH162" s="6" t="s">
        <v>6</v>
      </c>
    </row>
    <row r="166" spans="1:34" x14ac:dyDescent="0.2">
      <c r="A166">
        <v>65</v>
      </c>
      <c r="C166">
        <v>1</v>
      </c>
      <c r="D166">
        <v>0</v>
      </c>
      <c r="E166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27251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11</v>
      </c>
      <c r="CF12" s="1">
        <v>0</v>
      </c>
      <c r="CG12" s="1">
        <v>0</v>
      </c>
      <c r="CH12" s="1">
        <v>17301512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16878659</v>
      </c>
      <c r="E14" s="1">
        <v>16878660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12</v>
      </c>
      <c r="D16" s="7" t="s">
        <v>12</v>
      </c>
      <c r="E16" s="8">
        <f>(Source!F84)/1000</f>
        <v>23.637689999999999</v>
      </c>
      <c r="F16" s="8">
        <f>(Source!F85)/1000</f>
        <v>0</v>
      </c>
      <c r="G16" s="8">
        <f>(Source!F76)/1000</f>
        <v>0</v>
      </c>
      <c r="H16" s="8">
        <f>(Source!F86)/1000+(Source!F87)/1000</f>
        <v>0</v>
      </c>
      <c r="I16" s="8">
        <f>E16+F16+G16+H16</f>
        <v>23.637689999999999</v>
      </c>
      <c r="J16" s="8">
        <f>(Source!F82)/1000</f>
        <v>3.4920100000000001</v>
      </c>
      <c r="T16" s="9">
        <f>(Source!P84)/1000</f>
        <v>579.57853</v>
      </c>
      <c r="U16" s="9">
        <f>(Source!P85)/1000</f>
        <v>0</v>
      </c>
      <c r="V16" s="9">
        <f>(Source!P76)/1000</f>
        <v>0</v>
      </c>
      <c r="W16" s="9">
        <f>(Source!P86)/1000+(Source!P87)/1000</f>
        <v>0</v>
      </c>
      <c r="X16" s="9">
        <f>T16+U16+V16+W16</f>
        <v>579.57853</v>
      </c>
      <c r="Y16" s="9">
        <f>(Source!P82)/1000</f>
        <v>23.640930000000001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17461.79</v>
      </c>
      <c r="AU16" s="8">
        <v>13458.95</v>
      </c>
      <c r="AV16" s="8">
        <v>0</v>
      </c>
      <c r="AW16" s="8">
        <v>0</v>
      </c>
      <c r="AX16" s="8">
        <v>0</v>
      </c>
      <c r="AY16" s="8">
        <v>510.83</v>
      </c>
      <c r="AZ16" s="8">
        <v>148.88999999999999</v>
      </c>
      <c r="BA16" s="8">
        <v>3492.01</v>
      </c>
      <c r="BB16" s="8">
        <v>23637.69</v>
      </c>
      <c r="BC16" s="8">
        <v>0</v>
      </c>
      <c r="BD16" s="8">
        <v>0</v>
      </c>
      <c r="BE16" s="8">
        <v>0</v>
      </c>
      <c r="BF16" s="8">
        <v>410.95948199999998</v>
      </c>
      <c r="BG16" s="8">
        <v>11.610884999999998</v>
      </c>
      <c r="BH16" s="8">
        <v>0</v>
      </c>
      <c r="BI16" s="8">
        <v>3663.95</v>
      </c>
      <c r="BJ16" s="8">
        <v>2019.17</v>
      </c>
      <c r="BK16" s="8">
        <v>28365.23</v>
      </c>
      <c r="BR16" s="9">
        <v>537767.79</v>
      </c>
      <c r="BS16" s="9">
        <v>510668.51</v>
      </c>
      <c r="BT16" s="9">
        <v>0</v>
      </c>
      <c r="BU16" s="9">
        <v>0</v>
      </c>
      <c r="BV16" s="9">
        <v>0</v>
      </c>
      <c r="BW16" s="9">
        <v>3458.35</v>
      </c>
      <c r="BX16" s="9">
        <v>1007.94</v>
      </c>
      <c r="BY16" s="9">
        <v>23640.93</v>
      </c>
      <c r="BZ16" s="9">
        <v>579578.53</v>
      </c>
      <c r="CA16" s="9">
        <v>0</v>
      </c>
      <c r="CB16" s="9">
        <v>0</v>
      </c>
      <c r="CC16" s="9">
        <v>0</v>
      </c>
      <c r="CD16" s="9">
        <v>410.95948199999998</v>
      </c>
      <c r="CE16" s="9">
        <v>11.610884999999998</v>
      </c>
      <c r="CF16" s="9">
        <v>0</v>
      </c>
      <c r="CG16" s="9">
        <v>24804.9</v>
      </c>
      <c r="CH16" s="9">
        <v>13669.72</v>
      </c>
      <c r="CI16" s="9">
        <v>695494.24</v>
      </c>
    </row>
    <row r="18" spans="1:40" x14ac:dyDescent="0.2">
      <c r="A18">
        <v>51</v>
      </c>
      <c r="E18" s="10">
        <f>SUMIF(A16:A17,3,E16:E17)</f>
        <v>23.637689999999999</v>
      </c>
      <c r="F18" s="10">
        <f>SUMIF(A16:A17,3,F16:F17)</f>
        <v>0</v>
      </c>
      <c r="G18" s="10">
        <f>SUMIF(A16:A17,3,G16:G17)</f>
        <v>0</v>
      </c>
      <c r="H18" s="10">
        <f>SUMIF(A16:A17,3,H16:H17)</f>
        <v>0</v>
      </c>
      <c r="I18" s="10">
        <f>SUMIF(A16:A17,3,I16:I17)</f>
        <v>23.637689999999999</v>
      </c>
      <c r="J18" s="10">
        <f>SUMIF(A16:A17,3,J16:J17)</f>
        <v>3.4920100000000001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579.57853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579.57853</v>
      </c>
      <c r="Y18" s="3">
        <f>SUMIF(A16:A17,3,Y16:Y17)</f>
        <v>23.640930000000001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17461.79</v>
      </c>
      <c r="G20" s="5" t="s">
        <v>127</v>
      </c>
      <c r="H20" s="5" t="s">
        <v>128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2</v>
      </c>
      <c r="P20" s="5">
        <v>537767.79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13458.95</v>
      </c>
      <c r="G21" s="5" t="s">
        <v>129</v>
      </c>
      <c r="H21" s="5" t="s">
        <v>130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2</v>
      </c>
      <c r="P21" s="5">
        <v>510668.51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131</v>
      </c>
      <c r="H22" s="5" t="s">
        <v>132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13458.95</v>
      </c>
      <c r="G23" s="5" t="s">
        <v>133</v>
      </c>
      <c r="H23" s="5" t="s">
        <v>134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2</v>
      </c>
      <c r="P23" s="5">
        <v>510668.51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13458.95</v>
      </c>
      <c r="G24" s="5" t="s">
        <v>135</v>
      </c>
      <c r="H24" s="5" t="s">
        <v>136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2</v>
      </c>
      <c r="P24" s="5">
        <v>510668.51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137</v>
      </c>
      <c r="H25" s="5" t="s">
        <v>138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13458.95</v>
      </c>
      <c r="G26" s="5" t="s">
        <v>139</v>
      </c>
      <c r="H26" s="5" t="s">
        <v>140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2</v>
      </c>
      <c r="P26" s="5">
        <v>510668.51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141</v>
      </c>
      <c r="H27" s="5" t="s">
        <v>142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143</v>
      </c>
      <c r="H28" s="5" t="s">
        <v>144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145</v>
      </c>
      <c r="H29" s="5" t="s">
        <v>146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510.83</v>
      </c>
      <c r="G30" s="5" t="s">
        <v>147</v>
      </c>
      <c r="H30" s="5" t="s">
        <v>148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2</v>
      </c>
      <c r="P30" s="5">
        <v>3458.35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149</v>
      </c>
      <c r="H31" s="5" t="s">
        <v>150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148.88999999999999</v>
      </c>
      <c r="G32" s="5" t="s">
        <v>151</v>
      </c>
      <c r="H32" s="5" t="s">
        <v>152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2</v>
      </c>
      <c r="P32" s="5">
        <v>1007.94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3492.01</v>
      </c>
      <c r="G33" s="5" t="s">
        <v>153</v>
      </c>
      <c r="H33" s="5" t="s">
        <v>154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2</v>
      </c>
      <c r="P33" s="5">
        <v>23640.93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155</v>
      </c>
      <c r="H34" s="5" t="s">
        <v>156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23637.69</v>
      </c>
      <c r="G35" s="5" t="s">
        <v>157</v>
      </c>
      <c r="H35" s="5" t="s">
        <v>158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2</v>
      </c>
      <c r="P35" s="5">
        <v>579578.53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159</v>
      </c>
      <c r="H36" s="5" t="s">
        <v>160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2</v>
      </c>
      <c r="P36" s="5">
        <v>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161</v>
      </c>
      <c r="H37" s="5" t="s">
        <v>162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2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163</v>
      </c>
      <c r="H38" s="5" t="s">
        <v>164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165</v>
      </c>
      <c r="H39" s="5" t="s">
        <v>166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410.95948199999998</v>
      </c>
      <c r="G40" s="5" t="s">
        <v>167</v>
      </c>
      <c r="H40" s="5" t="s">
        <v>168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410.95948199999998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11.610884999999998</v>
      </c>
      <c r="G41" s="5" t="s">
        <v>169</v>
      </c>
      <c r="H41" s="5" t="s">
        <v>170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11.610884999999998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171</v>
      </c>
      <c r="H42" s="5" t="s">
        <v>172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3663.95</v>
      </c>
      <c r="G43" s="5" t="s">
        <v>173</v>
      </c>
      <c r="H43" s="5" t="s">
        <v>174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2</v>
      </c>
      <c r="P43" s="5">
        <v>24804.9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2019.17</v>
      </c>
      <c r="G44" s="5" t="s">
        <v>175</v>
      </c>
      <c r="H44" s="5" t="s">
        <v>176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2</v>
      </c>
      <c r="P44" s="5">
        <v>13669.72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0</v>
      </c>
      <c r="F45" s="5">
        <v>23637.69</v>
      </c>
      <c r="G45" s="5" t="s">
        <v>177</v>
      </c>
      <c r="H45" s="5" t="s">
        <v>178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2</v>
      </c>
      <c r="P45" s="5">
        <v>579578.53</v>
      </c>
    </row>
    <row r="46" spans="1:16" x14ac:dyDescent="0.2">
      <c r="A46" s="5">
        <v>50</v>
      </c>
      <c r="B46" s="5">
        <v>1</v>
      </c>
      <c r="C46" s="5">
        <v>0</v>
      </c>
      <c r="D46" s="5">
        <v>2</v>
      </c>
      <c r="E46" s="5">
        <v>0</v>
      </c>
      <c r="F46" s="5">
        <v>23637.69</v>
      </c>
      <c r="G46" s="5" t="s">
        <v>179</v>
      </c>
      <c r="H46" s="5" t="s">
        <v>177</v>
      </c>
      <c r="I46" s="5"/>
      <c r="J46" s="5"/>
      <c r="K46" s="5">
        <v>212</v>
      </c>
      <c r="L46" s="5">
        <v>27</v>
      </c>
      <c r="M46" s="5">
        <v>0</v>
      </c>
      <c r="N46" s="5" t="s">
        <v>6</v>
      </c>
      <c r="O46" s="5">
        <v>2</v>
      </c>
      <c r="P46" s="5">
        <v>579578.53</v>
      </c>
    </row>
    <row r="47" spans="1:16" x14ac:dyDescent="0.2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4727.54</v>
      </c>
      <c r="G47" s="5" t="s">
        <v>180</v>
      </c>
      <c r="H47" s="5" t="s">
        <v>181</v>
      </c>
      <c r="I47" s="5"/>
      <c r="J47" s="5"/>
      <c r="K47" s="5">
        <v>212</v>
      </c>
      <c r="L47" s="5">
        <v>28</v>
      </c>
      <c r="M47" s="5">
        <v>0</v>
      </c>
      <c r="N47" s="5" t="s">
        <v>6</v>
      </c>
      <c r="O47" s="5">
        <v>2</v>
      </c>
      <c r="P47" s="5">
        <v>115915.71</v>
      </c>
    </row>
    <row r="48" spans="1:16" x14ac:dyDescent="0.2">
      <c r="A48" s="5">
        <v>50</v>
      </c>
      <c r="B48" s="5">
        <v>1</v>
      </c>
      <c r="C48" s="5">
        <v>0</v>
      </c>
      <c r="D48" s="5">
        <v>2</v>
      </c>
      <c r="E48" s="5">
        <v>224</v>
      </c>
      <c r="F48" s="5">
        <v>28365.23</v>
      </c>
      <c r="G48" s="5" t="s">
        <v>182</v>
      </c>
      <c r="H48" s="5" t="s">
        <v>183</v>
      </c>
      <c r="I48" s="5"/>
      <c r="J48" s="5"/>
      <c r="K48" s="5">
        <v>212</v>
      </c>
      <c r="L48" s="5">
        <v>29</v>
      </c>
      <c r="M48" s="5">
        <v>0</v>
      </c>
      <c r="N48" s="5" t="s">
        <v>6</v>
      </c>
      <c r="O48" s="5">
        <v>2</v>
      </c>
      <c r="P48" s="5">
        <v>695494.24</v>
      </c>
    </row>
    <row r="50" spans="1:34" x14ac:dyDescent="0.2">
      <c r="A50">
        <v>-1</v>
      </c>
    </row>
    <row r="53" spans="1:34" x14ac:dyDescent="0.2">
      <c r="A53" s="4">
        <v>75</v>
      </c>
      <c r="B53" s="4" t="s">
        <v>245</v>
      </c>
      <c r="C53" s="4">
        <v>2000</v>
      </c>
      <c r="D53" s="4">
        <v>0</v>
      </c>
      <c r="E53" s="4">
        <v>1</v>
      </c>
      <c r="F53" s="4">
        <v>0</v>
      </c>
      <c r="G53" s="4">
        <v>0</v>
      </c>
      <c r="H53" s="4">
        <v>1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16878659</v>
      </c>
      <c r="O53" s="4">
        <v>1</v>
      </c>
    </row>
    <row r="54" spans="1:34" x14ac:dyDescent="0.2">
      <c r="A54" s="4">
        <v>75</v>
      </c>
      <c r="B54" s="4" t="s">
        <v>246</v>
      </c>
      <c r="C54" s="4">
        <v>2018</v>
      </c>
      <c r="D54" s="4">
        <v>4</v>
      </c>
      <c r="E54" s="4">
        <v>0</v>
      </c>
      <c r="F54" s="4"/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1</v>
      </c>
      <c r="N54" s="4">
        <v>16878660</v>
      </c>
      <c r="O54" s="4">
        <v>2</v>
      </c>
    </row>
    <row r="55" spans="1:34" x14ac:dyDescent="0.2">
      <c r="A55" s="6">
        <v>3</v>
      </c>
      <c r="B55" s="6" t="s">
        <v>247</v>
      </c>
      <c r="C55" s="6">
        <v>6.77</v>
      </c>
      <c r="D55" s="6">
        <v>1</v>
      </c>
      <c r="E55" s="6">
        <v>1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6">
        <v>6.77</v>
      </c>
      <c r="N55" s="6">
        <v>1</v>
      </c>
      <c r="O55" s="6">
        <v>1</v>
      </c>
      <c r="P55" s="6">
        <v>1</v>
      </c>
      <c r="Q55" s="6">
        <v>1</v>
      </c>
      <c r="R55" s="6">
        <v>1</v>
      </c>
      <c r="S55" s="6" t="s">
        <v>6</v>
      </c>
      <c r="T55" s="6" t="s">
        <v>6</v>
      </c>
      <c r="U55" s="6" t="s">
        <v>6</v>
      </c>
      <c r="V55" s="6" t="s">
        <v>6</v>
      </c>
      <c r="W55" s="6" t="s">
        <v>6</v>
      </c>
      <c r="X55" s="6" t="s">
        <v>6</v>
      </c>
      <c r="Y55" s="6" t="s">
        <v>6</v>
      </c>
      <c r="Z55" s="6" t="s">
        <v>6</v>
      </c>
      <c r="AA55" s="6" t="s">
        <v>6</v>
      </c>
      <c r="AB55" s="6" t="s">
        <v>6</v>
      </c>
      <c r="AC55" s="6" t="s">
        <v>6</v>
      </c>
      <c r="AD55" s="6" t="s">
        <v>6</v>
      </c>
      <c r="AE55" s="6" t="s">
        <v>6</v>
      </c>
      <c r="AF55" s="6" t="s">
        <v>6</v>
      </c>
      <c r="AG55" s="6" t="s">
        <v>6</v>
      </c>
      <c r="AH55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ROW(Source!A24)</f>
        <v>24</v>
      </c>
      <c r="B1">
        <v>16878659</v>
      </c>
      <c r="C1">
        <v>16878722</v>
      </c>
      <c r="D1">
        <v>15433667</v>
      </c>
      <c r="E1">
        <v>1</v>
      </c>
      <c r="F1">
        <v>1</v>
      </c>
      <c r="G1">
        <v>1</v>
      </c>
      <c r="H1">
        <v>1</v>
      </c>
      <c r="I1" t="s">
        <v>249</v>
      </c>
      <c r="J1" t="s">
        <v>6</v>
      </c>
      <c r="K1" t="s">
        <v>250</v>
      </c>
      <c r="L1">
        <v>1191</v>
      </c>
      <c r="N1">
        <v>1013</v>
      </c>
      <c r="O1" t="s">
        <v>251</v>
      </c>
      <c r="P1" t="s">
        <v>251</v>
      </c>
      <c r="Q1">
        <v>1</v>
      </c>
      <c r="W1">
        <v>0</v>
      </c>
      <c r="X1">
        <v>371339561</v>
      </c>
      <c r="Y1">
        <v>172.76</v>
      </c>
      <c r="AA1">
        <v>0</v>
      </c>
      <c r="AB1">
        <v>0</v>
      </c>
      <c r="AC1">
        <v>0</v>
      </c>
      <c r="AD1">
        <v>8.09</v>
      </c>
      <c r="AE1">
        <v>0</v>
      </c>
      <c r="AF1">
        <v>0</v>
      </c>
      <c r="AG1">
        <v>0</v>
      </c>
      <c r="AH1">
        <v>8.09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172.76</v>
      </c>
      <c r="AU1" t="s">
        <v>6</v>
      </c>
      <c r="AV1">
        <v>1</v>
      </c>
      <c r="AW1">
        <v>2</v>
      </c>
      <c r="AX1">
        <v>16878726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149.26463999999999</v>
      </c>
      <c r="CY1">
        <f>AD1</f>
        <v>8.09</v>
      </c>
      <c r="CZ1">
        <f>AH1</f>
        <v>8.09</v>
      </c>
      <c r="DA1">
        <f>AL1</f>
        <v>1</v>
      </c>
      <c r="DB1">
        <f t="shared" ref="DB1:DB16" si="0">ROUND(ROUND(AT1*CZ1,2),6)</f>
        <v>1397.63</v>
      </c>
      <c r="DC1">
        <f t="shared" ref="DC1:DC16" si="1">ROUND(ROUND(AT1*AG1,2),6)</f>
        <v>0</v>
      </c>
    </row>
    <row r="2" spans="1:107" x14ac:dyDescent="0.2">
      <c r="A2">
        <f>ROW(Source!A24)</f>
        <v>24</v>
      </c>
      <c r="B2">
        <v>16878659</v>
      </c>
      <c r="C2">
        <v>16878722</v>
      </c>
      <c r="D2">
        <v>15430395</v>
      </c>
      <c r="E2">
        <v>1</v>
      </c>
      <c r="F2">
        <v>1</v>
      </c>
      <c r="G2">
        <v>1</v>
      </c>
      <c r="H2">
        <v>1</v>
      </c>
      <c r="I2" t="s">
        <v>252</v>
      </c>
      <c r="J2" t="s">
        <v>6</v>
      </c>
      <c r="K2" t="s">
        <v>253</v>
      </c>
      <c r="L2">
        <v>1191</v>
      </c>
      <c r="N2">
        <v>1013</v>
      </c>
      <c r="O2" t="s">
        <v>251</v>
      </c>
      <c r="P2" t="s">
        <v>251</v>
      </c>
      <c r="Q2">
        <v>1</v>
      </c>
      <c r="W2">
        <v>0</v>
      </c>
      <c r="X2">
        <v>-1417349443</v>
      </c>
      <c r="Y2">
        <v>7.74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7.74</v>
      </c>
      <c r="AU2" t="s">
        <v>6</v>
      </c>
      <c r="AV2">
        <v>2</v>
      </c>
      <c r="AW2">
        <v>2</v>
      </c>
      <c r="AX2">
        <v>16878727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6.68736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x14ac:dyDescent="0.2">
      <c r="A3">
        <f>ROW(Source!A24)</f>
        <v>24</v>
      </c>
      <c r="B3">
        <v>16878659</v>
      </c>
      <c r="C3">
        <v>16878722</v>
      </c>
      <c r="D3">
        <v>15247974</v>
      </c>
      <c r="E3">
        <v>1</v>
      </c>
      <c r="F3">
        <v>1</v>
      </c>
      <c r="G3">
        <v>1</v>
      </c>
      <c r="H3">
        <v>2</v>
      </c>
      <c r="I3" t="s">
        <v>254</v>
      </c>
      <c r="J3" t="s">
        <v>255</v>
      </c>
      <c r="K3" t="s">
        <v>256</v>
      </c>
      <c r="L3">
        <v>1368</v>
      </c>
      <c r="N3">
        <v>1011</v>
      </c>
      <c r="O3" t="s">
        <v>257</v>
      </c>
      <c r="P3" t="s">
        <v>257</v>
      </c>
      <c r="Q3">
        <v>1</v>
      </c>
      <c r="W3">
        <v>0</v>
      </c>
      <c r="X3">
        <v>1188625873</v>
      </c>
      <c r="Y3">
        <v>7.74</v>
      </c>
      <c r="AA3">
        <v>0</v>
      </c>
      <c r="AB3">
        <v>31.26</v>
      </c>
      <c r="AC3">
        <v>13.5</v>
      </c>
      <c r="AD3">
        <v>0</v>
      </c>
      <c r="AE3">
        <v>0</v>
      </c>
      <c r="AF3">
        <v>31.26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7.74</v>
      </c>
      <c r="AU3" t="s">
        <v>6</v>
      </c>
      <c r="AV3">
        <v>0</v>
      </c>
      <c r="AW3">
        <v>2</v>
      </c>
      <c r="AX3">
        <v>16878728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6.68736</v>
      </c>
      <c r="CY3">
        <f>AB3</f>
        <v>31.26</v>
      </c>
      <c r="CZ3">
        <f>AF3</f>
        <v>31.26</v>
      </c>
      <c r="DA3">
        <f>AJ3</f>
        <v>1</v>
      </c>
      <c r="DB3">
        <f t="shared" si="0"/>
        <v>241.95</v>
      </c>
      <c r="DC3">
        <f t="shared" si="1"/>
        <v>104.49</v>
      </c>
    </row>
    <row r="4" spans="1:107" x14ac:dyDescent="0.2">
      <c r="A4">
        <f>ROW(Source!A25)</f>
        <v>25</v>
      </c>
      <c r="B4">
        <v>16878660</v>
      </c>
      <c r="C4">
        <v>16878722</v>
      </c>
      <c r="D4">
        <v>15433667</v>
      </c>
      <c r="E4">
        <v>1</v>
      </c>
      <c r="F4">
        <v>1</v>
      </c>
      <c r="G4">
        <v>1</v>
      </c>
      <c r="H4">
        <v>1</v>
      </c>
      <c r="I4" t="s">
        <v>249</v>
      </c>
      <c r="J4" t="s">
        <v>6</v>
      </c>
      <c r="K4" t="s">
        <v>250</v>
      </c>
      <c r="L4">
        <v>1191</v>
      </c>
      <c r="N4">
        <v>1013</v>
      </c>
      <c r="O4" t="s">
        <v>251</v>
      </c>
      <c r="P4" t="s">
        <v>251</v>
      </c>
      <c r="Q4">
        <v>1</v>
      </c>
      <c r="W4">
        <v>0</v>
      </c>
      <c r="X4">
        <v>371339561</v>
      </c>
      <c r="Y4">
        <v>172.76</v>
      </c>
      <c r="AA4">
        <v>0</v>
      </c>
      <c r="AB4">
        <v>0</v>
      </c>
      <c r="AC4">
        <v>0</v>
      </c>
      <c r="AD4">
        <v>54.77</v>
      </c>
      <c r="AE4">
        <v>0</v>
      </c>
      <c r="AF4">
        <v>0</v>
      </c>
      <c r="AG4">
        <v>0</v>
      </c>
      <c r="AH4">
        <v>8.09</v>
      </c>
      <c r="AI4">
        <v>1</v>
      </c>
      <c r="AJ4">
        <v>1</v>
      </c>
      <c r="AK4">
        <v>1</v>
      </c>
      <c r="AL4">
        <v>6.77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172.76</v>
      </c>
      <c r="AU4" t="s">
        <v>6</v>
      </c>
      <c r="AV4">
        <v>1</v>
      </c>
      <c r="AW4">
        <v>2</v>
      </c>
      <c r="AX4">
        <v>16878726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149.26463999999999</v>
      </c>
      <c r="CY4">
        <f>AD4</f>
        <v>54.77</v>
      </c>
      <c r="CZ4">
        <f>AH4</f>
        <v>8.09</v>
      </c>
      <c r="DA4">
        <f>AL4</f>
        <v>6.77</v>
      </c>
      <c r="DB4">
        <f t="shared" si="0"/>
        <v>1397.63</v>
      </c>
      <c r="DC4">
        <f t="shared" si="1"/>
        <v>0</v>
      </c>
    </row>
    <row r="5" spans="1:107" x14ac:dyDescent="0.2">
      <c r="A5">
        <f>ROW(Source!A25)</f>
        <v>25</v>
      </c>
      <c r="B5">
        <v>16878660</v>
      </c>
      <c r="C5">
        <v>16878722</v>
      </c>
      <c r="D5">
        <v>15430395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6</v>
      </c>
      <c r="K5" t="s">
        <v>253</v>
      </c>
      <c r="L5">
        <v>1191</v>
      </c>
      <c r="N5">
        <v>1013</v>
      </c>
      <c r="O5" t="s">
        <v>251</v>
      </c>
      <c r="P5" t="s">
        <v>251</v>
      </c>
      <c r="Q5">
        <v>1</v>
      </c>
      <c r="W5">
        <v>0</v>
      </c>
      <c r="X5">
        <v>-1417349443</v>
      </c>
      <c r="Y5">
        <v>7.74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6.77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7.74</v>
      </c>
      <c r="AU5" t="s">
        <v>6</v>
      </c>
      <c r="AV5">
        <v>2</v>
      </c>
      <c r="AW5">
        <v>2</v>
      </c>
      <c r="AX5">
        <v>16878727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6.68736</v>
      </c>
      <c r="CY5">
        <f>AD5</f>
        <v>0</v>
      </c>
      <c r="CZ5">
        <f>AH5</f>
        <v>0</v>
      </c>
      <c r="DA5">
        <f>AL5</f>
        <v>1</v>
      </c>
      <c r="DB5">
        <f t="shared" si="0"/>
        <v>0</v>
      </c>
      <c r="DC5">
        <f t="shared" si="1"/>
        <v>0</v>
      </c>
    </row>
    <row r="6" spans="1:107" x14ac:dyDescent="0.2">
      <c r="A6">
        <f>ROW(Source!A25)</f>
        <v>25</v>
      </c>
      <c r="B6">
        <v>16878660</v>
      </c>
      <c r="C6">
        <v>16878722</v>
      </c>
      <c r="D6">
        <v>15247974</v>
      </c>
      <c r="E6">
        <v>1</v>
      </c>
      <c r="F6">
        <v>1</v>
      </c>
      <c r="G6">
        <v>1</v>
      </c>
      <c r="H6">
        <v>2</v>
      </c>
      <c r="I6" t="s">
        <v>254</v>
      </c>
      <c r="J6" t="s">
        <v>255</v>
      </c>
      <c r="K6" t="s">
        <v>256</v>
      </c>
      <c r="L6">
        <v>1368</v>
      </c>
      <c r="N6">
        <v>1011</v>
      </c>
      <c r="O6" t="s">
        <v>257</v>
      </c>
      <c r="P6" t="s">
        <v>257</v>
      </c>
      <c r="Q6">
        <v>1</v>
      </c>
      <c r="W6">
        <v>0</v>
      </c>
      <c r="X6">
        <v>1188625873</v>
      </c>
      <c r="Y6">
        <v>7.74</v>
      </c>
      <c r="AA6">
        <v>0</v>
      </c>
      <c r="AB6">
        <v>211.63</v>
      </c>
      <c r="AC6">
        <v>13.5</v>
      </c>
      <c r="AD6">
        <v>0</v>
      </c>
      <c r="AE6">
        <v>0</v>
      </c>
      <c r="AF6">
        <v>31.26</v>
      </c>
      <c r="AG6">
        <v>13.5</v>
      </c>
      <c r="AH6">
        <v>0</v>
      </c>
      <c r="AI6">
        <v>1</v>
      </c>
      <c r="AJ6">
        <v>6.77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7.74</v>
      </c>
      <c r="AU6" t="s">
        <v>6</v>
      </c>
      <c r="AV6">
        <v>0</v>
      </c>
      <c r="AW6">
        <v>2</v>
      </c>
      <c r="AX6">
        <v>16878728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6.68736</v>
      </c>
      <c r="CY6">
        <f>AB6</f>
        <v>211.63</v>
      </c>
      <c r="CZ6">
        <f>AF6</f>
        <v>31.26</v>
      </c>
      <c r="DA6">
        <f>AJ6</f>
        <v>6.77</v>
      </c>
      <c r="DB6">
        <f t="shared" si="0"/>
        <v>241.95</v>
      </c>
      <c r="DC6">
        <f t="shared" si="1"/>
        <v>104.49</v>
      </c>
    </row>
    <row r="7" spans="1:107" x14ac:dyDescent="0.2">
      <c r="A7">
        <f>ROW(Source!A26)</f>
        <v>26</v>
      </c>
      <c r="B7">
        <v>16878659</v>
      </c>
      <c r="C7">
        <v>16878729</v>
      </c>
      <c r="D7">
        <v>15430517</v>
      </c>
      <c r="E7">
        <v>1</v>
      </c>
      <c r="F7">
        <v>1</v>
      </c>
      <c r="G7">
        <v>1</v>
      </c>
      <c r="H7">
        <v>1</v>
      </c>
      <c r="I7" t="s">
        <v>258</v>
      </c>
      <c r="J7" t="s">
        <v>6</v>
      </c>
      <c r="K7" t="s">
        <v>259</v>
      </c>
      <c r="L7">
        <v>1191</v>
      </c>
      <c r="N7">
        <v>1013</v>
      </c>
      <c r="O7" t="s">
        <v>251</v>
      </c>
      <c r="P7" t="s">
        <v>251</v>
      </c>
      <c r="Q7">
        <v>1</v>
      </c>
      <c r="W7">
        <v>0</v>
      </c>
      <c r="X7">
        <v>735429535</v>
      </c>
      <c r="Y7">
        <v>9.1</v>
      </c>
      <c r="AA7">
        <v>0</v>
      </c>
      <c r="AB7">
        <v>0</v>
      </c>
      <c r="AC7">
        <v>0</v>
      </c>
      <c r="AD7">
        <v>7.8</v>
      </c>
      <c r="AE7">
        <v>0</v>
      </c>
      <c r="AF7">
        <v>0</v>
      </c>
      <c r="AG7">
        <v>0</v>
      </c>
      <c r="AH7">
        <v>7.8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9.1</v>
      </c>
      <c r="AU7" t="s">
        <v>6</v>
      </c>
      <c r="AV7">
        <v>1</v>
      </c>
      <c r="AW7">
        <v>2</v>
      </c>
      <c r="AX7">
        <v>16878732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3.2759999999999998</v>
      </c>
      <c r="CY7">
        <f>AD7</f>
        <v>7.8</v>
      </c>
      <c r="CZ7">
        <f>AH7</f>
        <v>7.8</v>
      </c>
      <c r="DA7">
        <f>AL7</f>
        <v>1</v>
      </c>
      <c r="DB7">
        <f t="shared" si="0"/>
        <v>70.98</v>
      </c>
      <c r="DC7">
        <f t="shared" si="1"/>
        <v>0</v>
      </c>
    </row>
    <row r="8" spans="1:107" x14ac:dyDescent="0.2">
      <c r="A8">
        <f>ROW(Source!A26)</f>
        <v>26</v>
      </c>
      <c r="B8">
        <v>16878659</v>
      </c>
      <c r="C8">
        <v>16878729</v>
      </c>
      <c r="D8">
        <v>15247878</v>
      </c>
      <c r="E8">
        <v>1</v>
      </c>
      <c r="F8">
        <v>1</v>
      </c>
      <c r="G8">
        <v>1</v>
      </c>
      <c r="H8">
        <v>2</v>
      </c>
      <c r="I8" t="s">
        <v>260</v>
      </c>
      <c r="J8" t="s">
        <v>261</v>
      </c>
      <c r="K8" t="s">
        <v>262</v>
      </c>
      <c r="L8">
        <v>1368</v>
      </c>
      <c r="N8">
        <v>1011</v>
      </c>
      <c r="O8" t="s">
        <v>257</v>
      </c>
      <c r="P8" t="s">
        <v>257</v>
      </c>
      <c r="Q8">
        <v>1</v>
      </c>
      <c r="W8">
        <v>0</v>
      </c>
      <c r="X8">
        <v>1047452784</v>
      </c>
      <c r="Y8">
        <v>0.12</v>
      </c>
      <c r="AA8">
        <v>0</v>
      </c>
      <c r="AB8">
        <v>1.7</v>
      </c>
      <c r="AC8">
        <v>0</v>
      </c>
      <c r="AD8">
        <v>0</v>
      </c>
      <c r="AE8">
        <v>0</v>
      </c>
      <c r="AF8">
        <v>1.7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0.12</v>
      </c>
      <c r="AU8" t="s">
        <v>6</v>
      </c>
      <c r="AV8">
        <v>0</v>
      </c>
      <c r="AW8">
        <v>2</v>
      </c>
      <c r="AX8">
        <v>16878733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4.3199999999999995E-2</v>
      </c>
      <c r="CY8">
        <f>AB8</f>
        <v>1.7</v>
      </c>
      <c r="CZ8">
        <f>AF8</f>
        <v>1.7</v>
      </c>
      <c r="DA8">
        <f>AJ8</f>
        <v>1</v>
      </c>
      <c r="DB8">
        <f t="shared" si="0"/>
        <v>0.2</v>
      </c>
      <c r="DC8">
        <f t="shared" si="1"/>
        <v>0</v>
      </c>
    </row>
    <row r="9" spans="1:107" x14ac:dyDescent="0.2">
      <c r="A9">
        <f>ROW(Source!A27)</f>
        <v>27</v>
      </c>
      <c r="B9">
        <v>16878660</v>
      </c>
      <c r="C9">
        <v>16878729</v>
      </c>
      <c r="D9">
        <v>15430517</v>
      </c>
      <c r="E9">
        <v>1</v>
      </c>
      <c r="F9">
        <v>1</v>
      </c>
      <c r="G9">
        <v>1</v>
      </c>
      <c r="H9">
        <v>1</v>
      </c>
      <c r="I9" t="s">
        <v>258</v>
      </c>
      <c r="J9" t="s">
        <v>6</v>
      </c>
      <c r="K9" t="s">
        <v>259</v>
      </c>
      <c r="L9">
        <v>1191</v>
      </c>
      <c r="N9">
        <v>1013</v>
      </c>
      <c r="O9" t="s">
        <v>251</v>
      </c>
      <c r="P9" t="s">
        <v>251</v>
      </c>
      <c r="Q9">
        <v>1</v>
      </c>
      <c r="W9">
        <v>0</v>
      </c>
      <c r="X9">
        <v>735429535</v>
      </c>
      <c r="Y9">
        <v>9.1</v>
      </c>
      <c r="AA9">
        <v>0</v>
      </c>
      <c r="AB9">
        <v>0</v>
      </c>
      <c r="AC9">
        <v>0</v>
      </c>
      <c r="AD9">
        <v>52.81</v>
      </c>
      <c r="AE9">
        <v>0</v>
      </c>
      <c r="AF9">
        <v>0</v>
      </c>
      <c r="AG9">
        <v>0</v>
      </c>
      <c r="AH9">
        <v>7.8</v>
      </c>
      <c r="AI9">
        <v>1</v>
      </c>
      <c r="AJ9">
        <v>1</v>
      </c>
      <c r="AK9">
        <v>1</v>
      </c>
      <c r="AL9">
        <v>6.77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9.1</v>
      </c>
      <c r="AU9" t="s">
        <v>6</v>
      </c>
      <c r="AV9">
        <v>1</v>
      </c>
      <c r="AW9">
        <v>2</v>
      </c>
      <c r="AX9">
        <v>16878732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3.2759999999999998</v>
      </c>
      <c r="CY9">
        <f>AD9</f>
        <v>52.81</v>
      </c>
      <c r="CZ9">
        <f>AH9</f>
        <v>7.8</v>
      </c>
      <c r="DA9">
        <f>AL9</f>
        <v>6.77</v>
      </c>
      <c r="DB9">
        <f t="shared" si="0"/>
        <v>70.98</v>
      </c>
      <c r="DC9">
        <f t="shared" si="1"/>
        <v>0</v>
      </c>
    </row>
    <row r="10" spans="1:107" x14ac:dyDescent="0.2">
      <c r="A10">
        <f>ROW(Source!A27)</f>
        <v>27</v>
      </c>
      <c r="B10">
        <v>16878660</v>
      </c>
      <c r="C10">
        <v>16878729</v>
      </c>
      <c r="D10">
        <v>15247878</v>
      </c>
      <c r="E10">
        <v>1</v>
      </c>
      <c r="F10">
        <v>1</v>
      </c>
      <c r="G10">
        <v>1</v>
      </c>
      <c r="H10">
        <v>2</v>
      </c>
      <c r="I10" t="s">
        <v>260</v>
      </c>
      <c r="J10" t="s">
        <v>261</v>
      </c>
      <c r="K10" t="s">
        <v>262</v>
      </c>
      <c r="L10">
        <v>1368</v>
      </c>
      <c r="N10">
        <v>1011</v>
      </c>
      <c r="O10" t="s">
        <v>257</v>
      </c>
      <c r="P10" t="s">
        <v>257</v>
      </c>
      <c r="Q10">
        <v>1</v>
      </c>
      <c r="W10">
        <v>0</v>
      </c>
      <c r="X10">
        <v>1047452784</v>
      </c>
      <c r="Y10">
        <v>0.12</v>
      </c>
      <c r="AA10">
        <v>0</v>
      </c>
      <c r="AB10">
        <v>11.51</v>
      </c>
      <c r="AC10">
        <v>0</v>
      </c>
      <c r="AD10">
        <v>0</v>
      </c>
      <c r="AE10">
        <v>0</v>
      </c>
      <c r="AF10">
        <v>1.7</v>
      </c>
      <c r="AG10">
        <v>0</v>
      </c>
      <c r="AH10">
        <v>0</v>
      </c>
      <c r="AI10">
        <v>1</v>
      </c>
      <c r="AJ10">
        <v>6.77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0.12</v>
      </c>
      <c r="AU10" t="s">
        <v>6</v>
      </c>
      <c r="AV10">
        <v>0</v>
      </c>
      <c r="AW10">
        <v>2</v>
      </c>
      <c r="AX10">
        <v>16878733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4.3199999999999995E-2</v>
      </c>
      <c r="CY10">
        <f>AB10</f>
        <v>11.51</v>
      </c>
      <c r="CZ10">
        <f>AF10</f>
        <v>1.7</v>
      </c>
      <c r="DA10">
        <f>AJ10</f>
        <v>6.77</v>
      </c>
      <c r="DB10">
        <f t="shared" si="0"/>
        <v>0.2</v>
      </c>
      <c r="DC10">
        <f t="shared" si="1"/>
        <v>0</v>
      </c>
    </row>
    <row r="11" spans="1:107" x14ac:dyDescent="0.2">
      <c r="A11">
        <f>ROW(Source!A28)</f>
        <v>28</v>
      </c>
      <c r="B11">
        <v>16878659</v>
      </c>
      <c r="C11">
        <v>16878735</v>
      </c>
      <c r="D11">
        <v>15433570</v>
      </c>
      <c r="E11">
        <v>1</v>
      </c>
      <c r="F11">
        <v>1</v>
      </c>
      <c r="G11">
        <v>1</v>
      </c>
      <c r="H11">
        <v>1</v>
      </c>
      <c r="I11" t="s">
        <v>263</v>
      </c>
      <c r="J11" t="s">
        <v>6</v>
      </c>
      <c r="K11" t="s">
        <v>264</v>
      </c>
      <c r="L11">
        <v>1191</v>
      </c>
      <c r="N11">
        <v>1013</v>
      </c>
      <c r="O11" t="s">
        <v>251</v>
      </c>
      <c r="P11" t="s">
        <v>251</v>
      </c>
      <c r="Q11">
        <v>1</v>
      </c>
      <c r="W11">
        <v>0</v>
      </c>
      <c r="X11">
        <v>158058434</v>
      </c>
      <c r="Y11">
        <v>275.60000000000002</v>
      </c>
      <c r="AA11">
        <v>0</v>
      </c>
      <c r="AB11">
        <v>0</v>
      </c>
      <c r="AC11">
        <v>0</v>
      </c>
      <c r="AD11">
        <v>7.68</v>
      </c>
      <c r="AE11">
        <v>0</v>
      </c>
      <c r="AF11">
        <v>0</v>
      </c>
      <c r="AG11">
        <v>0</v>
      </c>
      <c r="AH11">
        <v>7.68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275.60000000000002</v>
      </c>
      <c r="AU11" t="s">
        <v>6</v>
      </c>
      <c r="AV11">
        <v>1</v>
      </c>
      <c r="AW11">
        <v>2</v>
      </c>
      <c r="AX11">
        <v>16878739</v>
      </c>
      <c r="AY11">
        <v>1</v>
      </c>
      <c r="AZ11">
        <v>0</v>
      </c>
      <c r="BA11">
        <v>13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19.8432</v>
      </c>
      <c r="CY11">
        <f>AD11</f>
        <v>7.68</v>
      </c>
      <c r="CZ11">
        <f>AH11</f>
        <v>7.68</v>
      </c>
      <c r="DA11">
        <f>AL11</f>
        <v>1</v>
      </c>
      <c r="DB11">
        <f t="shared" si="0"/>
        <v>2116.61</v>
      </c>
      <c r="DC11">
        <f t="shared" si="1"/>
        <v>0</v>
      </c>
    </row>
    <row r="12" spans="1:107" x14ac:dyDescent="0.2">
      <c r="A12">
        <f>ROW(Source!A28)</f>
        <v>28</v>
      </c>
      <c r="B12">
        <v>16878659</v>
      </c>
      <c r="C12">
        <v>16878735</v>
      </c>
      <c r="D12">
        <v>15249402</v>
      </c>
      <c r="E12">
        <v>1</v>
      </c>
      <c r="F12">
        <v>1</v>
      </c>
      <c r="G12">
        <v>1</v>
      </c>
      <c r="H12">
        <v>2</v>
      </c>
      <c r="I12" t="s">
        <v>265</v>
      </c>
      <c r="J12" t="s">
        <v>266</v>
      </c>
      <c r="K12" t="s">
        <v>267</v>
      </c>
      <c r="L12">
        <v>1368</v>
      </c>
      <c r="N12">
        <v>1011</v>
      </c>
      <c r="O12" t="s">
        <v>257</v>
      </c>
      <c r="P12" t="s">
        <v>257</v>
      </c>
      <c r="Q12">
        <v>1</v>
      </c>
      <c r="W12">
        <v>0</v>
      </c>
      <c r="X12">
        <v>-2111251057</v>
      </c>
      <c r="Y12">
        <v>1.58</v>
      </c>
      <c r="AA12">
        <v>0</v>
      </c>
      <c r="AB12">
        <v>32.5</v>
      </c>
      <c r="AC12">
        <v>0</v>
      </c>
      <c r="AD12">
        <v>0</v>
      </c>
      <c r="AE12">
        <v>0</v>
      </c>
      <c r="AF12">
        <v>32.5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1.58</v>
      </c>
      <c r="AU12" t="s">
        <v>6</v>
      </c>
      <c r="AV12">
        <v>0</v>
      </c>
      <c r="AW12">
        <v>2</v>
      </c>
      <c r="AX12">
        <v>16878740</v>
      </c>
      <c r="AY12">
        <v>1</v>
      </c>
      <c r="AZ12">
        <v>0</v>
      </c>
      <c r="BA12">
        <v>14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0.11376</v>
      </c>
      <c r="CY12">
        <f>AB12</f>
        <v>32.5</v>
      </c>
      <c r="CZ12">
        <f>AF12</f>
        <v>32.5</v>
      </c>
      <c r="DA12">
        <f>AJ12</f>
        <v>1</v>
      </c>
      <c r="DB12">
        <f t="shared" si="0"/>
        <v>51.35</v>
      </c>
      <c r="DC12">
        <f t="shared" si="1"/>
        <v>0</v>
      </c>
    </row>
    <row r="13" spans="1:107" x14ac:dyDescent="0.2">
      <c r="A13">
        <f>ROW(Source!A28)</f>
        <v>28</v>
      </c>
      <c r="B13">
        <v>16878659</v>
      </c>
      <c r="C13">
        <v>16878735</v>
      </c>
      <c r="D13">
        <v>15249998</v>
      </c>
      <c r="E13">
        <v>1</v>
      </c>
      <c r="F13">
        <v>1</v>
      </c>
      <c r="G13">
        <v>1</v>
      </c>
      <c r="H13">
        <v>2</v>
      </c>
      <c r="I13" t="s">
        <v>268</v>
      </c>
      <c r="J13" t="s">
        <v>269</v>
      </c>
      <c r="K13" t="s">
        <v>270</v>
      </c>
      <c r="L13">
        <v>1368</v>
      </c>
      <c r="N13">
        <v>1011</v>
      </c>
      <c r="O13" t="s">
        <v>257</v>
      </c>
      <c r="P13" t="s">
        <v>257</v>
      </c>
      <c r="Q13">
        <v>1</v>
      </c>
      <c r="W13">
        <v>0</v>
      </c>
      <c r="X13">
        <v>1518765163</v>
      </c>
      <c r="Y13">
        <v>3.16</v>
      </c>
      <c r="AA13">
        <v>0</v>
      </c>
      <c r="AB13">
        <v>1.53</v>
      </c>
      <c r="AC13">
        <v>0</v>
      </c>
      <c r="AD13">
        <v>0</v>
      </c>
      <c r="AE13">
        <v>0</v>
      </c>
      <c r="AF13">
        <v>1.53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3.16</v>
      </c>
      <c r="AU13" t="s">
        <v>6</v>
      </c>
      <c r="AV13">
        <v>0</v>
      </c>
      <c r="AW13">
        <v>2</v>
      </c>
      <c r="AX13">
        <v>16878741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Y13*Source!I28</f>
        <v>0.22752</v>
      </c>
      <c r="CY13">
        <f>AB13</f>
        <v>1.53</v>
      </c>
      <c r="CZ13">
        <f>AF13</f>
        <v>1.53</v>
      </c>
      <c r="DA13">
        <f>AJ13</f>
        <v>1</v>
      </c>
      <c r="DB13">
        <f t="shared" si="0"/>
        <v>4.83</v>
      </c>
      <c r="DC13">
        <f t="shared" si="1"/>
        <v>0</v>
      </c>
    </row>
    <row r="14" spans="1:107" x14ac:dyDescent="0.2">
      <c r="A14">
        <f>ROW(Source!A29)</f>
        <v>29</v>
      </c>
      <c r="B14">
        <v>16878660</v>
      </c>
      <c r="C14">
        <v>16878735</v>
      </c>
      <c r="D14">
        <v>15433570</v>
      </c>
      <c r="E14">
        <v>1</v>
      </c>
      <c r="F14">
        <v>1</v>
      </c>
      <c r="G14">
        <v>1</v>
      </c>
      <c r="H14">
        <v>1</v>
      </c>
      <c r="I14" t="s">
        <v>263</v>
      </c>
      <c r="J14" t="s">
        <v>6</v>
      </c>
      <c r="K14" t="s">
        <v>264</v>
      </c>
      <c r="L14">
        <v>1191</v>
      </c>
      <c r="N14">
        <v>1013</v>
      </c>
      <c r="O14" t="s">
        <v>251</v>
      </c>
      <c r="P14" t="s">
        <v>251</v>
      </c>
      <c r="Q14">
        <v>1</v>
      </c>
      <c r="W14">
        <v>0</v>
      </c>
      <c r="X14">
        <v>158058434</v>
      </c>
      <c r="Y14">
        <v>275.60000000000002</v>
      </c>
      <c r="AA14">
        <v>0</v>
      </c>
      <c r="AB14">
        <v>0</v>
      </c>
      <c r="AC14">
        <v>0</v>
      </c>
      <c r="AD14">
        <v>51.99</v>
      </c>
      <c r="AE14">
        <v>0</v>
      </c>
      <c r="AF14">
        <v>0</v>
      </c>
      <c r="AG14">
        <v>0</v>
      </c>
      <c r="AH14">
        <v>7.68</v>
      </c>
      <c r="AI14">
        <v>1</v>
      </c>
      <c r="AJ14">
        <v>1</v>
      </c>
      <c r="AK14">
        <v>1</v>
      </c>
      <c r="AL14">
        <v>6.77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275.60000000000002</v>
      </c>
      <c r="AU14" t="s">
        <v>6</v>
      </c>
      <c r="AV14">
        <v>1</v>
      </c>
      <c r="AW14">
        <v>2</v>
      </c>
      <c r="AX14">
        <v>16878739</v>
      </c>
      <c r="AY14">
        <v>1</v>
      </c>
      <c r="AZ14">
        <v>0</v>
      </c>
      <c r="BA14">
        <v>17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19.8432</v>
      </c>
      <c r="CY14">
        <f>AD14</f>
        <v>51.99</v>
      </c>
      <c r="CZ14">
        <f>AH14</f>
        <v>7.68</v>
      </c>
      <c r="DA14">
        <f>AL14</f>
        <v>6.77</v>
      </c>
      <c r="DB14">
        <f t="shared" si="0"/>
        <v>2116.61</v>
      </c>
      <c r="DC14">
        <f t="shared" si="1"/>
        <v>0</v>
      </c>
    </row>
    <row r="15" spans="1:107" x14ac:dyDescent="0.2">
      <c r="A15">
        <f>ROW(Source!A29)</f>
        <v>29</v>
      </c>
      <c r="B15">
        <v>16878660</v>
      </c>
      <c r="C15">
        <v>16878735</v>
      </c>
      <c r="D15">
        <v>15249402</v>
      </c>
      <c r="E15">
        <v>1</v>
      </c>
      <c r="F15">
        <v>1</v>
      </c>
      <c r="G15">
        <v>1</v>
      </c>
      <c r="H15">
        <v>2</v>
      </c>
      <c r="I15" t="s">
        <v>265</v>
      </c>
      <c r="J15" t="s">
        <v>266</v>
      </c>
      <c r="K15" t="s">
        <v>267</v>
      </c>
      <c r="L15">
        <v>1368</v>
      </c>
      <c r="N15">
        <v>1011</v>
      </c>
      <c r="O15" t="s">
        <v>257</v>
      </c>
      <c r="P15" t="s">
        <v>257</v>
      </c>
      <c r="Q15">
        <v>1</v>
      </c>
      <c r="W15">
        <v>0</v>
      </c>
      <c r="X15">
        <v>-2111251057</v>
      </c>
      <c r="Y15">
        <v>1.58</v>
      </c>
      <c r="AA15">
        <v>0</v>
      </c>
      <c r="AB15">
        <v>220.03</v>
      </c>
      <c r="AC15">
        <v>0</v>
      </c>
      <c r="AD15">
        <v>0</v>
      </c>
      <c r="AE15">
        <v>0</v>
      </c>
      <c r="AF15">
        <v>32.5</v>
      </c>
      <c r="AG15">
        <v>0</v>
      </c>
      <c r="AH15">
        <v>0</v>
      </c>
      <c r="AI15">
        <v>1</v>
      </c>
      <c r="AJ15">
        <v>6.77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1.58</v>
      </c>
      <c r="AU15" t="s">
        <v>6</v>
      </c>
      <c r="AV15">
        <v>0</v>
      </c>
      <c r="AW15">
        <v>2</v>
      </c>
      <c r="AX15">
        <v>16878740</v>
      </c>
      <c r="AY15">
        <v>1</v>
      </c>
      <c r="AZ15">
        <v>0</v>
      </c>
      <c r="BA15">
        <v>18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0.11376</v>
      </c>
      <c r="CY15">
        <f>AB15</f>
        <v>220.03</v>
      </c>
      <c r="CZ15">
        <f>AF15</f>
        <v>32.5</v>
      </c>
      <c r="DA15">
        <f>AJ15</f>
        <v>6.77</v>
      </c>
      <c r="DB15">
        <f t="shared" si="0"/>
        <v>51.35</v>
      </c>
      <c r="DC15">
        <f t="shared" si="1"/>
        <v>0</v>
      </c>
    </row>
    <row r="16" spans="1:107" x14ac:dyDescent="0.2">
      <c r="A16">
        <f>ROW(Source!A29)</f>
        <v>29</v>
      </c>
      <c r="B16">
        <v>16878660</v>
      </c>
      <c r="C16">
        <v>16878735</v>
      </c>
      <c r="D16">
        <v>15249998</v>
      </c>
      <c r="E16">
        <v>1</v>
      </c>
      <c r="F16">
        <v>1</v>
      </c>
      <c r="G16">
        <v>1</v>
      </c>
      <c r="H16">
        <v>2</v>
      </c>
      <c r="I16" t="s">
        <v>268</v>
      </c>
      <c r="J16" t="s">
        <v>269</v>
      </c>
      <c r="K16" t="s">
        <v>270</v>
      </c>
      <c r="L16">
        <v>1368</v>
      </c>
      <c r="N16">
        <v>1011</v>
      </c>
      <c r="O16" t="s">
        <v>257</v>
      </c>
      <c r="P16" t="s">
        <v>257</v>
      </c>
      <c r="Q16">
        <v>1</v>
      </c>
      <c r="W16">
        <v>0</v>
      </c>
      <c r="X16">
        <v>1518765163</v>
      </c>
      <c r="Y16">
        <v>3.16</v>
      </c>
      <c r="AA16">
        <v>0</v>
      </c>
      <c r="AB16">
        <v>10.36</v>
      </c>
      <c r="AC16">
        <v>0</v>
      </c>
      <c r="AD16">
        <v>0</v>
      </c>
      <c r="AE16">
        <v>0</v>
      </c>
      <c r="AF16">
        <v>1.53</v>
      </c>
      <c r="AG16">
        <v>0</v>
      </c>
      <c r="AH16">
        <v>0</v>
      </c>
      <c r="AI16">
        <v>1</v>
      </c>
      <c r="AJ16">
        <v>6.77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3.16</v>
      </c>
      <c r="AU16" t="s">
        <v>6</v>
      </c>
      <c r="AV16">
        <v>0</v>
      </c>
      <c r="AW16">
        <v>2</v>
      </c>
      <c r="AX16">
        <v>16878741</v>
      </c>
      <c r="AY16">
        <v>1</v>
      </c>
      <c r="AZ16">
        <v>0</v>
      </c>
      <c r="BA16">
        <v>19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0.22752</v>
      </c>
      <c r="CY16">
        <f>AB16</f>
        <v>10.36</v>
      </c>
      <c r="CZ16">
        <f>AF16</f>
        <v>1.53</v>
      </c>
      <c r="DA16">
        <f>AJ16</f>
        <v>6.77</v>
      </c>
      <c r="DB16">
        <f t="shared" si="0"/>
        <v>4.83</v>
      </c>
      <c r="DC16">
        <f t="shared" si="1"/>
        <v>0</v>
      </c>
    </row>
    <row r="17" spans="1:107" x14ac:dyDescent="0.2">
      <c r="A17">
        <f>ROW(Source!A30)</f>
        <v>30</v>
      </c>
      <c r="B17">
        <v>16878659</v>
      </c>
      <c r="C17">
        <v>16878743</v>
      </c>
      <c r="D17">
        <v>15436014</v>
      </c>
      <c r="E17">
        <v>1</v>
      </c>
      <c r="F17">
        <v>1</v>
      </c>
      <c r="G17">
        <v>1</v>
      </c>
      <c r="H17">
        <v>1</v>
      </c>
      <c r="I17" t="s">
        <v>271</v>
      </c>
      <c r="J17" t="s">
        <v>6</v>
      </c>
      <c r="K17" t="s">
        <v>272</v>
      </c>
      <c r="L17">
        <v>1191</v>
      </c>
      <c r="N17">
        <v>1013</v>
      </c>
      <c r="O17" t="s">
        <v>251</v>
      </c>
      <c r="P17" t="s">
        <v>251</v>
      </c>
      <c r="Q17">
        <v>1</v>
      </c>
      <c r="W17">
        <v>0</v>
      </c>
      <c r="X17">
        <v>-784637506</v>
      </c>
      <c r="Y17">
        <v>167.57799999999997</v>
      </c>
      <c r="AA17">
        <v>0</v>
      </c>
      <c r="AB17">
        <v>0</v>
      </c>
      <c r="AC17">
        <v>0</v>
      </c>
      <c r="AD17">
        <v>8.74</v>
      </c>
      <c r="AE17">
        <v>0</v>
      </c>
      <c r="AF17">
        <v>0</v>
      </c>
      <c r="AG17">
        <v>0</v>
      </c>
      <c r="AH17">
        <v>8.74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6</v>
      </c>
      <c r="AT17">
        <v>145.72</v>
      </c>
      <c r="AU17" t="s">
        <v>42</v>
      </c>
      <c r="AV17">
        <v>1</v>
      </c>
      <c r="AW17">
        <v>2</v>
      </c>
      <c r="AX17">
        <v>16878755</v>
      </c>
      <c r="AY17">
        <v>1</v>
      </c>
      <c r="AZ17">
        <v>0</v>
      </c>
      <c r="BA17">
        <v>21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144.78739199999998</v>
      </c>
      <c r="CY17">
        <f>AD17</f>
        <v>8.74</v>
      </c>
      <c r="CZ17">
        <f>AH17</f>
        <v>8.74</v>
      </c>
      <c r="DA17">
        <f>AL17</f>
        <v>1</v>
      </c>
      <c r="DB17">
        <f>ROUND((ROUND(AT17*CZ17,2)*1.15),6)</f>
        <v>1464.6285</v>
      </c>
      <c r="DC17">
        <f>ROUND((ROUND(AT17*AG17,2)*1.15),6)</f>
        <v>0</v>
      </c>
    </row>
    <row r="18" spans="1:107" x14ac:dyDescent="0.2">
      <c r="A18">
        <f>ROW(Source!A30)</f>
        <v>30</v>
      </c>
      <c r="B18">
        <v>16878659</v>
      </c>
      <c r="C18">
        <v>16878743</v>
      </c>
      <c r="D18">
        <v>15430395</v>
      </c>
      <c r="E18">
        <v>1</v>
      </c>
      <c r="F18">
        <v>1</v>
      </c>
      <c r="G18">
        <v>1</v>
      </c>
      <c r="H18">
        <v>1</v>
      </c>
      <c r="I18" t="s">
        <v>252</v>
      </c>
      <c r="J18" t="s">
        <v>6</v>
      </c>
      <c r="K18" t="s">
        <v>253</v>
      </c>
      <c r="L18">
        <v>1191</v>
      </c>
      <c r="N18">
        <v>1013</v>
      </c>
      <c r="O18" t="s">
        <v>251</v>
      </c>
      <c r="P18" t="s">
        <v>251</v>
      </c>
      <c r="Q18">
        <v>1</v>
      </c>
      <c r="W18">
        <v>0</v>
      </c>
      <c r="X18">
        <v>-1417349443</v>
      </c>
      <c r="Y18">
        <v>4.2300000000000004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4.2300000000000004</v>
      </c>
      <c r="AU18" t="s">
        <v>6</v>
      </c>
      <c r="AV18">
        <v>2</v>
      </c>
      <c r="AW18">
        <v>2</v>
      </c>
      <c r="AX18">
        <v>16878756</v>
      </c>
      <c r="AY18">
        <v>1</v>
      </c>
      <c r="AZ18">
        <v>2048</v>
      </c>
      <c r="BA18">
        <v>22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3.6547200000000002</v>
      </c>
      <c r="CY18">
        <f>AD18</f>
        <v>0</v>
      </c>
      <c r="CZ18">
        <f>AH18</f>
        <v>0</v>
      </c>
      <c r="DA18">
        <f>AL18</f>
        <v>1</v>
      </c>
      <c r="DB18">
        <f>ROUND(ROUND(AT18*CZ18,2),6)</f>
        <v>0</v>
      </c>
      <c r="DC18">
        <f>ROUND(ROUND(AT18*AG18,2),6)</f>
        <v>0</v>
      </c>
    </row>
    <row r="19" spans="1:107" x14ac:dyDescent="0.2">
      <c r="A19">
        <f>ROW(Source!A30)</f>
        <v>30</v>
      </c>
      <c r="B19">
        <v>16878659</v>
      </c>
      <c r="C19">
        <v>16878743</v>
      </c>
      <c r="D19">
        <v>15247974</v>
      </c>
      <c r="E19">
        <v>1</v>
      </c>
      <c r="F19">
        <v>1</v>
      </c>
      <c r="G19">
        <v>1</v>
      </c>
      <c r="H19">
        <v>2</v>
      </c>
      <c r="I19" t="s">
        <v>254</v>
      </c>
      <c r="J19" t="s">
        <v>255</v>
      </c>
      <c r="K19" t="s">
        <v>256</v>
      </c>
      <c r="L19">
        <v>1368</v>
      </c>
      <c r="N19">
        <v>1011</v>
      </c>
      <c r="O19" t="s">
        <v>257</v>
      </c>
      <c r="P19" t="s">
        <v>257</v>
      </c>
      <c r="Q19">
        <v>1</v>
      </c>
      <c r="W19">
        <v>0</v>
      </c>
      <c r="X19">
        <v>1188625873</v>
      </c>
      <c r="Y19">
        <v>0.82500000000000007</v>
      </c>
      <c r="AA19">
        <v>0</v>
      </c>
      <c r="AB19">
        <v>31.26</v>
      </c>
      <c r="AC19">
        <v>13.5</v>
      </c>
      <c r="AD19">
        <v>0</v>
      </c>
      <c r="AE19">
        <v>0</v>
      </c>
      <c r="AF19">
        <v>31.26</v>
      </c>
      <c r="AG19">
        <v>13.5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0.66</v>
      </c>
      <c r="AU19" t="s">
        <v>41</v>
      </c>
      <c r="AV19">
        <v>0</v>
      </c>
      <c r="AW19">
        <v>2</v>
      </c>
      <c r="AX19">
        <v>16878757</v>
      </c>
      <c r="AY19">
        <v>1</v>
      </c>
      <c r="AZ19">
        <v>0</v>
      </c>
      <c r="BA19">
        <v>23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0.7128000000000001</v>
      </c>
      <c r="CY19">
        <f>AB19</f>
        <v>31.26</v>
      </c>
      <c r="CZ19">
        <f>AF19</f>
        <v>31.26</v>
      </c>
      <c r="DA19">
        <f>AJ19</f>
        <v>1</v>
      </c>
      <c r="DB19">
        <f>ROUND((ROUND(AT19*CZ19,2)*1.25),6)</f>
        <v>25.787500000000001</v>
      </c>
      <c r="DC19">
        <f>ROUND((ROUND(AT19*AG19,2)*1.25),6)</f>
        <v>11.137499999999999</v>
      </c>
    </row>
    <row r="20" spans="1:107" x14ac:dyDescent="0.2">
      <c r="A20">
        <f>ROW(Source!A30)</f>
        <v>30</v>
      </c>
      <c r="B20">
        <v>16878659</v>
      </c>
      <c r="C20">
        <v>16878743</v>
      </c>
      <c r="D20">
        <v>15249073</v>
      </c>
      <c r="E20">
        <v>1</v>
      </c>
      <c r="F20">
        <v>1</v>
      </c>
      <c r="G20">
        <v>1</v>
      </c>
      <c r="H20">
        <v>2</v>
      </c>
      <c r="I20" t="s">
        <v>273</v>
      </c>
      <c r="J20" t="s">
        <v>274</v>
      </c>
      <c r="K20" t="s">
        <v>275</v>
      </c>
      <c r="L20">
        <v>1368</v>
      </c>
      <c r="N20">
        <v>1011</v>
      </c>
      <c r="O20" t="s">
        <v>257</v>
      </c>
      <c r="P20" t="s">
        <v>257</v>
      </c>
      <c r="Q20">
        <v>1</v>
      </c>
      <c r="W20">
        <v>0</v>
      </c>
      <c r="X20">
        <v>1372534845</v>
      </c>
      <c r="Y20">
        <v>4.4624999999999995</v>
      </c>
      <c r="AA20">
        <v>0</v>
      </c>
      <c r="AB20">
        <v>65.709999999999994</v>
      </c>
      <c r="AC20">
        <v>11.6</v>
      </c>
      <c r="AD20">
        <v>0</v>
      </c>
      <c r="AE20">
        <v>0</v>
      </c>
      <c r="AF20">
        <v>65.709999999999994</v>
      </c>
      <c r="AG20">
        <v>11.6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6</v>
      </c>
      <c r="AT20">
        <v>3.57</v>
      </c>
      <c r="AU20" t="s">
        <v>41</v>
      </c>
      <c r="AV20">
        <v>0</v>
      </c>
      <c r="AW20">
        <v>2</v>
      </c>
      <c r="AX20">
        <v>16878758</v>
      </c>
      <c r="AY20">
        <v>1</v>
      </c>
      <c r="AZ20">
        <v>0</v>
      </c>
      <c r="BA20">
        <v>24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3.8555999999999995</v>
      </c>
      <c r="CY20">
        <f>AB20</f>
        <v>65.709999999999994</v>
      </c>
      <c r="CZ20">
        <f>AF20</f>
        <v>65.709999999999994</v>
      </c>
      <c r="DA20">
        <f>AJ20</f>
        <v>1</v>
      </c>
      <c r="DB20">
        <f>ROUND((ROUND(AT20*CZ20,2)*1.25),6)</f>
        <v>293.22500000000002</v>
      </c>
      <c r="DC20">
        <f>ROUND((ROUND(AT20*AG20,2)*1.25),6)</f>
        <v>51.762500000000003</v>
      </c>
    </row>
    <row r="21" spans="1:107" x14ac:dyDescent="0.2">
      <c r="A21">
        <f>ROW(Source!A30)</f>
        <v>30</v>
      </c>
      <c r="B21">
        <v>16878659</v>
      </c>
      <c r="C21">
        <v>16878743</v>
      </c>
      <c r="D21">
        <v>15167551</v>
      </c>
      <c r="E21">
        <v>1</v>
      </c>
      <c r="F21">
        <v>1</v>
      </c>
      <c r="G21">
        <v>1</v>
      </c>
      <c r="H21">
        <v>3</v>
      </c>
      <c r="I21" t="s">
        <v>276</v>
      </c>
      <c r="J21" t="s">
        <v>277</v>
      </c>
      <c r="K21" t="s">
        <v>278</v>
      </c>
      <c r="L21">
        <v>1301</v>
      </c>
      <c r="N21">
        <v>1003</v>
      </c>
      <c r="O21" t="s">
        <v>68</v>
      </c>
      <c r="P21" t="s">
        <v>68</v>
      </c>
      <c r="Q21">
        <v>1</v>
      </c>
      <c r="W21">
        <v>0</v>
      </c>
      <c r="X21">
        <v>751777312</v>
      </c>
      <c r="Y21">
        <v>244</v>
      </c>
      <c r="AA21">
        <v>6.38</v>
      </c>
      <c r="AB21">
        <v>0</v>
      </c>
      <c r="AC21">
        <v>0</v>
      </c>
      <c r="AD21">
        <v>0</v>
      </c>
      <c r="AE21">
        <v>6.38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244</v>
      </c>
      <c r="AU21" t="s">
        <v>6</v>
      </c>
      <c r="AV21">
        <v>0</v>
      </c>
      <c r="AW21">
        <v>2</v>
      </c>
      <c r="AX21">
        <v>16878759</v>
      </c>
      <c r="AY21">
        <v>1</v>
      </c>
      <c r="AZ21">
        <v>0</v>
      </c>
      <c r="BA21">
        <v>25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210.816</v>
      </c>
      <c r="CY21">
        <f t="shared" ref="CY21:CY28" si="2">AA21</f>
        <v>6.38</v>
      </c>
      <c r="CZ21">
        <f t="shared" ref="CZ21:CZ28" si="3">AE21</f>
        <v>6.38</v>
      </c>
      <c r="DA21">
        <f t="shared" ref="DA21:DA28" si="4">AI21</f>
        <v>1</v>
      </c>
      <c r="DB21">
        <f t="shared" ref="DB21:DB28" si="5">ROUND(ROUND(AT21*CZ21,2),6)</f>
        <v>1556.72</v>
      </c>
      <c r="DC21">
        <f t="shared" ref="DC21:DC28" si="6">ROUND(ROUND(AT21*AG21,2),6)</f>
        <v>0</v>
      </c>
    </row>
    <row r="22" spans="1:107" x14ac:dyDescent="0.2">
      <c r="A22">
        <f>ROW(Source!A30)</f>
        <v>30</v>
      </c>
      <c r="B22">
        <v>16878659</v>
      </c>
      <c r="C22">
        <v>16878743</v>
      </c>
      <c r="D22">
        <v>15167552</v>
      </c>
      <c r="E22">
        <v>1</v>
      </c>
      <c r="F22">
        <v>1</v>
      </c>
      <c r="G22">
        <v>1</v>
      </c>
      <c r="H22">
        <v>3</v>
      </c>
      <c r="I22" t="s">
        <v>279</v>
      </c>
      <c r="J22" t="s">
        <v>280</v>
      </c>
      <c r="K22" t="s">
        <v>281</v>
      </c>
      <c r="L22">
        <v>1301</v>
      </c>
      <c r="N22">
        <v>1003</v>
      </c>
      <c r="O22" t="s">
        <v>68</v>
      </c>
      <c r="P22" t="s">
        <v>68</v>
      </c>
      <c r="Q22">
        <v>1</v>
      </c>
      <c r="W22">
        <v>0</v>
      </c>
      <c r="X22">
        <v>1744203244</v>
      </c>
      <c r="Y22">
        <v>56</v>
      </c>
      <c r="AA22">
        <v>7.95</v>
      </c>
      <c r="AB22">
        <v>0</v>
      </c>
      <c r="AC22">
        <v>0</v>
      </c>
      <c r="AD22">
        <v>0</v>
      </c>
      <c r="AE22">
        <v>7.95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56</v>
      </c>
      <c r="AU22" t="s">
        <v>6</v>
      </c>
      <c r="AV22">
        <v>0</v>
      </c>
      <c r="AW22">
        <v>2</v>
      </c>
      <c r="AX22">
        <v>16878760</v>
      </c>
      <c r="AY22">
        <v>1</v>
      </c>
      <c r="AZ22">
        <v>0</v>
      </c>
      <c r="BA22">
        <v>26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48.384</v>
      </c>
      <c r="CY22">
        <f t="shared" si="2"/>
        <v>7.95</v>
      </c>
      <c r="CZ22">
        <f t="shared" si="3"/>
        <v>7.95</v>
      </c>
      <c r="DA22">
        <f t="shared" si="4"/>
        <v>1</v>
      </c>
      <c r="DB22">
        <f t="shared" si="5"/>
        <v>445.2</v>
      </c>
      <c r="DC22">
        <f t="shared" si="6"/>
        <v>0</v>
      </c>
    </row>
    <row r="23" spans="1:107" x14ac:dyDescent="0.2">
      <c r="A23">
        <f>ROW(Source!A30)</f>
        <v>30</v>
      </c>
      <c r="B23">
        <v>16878659</v>
      </c>
      <c r="C23">
        <v>16878743</v>
      </c>
      <c r="D23">
        <v>15167640</v>
      </c>
      <c r="E23">
        <v>1</v>
      </c>
      <c r="F23">
        <v>1</v>
      </c>
      <c r="G23">
        <v>1</v>
      </c>
      <c r="H23">
        <v>3</v>
      </c>
      <c r="I23" t="s">
        <v>282</v>
      </c>
      <c r="J23" t="s">
        <v>283</v>
      </c>
      <c r="K23" t="s">
        <v>284</v>
      </c>
      <c r="L23">
        <v>1302</v>
      </c>
      <c r="N23">
        <v>1003</v>
      </c>
      <c r="O23" t="s">
        <v>110</v>
      </c>
      <c r="P23" t="s">
        <v>110</v>
      </c>
      <c r="Q23">
        <v>10</v>
      </c>
      <c r="W23">
        <v>0</v>
      </c>
      <c r="X23">
        <v>-405326455</v>
      </c>
      <c r="Y23">
        <v>15.6</v>
      </c>
      <c r="AA23">
        <v>64.099999999999994</v>
      </c>
      <c r="AB23">
        <v>0</v>
      </c>
      <c r="AC23">
        <v>0</v>
      </c>
      <c r="AD23">
        <v>0</v>
      </c>
      <c r="AE23">
        <v>64.099999999999994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15.6</v>
      </c>
      <c r="AU23" t="s">
        <v>6</v>
      </c>
      <c r="AV23">
        <v>0</v>
      </c>
      <c r="AW23">
        <v>2</v>
      </c>
      <c r="AX23">
        <v>16878761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13.478399999999999</v>
      </c>
      <c r="CY23">
        <f t="shared" si="2"/>
        <v>64.099999999999994</v>
      </c>
      <c r="CZ23">
        <f t="shared" si="3"/>
        <v>64.099999999999994</v>
      </c>
      <c r="DA23">
        <f t="shared" si="4"/>
        <v>1</v>
      </c>
      <c r="DB23">
        <f t="shared" si="5"/>
        <v>999.96</v>
      </c>
      <c r="DC23">
        <f t="shared" si="6"/>
        <v>0</v>
      </c>
    </row>
    <row r="24" spans="1:107" x14ac:dyDescent="0.2">
      <c r="A24">
        <f>ROW(Source!A30)</f>
        <v>30</v>
      </c>
      <c r="B24">
        <v>16878659</v>
      </c>
      <c r="C24">
        <v>16878743</v>
      </c>
      <c r="D24">
        <v>15170065</v>
      </c>
      <c r="E24">
        <v>1</v>
      </c>
      <c r="F24">
        <v>1</v>
      </c>
      <c r="G24">
        <v>1</v>
      </c>
      <c r="H24">
        <v>3</v>
      </c>
      <c r="I24" t="s">
        <v>285</v>
      </c>
      <c r="J24" t="s">
        <v>286</v>
      </c>
      <c r="K24" t="s">
        <v>287</v>
      </c>
      <c r="L24">
        <v>1358</v>
      </c>
      <c r="N24">
        <v>1010</v>
      </c>
      <c r="O24" t="s">
        <v>288</v>
      </c>
      <c r="P24" t="s">
        <v>288</v>
      </c>
      <c r="Q24">
        <v>10</v>
      </c>
      <c r="W24">
        <v>0</v>
      </c>
      <c r="X24">
        <v>-858120743</v>
      </c>
      <c r="Y24">
        <v>38.9</v>
      </c>
      <c r="AA24">
        <v>7.03</v>
      </c>
      <c r="AB24">
        <v>0</v>
      </c>
      <c r="AC24">
        <v>0</v>
      </c>
      <c r="AD24">
        <v>0</v>
      </c>
      <c r="AE24">
        <v>7.03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38.9</v>
      </c>
      <c r="AU24" t="s">
        <v>6</v>
      </c>
      <c r="AV24">
        <v>0</v>
      </c>
      <c r="AW24">
        <v>2</v>
      </c>
      <c r="AX24">
        <v>16878762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33.6096</v>
      </c>
      <c r="CY24">
        <f t="shared" si="2"/>
        <v>7.03</v>
      </c>
      <c r="CZ24">
        <f t="shared" si="3"/>
        <v>7.03</v>
      </c>
      <c r="DA24">
        <f t="shared" si="4"/>
        <v>1</v>
      </c>
      <c r="DB24">
        <f t="shared" si="5"/>
        <v>273.47000000000003</v>
      </c>
      <c r="DC24">
        <f t="shared" si="6"/>
        <v>0</v>
      </c>
    </row>
    <row r="25" spans="1:107" x14ac:dyDescent="0.2">
      <c r="A25">
        <f>ROW(Source!A30)</f>
        <v>30</v>
      </c>
      <c r="B25">
        <v>16878659</v>
      </c>
      <c r="C25">
        <v>16878743</v>
      </c>
      <c r="D25">
        <v>15197472</v>
      </c>
      <c r="E25">
        <v>1</v>
      </c>
      <c r="F25">
        <v>1</v>
      </c>
      <c r="G25">
        <v>1</v>
      </c>
      <c r="H25">
        <v>3</v>
      </c>
      <c r="I25" t="s">
        <v>47</v>
      </c>
      <c r="J25" t="s">
        <v>50</v>
      </c>
      <c r="K25" t="s">
        <v>48</v>
      </c>
      <c r="L25">
        <v>1327</v>
      </c>
      <c r="N25">
        <v>1005</v>
      </c>
      <c r="O25" t="s">
        <v>49</v>
      </c>
      <c r="P25" t="s">
        <v>49</v>
      </c>
      <c r="Q25">
        <v>1</v>
      </c>
      <c r="W25">
        <v>0</v>
      </c>
      <c r="X25">
        <v>2113984949</v>
      </c>
      <c r="Y25">
        <v>0</v>
      </c>
      <c r="AA25">
        <v>2321.71</v>
      </c>
      <c r="AB25">
        <v>0</v>
      </c>
      <c r="AC25">
        <v>0</v>
      </c>
      <c r="AD25">
        <v>0</v>
      </c>
      <c r="AE25">
        <v>2321.71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</v>
      </c>
      <c r="CY25">
        <f t="shared" si="2"/>
        <v>2321.71</v>
      </c>
      <c r="CZ25">
        <f t="shared" si="3"/>
        <v>2321.71</v>
      </c>
      <c r="DA25">
        <f t="shared" si="4"/>
        <v>1</v>
      </c>
      <c r="DB25">
        <f t="shared" si="5"/>
        <v>0</v>
      </c>
      <c r="DC25">
        <f t="shared" si="6"/>
        <v>0</v>
      </c>
    </row>
    <row r="26" spans="1:107" x14ac:dyDescent="0.2">
      <c r="A26">
        <f>ROW(Source!A30)</f>
        <v>30</v>
      </c>
      <c r="B26">
        <v>16878659</v>
      </c>
      <c r="C26">
        <v>16878743</v>
      </c>
      <c r="D26">
        <v>15197780</v>
      </c>
      <c r="E26">
        <v>1</v>
      </c>
      <c r="F26">
        <v>1</v>
      </c>
      <c r="G26">
        <v>1</v>
      </c>
      <c r="H26">
        <v>3</v>
      </c>
      <c r="I26" t="s">
        <v>289</v>
      </c>
      <c r="J26" t="s">
        <v>290</v>
      </c>
      <c r="K26" t="s">
        <v>291</v>
      </c>
      <c r="L26">
        <v>1355</v>
      </c>
      <c r="N26">
        <v>1010</v>
      </c>
      <c r="O26" t="s">
        <v>292</v>
      </c>
      <c r="P26" t="s">
        <v>292</v>
      </c>
      <c r="Q26">
        <v>100</v>
      </c>
      <c r="W26">
        <v>0</v>
      </c>
      <c r="X26">
        <v>1709713925</v>
      </c>
      <c r="Y26">
        <v>8</v>
      </c>
      <c r="AA26">
        <v>50</v>
      </c>
      <c r="AB26">
        <v>0</v>
      </c>
      <c r="AC26">
        <v>0</v>
      </c>
      <c r="AD26">
        <v>0</v>
      </c>
      <c r="AE26">
        <v>50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8</v>
      </c>
      <c r="AU26" t="s">
        <v>6</v>
      </c>
      <c r="AV26">
        <v>0</v>
      </c>
      <c r="AW26">
        <v>2</v>
      </c>
      <c r="AX26">
        <v>16878764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6.9119999999999999</v>
      </c>
      <c r="CY26">
        <f t="shared" si="2"/>
        <v>50</v>
      </c>
      <c r="CZ26">
        <f t="shared" si="3"/>
        <v>50</v>
      </c>
      <c r="DA26">
        <f t="shared" si="4"/>
        <v>1</v>
      </c>
      <c r="DB26">
        <f t="shared" si="5"/>
        <v>400</v>
      </c>
      <c r="DC26">
        <f t="shared" si="6"/>
        <v>0</v>
      </c>
    </row>
    <row r="27" spans="1:107" x14ac:dyDescent="0.2">
      <c r="A27">
        <f>ROW(Source!A30)</f>
        <v>30</v>
      </c>
      <c r="B27">
        <v>16878659</v>
      </c>
      <c r="C27">
        <v>16878743</v>
      </c>
      <c r="D27">
        <v>15204239</v>
      </c>
      <c r="E27">
        <v>1</v>
      </c>
      <c r="F27">
        <v>1</v>
      </c>
      <c r="G27">
        <v>1</v>
      </c>
      <c r="H27">
        <v>3</v>
      </c>
      <c r="I27" t="s">
        <v>293</v>
      </c>
      <c r="J27" t="s">
        <v>294</v>
      </c>
      <c r="K27" t="s">
        <v>295</v>
      </c>
      <c r="L27">
        <v>1354</v>
      </c>
      <c r="N27">
        <v>1010</v>
      </c>
      <c r="O27" t="s">
        <v>296</v>
      </c>
      <c r="P27" t="s">
        <v>296</v>
      </c>
      <c r="Q27">
        <v>1</v>
      </c>
      <c r="W27">
        <v>0</v>
      </c>
      <c r="X27">
        <v>-1018551266</v>
      </c>
      <c r="Y27">
        <v>69</v>
      </c>
      <c r="AA27">
        <v>67</v>
      </c>
      <c r="AB27">
        <v>0</v>
      </c>
      <c r="AC27">
        <v>0</v>
      </c>
      <c r="AD27">
        <v>0</v>
      </c>
      <c r="AE27">
        <v>67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69</v>
      </c>
      <c r="AU27" t="s">
        <v>6</v>
      </c>
      <c r="AV27">
        <v>0</v>
      </c>
      <c r="AW27">
        <v>2</v>
      </c>
      <c r="AX27">
        <v>16878765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59.616</v>
      </c>
      <c r="CY27">
        <f t="shared" si="2"/>
        <v>67</v>
      </c>
      <c r="CZ27">
        <f t="shared" si="3"/>
        <v>67</v>
      </c>
      <c r="DA27">
        <f t="shared" si="4"/>
        <v>1</v>
      </c>
      <c r="DB27">
        <f t="shared" si="5"/>
        <v>4623</v>
      </c>
      <c r="DC27">
        <f t="shared" si="6"/>
        <v>0</v>
      </c>
    </row>
    <row r="28" spans="1:107" x14ac:dyDescent="0.2">
      <c r="A28">
        <f>ROW(Source!A30)</f>
        <v>30</v>
      </c>
      <c r="B28">
        <v>16878659</v>
      </c>
      <c r="C28">
        <v>16878743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52</v>
      </c>
      <c r="J28" t="s">
        <v>6</v>
      </c>
      <c r="K28" t="s">
        <v>53</v>
      </c>
      <c r="L28">
        <v>1327</v>
      </c>
      <c r="N28">
        <v>1005</v>
      </c>
      <c r="O28" t="s">
        <v>49</v>
      </c>
      <c r="P28" t="s">
        <v>49</v>
      </c>
      <c r="Q28">
        <v>1</v>
      </c>
      <c r="W28">
        <v>0</v>
      </c>
      <c r="X28">
        <v>-1535074792</v>
      </c>
      <c r="Y28">
        <v>100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100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86.4</v>
      </c>
      <c r="CY28">
        <f t="shared" si="2"/>
        <v>0</v>
      </c>
      <c r="CZ28">
        <f t="shared" si="3"/>
        <v>0</v>
      </c>
      <c r="DA28">
        <f t="shared" si="4"/>
        <v>1</v>
      </c>
      <c r="DB28">
        <f t="shared" si="5"/>
        <v>0</v>
      </c>
      <c r="DC28">
        <f t="shared" si="6"/>
        <v>0</v>
      </c>
    </row>
    <row r="29" spans="1:107" x14ac:dyDescent="0.2">
      <c r="A29">
        <f>ROW(Source!A31)</f>
        <v>31</v>
      </c>
      <c r="B29">
        <v>16878660</v>
      </c>
      <c r="C29">
        <v>16878743</v>
      </c>
      <c r="D29">
        <v>15436014</v>
      </c>
      <c r="E29">
        <v>1</v>
      </c>
      <c r="F29">
        <v>1</v>
      </c>
      <c r="G29">
        <v>1</v>
      </c>
      <c r="H29">
        <v>1</v>
      </c>
      <c r="I29" t="s">
        <v>271</v>
      </c>
      <c r="J29" t="s">
        <v>6</v>
      </c>
      <c r="K29" t="s">
        <v>272</v>
      </c>
      <c r="L29">
        <v>1191</v>
      </c>
      <c r="N29">
        <v>1013</v>
      </c>
      <c r="O29" t="s">
        <v>251</v>
      </c>
      <c r="P29" t="s">
        <v>251</v>
      </c>
      <c r="Q29">
        <v>1</v>
      </c>
      <c r="W29">
        <v>0</v>
      </c>
      <c r="X29">
        <v>-784637506</v>
      </c>
      <c r="Y29">
        <v>167.57799999999997</v>
      </c>
      <c r="AA29">
        <v>0</v>
      </c>
      <c r="AB29">
        <v>0</v>
      </c>
      <c r="AC29">
        <v>0</v>
      </c>
      <c r="AD29">
        <v>59.17</v>
      </c>
      <c r="AE29">
        <v>0</v>
      </c>
      <c r="AF29">
        <v>0</v>
      </c>
      <c r="AG29">
        <v>0</v>
      </c>
      <c r="AH29">
        <v>8.74</v>
      </c>
      <c r="AI29">
        <v>1</v>
      </c>
      <c r="AJ29">
        <v>1</v>
      </c>
      <c r="AK29">
        <v>1</v>
      </c>
      <c r="AL29">
        <v>6.77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145.72</v>
      </c>
      <c r="AU29" t="s">
        <v>42</v>
      </c>
      <c r="AV29">
        <v>1</v>
      </c>
      <c r="AW29">
        <v>2</v>
      </c>
      <c r="AX29">
        <v>16878755</v>
      </c>
      <c r="AY29">
        <v>1</v>
      </c>
      <c r="AZ29">
        <v>0</v>
      </c>
      <c r="BA29">
        <v>32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144.78739199999998</v>
      </c>
      <c r="CY29">
        <f>AD29</f>
        <v>59.17</v>
      </c>
      <c r="CZ29">
        <f>AH29</f>
        <v>8.74</v>
      </c>
      <c r="DA29">
        <f>AL29</f>
        <v>6.77</v>
      </c>
      <c r="DB29">
        <f>ROUND((ROUND(AT29*CZ29,2)*1.15),6)</f>
        <v>1464.6285</v>
      </c>
      <c r="DC29">
        <f>ROUND((ROUND(AT29*AG29,2)*1.15),6)</f>
        <v>0</v>
      </c>
    </row>
    <row r="30" spans="1:107" x14ac:dyDescent="0.2">
      <c r="A30">
        <f>ROW(Source!A31)</f>
        <v>31</v>
      </c>
      <c r="B30">
        <v>16878660</v>
      </c>
      <c r="C30">
        <v>16878743</v>
      </c>
      <c r="D30">
        <v>15430395</v>
      </c>
      <c r="E30">
        <v>1</v>
      </c>
      <c r="F30">
        <v>1</v>
      </c>
      <c r="G30">
        <v>1</v>
      </c>
      <c r="H30">
        <v>1</v>
      </c>
      <c r="I30" t="s">
        <v>252</v>
      </c>
      <c r="J30" t="s">
        <v>6</v>
      </c>
      <c r="K30" t="s">
        <v>253</v>
      </c>
      <c r="L30">
        <v>1191</v>
      </c>
      <c r="N30">
        <v>1013</v>
      </c>
      <c r="O30" t="s">
        <v>251</v>
      </c>
      <c r="P30" t="s">
        <v>251</v>
      </c>
      <c r="Q30">
        <v>1</v>
      </c>
      <c r="W30">
        <v>0</v>
      </c>
      <c r="X30">
        <v>-1417349443</v>
      </c>
      <c r="Y30">
        <v>4.2300000000000004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6.77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4.2300000000000004</v>
      </c>
      <c r="AU30" t="s">
        <v>6</v>
      </c>
      <c r="AV30">
        <v>2</v>
      </c>
      <c r="AW30">
        <v>2</v>
      </c>
      <c r="AX30">
        <v>16878756</v>
      </c>
      <c r="AY30">
        <v>1</v>
      </c>
      <c r="AZ30">
        <v>2048</v>
      </c>
      <c r="BA30">
        <v>33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3.6547200000000002</v>
      </c>
      <c r="CY30">
        <f>AD30</f>
        <v>0</v>
      </c>
      <c r="CZ30">
        <f>AH30</f>
        <v>0</v>
      </c>
      <c r="DA30">
        <f>AL30</f>
        <v>1</v>
      </c>
      <c r="DB30">
        <f>ROUND(ROUND(AT30*CZ30,2),6)</f>
        <v>0</v>
      </c>
      <c r="DC30">
        <f>ROUND(ROUND(AT30*AG30,2),6)</f>
        <v>0</v>
      </c>
    </row>
    <row r="31" spans="1:107" x14ac:dyDescent="0.2">
      <c r="A31">
        <f>ROW(Source!A31)</f>
        <v>31</v>
      </c>
      <c r="B31">
        <v>16878660</v>
      </c>
      <c r="C31">
        <v>16878743</v>
      </c>
      <c r="D31">
        <v>15247974</v>
      </c>
      <c r="E31">
        <v>1</v>
      </c>
      <c r="F31">
        <v>1</v>
      </c>
      <c r="G31">
        <v>1</v>
      </c>
      <c r="H31">
        <v>2</v>
      </c>
      <c r="I31" t="s">
        <v>254</v>
      </c>
      <c r="J31" t="s">
        <v>255</v>
      </c>
      <c r="K31" t="s">
        <v>256</v>
      </c>
      <c r="L31">
        <v>1368</v>
      </c>
      <c r="N31">
        <v>1011</v>
      </c>
      <c r="O31" t="s">
        <v>257</v>
      </c>
      <c r="P31" t="s">
        <v>257</v>
      </c>
      <c r="Q31">
        <v>1</v>
      </c>
      <c r="W31">
        <v>0</v>
      </c>
      <c r="X31">
        <v>1188625873</v>
      </c>
      <c r="Y31">
        <v>0.82500000000000007</v>
      </c>
      <c r="AA31">
        <v>0</v>
      </c>
      <c r="AB31">
        <v>211.63</v>
      </c>
      <c r="AC31">
        <v>13.5</v>
      </c>
      <c r="AD31">
        <v>0</v>
      </c>
      <c r="AE31">
        <v>0</v>
      </c>
      <c r="AF31">
        <v>31.26</v>
      </c>
      <c r="AG31">
        <v>13.5</v>
      </c>
      <c r="AH31">
        <v>0</v>
      </c>
      <c r="AI31">
        <v>1</v>
      </c>
      <c r="AJ31">
        <v>6.77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6</v>
      </c>
      <c r="AT31">
        <v>0.66</v>
      </c>
      <c r="AU31" t="s">
        <v>41</v>
      </c>
      <c r="AV31">
        <v>0</v>
      </c>
      <c r="AW31">
        <v>2</v>
      </c>
      <c r="AX31">
        <v>16878757</v>
      </c>
      <c r="AY31">
        <v>1</v>
      </c>
      <c r="AZ31">
        <v>0</v>
      </c>
      <c r="BA31">
        <v>34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0.7128000000000001</v>
      </c>
      <c r="CY31">
        <f>AB31</f>
        <v>211.63</v>
      </c>
      <c r="CZ31">
        <f>AF31</f>
        <v>31.26</v>
      </c>
      <c r="DA31">
        <f>AJ31</f>
        <v>6.77</v>
      </c>
      <c r="DB31">
        <f>ROUND((ROUND(AT31*CZ31,2)*1.25),6)</f>
        <v>25.787500000000001</v>
      </c>
      <c r="DC31">
        <f>ROUND((ROUND(AT31*AG31,2)*1.25),6)</f>
        <v>11.137499999999999</v>
      </c>
    </row>
    <row r="32" spans="1:107" x14ac:dyDescent="0.2">
      <c r="A32">
        <f>ROW(Source!A31)</f>
        <v>31</v>
      </c>
      <c r="B32">
        <v>16878660</v>
      </c>
      <c r="C32">
        <v>16878743</v>
      </c>
      <c r="D32">
        <v>15249073</v>
      </c>
      <c r="E32">
        <v>1</v>
      </c>
      <c r="F32">
        <v>1</v>
      </c>
      <c r="G32">
        <v>1</v>
      </c>
      <c r="H32">
        <v>2</v>
      </c>
      <c r="I32" t="s">
        <v>273</v>
      </c>
      <c r="J32" t="s">
        <v>274</v>
      </c>
      <c r="K32" t="s">
        <v>275</v>
      </c>
      <c r="L32">
        <v>1368</v>
      </c>
      <c r="N32">
        <v>1011</v>
      </c>
      <c r="O32" t="s">
        <v>257</v>
      </c>
      <c r="P32" t="s">
        <v>257</v>
      </c>
      <c r="Q32">
        <v>1</v>
      </c>
      <c r="W32">
        <v>0</v>
      </c>
      <c r="X32">
        <v>1372534845</v>
      </c>
      <c r="Y32">
        <v>4.4624999999999995</v>
      </c>
      <c r="AA32">
        <v>0</v>
      </c>
      <c r="AB32">
        <v>444.86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6.77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6</v>
      </c>
      <c r="AT32">
        <v>3.57</v>
      </c>
      <c r="AU32" t="s">
        <v>41</v>
      </c>
      <c r="AV32">
        <v>0</v>
      </c>
      <c r="AW32">
        <v>2</v>
      </c>
      <c r="AX32">
        <v>16878758</v>
      </c>
      <c r="AY32">
        <v>1</v>
      </c>
      <c r="AZ32">
        <v>0</v>
      </c>
      <c r="BA32">
        <v>35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3.8555999999999995</v>
      </c>
      <c r="CY32">
        <f>AB32</f>
        <v>444.86</v>
      </c>
      <c r="CZ32">
        <f>AF32</f>
        <v>65.709999999999994</v>
      </c>
      <c r="DA32">
        <f>AJ32</f>
        <v>6.77</v>
      </c>
      <c r="DB32">
        <f>ROUND((ROUND(AT32*CZ32,2)*1.25),6)</f>
        <v>293.22500000000002</v>
      </c>
      <c r="DC32">
        <f>ROUND((ROUND(AT32*AG32,2)*1.25),6)</f>
        <v>51.762500000000003</v>
      </c>
    </row>
    <row r="33" spans="1:107" x14ac:dyDescent="0.2">
      <c r="A33">
        <f>ROW(Source!A31)</f>
        <v>31</v>
      </c>
      <c r="B33">
        <v>16878660</v>
      </c>
      <c r="C33">
        <v>16878743</v>
      </c>
      <c r="D33">
        <v>15167551</v>
      </c>
      <c r="E33">
        <v>1</v>
      </c>
      <c r="F33">
        <v>1</v>
      </c>
      <c r="G33">
        <v>1</v>
      </c>
      <c r="H33">
        <v>3</v>
      </c>
      <c r="I33" t="s">
        <v>276</v>
      </c>
      <c r="J33" t="s">
        <v>277</v>
      </c>
      <c r="K33" t="s">
        <v>278</v>
      </c>
      <c r="L33">
        <v>1301</v>
      </c>
      <c r="N33">
        <v>1003</v>
      </c>
      <c r="O33" t="s">
        <v>68</v>
      </c>
      <c r="P33" t="s">
        <v>68</v>
      </c>
      <c r="Q33">
        <v>1</v>
      </c>
      <c r="W33">
        <v>0</v>
      </c>
      <c r="X33">
        <v>751777312</v>
      </c>
      <c r="Y33">
        <v>244</v>
      </c>
      <c r="AA33">
        <v>43.19</v>
      </c>
      <c r="AB33">
        <v>0</v>
      </c>
      <c r="AC33">
        <v>0</v>
      </c>
      <c r="AD33">
        <v>0</v>
      </c>
      <c r="AE33">
        <v>6.38</v>
      </c>
      <c r="AF33">
        <v>0</v>
      </c>
      <c r="AG33">
        <v>0</v>
      </c>
      <c r="AH33">
        <v>0</v>
      </c>
      <c r="AI33">
        <v>6.77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244</v>
      </c>
      <c r="AU33" t="s">
        <v>6</v>
      </c>
      <c r="AV33">
        <v>0</v>
      </c>
      <c r="AW33">
        <v>2</v>
      </c>
      <c r="AX33">
        <v>16878759</v>
      </c>
      <c r="AY33">
        <v>1</v>
      </c>
      <c r="AZ33">
        <v>0</v>
      </c>
      <c r="BA33">
        <v>36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Y33*Source!I31</f>
        <v>210.816</v>
      </c>
      <c r="CY33">
        <f t="shared" ref="CY33:CY40" si="7">AA33</f>
        <v>43.19</v>
      </c>
      <c r="CZ33">
        <f t="shared" ref="CZ33:CZ40" si="8">AE33</f>
        <v>6.38</v>
      </c>
      <c r="DA33">
        <f t="shared" ref="DA33:DA40" si="9">AI33</f>
        <v>6.77</v>
      </c>
      <c r="DB33">
        <f t="shared" ref="DB33:DB40" si="10">ROUND(ROUND(AT33*CZ33,2),6)</f>
        <v>1556.72</v>
      </c>
      <c r="DC33">
        <f t="shared" ref="DC33:DC40" si="11">ROUND(ROUND(AT33*AG33,2),6)</f>
        <v>0</v>
      </c>
    </row>
    <row r="34" spans="1:107" x14ac:dyDescent="0.2">
      <c r="A34">
        <f>ROW(Source!A31)</f>
        <v>31</v>
      </c>
      <c r="B34">
        <v>16878660</v>
      </c>
      <c r="C34">
        <v>16878743</v>
      </c>
      <c r="D34">
        <v>15167552</v>
      </c>
      <c r="E34">
        <v>1</v>
      </c>
      <c r="F34">
        <v>1</v>
      </c>
      <c r="G34">
        <v>1</v>
      </c>
      <c r="H34">
        <v>3</v>
      </c>
      <c r="I34" t="s">
        <v>279</v>
      </c>
      <c r="J34" t="s">
        <v>280</v>
      </c>
      <c r="K34" t="s">
        <v>281</v>
      </c>
      <c r="L34">
        <v>1301</v>
      </c>
      <c r="N34">
        <v>1003</v>
      </c>
      <c r="O34" t="s">
        <v>68</v>
      </c>
      <c r="P34" t="s">
        <v>68</v>
      </c>
      <c r="Q34">
        <v>1</v>
      </c>
      <c r="W34">
        <v>0</v>
      </c>
      <c r="X34">
        <v>1744203244</v>
      </c>
      <c r="Y34">
        <v>56</v>
      </c>
      <c r="AA34">
        <v>53.82</v>
      </c>
      <c r="AB34">
        <v>0</v>
      </c>
      <c r="AC34">
        <v>0</v>
      </c>
      <c r="AD34">
        <v>0</v>
      </c>
      <c r="AE34">
        <v>7.95</v>
      </c>
      <c r="AF34">
        <v>0</v>
      </c>
      <c r="AG34">
        <v>0</v>
      </c>
      <c r="AH34">
        <v>0</v>
      </c>
      <c r="AI34">
        <v>6.77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56</v>
      </c>
      <c r="AU34" t="s">
        <v>6</v>
      </c>
      <c r="AV34">
        <v>0</v>
      </c>
      <c r="AW34">
        <v>2</v>
      </c>
      <c r="AX34">
        <v>16878760</v>
      </c>
      <c r="AY34">
        <v>1</v>
      </c>
      <c r="AZ34">
        <v>0</v>
      </c>
      <c r="BA34">
        <v>37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Y34*Source!I31</f>
        <v>48.384</v>
      </c>
      <c r="CY34">
        <f t="shared" si="7"/>
        <v>53.82</v>
      </c>
      <c r="CZ34">
        <f t="shared" si="8"/>
        <v>7.95</v>
      </c>
      <c r="DA34">
        <f t="shared" si="9"/>
        <v>6.77</v>
      </c>
      <c r="DB34">
        <f t="shared" si="10"/>
        <v>445.2</v>
      </c>
      <c r="DC34">
        <f t="shared" si="11"/>
        <v>0</v>
      </c>
    </row>
    <row r="35" spans="1:107" x14ac:dyDescent="0.2">
      <c r="A35">
        <f>ROW(Source!A31)</f>
        <v>31</v>
      </c>
      <c r="B35">
        <v>16878660</v>
      </c>
      <c r="C35">
        <v>16878743</v>
      </c>
      <c r="D35">
        <v>15167640</v>
      </c>
      <c r="E35">
        <v>1</v>
      </c>
      <c r="F35">
        <v>1</v>
      </c>
      <c r="G35">
        <v>1</v>
      </c>
      <c r="H35">
        <v>3</v>
      </c>
      <c r="I35" t="s">
        <v>282</v>
      </c>
      <c r="J35" t="s">
        <v>283</v>
      </c>
      <c r="K35" t="s">
        <v>284</v>
      </c>
      <c r="L35">
        <v>1302</v>
      </c>
      <c r="N35">
        <v>1003</v>
      </c>
      <c r="O35" t="s">
        <v>110</v>
      </c>
      <c r="P35" t="s">
        <v>110</v>
      </c>
      <c r="Q35">
        <v>10</v>
      </c>
      <c r="W35">
        <v>0</v>
      </c>
      <c r="X35">
        <v>-405326455</v>
      </c>
      <c r="Y35">
        <v>15.6</v>
      </c>
      <c r="AA35">
        <v>433.96</v>
      </c>
      <c r="AB35">
        <v>0</v>
      </c>
      <c r="AC35">
        <v>0</v>
      </c>
      <c r="AD35">
        <v>0</v>
      </c>
      <c r="AE35">
        <v>64.099999999999994</v>
      </c>
      <c r="AF35">
        <v>0</v>
      </c>
      <c r="AG35">
        <v>0</v>
      </c>
      <c r="AH35">
        <v>0</v>
      </c>
      <c r="AI35">
        <v>6.77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15.6</v>
      </c>
      <c r="AU35" t="s">
        <v>6</v>
      </c>
      <c r="AV35">
        <v>0</v>
      </c>
      <c r="AW35">
        <v>2</v>
      </c>
      <c r="AX35">
        <v>16878761</v>
      </c>
      <c r="AY35">
        <v>1</v>
      </c>
      <c r="AZ35">
        <v>0</v>
      </c>
      <c r="BA35">
        <v>38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Y35*Source!I31</f>
        <v>13.478399999999999</v>
      </c>
      <c r="CY35">
        <f t="shared" si="7"/>
        <v>433.96</v>
      </c>
      <c r="CZ35">
        <f t="shared" si="8"/>
        <v>64.099999999999994</v>
      </c>
      <c r="DA35">
        <f t="shared" si="9"/>
        <v>6.77</v>
      </c>
      <c r="DB35">
        <f t="shared" si="10"/>
        <v>999.96</v>
      </c>
      <c r="DC35">
        <f t="shared" si="11"/>
        <v>0</v>
      </c>
    </row>
    <row r="36" spans="1:107" x14ac:dyDescent="0.2">
      <c r="A36">
        <f>ROW(Source!A31)</f>
        <v>31</v>
      </c>
      <c r="B36">
        <v>16878660</v>
      </c>
      <c r="C36">
        <v>16878743</v>
      </c>
      <c r="D36">
        <v>15170065</v>
      </c>
      <c r="E36">
        <v>1</v>
      </c>
      <c r="F36">
        <v>1</v>
      </c>
      <c r="G36">
        <v>1</v>
      </c>
      <c r="H36">
        <v>3</v>
      </c>
      <c r="I36" t="s">
        <v>285</v>
      </c>
      <c r="J36" t="s">
        <v>286</v>
      </c>
      <c r="K36" t="s">
        <v>287</v>
      </c>
      <c r="L36">
        <v>1358</v>
      </c>
      <c r="N36">
        <v>1010</v>
      </c>
      <c r="O36" t="s">
        <v>288</v>
      </c>
      <c r="P36" t="s">
        <v>288</v>
      </c>
      <c r="Q36">
        <v>10</v>
      </c>
      <c r="W36">
        <v>0</v>
      </c>
      <c r="X36">
        <v>-858120743</v>
      </c>
      <c r="Y36">
        <v>38.9</v>
      </c>
      <c r="AA36">
        <v>47.59</v>
      </c>
      <c r="AB36">
        <v>0</v>
      </c>
      <c r="AC36">
        <v>0</v>
      </c>
      <c r="AD36">
        <v>0</v>
      </c>
      <c r="AE36">
        <v>7.03</v>
      </c>
      <c r="AF36">
        <v>0</v>
      </c>
      <c r="AG36">
        <v>0</v>
      </c>
      <c r="AH36">
        <v>0</v>
      </c>
      <c r="AI36">
        <v>6.77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38.9</v>
      </c>
      <c r="AU36" t="s">
        <v>6</v>
      </c>
      <c r="AV36">
        <v>0</v>
      </c>
      <c r="AW36">
        <v>2</v>
      </c>
      <c r="AX36">
        <v>16878762</v>
      </c>
      <c r="AY36">
        <v>1</v>
      </c>
      <c r="AZ36">
        <v>0</v>
      </c>
      <c r="BA36">
        <v>39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Y36*Source!I31</f>
        <v>33.6096</v>
      </c>
      <c r="CY36">
        <f t="shared" si="7"/>
        <v>47.59</v>
      </c>
      <c r="CZ36">
        <f t="shared" si="8"/>
        <v>7.03</v>
      </c>
      <c r="DA36">
        <f t="shared" si="9"/>
        <v>6.77</v>
      </c>
      <c r="DB36">
        <f t="shared" si="10"/>
        <v>273.47000000000003</v>
      </c>
      <c r="DC36">
        <f t="shared" si="11"/>
        <v>0</v>
      </c>
    </row>
    <row r="37" spans="1:107" x14ac:dyDescent="0.2">
      <c r="A37">
        <f>ROW(Source!A31)</f>
        <v>31</v>
      </c>
      <c r="B37">
        <v>16878660</v>
      </c>
      <c r="C37">
        <v>16878743</v>
      </c>
      <c r="D37">
        <v>15197472</v>
      </c>
      <c r="E37">
        <v>1</v>
      </c>
      <c r="F37">
        <v>1</v>
      </c>
      <c r="G37">
        <v>1</v>
      </c>
      <c r="H37">
        <v>3</v>
      </c>
      <c r="I37" t="s">
        <v>47</v>
      </c>
      <c r="J37" t="s">
        <v>50</v>
      </c>
      <c r="K37" t="s">
        <v>48</v>
      </c>
      <c r="L37">
        <v>1327</v>
      </c>
      <c r="N37">
        <v>1005</v>
      </c>
      <c r="O37" t="s">
        <v>49</v>
      </c>
      <c r="P37" t="s">
        <v>49</v>
      </c>
      <c r="Q37">
        <v>1</v>
      </c>
      <c r="W37">
        <v>0</v>
      </c>
      <c r="X37">
        <v>2113984949</v>
      </c>
      <c r="Y37">
        <v>0</v>
      </c>
      <c r="AA37">
        <v>15717.98</v>
      </c>
      <c r="AB37">
        <v>0</v>
      </c>
      <c r="AC37">
        <v>0</v>
      </c>
      <c r="AD37">
        <v>0</v>
      </c>
      <c r="AE37">
        <v>2321.71</v>
      </c>
      <c r="AF37">
        <v>0</v>
      </c>
      <c r="AG37">
        <v>0</v>
      </c>
      <c r="AH37">
        <v>0</v>
      </c>
      <c r="AI37">
        <v>6.77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1</v>
      </c>
      <c r="AX37">
        <v>-1</v>
      </c>
      <c r="AY37">
        <v>0</v>
      </c>
      <c r="AZ37">
        <v>0</v>
      </c>
      <c r="BA37" t="s">
        <v>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Y37*Source!I31</f>
        <v>0</v>
      </c>
      <c r="CY37">
        <f t="shared" si="7"/>
        <v>15717.98</v>
      </c>
      <c r="CZ37">
        <f t="shared" si="8"/>
        <v>2321.71</v>
      </c>
      <c r="DA37">
        <f t="shared" si="9"/>
        <v>6.77</v>
      </c>
      <c r="DB37">
        <f t="shared" si="10"/>
        <v>0</v>
      </c>
      <c r="DC37">
        <f t="shared" si="11"/>
        <v>0</v>
      </c>
    </row>
    <row r="38" spans="1:107" x14ac:dyDescent="0.2">
      <c r="A38">
        <f>ROW(Source!A31)</f>
        <v>31</v>
      </c>
      <c r="B38">
        <v>16878660</v>
      </c>
      <c r="C38">
        <v>16878743</v>
      </c>
      <c r="D38">
        <v>15197780</v>
      </c>
      <c r="E38">
        <v>1</v>
      </c>
      <c r="F38">
        <v>1</v>
      </c>
      <c r="G38">
        <v>1</v>
      </c>
      <c r="H38">
        <v>3</v>
      </c>
      <c r="I38" t="s">
        <v>289</v>
      </c>
      <c r="J38" t="s">
        <v>290</v>
      </c>
      <c r="K38" t="s">
        <v>291</v>
      </c>
      <c r="L38">
        <v>1355</v>
      </c>
      <c r="N38">
        <v>1010</v>
      </c>
      <c r="O38" t="s">
        <v>292</v>
      </c>
      <c r="P38" t="s">
        <v>292</v>
      </c>
      <c r="Q38">
        <v>100</v>
      </c>
      <c r="W38">
        <v>0</v>
      </c>
      <c r="X38">
        <v>1709713925</v>
      </c>
      <c r="Y38">
        <v>8</v>
      </c>
      <c r="AA38">
        <v>338.5</v>
      </c>
      <c r="AB38">
        <v>0</v>
      </c>
      <c r="AC38">
        <v>0</v>
      </c>
      <c r="AD38">
        <v>0</v>
      </c>
      <c r="AE38">
        <v>50</v>
      </c>
      <c r="AF38">
        <v>0</v>
      </c>
      <c r="AG38">
        <v>0</v>
      </c>
      <c r="AH38">
        <v>0</v>
      </c>
      <c r="AI38">
        <v>6.77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8</v>
      </c>
      <c r="AU38" t="s">
        <v>6</v>
      </c>
      <c r="AV38">
        <v>0</v>
      </c>
      <c r="AW38">
        <v>2</v>
      </c>
      <c r="AX38">
        <v>16878764</v>
      </c>
      <c r="AY38">
        <v>1</v>
      </c>
      <c r="AZ38">
        <v>0</v>
      </c>
      <c r="BA38">
        <v>41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6.9119999999999999</v>
      </c>
      <c r="CY38">
        <f t="shared" si="7"/>
        <v>338.5</v>
      </c>
      <c r="CZ38">
        <f t="shared" si="8"/>
        <v>50</v>
      </c>
      <c r="DA38">
        <f t="shared" si="9"/>
        <v>6.77</v>
      </c>
      <c r="DB38">
        <f t="shared" si="10"/>
        <v>400</v>
      </c>
      <c r="DC38">
        <f t="shared" si="11"/>
        <v>0</v>
      </c>
    </row>
    <row r="39" spans="1:107" x14ac:dyDescent="0.2">
      <c r="A39">
        <f>ROW(Source!A31)</f>
        <v>31</v>
      </c>
      <c r="B39">
        <v>16878660</v>
      </c>
      <c r="C39">
        <v>16878743</v>
      </c>
      <c r="D39">
        <v>15204239</v>
      </c>
      <c r="E39">
        <v>1</v>
      </c>
      <c r="F39">
        <v>1</v>
      </c>
      <c r="G39">
        <v>1</v>
      </c>
      <c r="H39">
        <v>3</v>
      </c>
      <c r="I39" t="s">
        <v>293</v>
      </c>
      <c r="J39" t="s">
        <v>294</v>
      </c>
      <c r="K39" t="s">
        <v>295</v>
      </c>
      <c r="L39">
        <v>1354</v>
      </c>
      <c r="N39">
        <v>1010</v>
      </c>
      <c r="O39" t="s">
        <v>296</v>
      </c>
      <c r="P39" t="s">
        <v>296</v>
      </c>
      <c r="Q39">
        <v>1</v>
      </c>
      <c r="W39">
        <v>0</v>
      </c>
      <c r="X39">
        <v>-1018551266</v>
      </c>
      <c r="Y39">
        <v>69</v>
      </c>
      <c r="AA39">
        <v>453.59</v>
      </c>
      <c r="AB39">
        <v>0</v>
      </c>
      <c r="AC39">
        <v>0</v>
      </c>
      <c r="AD39">
        <v>0</v>
      </c>
      <c r="AE39">
        <v>67</v>
      </c>
      <c r="AF39">
        <v>0</v>
      </c>
      <c r="AG39">
        <v>0</v>
      </c>
      <c r="AH39">
        <v>0</v>
      </c>
      <c r="AI39">
        <v>6.77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69</v>
      </c>
      <c r="AU39" t="s">
        <v>6</v>
      </c>
      <c r="AV39">
        <v>0</v>
      </c>
      <c r="AW39">
        <v>2</v>
      </c>
      <c r="AX39">
        <v>16878765</v>
      </c>
      <c r="AY39">
        <v>1</v>
      </c>
      <c r="AZ39">
        <v>0</v>
      </c>
      <c r="BA39">
        <v>42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59.616</v>
      </c>
      <c r="CY39">
        <f t="shared" si="7"/>
        <v>453.59</v>
      </c>
      <c r="CZ39">
        <f t="shared" si="8"/>
        <v>67</v>
      </c>
      <c r="DA39">
        <f t="shared" si="9"/>
        <v>6.77</v>
      </c>
      <c r="DB39">
        <f t="shared" si="10"/>
        <v>4623</v>
      </c>
      <c r="DC39">
        <f t="shared" si="11"/>
        <v>0</v>
      </c>
    </row>
    <row r="40" spans="1:107" x14ac:dyDescent="0.2">
      <c r="A40">
        <f>ROW(Source!A31)</f>
        <v>31</v>
      </c>
      <c r="B40">
        <v>16878660</v>
      </c>
      <c r="C40">
        <v>16878743</v>
      </c>
      <c r="D40">
        <v>0</v>
      </c>
      <c r="E40">
        <v>0</v>
      </c>
      <c r="F40">
        <v>1</v>
      </c>
      <c r="G40">
        <v>1</v>
      </c>
      <c r="H40">
        <v>3</v>
      </c>
      <c r="I40" t="s">
        <v>52</v>
      </c>
      <c r="J40" t="s">
        <v>6</v>
      </c>
      <c r="K40" t="s">
        <v>53</v>
      </c>
      <c r="L40">
        <v>1327</v>
      </c>
      <c r="N40">
        <v>1005</v>
      </c>
      <c r="O40" t="s">
        <v>49</v>
      </c>
      <c r="P40" t="s">
        <v>49</v>
      </c>
      <c r="Q40">
        <v>1</v>
      </c>
      <c r="W40">
        <v>0</v>
      </c>
      <c r="X40">
        <v>-1535074792</v>
      </c>
      <c r="Y40">
        <v>100</v>
      </c>
      <c r="AA40">
        <v>4855.92</v>
      </c>
      <c r="AB40">
        <v>0</v>
      </c>
      <c r="AC40">
        <v>0</v>
      </c>
      <c r="AD40">
        <v>0</v>
      </c>
      <c r="AE40">
        <v>717.27</v>
      </c>
      <c r="AF40">
        <v>0</v>
      </c>
      <c r="AG40">
        <v>0</v>
      </c>
      <c r="AH40">
        <v>0</v>
      </c>
      <c r="AI40">
        <v>6.77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100</v>
      </c>
      <c r="AU40" t="s">
        <v>6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6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86.4</v>
      </c>
      <c r="CY40">
        <f t="shared" si="7"/>
        <v>4855.92</v>
      </c>
      <c r="CZ40">
        <f t="shared" si="8"/>
        <v>717.27</v>
      </c>
      <c r="DA40">
        <f t="shared" si="9"/>
        <v>6.77</v>
      </c>
      <c r="DB40">
        <f t="shared" si="10"/>
        <v>71727</v>
      </c>
      <c r="DC40">
        <f t="shared" si="11"/>
        <v>0</v>
      </c>
    </row>
    <row r="41" spans="1:107" x14ac:dyDescent="0.2">
      <c r="A41">
        <f>ROW(Source!A36)</f>
        <v>36</v>
      </c>
      <c r="B41">
        <v>16878659</v>
      </c>
      <c r="C41">
        <v>16878767</v>
      </c>
      <c r="D41">
        <v>15430767</v>
      </c>
      <c r="E41">
        <v>1</v>
      </c>
      <c r="F41">
        <v>1</v>
      </c>
      <c r="G41">
        <v>1</v>
      </c>
      <c r="H41">
        <v>1</v>
      </c>
      <c r="I41" t="s">
        <v>297</v>
      </c>
      <c r="J41" t="s">
        <v>6</v>
      </c>
      <c r="K41" t="s">
        <v>298</v>
      </c>
      <c r="L41">
        <v>1191</v>
      </c>
      <c r="N41">
        <v>1013</v>
      </c>
      <c r="O41" t="s">
        <v>251</v>
      </c>
      <c r="P41" t="s">
        <v>251</v>
      </c>
      <c r="Q41">
        <v>1</v>
      </c>
      <c r="W41">
        <v>0</v>
      </c>
      <c r="X41">
        <v>-400197608</v>
      </c>
      <c r="Y41">
        <v>129.66249999999999</v>
      </c>
      <c r="AA41">
        <v>0</v>
      </c>
      <c r="AB41">
        <v>0</v>
      </c>
      <c r="AC41">
        <v>0</v>
      </c>
      <c r="AD41">
        <v>8.5299999999999994</v>
      </c>
      <c r="AE41">
        <v>0</v>
      </c>
      <c r="AF41">
        <v>0</v>
      </c>
      <c r="AG41">
        <v>0</v>
      </c>
      <c r="AH41">
        <v>8.5299999999999994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112.75</v>
      </c>
      <c r="AU41" t="s">
        <v>42</v>
      </c>
      <c r="AV41">
        <v>1</v>
      </c>
      <c r="AW41">
        <v>2</v>
      </c>
      <c r="AX41">
        <v>16878775</v>
      </c>
      <c r="AY41">
        <v>1</v>
      </c>
      <c r="AZ41">
        <v>0</v>
      </c>
      <c r="BA41">
        <v>43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Y41*Source!I36</f>
        <v>11.669625</v>
      </c>
      <c r="CY41">
        <f>AD41</f>
        <v>8.5299999999999994</v>
      </c>
      <c r="CZ41">
        <f>AH41</f>
        <v>8.5299999999999994</v>
      </c>
      <c r="DA41">
        <f>AL41</f>
        <v>1</v>
      </c>
      <c r="DB41">
        <f>ROUND((ROUND(AT41*CZ41,2)*1.15),6)</f>
        <v>1106.0239999999999</v>
      </c>
      <c r="DC41">
        <f>ROUND((ROUND(AT41*AG41,2)*1.15),6)</f>
        <v>0</v>
      </c>
    </row>
    <row r="42" spans="1:107" x14ac:dyDescent="0.2">
      <c r="A42">
        <f>ROW(Source!A36)</f>
        <v>36</v>
      </c>
      <c r="B42">
        <v>16878659</v>
      </c>
      <c r="C42">
        <v>16878767</v>
      </c>
      <c r="D42">
        <v>15430395</v>
      </c>
      <c r="E42">
        <v>1</v>
      </c>
      <c r="F42">
        <v>1</v>
      </c>
      <c r="G42">
        <v>1</v>
      </c>
      <c r="H42">
        <v>1</v>
      </c>
      <c r="I42" t="s">
        <v>252</v>
      </c>
      <c r="J42" t="s">
        <v>6</v>
      </c>
      <c r="K42" t="s">
        <v>253</v>
      </c>
      <c r="L42">
        <v>1191</v>
      </c>
      <c r="N42">
        <v>1013</v>
      </c>
      <c r="O42" t="s">
        <v>251</v>
      </c>
      <c r="P42" t="s">
        <v>251</v>
      </c>
      <c r="Q42">
        <v>1</v>
      </c>
      <c r="W42">
        <v>0</v>
      </c>
      <c r="X42">
        <v>-1417349443</v>
      </c>
      <c r="Y42">
        <v>0.27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0.27</v>
      </c>
      <c r="AU42" t="s">
        <v>6</v>
      </c>
      <c r="AV42">
        <v>2</v>
      </c>
      <c r="AW42">
        <v>2</v>
      </c>
      <c r="AX42">
        <v>16878776</v>
      </c>
      <c r="AY42">
        <v>1</v>
      </c>
      <c r="AZ42">
        <v>2048</v>
      </c>
      <c r="BA42">
        <v>44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Y42*Source!I36</f>
        <v>2.4300000000000002E-2</v>
      </c>
      <c r="CY42">
        <f>AD42</f>
        <v>0</v>
      </c>
      <c r="CZ42">
        <f>AH42</f>
        <v>0</v>
      </c>
      <c r="DA42">
        <f>AL42</f>
        <v>1</v>
      </c>
      <c r="DB42">
        <f>ROUND(ROUND(AT42*CZ42,2),6)</f>
        <v>0</v>
      </c>
      <c r="DC42">
        <f>ROUND(ROUND(AT42*AG42,2),6)</f>
        <v>0</v>
      </c>
    </row>
    <row r="43" spans="1:107" x14ac:dyDescent="0.2">
      <c r="A43">
        <f>ROW(Source!A36)</f>
        <v>36</v>
      </c>
      <c r="B43">
        <v>16878659</v>
      </c>
      <c r="C43">
        <v>16878767</v>
      </c>
      <c r="D43">
        <v>15247578</v>
      </c>
      <c r="E43">
        <v>1</v>
      </c>
      <c r="F43">
        <v>1</v>
      </c>
      <c r="G43">
        <v>1</v>
      </c>
      <c r="H43">
        <v>2</v>
      </c>
      <c r="I43" t="s">
        <v>299</v>
      </c>
      <c r="J43" t="s">
        <v>300</v>
      </c>
      <c r="K43" t="s">
        <v>301</v>
      </c>
      <c r="L43">
        <v>1368</v>
      </c>
      <c r="N43">
        <v>1011</v>
      </c>
      <c r="O43" t="s">
        <v>257</v>
      </c>
      <c r="P43" t="s">
        <v>257</v>
      </c>
      <c r="Q43">
        <v>1</v>
      </c>
      <c r="W43">
        <v>0</v>
      </c>
      <c r="X43">
        <v>-1460065968</v>
      </c>
      <c r="Y43">
        <v>0.25</v>
      </c>
      <c r="AA43">
        <v>0</v>
      </c>
      <c r="AB43">
        <v>86.4</v>
      </c>
      <c r="AC43">
        <v>13.5</v>
      </c>
      <c r="AD43">
        <v>0</v>
      </c>
      <c r="AE43">
        <v>0</v>
      </c>
      <c r="AF43">
        <v>86.4</v>
      </c>
      <c r="AG43">
        <v>13.5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6</v>
      </c>
      <c r="AT43">
        <v>0.2</v>
      </c>
      <c r="AU43" t="s">
        <v>41</v>
      </c>
      <c r="AV43">
        <v>0</v>
      </c>
      <c r="AW43">
        <v>2</v>
      </c>
      <c r="AX43">
        <v>16878777</v>
      </c>
      <c r="AY43">
        <v>1</v>
      </c>
      <c r="AZ43">
        <v>0</v>
      </c>
      <c r="BA43">
        <v>45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2.2499999999999999E-2</v>
      </c>
      <c r="CY43">
        <f>AB43</f>
        <v>86.4</v>
      </c>
      <c r="CZ43">
        <f>AF43</f>
        <v>86.4</v>
      </c>
      <c r="DA43">
        <f>AJ43</f>
        <v>1</v>
      </c>
      <c r="DB43">
        <f>ROUND((ROUND(AT43*CZ43,2)*1.25),6)</f>
        <v>21.6</v>
      </c>
      <c r="DC43">
        <f>ROUND((ROUND(AT43*AG43,2)*1.25),6)</f>
        <v>3.375</v>
      </c>
    </row>
    <row r="44" spans="1:107" x14ac:dyDescent="0.2">
      <c r="A44">
        <f>ROW(Source!A36)</f>
        <v>36</v>
      </c>
      <c r="B44">
        <v>16878659</v>
      </c>
      <c r="C44">
        <v>16878767</v>
      </c>
      <c r="D44">
        <v>15249073</v>
      </c>
      <c r="E44">
        <v>1</v>
      </c>
      <c r="F44">
        <v>1</v>
      </c>
      <c r="G44">
        <v>1</v>
      </c>
      <c r="H44">
        <v>2</v>
      </c>
      <c r="I44" t="s">
        <v>273</v>
      </c>
      <c r="J44" t="s">
        <v>274</v>
      </c>
      <c r="K44" t="s">
        <v>275</v>
      </c>
      <c r="L44">
        <v>1368</v>
      </c>
      <c r="N44">
        <v>1011</v>
      </c>
      <c r="O44" t="s">
        <v>257</v>
      </c>
      <c r="P44" t="s">
        <v>257</v>
      </c>
      <c r="Q44">
        <v>1</v>
      </c>
      <c r="W44">
        <v>0</v>
      </c>
      <c r="X44">
        <v>1372534845</v>
      </c>
      <c r="Y44">
        <v>8.7500000000000008E-2</v>
      </c>
      <c r="AA44">
        <v>0</v>
      </c>
      <c r="AB44">
        <v>65.709999999999994</v>
      </c>
      <c r="AC44">
        <v>11.6</v>
      </c>
      <c r="AD44">
        <v>0</v>
      </c>
      <c r="AE44">
        <v>0</v>
      </c>
      <c r="AF44">
        <v>65.709999999999994</v>
      </c>
      <c r="AG44">
        <v>11.6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6</v>
      </c>
      <c r="AT44">
        <v>7.0000000000000007E-2</v>
      </c>
      <c r="AU44" t="s">
        <v>41</v>
      </c>
      <c r="AV44">
        <v>0</v>
      </c>
      <c r="AW44">
        <v>2</v>
      </c>
      <c r="AX44">
        <v>16878778</v>
      </c>
      <c r="AY44">
        <v>1</v>
      </c>
      <c r="AZ44">
        <v>0</v>
      </c>
      <c r="BA44">
        <v>46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7.8750000000000001E-3</v>
      </c>
      <c r="CY44">
        <f>AB44</f>
        <v>65.709999999999994</v>
      </c>
      <c r="CZ44">
        <f>AF44</f>
        <v>65.709999999999994</v>
      </c>
      <c r="DA44">
        <f>AJ44</f>
        <v>1</v>
      </c>
      <c r="DB44">
        <f>ROUND((ROUND(AT44*CZ44,2)*1.25),6)</f>
        <v>5.75</v>
      </c>
      <c r="DC44">
        <f>ROUND((ROUND(AT44*AG44,2)*1.25),6)</f>
        <v>1.0125</v>
      </c>
    </row>
    <row r="45" spans="1:107" x14ac:dyDescent="0.2">
      <c r="A45">
        <f>ROW(Source!A36)</f>
        <v>36</v>
      </c>
      <c r="B45">
        <v>16878659</v>
      </c>
      <c r="C45">
        <v>16878767</v>
      </c>
      <c r="D45">
        <v>15170059</v>
      </c>
      <c r="E45">
        <v>1</v>
      </c>
      <c r="F45">
        <v>1</v>
      </c>
      <c r="G45">
        <v>1</v>
      </c>
      <c r="H45">
        <v>3</v>
      </c>
      <c r="I45" t="s">
        <v>302</v>
      </c>
      <c r="J45" t="s">
        <v>303</v>
      </c>
      <c r="K45" t="s">
        <v>304</v>
      </c>
      <c r="L45">
        <v>1348</v>
      </c>
      <c r="N45">
        <v>1009</v>
      </c>
      <c r="O45" t="s">
        <v>94</v>
      </c>
      <c r="P45" t="s">
        <v>94</v>
      </c>
      <c r="Q45">
        <v>1000</v>
      </c>
      <c r="W45">
        <v>0</v>
      </c>
      <c r="X45">
        <v>-1818623805</v>
      </c>
      <c r="Y45">
        <v>4.0000000000000001E-3</v>
      </c>
      <c r="AA45">
        <v>8475</v>
      </c>
      <c r="AB45">
        <v>0</v>
      </c>
      <c r="AC45">
        <v>0</v>
      </c>
      <c r="AD45">
        <v>0</v>
      </c>
      <c r="AE45">
        <v>8475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4.0000000000000001E-3</v>
      </c>
      <c r="AU45" t="s">
        <v>6</v>
      </c>
      <c r="AV45">
        <v>0</v>
      </c>
      <c r="AW45">
        <v>2</v>
      </c>
      <c r="AX45">
        <v>16878779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3.5999999999999997E-4</v>
      </c>
      <c r="CY45">
        <f>AA45</f>
        <v>8475</v>
      </c>
      <c r="CZ45">
        <f>AE45</f>
        <v>8475</v>
      </c>
      <c r="DA45">
        <f>AI45</f>
        <v>1</v>
      </c>
      <c r="DB45">
        <f>ROUND(ROUND(AT45*CZ45,2),6)</f>
        <v>33.9</v>
      </c>
      <c r="DC45">
        <f>ROUND(ROUND(AT45*AG45,2),6)</f>
        <v>0</v>
      </c>
    </row>
    <row r="46" spans="1:107" x14ac:dyDescent="0.2">
      <c r="A46">
        <f>ROW(Source!A36)</f>
        <v>36</v>
      </c>
      <c r="B46">
        <v>16878659</v>
      </c>
      <c r="C46">
        <v>16878767</v>
      </c>
      <c r="D46">
        <v>15191140</v>
      </c>
      <c r="E46">
        <v>1</v>
      </c>
      <c r="F46">
        <v>1</v>
      </c>
      <c r="G46">
        <v>1</v>
      </c>
      <c r="H46">
        <v>3</v>
      </c>
      <c r="I46" t="s">
        <v>305</v>
      </c>
      <c r="J46" t="s">
        <v>306</v>
      </c>
      <c r="K46" t="s">
        <v>307</v>
      </c>
      <c r="L46">
        <v>1348</v>
      </c>
      <c r="N46">
        <v>1009</v>
      </c>
      <c r="O46" t="s">
        <v>94</v>
      </c>
      <c r="P46" t="s">
        <v>94</v>
      </c>
      <c r="Q46">
        <v>1000</v>
      </c>
      <c r="W46">
        <v>0</v>
      </c>
      <c r="X46">
        <v>-177380457</v>
      </c>
      <c r="Y46">
        <v>1.2E-2</v>
      </c>
      <c r="AA46">
        <v>8190</v>
      </c>
      <c r="AB46">
        <v>0</v>
      </c>
      <c r="AC46">
        <v>0</v>
      </c>
      <c r="AD46">
        <v>0</v>
      </c>
      <c r="AE46">
        <v>8190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1.2E-2</v>
      </c>
      <c r="AU46" t="s">
        <v>6</v>
      </c>
      <c r="AV46">
        <v>0</v>
      </c>
      <c r="AW46">
        <v>2</v>
      </c>
      <c r="AX46">
        <v>16878780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1.08E-3</v>
      </c>
      <c r="CY46">
        <f>AA46</f>
        <v>8190</v>
      </c>
      <c r="CZ46">
        <f>AE46</f>
        <v>8190</v>
      </c>
      <c r="DA46">
        <f>AI46</f>
        <v>1</v>
      </c>
      <c r="DB46">
        <f>ROUND(ROUND(AT46*CZ46,2),6)</f>
        <v>98.28</v>
      </c>
      <c r="DC46">
        <f>ROUND(ROUND(AT46*AG46,2),6)</f>
        <v>0</v>
      </c>
    </row>
    <row r="47" spans="1:107" x14ac:dyDescent="0.2">
      <c r="A47">
        <f>ROW(Source!A36)</f>
        <v>36</v>
      </c>
      <c r="B47">
        <v>16878659</v>
      </c>
      <c r="C47">
        <v>16878767</v>
      </c>
      <c r="D47">
        <v>15191387</v>
      </c>
      <c r="E47">
        <v>1</v>
      </c>
      <c r="F47">
        <v>1</v>
      </c>
      <c r="G47">
        <v>1</v>
      </c>
      <c r="H47">
        <v>3</v>
      </c>
      <c r="I47" t="s">
        <v>308</v>
      </c>
      <c r="J47" t="s">
        <v>309</v>
      </c>
      <c r="K47" t="s">
        <v>310</v>
      </c>
      <c r="L47">
        <v>1348</v>
      </c>
      <c r="N47">
        <v>1009</v>
      </c>
      <c r="O47" t="s">
        <v>94</v>
      </c>
      <c r="P47" t="s">
        <v>94</v>
      </c>
      <c r="Q47">
        <v>1000</v>
      </c>
      <c r="W47">
        <v>0</v>
      </c>
      <c r="X47">
        <v>-272931147</v>
      </c>
      <c r="Y47">
        <v>0.78200000000000003</v>
      </c>
      <c r="AA47">
        <v>11200</v>
      </c>
      <c r="AB47">
        <v>0</v>
      </c>
      <c r="AC47">
        <v>0</v>
      </c>
      <c r="AD47">
        <v>0</v>
      </c>
      <c r="AE47">
        <v>11200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0.78200000000000003</v>
      </c>
      <c r="AU47" t="s">
        <v>6</v>
      </c>
      <c r="AV47">
        <v>0</v>
      </c>
      <c r="AW47">
        <v>2</v>
      </c>
      <c r="AX47">
        <v>16878781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7.0379999999999998E-2</v>
      </c>
      <c r="CY47">
        <f>AA47</f>
        <v>11200</v>
      </c>
      <c r="CZ47">
        <f>AE47</f>
        <v>11200</v>
      </c>
      <c r="DA47">
        <f>AI47</f>
        <v>1</v>
      </c>
      <c r="DB47">
        <f>ROUND(ROUND(AT47*CZ47,2),6)</f>
        <v>8758.4</v>
      </c>
      <c r="DC47">
        <f>ROUND(ROUND(AT47*AG47,2),6)</f>
        <v>0</v>
      </c>
    </row>
    <row r="48" spans="1:107" x14ac:dyDescent="0.2">
      <c r="A48">
        <f>ROW(Source!A37)</f>
        <v>37</v>
      </c>
      <c r="B48">
        <v>16878660</v>
      </c>
      <c r="C48">
        <v>16878767</v>
      </c>
      <c r="D48">
        <v>15430767</v>
      </c>
      <c r="E48">
        <v>1</v>
      </c>
      <c r="F48">
        <v>1</v>
      </c>
      <c r="G48">
        <v>1</v>
      </c>
      <c r="H48">
        <v>1</v>
      </c>
      <c r="I48" t="s">
        <v>297</v>
      </c>
      <c r="J48" t="s">
        <v>6</v>
      </c>
      <c r="K48" t="s">
        <v>298</v>
      </c>
      <c r="L48">
        <v>1191</v>
      </c>
      <c r="N48">
        <v>1013</v>
      </c>
      <c r="O48" t="s">
        <v>251</v>
      </c>
      <c r="P48" t="s">
        <v>251</v>
      </c>
      <c r="Q48">
        <v>1</v>
      </c>
      <c r="W48">
        <v>0</v>
      </c>
      <c r="X48">
        <v>-400197608</v>
      </c>
      <c r="Y48">
        <v>129.66249999999999</v>
      </c>
      <c r="AA48">
        <v>0</v>
      </c>
      <c r="AB48">
        <v>0</v>
      </c>
      <c r="AC48">
        <v>0</v>
      </c>
      <c r="AD48">
        <v>57.75</v>
      </c>
      <c r="AE48">
        <v>0</v>
      </c>
      <c r="AF48">
        <v>0</v>
      </c>
      <c r="AG48">
        <v>0</v>
      </c>
      <c r="AH48">
        <v>8.5299999999999994</v>
      </c>
      <c r="AI48">
        <v>1</v>
      </c>
      <c r="AJ48">
        <v>1</v>
      </c>
      <c r="AK48">
        <v>1</v>
      </c>
      <c r="AL48">
        <v>6.77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6</v>
      </c>
      <c r="AT48">
        <v>112.75</v>
      </c>
      <c r="AU48" t="s">
        <v>42</v>
      </c>
      <c r="AV48">
        <v>1</v>
      </c>
      <c r="AW48">
        <v>2</v>
      </c>
      <c r="AX48">
        <v>16878775</v>
      </c>
      <c r="AY48">
        <v>1</v>
      </c>
      <c r="AZ48">
        <v>0</v>
      </c>
      <c r="BA48">
        <v>50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11.669625</v>
      </c>
      <c r="CY48">
        <f>AD48</f>
        <v>57.75</v>
      </c>
      <c r="CZ48">
        <f>AH48</f>
        <v>8.5299999999999994</v>
      </c>
      <c r="DA48">
        <f>AL48</f>
        <v>6.77</v>
      </c>
      <c r="DB48">
        <f>ROUND((ROUND(AT48*CZ48,2)*1.15),6)</f>
        <v>1106.0239999999999</v>
      </c>
      <c r="DC48">
        <f>ROUND((ROUND(AT48*AG48,2)*1.15),6)</f>
        <v>0</v>
      </c>
    </row>
    <row r="49" spans="1:107" x14ac:dyDescent="0.2">
      <c r="A49">
        <f>ROW(Source!A37)</f>
        <v>37</v>
      </c>
      <c r="B49">
        <v>16878660</v>
      </c>
      <c r="C49">
        <v>16878767</v>
      </c>
      <c r="D49">
        <v>15430395</v>
      </c>
      <c r="E49">
        <v>1</v>
      </c>
      <c r="F49">
        <v>1</v>
      </c>
      <c r="G49">
        <v>1</v>
      </c>
      <c r="H49">
        <v>1</v>
      </c>
      <c r="I49" t="s">
        <v>252</v>
      </c>
      <c r="J49" t="s">
        <v>6</v>
      </c>
      <c r="K49" t="s">
        <v>253</v>
      </c>
      <c r="L49">
        <v>1191</v>
      </c>
      <c r="N49">
        <v>1013</v>
      </c>
      <c r="O49" t="s">
        <v>251</v>
      </c>
      <c r="P49" t="s">
        <v>251</v>
      </c>
      <c r="Q49">
        <v>1</v>
      </c>
      <c r="W49">
        <v>0</v>
      </c>
      <c r="X49">
        <v>-1417349443</v>
      </c>
      <c r="Y49">
        <v>0.27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6.77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0.27</v>
      </c>
      <c r="AU49" t="s">
        <v>6</v>
      </c>
      <c r="AV49">
        <v>2</v>
      </c>
      <c r="AW49">
        <v>2</v>
      </c>
      <c r="AX49">
        <v>16878776</v>
      </c>
      <c r="AY49">
        <v>1</v>
      </c>
      <c r="AZ49">
        <v>2048</v>
      </c>
      <c r="BA49">
        <v>51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2.4300000000000002E-2</v>
      </c>
      <c r="CY49">
        <f>AD49</f>
        <v>0</v>
      </c>
      <c r="CZ49">
        <f>AH49</f>
        <v>0</v>
      </c>
      <c r="DA49">
        <f>AL49</f>
        <v>1</v>
      </c>
      <c r="DB49">
        <f>ROUND(ROUND(AT49*CZ49,2),6)</f>
        <v>0</v>
      </c>
      <c r="DC49">
        <f>ROUND(ROUND(AT49*AG49,2),6)</f>
        <v>0</v>
      </c>
    </row>
    <row r="50" spans="1:107" x14ac:dyDescent="0.2">
      <c r="A50">
        <f>ROW(Source!A37)</f>
        <v>37</v>
      </c>
      <c r="B50">
        <v>16878660</v>
      </c>
      <c r="C50">
        <v>16878767</v>
      </c>
      <c r="D50">
        <v>15247578</v>
      </c>
      <c r="E50">
        <v>1</v>
      </c>
      <c r="F50">
        <v>1</v>
      </c>
      <c r="G50">
        <v>1</v>
      </c>
      <c r="H50">
        <v>2</v>
      </c>
      <c r="I50" t="s">
        <v>299</v>
      </c>
      <c r="J50" t="s">
        <v>300</v>
      </c>
      <c r="K50" t="s">
        <v>301</v>
      </c>
      <c r="L50">
        <v>1368</v>
      </c>
      <c r="N50">
        <v>1011</v>
      </c>
      <c r="O50" t="s">
        <v>257</v>
      </c>
      <c r="P50" t="s">
        <v>257</v>
      </c>
      <c r="Q50">
        <v>1</v>
      </c>
      <c r="W50">
        <v>0</v>
      </c>
      <c r="X50">
        <v>-1460065968</v>
      </c>
      <c r="Y50">
        <v>0.25</v>
      </c>
      <c r="AA50">
        <v>0</v>
      </c>
      <c r="AB50">
        <v>584.92999999999995</v>
      </c>
      <c r="AC50">
        <v>13.5</v>
      </c>
      <c r="AD50">
        <v>0</v>
      </c>
      <c r="AE50">
        <v>0</v>
      </c>
      <c r="AF50">
        <v>86.4</v>
      </c>
      <c r="AG50">
        <v>13.5</v>
      </c>
      <c r="AH50">
        <v>0</v>
      </c>
      <c r="AI50">
        <v>1</v>
      </c>
      <c r="AJ50">
        <v>6.77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6</v>
      </c>
      <c r="AT50">
        <v>0.2</v>
      </c>
      <c r="AU50" t="s">
        <v>41</v>
      </c>
      <c r="AV50">
        <v>0</v>
      </c>
      <c r="AW50">
        <v>2</v>
      </c>
      <c r="AX50">
        <v>16878777</v>
      </c>
      <c r="AY50">
        <v>1</v>
      </c>
      <c r="AZ50">
        <v>0</v>
      </c>
      <c r="BA50">
        <v>52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2.2499999999999999E-2</v>
      </c>
      <c r="CY50">
        <f>AB50</f>
        <v>584.92999999999995</v>
      </c>
      <c r="CZ50">
        <f>AF50</f>
        <v>86.4</v>
      </c>
      <c r="DA50">
        <f>AJ50</f>
        <v>6.77</v>
      </c>
      <c r="DB50">
        <f>ROUND((ROUND(AT50*CZ50,2)*1.25),6)</f>
        <v>21.6</v>
      </c>
      <c r="DC50">
        <f>ROUND((ROUND(AT50*AG50,2)*1.25),6)</f>
        <v>3.375</v>
      </c>
    </row>
    <row r="51" spans="1:107" x14ac:dyDescent="0.2">
      <c r="A51">
        <f>ROW(Source!A37)</f>
        <v>37</v>
      </c>
      <c r="B51">
        <v>16878660</v>
      </c>
      <c r="C51">
        <v>16878767</v>
      </c>
      <c r="D51">
        <v>15249073</v>
      </c>
      <c r="E51">
        <v>1</v>
      </c>
      <c r="F51">
        <v>1</v>
      </c>
      <c r="G51">
        <v>1</v>
      </c>
      <c r="H51">
        <v>2</v>
      </c>
      <c r="I51" t="s">
        <v>273</v>
      </c>
      <c r="J51" t="s">
        <v>274</v>
      </c>
      <c r="K51" t="s">
        <v>275</v>
      </c>
      <c r="L51">
        <v>1368</v>
      </c>
      <c r="N51">
        <v>1011</v>
      </c>
      <c r="O51" t="s">
        <v>257</v>
      </c>
      <c r="P51" t="s">
        <v>257</v>
      </c>
      <c r="Q51">
        <v>1</v>
      </c>
      <c r="W51">
        <v>0</v>
      </c>
      <c r="X51">
        <v>1372534845</v>
      </c>
      <c r="Y51">
        <v>8.7500000000000008E-2</v>
      </c>
      <c r="AA51">
        <v>0</v>
      </c>
      <c r="AB51">
        <v>444.86</v>
      </c>
      <c r="AC51">
        <v>11.6</v>
      </c>
      <c r="AD51">
        <v>0</v>
      </c>
      <c r="AE51">
        <v>0</v>
      </c>
      <c r="AF51">
        <v>65.709999999999994</v>
      </c>
      <c r="AG51">
        <v>11.6</v>
      </c>
      <c r="AH51">
        <v>0</v>
      </c>
      <c r="AI51">
        <v>1</v>
      </c>
      <c r="AJ51">
        <v>6.77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6</v>
      </c>
      <c r="AT51">
        <v>7.0000000000000007E-2</v>
      </c>
      <c r="AU51" t="s">
        <v>41</v>
      </c>
      <c r="AV51">
        <v>0</v>
      </c>
      <c r="AW51">
        <v>2</v>
      </c>
      <c r="AX51">
        <v>16878778</v>
      </c>
      <c r="AY51">
        <v>1</v>
      </c>
      <c r="AZ51">
        <v>0</v>
      </c>
      <c r="BA51">
        <v>53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7.8750000000000001E-3</v>
      </c>
      <c r="CY51">
        <f>AB51</f>
        <v>444.86</v>
      </c>
      <c r="CZ51">
        <f>AF51</f>
        <v>65.709999999999994</v>
      </c>
      <c r="DA51">
        <f>AJ51</f>
        <v>6.77</v>
      </c>
      <c r="DB51">
        <f>ROUND((ROUND(AT51*CZ51,2)*1.25),6)</f>
        <v>5.75</v>
      </c>
      <c r="DC51">
        <f>ROUND((ROUND(AT51*AG51,2)*1.25),6)</f>
        <v>1.0125</v>
      </c>
    </row>
    <row r="52" spans="1:107" x14ac:dyDescent="0.2">
      <c r="A52">
        <f>ROW(Source!A37)</f>
        <v>37</v>
      </c>
      <c r="B52">
        <v>16878660</v>
      </c>
      <c r="C52">
        <v>16878767</v>
      </c>
      <c r="D52">
        <v>15170059</v>
      </c>
      <c r="E52">
        <v>1</v>
      </c>
      <c r="F52">
        <v>1</v>
      </c>
      <c r="G52">
        <v>1</v>
      </c>
      <c r="H52">
        <v>3</v>
      </c>
      <c r="I52" t="s">
        <v>302</v>
      </c>
      <c r="J52" t="s">
        <v>303</v>
      </c>
      <c r="K52" t="s">
        <v>304</v>
      </c>
      <c r="L52">
        <v>1348</v>
      </c>
      <c r="N52">
        <v>1009</v>
      </c>
      <c r="O52" t="s">
        <v>94</v>
      </c>
      <c r="P52" t="s">
        <v>94</v>
      </c>
      <c r="Q52">
        <v>1000</v>
      </c>
      <c r="W52">
        <v>0</v>
      </c>
      <c r="X52">
        <v>-1818623805</v>
      </c>
      <c r="Y52">
        <v>4.0000000000000001E-3</v>
      </c>
      <c r="AA52">
        <v>57375.75</v>
      </c>
      <c r="AB52">
        <v>0</v>
      </c>
      <c r="AC52">
        <v>0</v>
      </c>
      <c r="AD52">
        <v>0</v>
      </c>
      <c r="AE52">
        <v>8475</v>
      </c>
      <c r="AF52">
        <v>0</v>
      </c>
      <c r="AG52">
        <v>0</v>
      </c>
      <c r="AH52">
        <v>0</v>
      </c>
      <c r="AI52">
        <v>6.77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4.0000000000000001E-3</v>
      </c>
      <c r="AU52" t="s">
        <v>6</v>
      </c>
      <c r="AV52">
        <v>0</v>
      </c>
      <c r="AW52">
        <v>2</v>
      </c>
      <c r="AX52">
        <v>16878779</v>
      </c>
      <c r="AY52">
        <v>1</v>
      </c>
      <c r="AZ52">
        <v>0</v>
      </c>
      <c r="BA52">
        <v>54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3.5999999999999997E-4</v>
      </c>
      <c r="CY52">
        <f>AA52</f>
        <v>57375.75</v>
      </c>
      <c r="CZ52">
        <f>AE52</f>
        <v>8475</v>
      </c>
      <c r="DA52">
        <f>AI52</f>
        <v>6.77</v>
      </c>
      <c r="DB52">
        <f>ROUND(ROUND(AT52*CZ52,2),6)</f>
        <v>33.9</v>
      </c>
      <c r="DC52">
        <f>ROUND(ROUND(AT52*AG52,2),6)</f>
        <v>0</v>
      </c>
    </row>
    <row r="53" spans="1:107" x14ac:dyDescent="0.2">
      <c r="A53">
        <f>ROW(Source!A37)</f>
        <v>37</v>
      </c>
      <c r="B53">
        <v>16878660</v>
      </c>
      <c r="C53">
        <v>16878767</v>
      </c>
      <c r="D53">
        <v>15191140</v>
      </c>
      <c r="E53">
        <v>1</v>
      </c>
      <c r="F53">
        <v>1</v>
      </c>
      <c r="G53">
        <v>1</v>
      </c>
      <c r="H53">
        <v>3</v>
      </c>
      <c r="I53" t="s">
        <v>305</v>
      </c>
      <c r="J53" t="s">
        <v>306</v>
      </c>
      <c r="K53" t="s">
        <v>307</v>
      </c>
      <c r="L53">
        <v>1348</v>
      </c>
      <c r="N53">
        <v>1009</v>
      </c>
      <c r="O53" t="s">
        <v>94</v>
      </c>
      <c r="P53" t="s">
        <v>94</v>
      </c>
      <c r="Q53">
        <v>1000</v>
      </c>
      <c r="W53">
        <v>0</v>
      </c>
      <c r="X53">
        <v>-177380457</v>
      </c>
      <c r="Y53">
        <v>1.2E-2</v>
      </c>
      <c r="AA53">
        <v>55446.3</v>
      </c>
      <c r="AB53">
        <v>0</v>
      </c>
      <c r="AC53">
        <v>0</v>
      </c>
      <c r="AD53">
        <v>0</v>
      </c>
      <c r="AE53">
        <v>8190</v>
      </c>
      <c r="AF53">
        <v>0</v>
      </c>
      <c r="AG53">
        <v>0</v>
      </c>
      <c r="AH53">
        <v>0</v>
      </c>
      <c r="AI53">
        <v>6.77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1.2E-2</v>
      </c>
      <c r="AU53" t="s">
        <v>6</v>
      </c>
      <c r="AV53">
        <v>0</v>
      </c>
      <c r="AW53">
        <v>2</v>
      </c>
      <c r="AX53">
        <v>16878780</v>
      </c>
      <c r="AY53">
        <v>1</v>
      </c>
      <c r="AZ53">
        <v>0</v>
      </c>
      <c r="BA53">
        <v>55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1.08E-3</v>
      </c>
      <c r="CY53">
        <f>AA53</f>
        <v>55446.3</v>
      </c>
      <c r="CZ53">
        <f>AE53</f>
        <v>8190</v>
      </c>
      <c r="DA53">
        <f>AI53</f>
        <v>6.77</v>
      </c>
      <c r="DB53">
        <f>ROUND(ROUND(AT53*CZ53,2),6)</f>
        <v>98.28</v>
      </c>
      <c r="DC53">
        <f>ROUND(ROUND(AT53*AG53,2),6)</f>
        <v>0</v>
      </c>
    </row>
    <row r="54" spans="1:107" x14ac:dyDescent="0.2">
      <c r="A54">
        <f>ROW(Source!A37)</f>
        <v>37</v>
      </c>
      <c r="B54">
        <v>16878660</v>
      </c>
      <c r="C54">
        <v>16878767</v>
      </c>
      <c r="D54">
        <v>15191387</v>
      </c>
      <c r="E54">
        <v>1</v>
      </c>
      <c r="F54">
        <v>1</v>
      </c>
      <c r="G54">
        <v>1</v>
      </c>
      <c r="H54">
        <v>3</v>
      </c>
      <c r="I54" t="s">
        <v>308</v>
      </c>
      <c r="J54" t="s">
        <v>309</v>
      </c>
      <c r="K54" t="s">
        <v>310</v>
      </c>
      <c r="L54">
        <v>1348</v>
      </c>
      <c r="N54">
        <v>1009</v>
      </c>
      <c r="O54" t="s">
        <v>94</v>
      </c>
      <c r="P54" t="s">
        <v>94</v>
      </c>
      <c r="Q54">
        <v>1000</v>
      </c>
      <c r="W54">
        <v>0</v>
      </c>
      <c r="X54">
        <v>-272931147</v>
      </c>
      <c r="Y54">
        <v>0.78200000000000003</v>
      </c>
      <c r="AA54">
        <v>75824</v>
      </c>
      <c r="AB54">
        <v>0</v>
      </c>
      <c r="AC54">
        <v>0</v>
      </c>
      <c r="AD54">
        <v>0</v>
      </c>
      <c r="AE54">
        <v>11200</v>
      </c>
      <c r="AF54">
        <v>0</v>
      </c>
      <c r="AG54">
        <v>0</v>
      </c>
      <c r="AH54">
        <v>0</v>
      </c>
      <c r="AI54">
        <v>6.77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0.78200000000000003</v>
      </c>
      <c r="AU54" t="s">
        <v>6</v>
      </c>
      <c r="AV54">
        <v>0</v>
      </c>
      <c r="AW54">
        <v>2</v>
      </c>
      <c r="AX54">
        <v>16878781</v>
      </c>
      <c r="AY54">
        <v>1</v>
      </c>
      <c r="AZ54">
        <v>0</v>
      </c>
      <c r="BA54">
        <v>56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7.0379999999999998E-2</v>
      </c>
      <c r="CY54">
        <f>AA54</f>
        <v>75824</v>
      </c>
      <c r="CZ54">
        <f>AE54</f>
        <v>11200</v>
      </c>
      <c r="DA54">
        <f>AI54</f>
        <v>6.77</v>
      </c>
      <c r="DB54">
        <f>ROUND(ROUND(AT54*CZ54,2),6)</f>
        <v>8758.4</v>
      </c>
      <c r="DC54">
        <f>ROUND(ROUND(AT54*AG54,2),6)</f>
        <v>0</v>
      </c>
    </row>
    <row r="55" spans="1:107" x14ac:dyDescent="0.2">
      <c r="A55">
        <f>ROW(Source!A38)</f>
        <v>38</v>
      </c>
      <c r="B55">
        <v>16878659</v>
      </c>
      <c r="C55">
        <v>16878782</v>
      </c>
      <c r="D55">
        <v>15430767</v>
      </c>
      <c r="E55">
        <v>1</v>
      </c>
      <c r="F55">
        <v>1</v>
      </c>
      <c r="G55">
        <v>1</v>
      </c>
      <c r="H55">
        <v>1</v>
      </c>
      <c r="I55" t="s">
        <v>297</v>
      </c>
      <c r="J55" t="s">
        <v>6</v>
      </c>
      <c r="K55" t="s">
        <v>298</v>
      </c>
      <c r="L55">
        <v>1191</v>
      </c>
      <c r="N55">
        <v>1013</v>
      </c>
      <c r="O55" t="s">
        <v>251</v>
      </c>
      <c r="P55" t="s">
        <v>251</v>
      </c>
      <c r="Q55">
        <v>1</v>
      </c>
      <c r="W55">
        <v>0</v>
      </c>
      <c r="X55">
        <v>-400197608</v>
      </c>
      <c r="Y55">
        <v>24.368500000000001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21.19</v>
      </c>
      <c r="AU55" t="s">
        <v>42</v>
      </c>
      <c r="AV55">
        <v>1</v>
      </c>
      <c r="AW55">
        <v>2</v>
      </c>
      <c r="AX55">
        <v>16878790</v>
      </c>
      <c r="AY55">
        <v>1</v>
      </c>
      <c r="AZ55">
        <v>0</v>
      </c>
      <c r="BA55">
        <v>57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8.7726600000000001</v>
      </c>
      <c r="CY55">
        <f>AD55</f>
        <v>8.5299999999999994</v>
      </c>
      <c r="CZ55">
        <f>AH55</f>
        <v>8.5299999999999994</v>
      </c>
      <c r="DA55">
        <f>AL55</f>
        <v>1</v>
      </c>
      <c r="DB55">
        <f>ROUND((ROUND(AT55*CZ55,2)*1.15),6)</f>
        <v>207.86250000000001</v>
      </c>
      <c r="DC55">
        <f>ROUND((ROUND(AT55*AG55,2)*1.15),6)</f>
        <v>0</v>
      </c>
    </row>
    <row r="56" spans="1:107" x14ac:dyDescent="0.2">
      <c r="A56">
        <f>ROW(Source!A38)</f>
        <v>38</v>
      </c>
      <c r="B56">
        <v>16878659</v>
      </c>
      <c r="C56">
        <v>16878782</v>
      </c>
      <c r="D56">
        <v>15430395</v>
      </c>
      <c r="E56">
        <v>1</v>
      </c>
      <c r="F56">
        <v>1</v>
      </c>
      <c r="G56">
        <v>1</v>
      </c>
      <c r="H56">
        <v>1</v>
      </c>
      <c r="I56" t="s">
        <v>252</v>
      </c>
      <c r="J56" t="s">
        <v>6</v>
      </c>
      <c r="K56" t="s">
        <v>253</v>
      </c>
      <c r="L56">
        <v>1191</v>
      </c>
      <c r="N56">
        <v>1013</v>
      </c>
      <c r="O56" t="s">
        <v>251</v>
      </c>
      <c r="P56" t="s">
        <v>251</v>
      </c>
      <c r="Q56">
        <v>1</v>
      </c>
      <c r="W56">
        <v>0</v>
      </c>
      <c r="X56">
        <v>-1417349443</v>
      </c>
      <c r="Y56">
        <v>0.19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0.19</v>
      </c>
      <c r="AU56" t="s">
        <v>6</v>
      </c>
      <c r="AV56">
        <v>2</v>
      </c>
      <c r="AW56">
        <v>2</v>
      </c>
      <c r="AX56">
        <v>16878791</v>
      </c>
      <c r="AY56">
        <v>1</v>
      </c>
      <c r="AZ56">
        <v>2048</v>
      </c>
      <c r="BA56">
        <v>58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Y56*Source!I38</f>
        <v>6.8400000000000002E-2</v>
      </c>
      <c r="CY56">
        <f>AD56</f>
        <v>0</v>
      </c>
      <c r="CZ56">
        <f>AH56</f>
        <v>0</v>
      </c>
      <c r="DA56">
        <f>AL56</f>
        <v>1</v>
      </c>
      <c r="DB56">
        <f>ROUND(ROUND(AT56*CZ56,2),6)</f>
        <v>0</v>
      </c>
      <c r="DC56">
        <f>ROUND(ROUND(AT56*AG56,2),6)</f>
        <v>0</v>
      </c>
    </row>
    <row r="57" spans="1:107" x14ac:dyDescent="0.2">
      <c r="A57">
        <f>ROW(Source!A38)</f>
        <v>38</v>
      </c>
      <c r="B57">
        <v>16878659</v>
      </c>
      <c r="C57">
        <v>16878782</v>
      </c>
      <c r="D57">
        <v>15247974</v>
      </c>
      <c r="E57">
        <v>1</v>
      </c>
      <c r="F57">
        <v>1</v>
      </c>
      <c r="G57">
        <v>1</v>
      </c>
      <c r="H57">
        <v>2</v>
      </c>
      <c r="I57" t="s">
        <v>254</v>
      </c>
      <c r="J57" t="s">
        <v>255</v>
      </c>
      <c r="K57" t="s">
        <v>256</v>
      </c>
      <c r="L57">
        <v>1368</v>
      </c>
      <c r="N57">
        <v>1011</v>
      </c>
      <c r="O57" t="s">
        <v>257</v>
      </c>
      <c r="P57" t="s">
        <v>257</v>
      </c>
      <c r="Q57">
        <v>1</v>
      </c>
      <c r="W57">
        <v>0</v>
      </c>
      <c r="X57">
        <v>1188625873</v>
      </c>
      <c r="Y57">
        <v>0.05</v>
      </c>
      <c r="AA57">
        <v>0</v>
      </c>
      <c r="AB57">
        <v>31.26</v>
      </c>
      <c r="AC57">
        <v>13.5</v>
      </c>
      <c r="AD57">
        <v>0</v>
      </c>
      <c r="AE57">
        <v>0</v>
      </c>
      <c r="AF57">
        <v>31.26</v>
      </c>
      <c r="AG57">
        <v>13.5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0.04</v>
      </c>
      <c r="AU57" t="s">
        <v>41</v>
      </c>
      <c r="AV57">
        <v>0</v>
      </c>
      <c r="AW57">
        <v>2</v>
      </c>
      <c r="AX57">
        <v>16878792</v>
      </c>
      <c r="AY57">
        <v>1</v>
      </c>
      <c r="AZ57">
        <v>0</v>
      </c>
      <c r="BA57">
        <v>59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1.7999999999999999E-2</v>
      </c>
      <c r="CY57">
        <f>AB57</f>
        <v>31.26</v>
      </c>
      <c r="CZ57">
        <f>AF57</f>
        <v>31.26</v>
      </c>
      <c r="DA57">
        <f>AJ57</f>
        <v>1</v>
      </c>
      <c r="DB57">
        <f>ROUND((ROUND(AT57*CZ57,2)*1.25),6)</f>
        <v>1.5625</v>
      </c>
      <c r="DC57">
        <f>ROUND((ROUND(AT57*AG57,2)*1.25),6)</f>
        <v>0.67500000000000004</v>
      </c>
    </row>
    <row r="58" spans="1:107" x14ac:dyDescent="0.2">
      <c r="A58">
        <f>ROW(Source!A38)</f>
        <v>38</v>
      </c>
      <c r="B58">
        <v>16878659</v>
      </c>
      <c r="C58">
        <v>16878782</v>
      </c>
      <c r="D58">
        <v>15249073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257</v>
      </c>
      <c r="P58" t="s">
        <v>257</v>
      </c>
      <c r="Q58">
        <v>1</v>
      </c>
      <c r="W58">
        <v>0</v>
      </c>
      <c r="X58">
        <v>1372534845</v>
      </c>
      <c r="Y58">
        <v>0.1875</v>
      </c>
      <c r="AA58">
        <v>0</v>
      </c>
      <c r="AB58">
        <v>65.709999999999994</v>
      </c>
      <c r="AC58">
        <v>11.6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6</v>
      </c>
      <c r="AT58">
        <v>0.15</v>
      </c>
      <c r="AU58" t="s">
        <v>41</v>
      </c>
      <c r="AV58">
        <v>0</v>
      </c>
      <c r="AW58">
        <v>2</v>
      </c>
      <c r="AX58">
        <v>16878793</v>
      </c>
      <c r="AY58">
        <v>1</v>
      </c>
      <c r="AZ58">
        <v>0</v>
      </c>
      <c r="BA58">
        <v>60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6.7500000000000004E-2</v>
      </c>
      <c r="CY58">
        <f>AB58</f>
        <v>65.709999999999994</v>
      </c>
      <c r="CZ58">
        <f>AF58</f>
        <v>65.709999999999994</v>
      </c>
      <c r="DA58">
        <f>AJ58</f>
        <v>1</v>
      </c>
      <c r="DB58">
        <f>ROUND((ROUND(AT58*CZ58,2)*1.25),6)</f>
        <v>12.324999999999999</v>
      </c>
      <c r="DC58">
        <f>ROUND((ROUND(AT58*AG58,2)*1.25),6)</f>
        <v>2.1749999999999998</v>
      </c>
    </row>
    <row r="59" spans="1:107" x14ac:dyDescent="0.2">
      <c r="A59">
        <f>ROW(Source!A38)</f>
        <v>38</v>
      </c>
      <c r="B59">
        <v>16878659</v>
      </c>
      <c r="C59">
        <v>16878782</v>
      </c>
      <c r="D59">
        <v>15197625</v>
      </c>
      <c r="E59">
        <v>1</v>
      </c>
      <c r="F59">
        <v>1</v>
      </c>
      <c r="G59">
        <v>1</v>
      </c>
      <c r="H59">
        <v>3</v>
      </c>
      <c r="I59" t="s">
        <v>66</v>
      </c>
      <c r="J59" t="s">
        <v>69</v>
      </c>
      <c r="K59" t="s">
        <v>67</v>
      </c>
      <c r="L59">
        <v>1301</v>
      </c>
      <c r="N59">
        <v>1003</v>
      </c>
      <c r="O59" t="s">
        <v>68</v>
      </c>
      <c r="P59" t="s">
        <v>68</v>
      </c>
      <c r="Q59">
        <v>1</v>
      </c>
      <c r="W59">
        <v>0</v>
      </c>
      <c r="X59">
        <v>-2119394786</v>
      </c>
      <c r="Y59">
        <v>100</v>
      </c>
      <c r="AA59">
        <v>36.369999999999997</v>
      </c>
      <c r="AB59">
        <v>0</v>
      </c>
      <c r="AC59">
        <v>0</v>
      </c>
      <c r="AD59">
        <v>0</v>
      </c>
      <c r="AE59">
        <v>36.369999999999997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100</v>
      </c>
      <c r="AU59" t="s">
        <v>6</v>
      </c>
      <c r="AV59">
        <v>0</v>
      </c>
      <c r="AW59">
        <v>1</v>
      </c>
      <c r="AX59">
        <v>-1</v>
      </c>
      <c r="AY59">
        <v>0</v>
      </c>
      <c r="AZ59">
        <v>0</v>
      </c>
      <c r="BA59" t="s">
        <v>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36</v>
      </c>
      <c r="CY59">
        <f>AA59</f>
        <v>36.369999999999997</v>
      </c>
      <c r="CZ59">
        <f>AE59</f>
        <v>36.369999999999997</v>
      </c>
      <c r="DA59">
        <f>AI59</f>
        <v>1</v>
      </c>
      <c r="DB59">
        <f>ROUND(ROUND(AT59*CZ59,2),6)</f>
        <v>3637</v>
      </c>
      <c r="DC59">
        <f>ROUND(ROUND(AT59*AG59,2),6)</f>
        <v>0</v>
      </c>
    </row>
    <row r="60" spans="1:107" x14ac:dyDescent="0.2">
      <c r="A60">
        <f>ROW(Source!A38)</f>
        <v>38</v>
      </c>
      <c r="B60">
        <v>16878659</v>
      </c>
      <c r="C60">
        <v>16878782</v>
      </c>
      <c r="D60">
        <v>15197780</v>
      </c>
      <c r="E60">
        <v>1</v>
      </c>
      <c r="F60">
        <v>1</v>
      </c>
      <c r="G60">
        <v>1</v>
      </c>
      <c r="H60">
        <v>3</v>
      </c>
      <c r="I60" t="s">
        <v>289</v>
      </c>
      <c r="J60" t="s">
        <v>290</v>
      </c>
      <c r="K60" t="s">
        <v>291</v>
      </c>
      <c r="L60">
        <v>1355</v>
      </c>
      <c r="N60">
        <v>1010</v>
      </c>
      <c r="O60" t="s">
        <v>292</v>
      </c>
      <c r="P60" t="s">
        <v>292</v>
      </c>
      <c r="Q60">
        <v>100</v>
      </c>
      <c r="W60">
        <v>0</v>
      </c>
      <c r="X60">
        <v>1709713925</v>
      </c>
      <c r="Y60">
        <v>4</v>
      </c>
      <c r="AA60">
        <v>50</v>
      </c>
      <c r="AB60">
        <v>0</v>
      </c>
      <c r="AC60">
        <v>0</v>
      </c>
      <c r="AD60">
        <v>0</v>
      </c>
      <c r="AE60">
        <v>50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4</v>
      </c>
      <c r="AU60" t="s">
        <v>6</v>
      </c>
      <c r="AV60">
        <v>0</v>
      </c>
      <c r="AW60">
        <v>2</v>
      </c>
      <c r="AX60">
        <v>16878795</v>
      </c>
      <c r="AY60">
        <v>1</v>
      </c>
      <c r="AZ60">
        <v>0</v>
      </c>
      <c r="BA60">
        <v>62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1.44</v>
      </c>
      <c r="CY60">
        <f>AA60</f>
        <v>50</v>
      </c>
      <c r="CZ60">
        <f>AE60</f>
        <v>50</v>
      </c>
      <c r="DA60">
        <f>AI60</f>
        <v>1</v>
      </c>
      <c r="DB60">
        <f>ROUND(ROUND(AT60*CZ60,2),6)</f>
        <v>200</v>
      </c>
      <c r="DC60">
        <f>ROUND(ROUND(AT60*AG60,2),6)</f>
        <v>0</v>
      </c>
    </row>
    <row r="61" spans="1:107" x14ac:dyDescent="0.2">
      <c r="A61">
        <f>ROW(Source!A38)</f>
        <v>38</v>
      </c>
      <c r="B61">
        <v>16878659</v>
      </c>
      <c r="C61">
        <v>16878782</v>
      </c>
      <c r="D61">
        <v>15204239</v>
      </c>
      <c r="E61">
        <v>1</v>
      </c>
      <c r="F61">
        <v>1</v>
      </c>
      <c r="G61">
        <v>1</v>
      </c>
      <c r="H61">
        <v>3</v>
      </c>
      <c r="I61" t="s">
        <v>293</v>
      </c>
      <c r="J61" t="s">
        <v>294</v>
      </c>
      <c r="K61" t="s">
        <v>295</v>
      </c>
      <c r="L61">
        <v>1354</v>
      </c>
      <c r="N61">
        <v>1010</v>
      </c>
      <c r="O61" t="s">
        <v>296</v>
      </c>
      <c r="P61" t="s">
        <v>296</v>
      </c>
      <c r="Q61">
        <v>1</v>
      </c>
      <c r="W61">
        <v>0</v>
      </c>
      <c r="X61">
        <v>-1018551266</v>
      </c>
      <c r="Y61">
        <v>56.6</v>
      </c>
      <c r="AA61">
        <v>67</v>
      </c>
      <c r="AB61">
        <v>0</v>
      </c>
      <c r="AC61">
        <v>0</v>
      </c>
      <c r="AD61">
        <v>0</v>
      </c>
      <c r="AE61">
        <v>67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6</v>
      </c>
      <c r="AT61">
        <v>56.6</v>
      </c>
      <c r="AU61" t="s">
        <v>6</v>
      </c>
      <c r="AV61">
        <v>0</v>
      </c>
      <c r="AW61">
        <v>2</v>
      </c>
      <c r="AX61">
        <v>16878796</v>
      </c>
      <c r="AY61">
        <v>1</v>
      </c>
      <c r="AZ61">
        <v>0</v>
      </c>
      <c r="BA61">
        <v>63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Y61*Source!I38</f>
        <v>20.376000000000001</v>
      </c>
      <c r="CY61">
        <f>AA61</f>
        <v>67</v>
      </c>
      <c r="CZ61">
        <f>AE61</f>
        <v>67</v>
      </c>
      <c r="DA61">
        <f>AI61</f>
        <v>1</v>
      </c>
      <c r="DB61">
        <f>ROUND(ROUND(AT61*CZ61,2),6)</f>
        <v>3792.2</v>
      </c>
      <c r="DC61">
        <f>ROUND(ROUND(AT61*AG61,2),6)</f>
        <v>0</v>
      </c>
    </row>
    <row r="62" spans="1:107" x14ac:dyDescent="0.2">
      <c r="A62">
        <f>ROW(Source!A39)</f>
        <v>39</v>
      </c>
      <c r="B62">
        <v>16878660</v>
      </c>
      <c r="C62">
        <v>16878782</v>
      </c>
      <c r="D62">
        <v>15430767</v>
      </c>
      <c r="E62">
        <v>1</v>
      </c>
      <c r="F62">
        <v>1</v>
      </c>
      <c r="G62">
        <v>1</v>
      </c>
      <c r="H62">
        <v>1</v>
      </c>
      <c r="I62" t="s">
        <v>297</v>
      </c>
      <c r="J62" t="s">
        <v>6</v>
      </c>
      <c r="K62" t="s">
        <v>298</v>
      </c>
      <c r="L62">
        <v>1191</v>
      </c>
      <c r="N62">
        <v>1013</v>
      </c>
      <c r="O62" t="s">
        <v>251</v>
      </c>
      <c r="P62" t="s">
        <v>251</v>
      </c>
      <c r="Q62">
        <v>1</v>
      </c>
      <c r="W62">
        <v>0</v>
      </c>
      <c r="X62">
        <v>-400197608</v>
      </c>
      <c r="Y62">
        <v>24.368500000000001</v>
      </c>
      <c r="AA62">
        <v>0</v>
      </c>
      <c r="AB62">
        <v>0</v>
      </c>
      <c r="AC62">
        <v>0</v>
      </c>
      <c r="AD62">
        <v>57.75</v>
      </c>
      <c r="AE62">
        <v>0</v>
      </c>
      <c r="AF62">
        <v>0</v>
      </c>
      <c r="AG62">
        <v>0</v>
      </c>
      <c r="AH62">
        <v>8.5299999999999994</v>
      </c>
      <c r="AI62">
        <v>1</v>
      </c>
      <c r="AJ62">
        <v>1</v>
      </c>
      <c r="AK62">
        <v>1</v>
      </c>
      <c r="AL62">
        <v>6.77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6</v>
      </c>
      <c r="AT62">
        <v>21.19</v>
      </c>
      <c r="AU62" t="s">
        <v>42</v>
      </c>
      <c r="AV62">
        <v>1</v>
      </c>
      <c r="AW62">
        <v>2</v>
      </c>
      <c r="AX62">
        <v>16878790</v>
      </c>
      <c r="AY62">
        <v>1</v>
      </c>
      <c r="AZ62">
        <v>0</v>
      </c>
      <c r="BA62">
        <v>64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8.7726600000000001</v>
      </c>
      <c r="CY62">
        <f>AD62</f>
        <v>57.75</v>
      </c>
      <c r="CZ62">
        <f>AH62</f>
        <v>8.5299999999999994</v>
      </c>
      <c r="DA62">
        <f>AL62</f>
        <v>6.77</v>
      </c>
      <c r="DB62">
        <f>ROUND((ROUND(AT62*CZ62,2)*1.15),6)</f>
        <v>207.86250000000001</v>
      </c>
      <c r="DC62">
        <f>ROUND((ROUND(AT62*AG62,2)*1.15),6)</f>
        <v>0</v>
      </c>
    </row>
    <row r="63" spans="1:107" x14ac:dyDescent="0.2">
      <c r="A63">
        <f>ROW(Source!A39)</f>
        <v>39</v>
      </c>
      <c r="B63">
        <v>16878660</v>
      </c>
      <c r="C63">
        <v>16878782</v>
      </c>
      <c r="D63">
        <v>15430395</v>
      </c>
      <c r="E63">
        <v>1</v>
      </c>
      <c r="F63">
        <v>1</v>
      </c>
      <c r="G63">
        <v>1</v>
      </c>
      <c r="H63">
        <v>1</v>
      </c>
      <c r="I63" t="s">
        <v>252</v>
      </c>
      <c r="J63" t="s">
        <v>6</v>
      </c>
      <c r="K63" t="s">
        <v>253</v>
      </c>
      <c r="L63">
        <v>1191</v>
      </c>
      <c r="N63">
        <v>1013</v>
      </c>
      <c r="O63" t="s">
        <v>251</v>
      </c>
      <c r="P63" t="s">
        <v>251</v>
      </c>
      <c r="Q63">
        <v>1</v>
      </c>
      <c r="W63">
        <v>0</v>
      </c>
      <c r="X63">
        <v>-1417349443</v>
      </c>
      <c r="Y63">
        <v>0.19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6.77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0.19</v>
      </c>
      <c r="AU63" t="s">
        <v>6</v>
      </c>
      <c r="AV63">
        <v>2</v>
      </c>
      <c r="AW63">
        <v>2</v>
      </c>
      <c r="AX63">
        <v>16878791</v>
      </c>
      <c r="AY63">
        <v>1</v>
      </c>
      <c r="AZ63">
        <v>2048</v>
      </c>
      <c r="BA63">
        <v>65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6.8400000000000002E-2</v>
      </c>
      <c r="CY63">
        <f>AD63</f>
        <v>0</v>
      </c>
      <c r="CZ63">
        <f>AH63</f>
        <v>0</v>
      </c>
      <c r="DA63">
        <f>AL63</f>
        <v>1</v>
      </c>
      <c r="DB63">
        <f>ROUND(ROUND(AT63*CZ63,2),6)</f>
        <v>0</v>
      </c>
      <c r="DC63">
        <f>ROUND(ROUND(AT63*AG63,2),6)</f>
        <v>0</v>
      </c>
    </row>
    <row r="64" spans="1:107" x14ac:dyDescent="0.2">
      <c r="A64">
        <f>ROW(Source!A39)</f>
        <v>39</v>
      </c>
      <c r="B64">
        <v>16878660</v>
      </c>
      <c r="C64">
        <v>16878782</v>
      </c>
      <c r="D64">
        <v>15247974</v>
      </c>
      <c r="E64">
        <v>1</v>
      </c>
      <c r="F64">
        <v>1</v>
      </c>
      <c r="G64">
        <v>1</v>
      </c>
      <c r="H64">
        <v>2</v>
      </c>
      <c r="I64" t="s">
        <v>254</v>
      </c>
      <c r="J64" t="s">
        <v>255</v>
      </c>
      <c r="K64" t="s">
        <v>256</v>
      </c>
      <c r="L64">
        <v>1368</v>
      </c>
      <c r="N64">
        <v>1011</v>
      </c>
      <c r="O64" t="s">
        <v>257</v>
      </c>
      <c r="P64" t="s">
        <v>257</v>
      </c>
      <c r="Q64">
        <v>1</v>
      </c>
      <c r="W64">
        <v>0</v>
      </c>
      <c r="X64">
        <v>1188625873</v>
      </c>
      <c r="Y64">
        <v>0.05</v>
      </c>
      <c r="AA64">
        <v>0</v>
      </c>
      <c r="AB64">
        <v>211.63</v>
      </c>
      <c r="AC64">
        <v>13.5</v>
      </c>
      <c r="AD64">
        <v>0</v>
      </c>
      <c r="AE64">
        <v>0</v>
      </c>
      <c r="AF64">
        <v>31.26</v>
      </c>
      <c r="AG64">
        <v>13.5</v>
      </c>
      <c r="AH64">
        <v>0</v>
      </c>
      <c r="AI64">
        <v>1</v>
      </c>
      <c r="AJ64">
        <v>6.77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6</v>
      </c>
      <c r="AT64">
        <v>0.04</v>
      </c>
      <c r="AU64" t="s">
        <v>41</v>
      </c>
      <c r="AV64">
        <v>0</v>
      </c>
      <c r="AW64">
        <v>2</v>
      </c>
      <c r="AX64">
        <v>16878792</v>
      </c>
      <c r="AY64">
        <v>1</v>
      </c>
      <c r="AZ64">
        <v>0</v>
      </c>
      <c r="BA64">
        <v>66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1.7999999999999999E-2</v>
      </c>
      <c r="CY64">
        <f>AB64</f>
        <v>211.63</v>
      </c>
      <c r="CZ64">
        <f>AF64</f>
        <v>31.26</v>
      </c>
      <c r="DA64">
        <f>AJ64</f>
        <v>6.77</v>
      </c>
      <c r="DB64">
        <f>ROUND((ROUND(AT64*CZ64,2)*1.25),6)</f>
        <v>1.5625</v>
      </c>
      <c r="DC64">
        <f>ROUND((ROUND(AT64*AG64,2)*1.25),6)</f>
        <v>0.67500000000000004</v>
      </c>
    </row>
    <row r="65" spans="1:107" x14ac:dyDescent="0.2">
      <c r="A65">
        <f>ROW(Source!A39)</f>
        <v>39</v>
      </c>
      <c r="B65">
        <v>16878660</v>
      </c>
      <c r="C65">
        <v>16878782</v>
      </c>
      <c r="D65">
        <v>15249073</v>
      </c>
      <c r="E65">
        <v>1</v>
      </c>
      <c r="F65">
        <v>1</v>
      </c>
      <c r="G65">
        <v>1</v>
      </c>
      <c r="H65">
        <v>2</v>
      </c>
      <c r="I65" t="s">
        <v>273</v>
      </c>
      <c r="J65" t="s">
        <v>274</v>
      </c>
      <c r="K65" t="s">
        <v>275</v>
      </c>
      <c r="L65">
        <v>1368</v>
      </c>
      <c r="N65">
        <v>1011</v>
      </c>
      <c r="O65" t="s">
        <v>257</v>
      </c>
      <c r="P65" t="s">
        <v>257</v>
      </c>
      <c r="Q65">
        <v>1</v>
      </c>
      <c r="W65">
        <v>0</v>
      </c>
      <c r="X65">
        <v>1372534845</v>
      </c>
      <c r="Y65">
        <v>0.1875</v>
      </c>
      <c r="AA65">
        <v>0</v>
      </c>
      <c r="AB65">
        <v>444.86</v>
      </c>
      <c r="AC65">
        <v>11.6</v>
      </c>
      <c r="AD65">
        <v>0</v>
      </c>
      <c r="AE65">
        <v>0</v>
      </c>
      <c r="AF65">
        <v>65.709999999999994</v>
      </c>
      <c r="AG65">
        <v>11.6</v>
      </c>
      <c r="AH65">
        <v>0</v>
      </c>
      <c r="AI65">
        <v>1</v>
      </c>
      <c r="AJ65">
        <v>6.77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6</v>
      </c>
      <c r="AT65">
        <v>0.15</v>
      </c>
      <c r="AU65" t="s">
        <v>41</v>
      </c>
      <c r="AV65">
        <v>0</v>
      </c>
      <c r="AW65">
        <v>2</v>
      </c>
      <c r="AX65">
        <v>16878793</v>
      </c>
      <c r="AY65">
        <v>1</v>
      </c>
      <c r="AZ65">
        <v>0</v>
      </c>
      <c r="BA65">
        <v>67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Y65*Source!I39</f>
        <v>6.7500000000000004E-2</v>
      </c>
      <c r="CY65">
        <f>AB65</f>
        <v>444.86</v>
      </c>
      <c r="CZ65">
        <f>AF65</f>
        <v>65.709999999999994</v>
      </c>
      <c r="DA65">
        <f>AJ65</f>
        <v>6.77</v>
      </c>
      <c r="DB65">
        <f>ROUND((ROUND(AT65*CZ65,2)*1.25),6)</f>
        <v>12.324999999999999</v>
      </c>
      <c r="DC65">
        <f>ROUND((ROUND(AT65*AG65,2)*1.25),6)</f>
        <v>2.1749999999999998</v>
      </c>
    </row>
    <row r="66" spans="1:107" x14ac:dyDescent="0.2">
      <c r="A66">
        <f>ROW(Source!A39)</f>
        <v>39</v>
      </c>
      <c r="B66">
        <v>16878660</v>
      </c>
      <c r="C66">
        <v>16878782</v>
      </c>
      <c r="D66">
        <v>15197625</v>
      </c>
      <c r="E66">
        <v>1</v>
      </c>
      <c r="F66">
        <v>1</v>
      </c>
      <c r="G66">
        <v>1</v>
      </c>
      <c r="H66">
        <v>3</v>
      </c>
      <c r="I66" t="s">
        <v>66</v>
      </c>
      <c r="J66" t="s">
        <v>69</v>
      </c>
      <c r="K66" t="s">
        <v>67</v>
      </c>
      <c r="L66">
        <v>1301</v>
      </c>
      <c r="N66">
        <v>1003</v>
      </c>
      <c r="O66" t="s">
        <v>68</v>
      </c>
      <c r="P66" t="s">
        <v>68</v>
      </c>
      <c r="Q66">
        <v>1</v>
      </c>
      <c r="W66">
        <v>0</v>
      </c>
      <c r="X66">
        <v>-2119394786</v>
      </c>
      <c r="Y66">
        <v>100</v>
      </c>
      <c r="AA66">
        <v>246.22</v>
      </c>
      <c r="AB66">
        <v>0</v>
      </c>
      <c r="AC66">
        <v>0</v>
      </c>
      <c r="AD66">
        <v>0</v>
      </c>
      <c r="AE66">
        <v>36.369999999999997</v>
      </c>
      <c r="AF66">
        <v>0</v>
      </c>
      <c r="AG66">
        <v>0</v>
      </c>
      <c r="AH66">
        <v>0</v>
      </c>
      <c r="AI66">
        <v>6.77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100</v>
      </c>
      <c r="AU66" t="s">
        <v>6</v>
      </c>
      <c r="AV66">
        <v>0</v>
      </c>
      <c r="AW66">
        <v>1</v>
      </c>
      <c r="AX66">
        <v>-1</v>
      </c>
      <c r="AY66">
        <v>0</v>
      </c>
      <c r="AZ66">
        <v>0</v>
      </c>
      <c r="BA66" t="s">
        <v>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Y66*Source!I39</f>
        <v>36</v>
      </c>
      <c r="CY66">
        <f>AA66</f>
        <v>246.22</v>
      </c>
      <c r="CZ66">
        <f>AE66</f>
        <v>36.369999999999997</v>
      </c>
      <c r="DA66">
        <f>AI66</f>
        <v>6.77</v>
      </c>
      <c r="DB66">
        <f>ROUND(ROUND(AT66*CZ66,2),6)</f>
        <v>3637</v>
      </c>
      <c r="DC66">
        <f>ROUND(ROUND(AT66*AG66,2),6)</f>
        <v>0</v>
      </c>
    </row>
    <row r="67" spans="1:107" x14ac:dyDescent="0.2">
      <c r="A67">
        <f>ROW(Source!A39)</f>
        <v>39</v>
      </c>
      <c r="B67">
        <v>16878660</v>
      </c>
      <c r="C67">
        <v>16878782</v>
      </c>
      <c r="D67">
        <v>15197780</v>
      </c>
      <c r="E67">
        <v>1</v>
      </c>
      <c r="F67">
        <v>1</v>
      </c>
      <c r="G67">
        <v>1</v>
      </c>
      <c r="H67">
        <v>3</v>
      </c>
      <c r="I67" t="s">
        <v>289</v>
      </c>
      <c r="J67" t="s">
        <v>290</v>
      </c>
      <c r="K67" t="s">
        <v>291</v>
      </c>
      <c r="L67">
        <v>1355</v>
      </c>
      <c r="N67">
        <v>1010</v>
      </c>
      <c r="O67" t="s">
        <v>292</v>
      </c>
      <c r="P67" t="s">
        <v>292</v>
      </c>
      <c r="Q67">
        <v>100</v>
      </c>
      <c r="W67">
        <v>0</v>
      </c>
      <c r="X67">
        <v>1709713925</v>
      </c>
      <c r="Y67">
        <v>4</v>
      </c>
      <c r="AA67">
        <v>338.5</v>
      </c>
      <c r="AB67">
        <v>0</v>
      </c>
      <c r="AC67">
        <v>0</v>
      </c>
      <c r="AD67">
        <v>0</v>
      </c>
      <c r="AE67">
        <v>50</v>
      </c>
      <c r="AF67">
        <v>0</v>
      </c>
      <c r="AG67">
        <v>0</v>
      </c>
      <c r="AH67">
        <v>0</v>
      </c>
      <c r="AI67">
        <v>6.77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4</v>
      </c>
      <c r="AU67" t="s">
        <v>6</v>
      </c>
      <c r="AV67">
        <v>0</v>
      </c>
      <c r="AW67">
        <v>2</v>
      </c>
      <c r="AX67">
        <v>16878795</v>
      </c>
      <c r="AY67">
        <v>1</v>
      </c>
      <c r="AZ67">
        <v>0</v>
      </c>
      <c r="BA67">
        <v>69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Y67*Source!I39</f>
        <v>1.44</v>
      </c>
      <c r="CY67">
        <f>AA67</f>
        <v>338.5</v>
      </c>
      <c r="CZ67">
        <f>AE67</f>
        <v>50</v>
      </c>
      <c r="DA67">
        <f>AI67</f>
        <v>6.77</v>
      </c>
      <c r="DB67">
        <f>ROUND(ROUND(AT67*CZ67,2),6)</f>
        <v>200</v>
      </c>
      <c r="DC67">
        <f>ROUND(ROUND(AT67*AG67,2),6)</f>
        <v>0</v>
      </c>
    </row>
    <row r="68" spans="1:107" x14ac:dyDescent="0.2">
      <c r="A68">
        <f>ROW(Source!A39)</f>
        <v>39</v>
      </c>
      <c r="B68">
        <v>16878660</v>
      </c>
      <c r="C68">
        <v>16878782</v>
      </c>
      <c r="D68">
        <v>15204239</v>
      </c>
      <c r="E68">
        <v>1</v>
      </c>
      <c r="F68">
        <v>1</v>
      </c>
      <c r="G68">
        <v>1</v>
      </c>
      <c r="H68">
        <v>3</v>
      </c>
      <c r="I68" t="s">
        <v>293</v>
      </c>
      <c r="J68" t="s">
        <v>294</v>
      </c>
      <c r="K68" t="s">
        <v>295</v>
      </c>
      <c r="L68">
        <v>1354</v>
      </c>
      <c r="N68">
        <v>1010</v>
      </c>
      <c r="O68" t="s">
        <v>296</v>
      </c>
      <c r="P68" t="s">
        <v>296</v>
      </c>
      <c r="Q68">
        <v>1</v>
      </c>
      <c r="W68">
        <v>0</v>
      </c>
      <c r="X68">
        <v>-1018551266</v>
      </c>
      <c r="Y68">
        <v>56.6</v>
      </c>
      <c r="AA68">
        <v>453.59</v>
      </c>
      <c r="AB68">
        <v>0</v>
      </c>
      <c r="AC68">
        <v>0</v>
      </c>
      <c r="AD68">
        <v>0</v>
      </c>
      <c r="AE68">
        <v>67</v>
      </c>
      <c r="AF68">
        <v>0</v>
      </c>
      <c r="AG68">
        <v>0</v>
      </c>
      <c r="AH68">
        <v>0</v>
      </c>
      <c r="AI68">
        <v>6.77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6</v>
      </c>
      <c r="AT68">
        <v>56.6</v>
      </c>
      <c r="AU68" t="s">
        <v>6</v>
      </c>
      <c r="AV68">
        <v>0</v>
      </c>
      <c r="AW68">
        <v>2</v>
      </c>
      <c r="AX68">
        <v>16878796</v>
      </c>
      <c r="AY68">
        <v>1</v>
      </c>
      <c r="AZ68">
        <v>0</v>
      </c>
      <c r="BA68">
        <v>70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Y68*Source!I39</f>
        <v>20.376000000000001</v>
      </c>
      <c r="CY68">
        <f>AA68</f>
        <v>453.59</v>
      </c>
      <c r="CZ68">
        <f>AE68</f>
        <v>67</v>
      </c>
      <c r="DA68">
        <f>AI68</f>
        <v>6.77</v>
      </c>
      <c r="DB68">
        <f>ROUND(ROUND(AT68*CZ68,2),6)</f>
        <v>3792.2</v>
      </c>
      <c r="DC68">
        <f>ROUND(ROUND(AT68*AG68,2),6)</f>
        <v>0</v>
      </c>
    </row>
    <row r="69" spans="1:107" x14ac:dyDescent="0.2">
      <c r="A69">
        <f>ROW(Source!A42)</f>
        <v>42</v>
      </c>
      <c r="B69">
        <v>16878659</v>
      </c>
      <c r="C69">
        <v>16878798</v>
      </c>
      <c r="D69">
        <v>15438286</v>
      </c>
      <c r="E69">
        <v>1</v>
      </c>
      <c r="F69">
        <v>1</v>
      </c>
      <c r="G69">
        <v>1</v>
      </c>
      <c r="H69">
        <v>1</v>
      </c>
      <c r="I69" t="s">
        <v>311</v>
      </c>
      <c r="J69" t="s">
        <v>6</v>
      </c>
      <c r="K69" t="s">
        <v>312</v>
      </c>
      <c r="L69">
        <v>1191</v>
      </c>
      <c r="N69">
        <v>1013</v>
      </c>
      <c r="O69" t="s">
        <v>251</v>
      </c>
      <c r="P69" t="s">
        <v>251</v>
      </c>
      <c r="Q69">
        <v>1</v>
      </c>
      <c r="W69">
        <v>0</v>
      </c>
      <c r="X69">
        <v>-1027537862</v>
      </c>
      <c r="Y69">
        <v>191.44049999999999</v>
      </c>
      <c r="AA69">
        <v>0</v>
      </c>
      <c r="AB69">
        <v>0</v>
      </c>
      <c r="AC69">
        <v>0</v>
      </c>
      <c r="AD69">
        <v>9.18</v>
      </c>
      <c r="AE69">
        <v>0</v>
      </c>
      <c r="AF69">
        <v>0</v>
      </c>
      <c r="AG69">
        <v>0</v>
      </c>
      <c r="AH69">
        <v>9.18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6</v>
      </c>
      <c r="AT69">
        <v>166.47</v>
      </c>
      <c r="AU69" t="s">
        <v>42</v>
      </c>
      <c r="AV69">
        <v>1</v>
      </c>
      <c r="AW69">
        <v>2</v>
      </c>
      <c r="AX69">
        <v>16878810</v>
      </c>
      <c r="AY69">
        <v>1</v>
      </c>
      <c r="AZ69">
        <v>0</v>
      </c>
      <c r="BA69">
        <v>71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Y69*Source!I42</f>
        <v>63.175364999999999</v>
      </c>
      <c r="CY69">
        <f>AD69</f>
        <v>9.18</v>
      </c>
      <c r="CZ69">
        <f>AH69</f>
        <v>9.18</v>
      </c>
      <c r="DA69">
        <f>AL69</f>
        <v>1</v>
      </c>
      <c r="DB69">
        <f>ROUND((ROUND(AT69*CZ69,2)*1.15),6)</f>
        <v>1757.4185</v>
      </c>
      <c r="DC69">
        <f>ROUND((ROUND(AT69*AG69,2)*1.15),6)</f>
        <v>0</v>
      </c>
    </row>
    <row r="70" spans="1:107" x14ac:dyDescent="0.2">
      <c r="A70">
        <f>ROW(Source!A42)</f>
        <v>42</v>
      </c>
      <c r="B70">
        <v>16878659</v>
      </c>
      <c r="C70">
        <v>16878798</v>
      </c>
      <c r="D70">
        <v>15430395</v>
      </c>
      <c r="E70">
        <v>1</v>
      </c>
      <c r="F70">
        <v>1</v>
      </c>
      <c r="G70">
        <v>1</v>
      </c>
      <c r="H70">
        <v>1</v>
      </c>
      <c r="I70" t="s">
        <v>252</v>
      </c>
      <c r="J70" t="s">
        <v>6</v>
      </c>
      <c r="K70" t="s">
        <v>253</v>
      </c>
      <c r="L70">
        <v>1191</v>
      </c>
      <c r="N70">
        <v>1013</v>
      </c>
      <c r="O70" t="s">
        <v>251</v>
      </c>
      <c r="P70" t="s">
        <v>251</v>
      </c>
      <c r="Q70">
        <v>1</v>
      </c>
      <c r="W70">
        <v>0</v>
      </c>
      <c r="X70">
        <v>-1417349443</v>
      </c>
      <c r="Y70">
        <v>0.57999999999999996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6</v>
      </c>
      <c r="AT70">
        <v>0.57999999999999996</v>
      </c>
      <c r="AU70" t="s">
        <v>6</v>
      </c>
      <c r="AV70">
        <v>2</v>
      </c>
      <c r="AW70">
        <v>2</v>
      </c>
      <c r="AX70">
        <v>16878811</v>
      </c>
      <c r="AY70">
        <v>1</v>
      </c>
      <c r="AZ70">
        <v>2048</v>
      </c>
      <c r="BA70">
        <v>72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Y70*Source!I42</f>
        <v>0.19139999999999999</v>
      </c>
      <c r="CY70">
        <f>AD70</f>
        <v>0</v>
      </c>
      <c r="CZ70">
        <f>AH70</f>
        <v>0</v>
      </c>
      <c r="DA70">
        <f>AL70</f>
        <v>1</v>
      </c>
      <c r="DB70">
        <f>ROUND(ROUND(AT70*CZ70,2),6)</f>
        <v>0</v>
      </c>
      <c r="DC70">
        <f>ROUND(ROUND(AT70*AG70,2),6)</f>
        <v>0</v>
      </c>
    </row>
    <row r="71" spans="1:107" x14ac:dyDescent="0.2">
      <c r="A71">
        <f>ROW(Source!A42)</f>
        <v>42</v>
      </c>
      <c r="B71">
        <v>16878659</v>
      </c>
      <c r="C71">
        <v>16878798</v>
      </c>
      <c r="D71">
        <v>15247974</v>
      </c>
      <c r="E71">
        <v>1</v>
      </c>
      <c r="F71">
        <v>1</v>
      </c>
      <c r="G71">
        <v>1</v>
      </c>
      <c r="H71">
        <v>2</v>
      </c>
      <c r="I71" t="s">
        <v>254</v>
      </c>
      <c r="J71" t="s">
        <v>255</v>
      </c>
      <c r="K71" t="s">
        <v>256</v>
      </c>
      <c r="L71">
        <v>1368</v>
      </c>
      <c r="N71">
        <v>1011</v>
      </c>
      <c r="O71" t="s">
        <v>257</v>
      </c>
      <c r="P71" t="s">
        <v>257</v>
      </c>
      <c r="Q71">
        <v>1</v>
      </c>
      <c r="W71">
        <v>0</v>
      </c>
      <c r="X71">
        <v>1188625873</v>
      </c>
      <c r="Y71">
        <v>0.1</v>
      </c>
      <c r="AA71">
        <v>0</v>
      </c>
      <c r="AB71">
        <v>31.26</v>
      </c>
      <c r="AC71">
        <v>13.5</v>
      </c>
      <c r="AD71">
        <v>0</v>
      </c>
      <c r="AE71">
        <v>0</v>
      </c>
      <c r="AF71">
        <v>31.26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6</v>
      </c>
      <c r="AT71">
        <v>0.08</v>
      </c>
      <c r="AU71" t="s">
        <v>41</v>
      </c>
      <c r="AV71">
        <v>0</v>
      </c>
      <c r="AW71">
        <v>2</v>
      </c>
      <c r="AX71">
        <v>16878812</v>
      </c>
      <c r="AY71">
        <v>1</v>
      </c>
      <c r="AZ71">
        <v>0</v>
      </c>
      <c r="BA71">
        <v>73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Y71*Source!I42</f>
        <v>3.3000000000000002E-2</v>
      </c>
      <c r="CY71">
        <f>AB71</f>
        <v>31.26</v>
      </c>
      <c r="CZ71">
        <f>AF71</f>
        <v>31.26</v>
      </c>
      <c r="DA71">
        <f>AJ71</f>
        <v>1</v>
      </c>
      <c r="DB71">
        <f>ROUND((ROUND(AT71*CZ71,2)*1.25),6)</f>
        <v>3.125</v>
      </c>
      <c r="DC71">
        <f>ROUND((ROUND(AT71*AG71,2)*1.25),6)</f>
        <v>1.35</v>
      </c>
    </row>
    <row r="72" spans="1:107" x14ac:dyDescent="0.2">
      <c r="A72">
        <f>ROW(Source!A42)</f>
        <v>42</v>
      </c>
      <c r="B72">
        <v>16878659</v>
      </c>
      <c r="C72">
        <v>16878798</v>
      </c>
      <c r="D72">
        <v>15249073</v>
      </c>
      <c r="E72">
        <v>1</v>
      </c>
      <c r="F72">
        <v>1</v>
      </c>
      <c r="G72">
        <v>1</v>
      </c>
      <c r="H72">
        <v>2</v>
      </c>
      <c r="I72" t="s">
        <v>273</v>
      </c>
      <c r="J72" t="s">
        <v>274</v>
      </c>
      <c r="K72" t="s">
        <v>275</v>
      </c>
      <c r="L72">
        <v>1368</v>
      </c>
      <c r="N72">
        <v>1011</v>
      </c>
      <c r="O72" t="s">
        <v>257</v>
      </c>
      <c r="P72" t="s">
        <v>257</v>
      </c>
      <c r="Q72">
        <v>1</v>
      </c>
      <c r="W72">
        <v>0</v>
      </c>
      <c r="X72">
        <v>1372534845</v>
      </c>
      <c r="Y72">
        <v>0.625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6</v>
      </c>
      <c r="AT72">
        <v>0.5</v>
      </c>
      <c r="AU72" t="s">
        <v>41</v>
      </c>
      <c r="AV72">
        <v>0</v>
      </c>
      <c r="AW72">
        <v>2</v>
      </c>
      <c r="AX72">
        <v>16878813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Y72*Source!I42</f>
        <v>0.20625000000000002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f>ROUND((ROUND(AT72*CZ72,2)*1.25),6)</f>
        <v>41.075000000000003</v>
      </c>
      <c r="DC72">
        <f>ROUND((ROUND(AT72*AG72,2)*1.25),6)</f>
        <v>7.25</v>
      </c>
    </row>
    <row r="73" spans="1:107" x14ac:dyDescent="0.2">
      <c r="A73">
        <f>ROW(Source!A42)</f>
        <v>42</v>
      </c>
      <c r="B73">
        <v>16878659</v>
      </c>
      <c r="C73">
        <v>16878798</v>
      </c>
      <c r="D73">
        <v>15162966</v>
      </c>
      <c r="E73">
        <v>17</v>
      </c>
      <c r="F73">
        <v>1</v>
      </c>
      <c r="G73">
        <v>1</v>
      </c>
      <c r="H73">
        <v>3</v>
      </c>
      <c r="I73" t="s">
        <v>77</v>
      </c>
      <c r="J73" t="s">
        <v>6</v>
      </c>
      <c r="K73" t="s">
        <v>78</v>
      </c>
      <c r="L73">
        <v>1327</v>
      </c>
      <c r="N73">
        <v>1005</v>
      </c>
      <c r="O73" t="s">
        <v>49</v>
      </c>
      <c r="P73" t="s">
        <v>49</v>
      </c>
      <c r="Q73">
        <v>1</v>
      </c>
      <c r="W73">
        <v>0</v>
      </c>
      <c r="X73">
        <v>-112006704</v>
      </c>
      <c r="Y73">
        <v>105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105</v>
      </c>
      <c r="AU73" t="s">
        <v>6</v>
      </c>
      <c r="AV73">
        <v>0</v>
      </c>
      <c r="AW73">
        <v>2</v>
      </c>
      <c r="AX73">
        <v>16878814</v>
      </c>
      <c r="AY73">
        <v>1</v>
      </c>
      <c r="AZ73">
        <v>0</v>
      </c>
      <c r="BA73">
        <v>75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34.65</v>
      </c>
      <c r="CY73">
        <f t="shared" ref="CY73:CY79" si="12">AA73</f>
        <v>0</v>
      </c>
      <c r="CZ73">
        <f t="shared" ref="CZ73:CZ79" si="13">AE73</f>
        <v>0</v>
      </c>
      <c r="DA73">
        <f t="shared" ref="DA73:DA79" si="14">AI73</f>
        <v>1</v>
      </c>
      <c r="DB73">
        <f t="shared" ref="DB73:DB79" si="15">ROUND(ROUND(AT73*CZ73,2),6)</f>
        <v>0</v>
      </c>
      <c r="DC73">
        <f t="shared" ref="DC73:DC79" si="16">ROUND(ROUND(AT73*AG73,2),6)</f>
        <v>0</v>
      </c>
    </row>
    <row r="74" spans="1:107" x14ac:dyDescent="0.2">
      <c r="A74">
        <f>ROW(Source!A42)</f>
        <v>42</v>
      </c>
      <c r="B74">
        <v>16878659</v>
      </c>
      <c r="C74">
        <v>16878798</v>
      </c>
      <c r="D74">
        <v>15171018</v>
      </c>
      <c r="E74">
        <v>1</v>
      </c>
      <c r="F74">
        <v>1</v>
      </c>
      <c r="G74">
        <v>1</v>
      </c>
      <c r="H74">
        <v>3</v>
      </c>
      <c r="I74" t="s">
        <v>313</v>
      </c>
      <c r="J74" t="s">
        <v>314</v>
      </c>
      <c r="K74" t="s">
        <v>315</v>
      </c>
      <c r="L74">
        <v>1346</v>
      </c>
      <c r="N74">
        <v>1009</v>
      </c>
      <c r="O74" t="s">
        <v>86</v>
      </c>
      <c r="P74" t="s">
        <v>86</v>
      </c>
      <c r="Q74">
        <v>1</v>
      </c>
      <c r="W74">
        <v>0</v>
      </c>
      <c r="X74">
        <v>813963326</v>
      </c>
      <c r="Y74">
        <v>0.2</v>
      </c>
      <c r="AA74">
        <v>1.82</v>
      </c>
      <c r="AB74">
        <v>0</v>
      </c>
      <c r="AC74">
        <v>0</v>
      </c>
      <c r="AD74">
        <v>0</v>
      </c>
      <c r="AE74">
        <v>1.82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0.2</v>
      </c>
      <c r="AU74" t="s">
        <v>6</v>
      </c>
      <c r="AV74">
        <v>0</v>
      </c>
      <c r="AW74">
        <v>2</v>
      </c>
      <c r="AX74">
        <v>16878815</v>
      </c>
      <c r="AY74">
        <v>1</v>
      </c>
      <c r="AZ74">
        <v>0</v>
      </c>
      <c r="BA74">
        <v>76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6.6000000000000003E-2</v>
      </c>
      <c r="CY74">
        <f t="shared" si="12"/>
        <v>1.82</v>
      </c>
      <c r="CZ74">
        <f t="shared" si="13"/>
        <v>1.82</v>
      </c>
      <c r="DA74">
        <f t="shared" si="14"/>
        <v>1</v>
      </c>
      <c r="DB74">
        <f t="shared" si="15"/>
        <v>0.36</v>
      </c>
      <c r="DC74">
        <f t="shared" si="16"/>
        <v>0</v>
      </c>
    </row>
    <row r="75" spans="1:107" x14ac:dyDescent="0.2">
      <c r="A75">
        <f>ROW(Source!A42)</f>
        <v>42</v>
      </c>
      <c r="B75">
        <v>16878659</v>
      </c>
      <c r="C75">
        <v>16878798</v>
      </c>
      <c r="D75">
        <v>15197676</v>
      </c>
      <c r="E75">
        <v>1</v>
      </c>
      <c r="F75">
        <v>1</v>
      </c>
      <c r="G75">
        <v>1</v>
      </c>
      <c r="H75">
        <v>3</v>
      </c>
      <c r="I75" t="s">
        <v>80</v>
      </c>
      <c r="J75" t="s">
        <v>82</v>
      </c>
      <c r="K75" t="s">
        <v>81</v>
      </c>
      <c r="L75">
        <v>1327</v>
      </c>
      <c r="N75">
        <v>1005</v>
      </c>
      <c r="O75" t="s">
        <v>49</v>
      </c>
      <c r="P75" t="s">
        <v>49</v>
      </c>
      <c r="Q75">
        <v>1</v>
      </c>
      <c r="W75">
        <v>0</v>
      </c>
      <c r="X75">
        <v>-724546537</v>
      </c>
      <c r="Y75">
        <v>105</v>
      </c>
      <c r="AA75">
        <v>59.16</v>
      </c>
      <c r="AB75">
        <v>0</v>
      </c>
      <c r="AC75">
        <v>0</v>
      </c>
      <c r="AD75">
        <v>0</v>
      </c>
      <c r="AE75">
        <v>59.16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105</v>
      </c>
      <c r="AU75" t="s">
        <v>6</v>
      </c>
      <c r="AV75">
        <v>0</v>
      </c>
      <c r="AW75">
        <v>1</v>
      </c>
      <c r="AX75">
        <v>-1</v>
      </c>
      <c r="AY75">
        <v>0</v>
      </c>
      <c r="AZ75">
        <v>0</v>
      </c>
      <c r="BA75" t="s">
        <v>6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Y75*Source!I42</f>
        <v>34.65</v>
      </c>
      <c r="CY75">
        <f t="shared" si="12"/>
        <v>59.16</v>
      </c>
      <c r="CZ75">
        <f t="shared" si="13"/>
        <v>59.16</v>
      </c>
      <c r="DA75">
        <f t="shared" si="14"/>
        <v>1</v>
      </c>
      <c r="DB75">
        <f t="shared" si="15"/>
        <v>6211.8</v>
      </c>
      <c r="DC75">
        <f t="shared" si="16"/>
        <v>0</v>
      </c>
    </row>
    <row r="76" spans="1:107" x14ac:dyDescent="0.2">
      <c r="A76">
        <f>ROW(Source!A42)</f>
        <v>42</v>
      </c>
      <c r="B76">
        <v>16878659</v>
      </c>
      <c r="C76">
        <v>16878798</v>
      </c>
      <c r="D76">
        <v>15202463</v>
      </c>
      <c r="E76">
        <v>1</v>
      </c>
      <c r="F76">
        <v>1</v>
      </c>
      <c r="G76">
        <v>1</v>
      </c>
      <c r="H76">
        <v>3</v>
      </c>
      <c r="I76" t="s">
        <v>88</v>
      </c>
      <c r="J76" t="s">
        <v>90</v>
      </c>
      <c r="K76" t="s">
        <v>89</v>
      </c>
      <c r="L76">
        <v>1346</v>
      </c>
      <c r="N76">
        <v>1009</v>
      </c>
      <c r="O76" t="s">
        <v>86</v>
      </c>
      <c r="P76" t="s">
        <v>86</v>
      </c>
      <c r="Q76">
        <v>1</v>
      </c>
      <c r="W76">
        <v>0</v>
      </c>
      <c r="X76">
        <v>-89726692</v>
      </c>
      <c r="Y76">
        <v>30</v>
      </c>
      <c r="AA76">
        <v>25.56</v>
      </c>
      <c r="AB76">
        <v>0</v>
      </c>
      <c r="AC76">
        <v>0</v>
      </c>
      <c r="AD76">
        <v>0</v>
      </c>
      <c r="AE76">
        <v>25.56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30</v>
      </c>
      <c r="AU76" t="s">
        <v>6</v>
      </c>
      <c r="AV76">
        <v>0</v>
      </c>
      <c r="AW76">
        <v>1</v>
      </c>
      <c r="AX76">
        <v>-1</v>
      </c>
      <c r="AY76">
        <v>0</v>
      </c>
      <c r="AZ76">
        <v>0</v>
      </c>
      <c r="BA76" t="s">
        <v>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Y76*Source!I42</f>
        <v>9.9</v>
      </c>
      <c r="CY76">
        <f t="shared" si="12"/>
        <v>25.56</v>
      </c>
      <c r="CZ76">
        <f t="shared" si="13"/>
        <v>25.56</v>
      </c>
      <c r="DA76">
        <f t="shared" si="14"/>
        <v>1</v>
      </c>
      <c r="DB76">
        <f t="shared" si="15"/>
        <v>766.8</v>
      </c>
      <c r="DC76">
        <f t="shared" si="16"/>
        <v>0</v>
      </c>
    </row>
    <row r="77" spans="1:107" x14ac:dyDescent="0.2">
      <c r="A77">
        <f>ROW(Source!A42)</f>
        <v>42</v>
      </c>
      <c r="B77">
        <v>16878659</v>
      </c>
      <c r="C77">
        <v>16878798</v>
      </c>
      <c r="D77">
        <v>15162257</v>
      </c>
      <c r="E77">
        <v>17</v>
      </c>
      <c r="F77">
        <v>1</v>
      </c>
      <c r="G77">
        <v>1</v>
      </c>
      <c r="H77">
        <v>3</v>
      </c>
      <c r="I77" t="s">
        <v>84</v>
      </c>
      <c r="J77" t="s">
        <v>6</v>
      </c>
      <c r="K77" t="s">
        <v>85</v>
      </c>
      <c r="L77">
        <v>1346</v>
      </c>
      <c r="N77">
        <v>1009</v>
      </c>
      <c r="O77" t="s">
        <v>86</v>
      </c>
      <c r="P77" t="s">
        <v>86</v>
      </c>
      <c r="Q77">
        <v>1</v>
      </c>
      <c r="W77">
        <v>0</v>
      </c>
      <c r="X77">
        <v>-1516100259</v>
      </c>
      <c r="Y77">
        <v>30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30</v>
      </c>
      <c r="AU77" t="s">
        <v>6</v>
      </c>
      <c r="AV77">
        <v>0</v>
      </c>
      <c r="AW77">
        <v>2</v>
      </c>
      <c r="AX77">
        <v>16878816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Y77*Source!I42</f>
        <v>9.9</v>
      </c>
      <c r="CY77">
        <f t="shared" si="12"/>
        <v>0</v>
      </c>
      <c r="CZ77">
        <f t="shared" si="13"/>
        <v>0</v>
      </c>
      <c r="DA77">
        <f t="shared" si="14"/>
        <v>1</v>
      </c>
      <c r="DB77">
        <f t="shared" si="15"/>
        <v>0</v>
      </c>
      <c r="DC77">
        <f t="shared" si="16"/>
        <v>0</v>
      </c>
    </row>
    <row r="78" spans="1:107" x14ac:dyDescent="0.2">
      <c r="A78">
        <f>ROW(Source!A42)</f>
        <v>42</v>
      </c>
      <c r="B78">
        <v>16878659</v>
      </c>
      <c r="C78">
        <v>16878798</v>
      </c>
      <c r="D78">
        <v>15203233</v>
      </c>
      <c r="E78">
        <v>1</v>
      </c>
      <c r="F78">
        <v>1</v>
      </c>
      <c r="G78">
        <v>1</v>
      </c>
      <c r="H78">
        <v>3</v>
      </c>
      <c r="I78" t="s">
        <v>92</v>
      </c>
      <c r="J78" t="s">
        <v>95</v>
      </c>
      <c r="K78" t="s">
        <v>93</v>
      </c>
      <c r="L78">
        <v>1348</v>
      </c>
      <c r="N78">
        <v>1009</v>
      </c>
      <c r="O78" t="s">
        <v>94</v>
      </c>
      <c r="P78" t="s">
        <v>94</v>
      </c>
      <c r="Q78">
        <v>1000</v>
      </c>
      <c r="W78">
        <v>0</v>
      </c>
      <c r="X78">
        <v>-1919714308</v>
      </c>
      <c r="Y78">
        <v>8.9029999999999995E-3</v>
      </c>
      <c r="AA78">
        <v>18390.16</v>
      </c>
      <c r="AB78">
        <v>0</v>
      </c>
      <c r="AC78">
        <v>0</v>
      </c>
      <c r="AD78">
        <v>0</v>
      </c>
      <c r="AE78">
        <v>18390.16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8.9029999999999995E-3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Y78*Source!I42</f>
        <v>2.9379900000000001E-3</v>
      </c>
      <c r="CY78">
        <f t="shared" si="12"/>
        <v>18390.16</v>
      </c>
      <c r="CZ78">
        <f t="shared" si="13"/>
        <v>18390.16</v>
      </c>
      <c r="DA78">
        <f t="shared" si="14"/>
        <v>1</v>
      </c>
      <c r="DB78">
        <f t="shared" si="15"/>
        <v>163.72999999999999</v>
      </c>
      <c r="DC78">
        <f t="shared" si="16"/>
        <v>0</v>
      </c>
    </row>
    <row r="79" spans="1:107" x14ac:dyDescent="0.2">
      <c r="A79">
        <f>ROW(Source!A42)</f>
        <v>42</v>
      </c>
      <c r="B79">
        <v>16878659</v>
      </c>
      <c r="C79">
        <v>16878798</v>
      </c>
      <c r="D79">
        <v>15162572</v>
      </c>
      <c r="E79">
        <v>17</v>
      </c>
      <c r="F79">
        <v>1</v>
      </c>
      <c r="G79">
        <v>1</v>
      </c>
      <c r="H79">
        <v>3</v>
      </c>
      <c r="I79" t="s">
        <v>97</v>
      </c>
      <c r="J79" t="s">
        <v>6</v>
      </c>
      <c r="K79" t="s">
        <v>98</v>
      </c>
      <c r="L79">
        <v>1348</v>
      </c>
      <c r="N79">
        <v>1009</v>
      </c>
      <c r="O79" t="s">
        <v>94</v>
      </c>
      <c r="P79" t="s">
        <v>94</v>
      </c>
      <c r="Q79">
        <v>1000</v>
      </c>
      <c r="W79">
        <v>0</v>
      </c>
      <c r="X79">
        <v>-1212923053</v>
      </c>
      <c r="Y79">
        <v>8.8999999999999999E-3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8.8999999999999999E-3</v>
      </c>
      <c r="AU79" t="s">
        <v>6</v>
      </c>
      <c r="AV79">
        <v>0</v>
      </c>
      <c r="AW79">
        <v>2</v>
      </c>
      <c r="AX79">
        <v>16878817</v>
      </c>
      <c r="AY79">
        <v>1</v>
      </c>
      <c r="AZ79">
        <v>0</v>
      </c>
      <c r="BA79">
        <v>78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Y79*Source!I42</f>
        <v>2.9369999999999999E-3</v>
      </c>
      <c r="CY79">
        <f t="shared" si="12"/>
        <v>0</v>
      </c>
      <c r="CZ79">
        <f t="shared" si="13"/>
        <v>0</v>
      </c>
      <c r="DA79">
        <f t="shared" si="14"/>
        <v>1</v>
      </c>
      <c r="DB79">
        <f t="shared" si="15"/>
        <v>0</v>
      </c>
      <c r="DC79">
        <f t="shared" si="16"/>
        <v>0</v>
      </c>
    </row>
    <row r="80" spans="1:107" x14ac:dyDescent="0.2">
      <c r="A80">
        <f>ROW(Source!A43)</f>
        <v>43</v>
      </c>
      <c r="B80">
        <v>16878660</v>
      </c>
      <c r="C80">
        <v>16878798</v>
      </c>
      <c r="D80">
        <v>15438286</v>
      </c>
      <c r="E80">
        <v>1</v>
      </c>
      <c r="F80">
        <v>1</v>
      </c>
      <c r="G80">
        <v>1</v>
      </c>
      <c r="H80">
        <v>1</v>
      </c>
      <c r="I80" t="s">
        <v>311</v>
      </c>
      <c r="J80" t="s">
        <v>6</v>
      </c>
      <c r="K80" t="s">
        <v>312</v>
      </c>
      <c r="L80">
        <v>1191</v>
      </c>
      <c r="N80">
        <v>1013</v>
      </c>
      <c r="O80" t="s">
        <v>251</v>
      </c>
      <c r="P80" t="s">
        <v>251</v>
      </c>
      <c r="Q80">
        <v>1</v>
      </c>
      <c r="W80">
        <v>0</v>
      </c>
      <c r="X80">
        <v>-1027537862</v>
      </c>
      <c r="Y80">
        <v>191.44049999999999</v>
      </c>
      <c r="AA80">
        <v>0</v>
      </c>
      <c r="AB80">
        <v>0</v>
      </c>
      <c r="AC80">
        <v>0</v>
      </c>
      <c r="AD80">
        <v>62.15</v>
      </c>
      <c r="AE80">
        <v>0</v>
      </c>
      <c r="AF80">
        <v>0</v>
      </c>
      <c r="AG80">
        <v>0</v>
      </c>
      <c r="AH80">
        <v>9.18</v>
      </c>
      <c r="AI80">
        <v>1</v>
      </c>
      <c r="AJ80">
        <v>1</v>
      </c>
      <c r="AK80">
        <v>1</v>
      </c>
      <c r="AL80">
        <v>6.77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6</v>
      </c>
      <c r="AT80">
        <v>166.47</v>
      </c>
      <c r="AU80" t="s">
        <v>42</v>
      </c>
      <c r="AV80">
        <v>1</v>
      </c>
      <c r="AW80">
        <v>2</v>
      </c>
      <c r="AX80">
        <v>16878810</v>
      </c>
      <c r="AY80">
        <v>1</v>
      </c>
      <c r="AZ80">
        <v>0</v>
      </c>
      <c r="BA80">
        <v>79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Y80*Source!I43</f>
        <v>63.175364999999999</v>
      </c>
      <c r="CY80">
        <f>AD80</f>
        <v>62.15</v>
      </c>
      <c r="CZ80">
        <f>AH80</f>
        <v>9.18</v>
      </c>
      <c r="DA80">
        <f>AL80</f>
        <v>6.77</v>
      </c>
      <c r="DB80">
        <f>ROUND((ROUND(AT80*CZ80,2)*1.15),6)</f>
        <v>1757.4185</v>
      </c>
      <c r="DC80">
        <f>ROUND((ROUND(AT80*AG80,2)*1.15),6)</f>
        <v>0</v>
      </c>
    </row>
    <row r="81" spans="1:107" x14ac:dyDescent="0.2">
      <c r="A81">
        <f>ROW(Source!A43)</f>
        <v>43</v>
      </c>
      <c r="B81">
        <v>16878660</v>
      </c>
      <c r="C81">
        <v>16878798</v>
      </c>
      <c r="D81">
        <v>15430395</v>
      </c>
      <c r="E81">
        <v>1</v>
      </c>
      <c r="F81">
        <v>1</v>
      </c>
      <c r="G81">
        <v>1</v>
      </c>
      <c r="H81">
        <v>1</v>
      </c>
      <c r="I81" t="s">
        <v>252</v>
      </c>
      <c r="J81" t="s">
        <v>6</v>
      </c>
      <c r="K81" t="s">
        <v>253</v>
      </c>
      <c r="L81">
        <v>1191</v>
      </c>
      <c r="N81">
        <v>1013</v>
      </c>
      <c r="O81" t="s">
        <v>251</v>
      </c>
      <c r="P81" t="s">
        <v>251</v>
      </c>
      <c r="Q81">
        <v>1</v>
      </c>
      <c r="W81">
        <v>0</v>
      </c>
      <c r="X81">
        <v>-1417349443</v>
      </c>
      <c r="Y81">
        <v>0.57999999999999996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6.77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6</v>
      </c>
      <c r="AT81">
        <v>0.57999999999999996</v>
      </c>
      <c r="AU81" t="s">
        <v>6</v>
      </c>
      <c r="AV81">
        <v>2</v>
      </c>
      <c r="AW81">
        <v>2</v>
      </c>
      <c r="AX81">
        <v>16878811</v>
      </c>
      <c r="AY81">
        <v>1</v>
      </c>
      <c r="AZ81">
        <v>2048</v>
      </c>
      <c r="BA81">
        <v>80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Y81*Source!I43</f>
        <v>0.19139999999999999</v>
      </c>
      <c r="CY81">
        <f>AD81</f>
        <v>0</v>
      </c>
      <c r="CZ81">
        <f>AH81</f>
        <v>0</v>
      </c>
      <c r="DA81">
        <f>AL81</f>
        <v>1</v>
      </c>
      <c r="DB81">
        <f>ROUND(ROUND(AT81*CZ81,2),6)</f>
        <v>0</v>
      </c>
      <c r="DC81">
        <f>ROUND(ROUND(AT81*AG81,2),6)</f>
        <v>0</v>
      </c>
    </row>
    <row r="82" spans="1:107" x14ac:dyDescent="0.2">
      <c r="A82">
        <f>ROW(Source!A43)</f>
        <v>43</v>
      </c>
      <c r="B82">
        <v>16878660</v>
      </c>
      <c r="C82">
        <v>16878798</v>
      </c>
      <c r="D82">
        <v>15247974</v>
      </c>
      <c r="E82">
        <v>1</v>
      </c>
      <c r="F82">
        <v>1</v>
      </c>
      <c r="G82">
        <v>1</v>
      </c>
      <c r="H82">
        <v>2</v>
      </c>
      <c r="I82" t="s">
        <v>254</v>
      </c>
      <c r="J82" t="s">
        <v>255</v>
      </c>
      <c r="K82" t="s">
        <v>256</v>
      </c>
      <c r="L82">
        <v>1368</v>
      </c>
      <c r="N82">
        <v>1011</v>
      </c>
      <c r="O82" t="s">
        <v>257</v>
      </c>
      <c r="P82" t="s">
        <v>257</v>
      </c>
      <c r="Q82">
        <v>1</v>
      </c>
      <c r="W82">
        <v>0</v>
      </c>
      <c r="X82">
        <v>1188625873</v>
      </c>
      <c r="Y82">
        <v>0.1</v>
      </c>
      <c r="AA82">
        <v>0</v>
      </c>
      <c r="AB82">
        <v>211.63</v>
      </c>
      <c r="AC82">
        <v>13.5</v>
      </c>
      <c r="AD82">
        <v>0</v>
      </c>
      <c r="AE82">
        <v>0</v>
      </c>
      <c r="AF82">
        <v>31.26</v>
      </c>
      <c r="AG82">
        <v>13.5</v>
      </c>
      <c r="AH82">
        <v>0</v>
      </c>
      <c r="AI82">
        <v>1</v>
      </c>
      <c r="AJ82">
        <v>6.77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S82" t="s">
        <v>6</v>
      </c>
      <c r="AT82">
        <v>0.08</v>
      </c>
      <c r="AU82" t="s">
        <v>41</v>
      </c>
      <c r="AV82">
        <v>0</v>
      </c>
      <c r="AW82">
        <v>2</v>
      </c>
      <c r="AX82">
        <v>16878812</v>
      </c>
      <c r="AY82">
        <v>1</v>
      </c>
      <c r="AZ82">
        <v>0</v>
      </c>
      <c r="BA82">
        <v>81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Y82*Source!I43</f>
        <v>3.3000000000000002E-2</v>
      </c>
      <c r="CY82">
        <f>AB82</f>
        <v>211.63</v>
      </c>
      <c r="CZ82">
        <f>AF82</f>
        <v>31.26</v>
      </c>
      <c r="DA82">
        <f>AJ82</f>
        <v>6.77</v>
      </c>
      <c r="DB82">
        <f>ROUND((ROUND(AT82*CZ82,2)*1.25),6)</f>
        <v>3.125</v>
      </c>
      <c r="DC82">
        <f>ROUND((ROUND(AT82*AG82,2)*1.25),6)</f>
        <v>1.35</v>
      </c>
    </row>
    <row r="83" spans="1:107" x14ac:dyDescent="0.2">
      <c r="A83">
        <f>ROW(Source!A43)</f>
        <v>43</v>
      </c>
      <c r="B83">
        <v>16878660</v>
      </c>
      <c r="C83">
        <v>16878798</v>
      </c>
      <c r="D83">
        <v>15249073</v>
      </c>
      <c r="E83">
        <v>1</v>
      </c>
      <c r="F83">
        <v>1</v>
      </c>
      <c r="G83">
        <v>1</v>
      </c>
      <c r="H83">
        <v>2</v>
      </c>
      <c r="I83" t="s">
        <v>273</v>
      </c>
      <c r="J83" t="s">
        <v>274</v>
      </c>
      <c r="K83" t="s">
        <v>275</v>
      </c>
      <c r="L83">
        <v>1368</v>
      </c>
      <c r="N83">
        <v>1011</v>
      </c>
      <c r="O83" t="s">
        <v>257</v>
      </c>
      <c r="P83" t="s">
        <v>257</v>
      </c>
      <c r="Q83">
        <v>1</v>
      </c>
      <c r="W83">
        <v>0</v>
      </c>
      <c r="X83">
        <v>1372534845</v>
      </c>
      <c r="Y83">
        <v>0.625</v>
      </c>
      <c r="AA83">
        <v>0</v>
      </c>
      <c r="AB83">
        <v>444.86</v>
      </c>
      <c r="AC83">
        <v>11.6</v>
      </c>
      <c r="AD83">
        <v>0</v>
      </c>
      <c r="AE83">
        <v>0</v>
      </c>
      <c r="AF83">
        <v>65.709999999999994</v>
      </c>
      <c r="AG83">
        <v>11.6</v>
      </c>
      <c r="AH83">
        <v>0</v>
      </c>
      <c r="AI83">
        <v>1</v>
      </c>
      <c r="AJ83">
        <v>6.77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6</v>
      </c>
      <c r="AT83">
        <v>0.5</v>
      </c>
      <c r="AU83" t="s">
        <v>41</v>
      </c>
      <c r="AV83">
        <v>0</v>
      </c>
      <c r="AW83">
        <v>2</v>
      </c>
      <c r="AX83">
        <v>16878813</v>
      </c>
      <c r="AY83">
        <v>1</v>
      </c>
      <c r="AZ83">
        <v>0</v>
      </c>
      <c r="BA83">
        <v>82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Y83*Source!I43</f>
        <v>0.20625000000000002</v>
      </c>
      <c r="CY83">
        <f>AB83</f>
        <v>444.86</v>
      </c>
      <c r="CZ83">
        <f>AF83</f>
        <v>65.709999999999994</v>
      </c>
      <c r="DA83">
        <f>AJ83</f>
        <v>6.77</v>
      </c>
      <c r="DB83">
        <f>ROUND((ROUND(AT83*CZ83,2)*1.25),6)</f>
        <v>41.075000000000003</v>
      </c>
      <c r="DC83">
        <f>ROUND((ROUND(AT83*AG83,2)*1.25),6)</f>
        <v>7.25</v>
      </c>
    </row>
    <row r="84" spans="1:107" x14ac:dyDescent="0.2">
      <c r="A84">
        <f>ROW(Source!A43)</f>
        <v>43</v>
      </c>
      <c r="B84">
        <v>16878660</v>
      </c>
      <c r="C84">
        <v>16878798</v>
      </c>
      <c r="D84">
        <v>15162966</v>
      </c>
      <c r="E84">
        <v>17</v>
      </c>
      <c r="F84">
        <v>1</v>
      </c>
      <c r="G84">
        <v>1</v>
      </c>
      <c r="H84">
        <v>3</v>
      </c>
      <c r="I84" t="s">
        <v>77</v>
      </c>
      <c r="J84" t="s">
        <v>6</v>
      </c>
      <c r="K84" t="s">
        <v>78</v>
      </c>
      <c r="L84">
        <v>1327</v>
      </c>
      <c r="N84">
        <v>1005</v>
      </c>
      <c r="O84" t="s">
        <v>49</v>
      </c>
      <c r="P84" t="s">
        <v>49</v>
      </c>
      <c r="Q84">
        <v>1</v>
      </c>
      <c r="W84">
        <v>0</v>
      </c>
      <c r="X84">
        <v>-112006704</v>
      </c>
      <c r="Y84">
        <v>105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6.77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105</v>
      </c>
      <c r="AU84" t="s">
        <v>6</v>
      </c>
      <c r="AV84">
        <v>0</v>
      </c>
      <c r="AW84">
        <v>2</v>
      </c>
      <c r="AX84">
        <v>16878814</v>
      </c>
      <c r="AY84">
        <v>1</v>
      </c>
      <c r="AZ84">
        <v>0</v>
      </c>
      <c r="BA84">
        <v>83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Y84*Source!I43</f>
        <v>34.65</v>
      </c>
      <c r="CY84">
        <f t="shared" ref="CY84:CY90" si="17">AA84</f>
        <v>0</v>
      </c>
      <c r="CZ84">
        <f t="shared" ref="CZ84:CZ90" si="18">AE84</f>
        <v>0</v>
      </c>
      <c r="DA84">
        <f t="shared" ref="DA84:DA90" si="19">AI84</f>
        <v>6.77</v>
      </c>
      <c r="DB84">
        <f t="shared" ref="DB84:DB90" si="20">ROUND(ROUND(AT84*CZ84,2),6)</f>
        <v>0</v>
      </c>
      <c r="DC84">
        <f t="shared" ref="DC84:DC90" si="21">ROUND(ROUND(AT84*AG84,2),6)</f>
        <v>0</v>
      </c>
    </row>
    <row r="85" spans="1:107" x14ac:dyDescent="0.2">
      <c r="A85">
        <f>ROW(Source!A43)</f>
        <v>43</v>
      </c>
      <c r="B85">
        <v>16878660</v>
      </c>
      <c r="C85">
        <v>16878798</v>
      </c>
      <c r="D85">
        <v>15171018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1346</v>
      </c>
      <c r="N85">
        <v>1009</v>
      </c>
      <c r="O85" t="s">
        <v>86</v>
      </c>
      <c r="P85" t="s">
        <v>86</v>
      </c>
      <c r="Q85">
        <v>1</v>
      </c>
      <c r="W85">
        <v>0</v>
      </c>
      <c r="X85">
        <v>813963326</v>
      </c>
      <c r="Y85">
        <v>0.2</v>
      </c>
      <c r="AA85">
        <v>12.32</v>
      </c>
      <c r="AB85">
        <v>0</v>
      </c>
      <c r="AC85">
        <v>0</v>
      </c>
      <c r="AD85">
        <v>0</v>
      </c>
      <c r="AE85">
        <v>1.82</v>
      </c>
      <c r="AF85">
        <v>0</v>
      </c>
      <c r="AG85">
        <v>0</v>
      </c>
      <c r="AH85">
        <v>0</v>
      </c>
      <c r="AI85">
        <v>6.77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6</v>
      </c>
      <c r="AT85">
        <v>0.2</v>
      </c>
      <c r="AU85" t="s">
        <v>6</v>
      </c>
      <c r="AV85">
        <v>0</v>
      </c>
      <c r="AW85">
        <v>2</v>
      </c>
      <c r="AX85">
        <v>16878815</v>
      </c>
      <c r="AY85">
        <v>1</v>
      </c>
      <c r="AZ85">
        <v>0</v>
      </c>
      <c r="BA85">
        <v>84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Y85*Source!I43</f>
        <v>6.6000000000000003E-2</v>
      </c>
      <c r="CY85">
        <f t="shared" si="17"/>
        <v>12.32</v>
      </c>
      <c r="CZ85">
        <f t="shared" si="18"/>
        <v>1.82</v>
      </c>
      <c r="DA85">
        <f t="shared" si="19"/>
        <v>6.77</v>
      </c>
      <c r="DB85">
        <f t="shared" si="20"/>
        <v>0.36</v>
      </c>
      <c r="DC85">
        <f t="shared" si="21"/>
        <v>0</v>
      </c>
    </row>
    <row r="86" spans="1:107" x14ac:dyDescent="0.2">
      <c r="A86">
        <f>ROW(Source!A43)</f>
        <v>43</v>
      </c>
      <c r="B86">
        <v>16878660</v>
      </c>
      <c r="C86">
        <v>16878798</v>
      </c>
      <c r="D86">
        <v>15197676</v>
      </c>
      <c r="E86">
        <v>1</v>
      </c>
      <c r="F86">
        <v>1</v>
      </c>
      <c r="G86">
        <v>1</v>
      </c>
      <c r="H86">
        <v>3</v>
      </c>
      <c r="I86" t="s">
        <v>80</v>
      </c>
      <c r="J86" t="s">
        <v>82</v>
      </c>
      <c r="K86" t="s">
        <v>81</v>
      </c>
      <c r="L86">
        <v>1327</v>
      </c>
      <c r="N86">
        <v>1005</v>
      </c>
      <c r="O86" t="s">
        <v>49</v>
      </c>
      <c r="P86" t="s">
        <v>49</v>
      </c>
      <c r="Q86">
        <v>1</v>
      </c>
      <c r="W86">
        <v>0</v>
      </c>
      <c r="X86">
        <v>-724546537</v>
      </c>
      <c r="Y86">
        <v>105</v>
      </c>
      <c r="AA86">
        <v>400.51</v>
      </c>
      <c r="AB86">
        <v>0</v>
      </c>
      <c r="AC86">
        <v>0</v>
      </c>
      <c r="AD86">
        <v>0</v>
      </c>
      <c r="AE86">
        <v>59.16</v>
      </c>
      <c r="AF86">
        <v>0</v>
      </c>
      <c r="AG86">
        <v>0</v>
      </c>
      <c r="AH86">
        <v>0</v>
      </c>
      <c r="AI86">
        <v>6.77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105</v>
      </c>
      <c r="AU86" t="s">
        <v>6</v>
      </c>
      <c r="AV86">
        <v>0</v>
      </c>
      <c r="AW86">
        <v>1</v>
      </c>
      <c r="AX86">
        <v>-1</v>
      </c>
      <c r="AY86">
        <v>0</v>
      </c>
      <c r="AZ86">
        <v>0</v>
      </c>
      <c r="BA86" t="s">
        <v>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Y86*Source!I43</f>
        <v>34.65</v>
      </c>
      <c r="CY86">
        <f t="shared" si="17"/>
        <v>400.51</v>
      </c>
      <c r="CZ86">
        <f t="shared" si="18"/>
        <v>59.16</v>
      </c>
      <c r="DA86">
        <f t="shared" si="19"/>
        <v>6.77</v>
      </c>
      <c r="DB86">
        <f t="shared" si="20"/>
        <v>6211.8</v>
      </c>
      <c r="DC86">
        <f t="shared" si="21"/>
        <v>0</v>
      </c>
    </row>
    <row r="87" spans="1:107" x14ac:dyDescent="0.2">
      <c r="A87">
        <f>ROW(Source!A43)</f>
        <v>43</v>
      </c>
      <c r="B87">
        <v>16878660</v>
      </c>
      <c r="C87">
        <v>16878798</v>
      </c>
      <c r="D87">
        <v>15202463</v>
      </c>
      <c r="E87">
        <v>1</v>
      </c>
      <c r="F87">
        <v>1</v>
      </c>
      <c r="G87">
        <v>1</v>
      </c>
      <c r="H87">
        <v>3</v>
      </c>
      <c r="I87" t="s">
        <v>88</v>
      </c>
      <c r="J87" t="s">
        <v>90</v>
      </c>
      <c r="K87" t="s">
        <v>89</v>
      </c>
      <c r="L87">
        <v>1346</v>
      </c>
      <c r="N87">
        <v>1009</v>
      </c>
      <c r="O87" t="s">
        <v>86</v>
      </c>
      <c r="P87" t="s">
        <v>86</v>
      </c>
      <c r="Q87">
        <v>1</v>
      </c>
      <c r="W87">
        <v>0</v>
      </c>
      <c r="X87">
        <v>-89726692</v>
      </c>
      <c r="Y87">
        <v>30</v>
      </c>
      <c r="AA87">
        <v>173.04</v>
      </c>
      <c r="AB87">
        <v>0</v>
      </c>
      <c r="AC87">
        <v>0</v>
      </c>
      <c r="AD87">
        <v>0</v>
      </c>
      <c r="AE87">
        <v>25.56</v>
      </c>
      <c r="AF87">
        <v>0</v>
      </c>
      <c r="AG87">
        <v>0</v>
      </c>
      <c r="AH87">
        <v>0</v>
      </c>
      <c r="AI87">
        <v>6.77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30</v>
      </c>
      <c r="AU87" t="s">
        <v>6</v>
      </c>
      <c r="AV87">
        <v>0</v>
      </c>
      <c r="AW87">
        <v>1</v>
      </c>
      <c r="AX87">
        <v>-1</v>
      </c>
      <c r="AY87">
        <v>0</v>
      </c>
      <c r="AZ87">
        <v>0</v>
      </c>
      <c r="BA87" t="s">
        <v>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Y87*Source!I43</f>
        <v>9.9</v>
      </c>
      <c r="CY87">
        <f t="shared" si="17"/>
        <v>173.04</v>
      </c>
      <c r="CZ87">
        <f t="shared" si="18"/>
        <v>25.56</v>
      </c>
      <c r="DA87">
        <f t="shared" si="19"/>
        <v>6.77</v>
      </c>
      <c r="DB87">
        <f t="shared" si="20"/>
        <v>766.8</v>
      </c>
      <c r="DC87">
        <f t="shared" si="21"/>
        <v>0</v>
      </c>
    </row>
    <row r="88" spans="1:107" x14ac:dyDescent="0.2">
      <c r="A88">
        <f>ROW(Source!A43)</f>
        <v>43</v>
      </c>
      <c r="B88">
        <v>16878660</v>
      </c>
      <c r="C88">
        <v>16878798</v>
      </c>
      <c r="D88">
        <v>15162257</v>
      </c>
      <c r="E88">
        <v>17</v>
      </c>
      <c r="F88">
        <v>1</v>
      </c>
      <c r="G88">
        <v>1</v>
      </c>
      <c r="H88">
        <v>3</v>
      </c>
      <c r="I88" t="s">
        <v>84</v>
      </c>
      <c r="J88" t="s">
        <v>6</v>
      </c>
      <c r="K88" t="s">
        <v>85</v>
      </c>
      <c r="L88">
        <v>1346</v>
      </c>
      <c r="N88">
        <v>1009</v>
      </c>
      <c r="O88" t="s">
        <v>86</v>
      </c>
      <c r="P88" t="s">
        <v>86</v>
      </c>
      <c r="Q88">
        <v>1</v>
      </c>
      <c r="W88">
        <v>0</v>
      </c>
      <c r="X88">
        <v>-1516100259</v>
      </c>
      <c r="Y88">
        <v>30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6.77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30</v>
      </c>
      <c r="AU88" t="s">
        <v>6</v>
      </c>
      <c r="AV88">
        <v>0</v>
      </c>
      <c r="AW88">
        <v>2</v>
      </c>
      <c r="AX88">
        <v>16878816</v>
      </c>
      <c r="AY88">
        <v>1</v>
      </c>
      <c r="AZ88">
        <v>0</v>
      </c>
      <c r="BA88">
        <v>85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Y88*Source!I43</f>
        <v>9.9</v>
      </c>
      <c r="CY88">
        <f t="shared" si="17"/>
        <v>0</v>
      </c>
      <c r="CZ88">
        <f t="shared" si="18"/>
        <v>0</v>
      </c>
      <c r="DA88">
        <f t="shared" si="19"/>
        <v>6.77</v>
      </c>
      <c r="DB88">
        <f t="shared" si="20"/>
        <v>0</v>
      </c>
      <c r="DC88">
        <f t="shared" si="21"/>
        <v>0</v>
      </c>
    </row>
    <row r="89" spans="1:107" x14ac:dyDescent="0.2">
      <c r="A89">
        <f>ROW(Source!A43)</f>
        <v>43</v>
      </c>
      <c r="B89">
        <v>16878660</v>
      </c>
      <c r="C89">
        <v>16878798</v>
      </c>
      <c r="D89">
        <v>15203233</v>
      </c>
      <c r="E89">
        <v>1</v>
      </c>
      <c r="F89">
        <v>1</v>
      </c>
      <c r="G89">
        <v>1</v>
      </c>
      <c r="H89">
        <v>3</v>
      </c>
      <c r="I89" t="s">
        <v>92</v>
      </c>
      <c r="J89" t="s">
        <v>95</v>
      </c>
      <c r="K89" t="s">
        <v>93</v>
      </c>
      <c r="L89">
        <v>1348</v>
      </c>
      <c r="N89">
        <v>1009</v>
      </c>
      <c r="O89" t="s">
        <v>94</v>
      </c>
      <c r="P89" t="s">
        <v>94</v>
      </c>
      <c r="Q89">
        <v>1000</v>
      </c>
      <c r="W89">
        <v>0</v>
      </c>
      <c r="X89">
        <v>-1919714308</v>
      </c>
      <c r="Y89">
        <v>8.9029999999999995E-3</v>
      </c>
      <c r="AA89">
        <v>124501.38</v>
      </c>
      <c r="AB89">
        <v>0</v>
      </c>
      <c r="AC89">
        <v>0</v>
      </c>
      <c r="AD89">
        <v>0</v>
      </c>
      <c r="AE89">
        <v>18390.16</v>
      </c>
      <c r="AF89">
        <v>0</v>
      </c>
      <c r="AG89">
        <v>0</v>
      </c>
      <c r="AH89">
        <v>0</v>
      </c>
      <c r="AI89">
        <v>6.77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8.9029999999999995E-3</v>
      </c>
      <c r="AU89" t="s">
        <v>6</v>
      </c>
      <c r="AV89">
        <v>0</v>
      </c>
      <c r="AW89">
        <v>1</v>
      </c>
      <c r="AX89">
        <v>-1</v>
      </c>
      <c r="AY89">
        <v>0</v>
      </c>
      <c r="AZ89">
        <v>0</v>
      </c>
      <c r="BA89" t="s">
        <v>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Y89*Source!I43</f>
        <v>2.9379900000000001E-3</v>
      </c>
      <c r="CY89">
        <f t="shared" si="17"/>
        <v>124501.38</v>
      </c>
      <c r="CZ89">
        <f t="shared" si="18"/>
        <v>18390.16</v>
      </c>
      <c r="DA89">
        <f t="shared" si="19"/>
        <v>6.77</v>
      </c>
      <c r="DB89">
        <f t="shared" si="20"/>
        <v>163.72999999999999</v>
      </c>
      <c r="DC89">
        <f t="shared" si="21"/>
        <v>0</v>
      </c>
    </row>
    <row r="90" spans="1:107" x14ac:dyDescent="0.2">
      <c r="A90">
        <f>ROW(Source!A43)</f>
        <v>43</v>
      </c>
      <c r="B90">
        <v>16878660</v>
      </c>
      <c r="C90">
        <v>16878798</v>
      </c>
      <c r="D90">
        <v>15162572</v>
      </c>
      <c r="E90">
        <v>17</v>
      </c>
      <c r="F90">
        <v>1</v>
      </c>
      <c r="G90">
        <v>1</v>
      </c>
      <c r="H90">
        <v>3</v>
      </c>
      <c r="I90" t="s">
        <v>97</v>
      </c>
      <c r="J90" t="s">
        <v>6</v>
      </c>
      <c r="K90" t="s">
        <v>98</v>
      </c>
      <c r="L90">
        <v>1348</v>
      </c>
      <c r="N90">
        <v>1009</v>
      </c>
      <c r="O90" t="s">
        <v>94</v>
      </c>
      <c r="P90" t="s">
        <v>94</v>
      </c>
      <c r="Q90">
        <v>1000</v>
      </c>
      <c r="W90">
        <v>0</v>
      </c>
      <c r="X90">
        <v>-1212923053</v>
      </c>
      <c r="Y90">
        <v>8.8999999999999999E-3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6.77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8.8999999999999999E-3</v>
      </c>
      <c r="AU90" t="s">
        <v>6</v>
      </c>
      <c r="AV90">
        <v>0</v>
      </c>
      <c r="AW90">
        <v>2</v>
      </c>
      <c r="AX90">
        <v>16878817</v>
      </c>
      <c r="AY90">
        <v>1</v>
      </c>
      <c r="AZ90">
        <v>0</v>
      </c>
      <c r="BA90">
        <v>86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Y90*Source!I43</f>
        <v>2.9369999999999999E-3</v>
      </c>
      <c r="CY90">
        <f t="shared" si="17"/>
        <v>0</v>
      </c>
      <c r="CZ90">
        <f t="shared" si="18"/>
        <v>0</v>
      </c>
      <c r="DA90">
        <f t="shared" si="19"/>
        <v>6.77</v>
      </c>
      <c r="DB90">
        <f t="shared" si="20"/>
        <v>0</v>
      </c>
      <c r="DC90">
        <f t="shared" si="21"/>
        <v>0</v>
      </c>
    </row>
    <row r="91" spans="1:107" x14ac:dyDescent="0.2">
      <c r="A91">
        <f>ROW(Source!A56)</f>
        <v>56</v>
      </c>
      <c r="B91">
        <v>16878659</v>
      </c>
      <c r="C91">
        <v>16878824</v>
      </c>
      <c r="D91">
        <v>15430767</v>
      </c>
      <c r="E91">
        <v>1</v>
      </c>
      <c r="F91">
        <v>1</v>
      </c>
      <c r="G91">
        <v>1</v>
      </c>
      <c r="H91">
        <v>1</v>
      </c>
      <c r="I91" t="s">
        <v>297</v>
      </c>
      <c r="J91" t="s">
        <v>6</v>
      </c>
      <c r="K91" t="s">
        <v>298</v>
      </c>
      <c r="L91">
        <v>1191</v>
      </c>
      <c r="N91">
        <v>1013</v>
      </c>
      <c r="O91" t="s">
        <v>251</v>
      </c>
      <c r="P91" t="s">
        <v>251</v>
      </c>
      <c r="Q91">
        <v>1</v>
      </c>
      <c r="W91">
        <v>0</v>
      </c>
      <c r="X91">
        <v>-400197608</v>
      </c>
      <c r="Y91">
        <v>7.7049999999999992</v>
      </c>
      <c r="AA91">
        <v>0</v>
      </c>
      <c r="AB91">
        <v>0</v>
      </c>
      <c r="AC91">
        <v>0</v>
      </c>
      <c r="AD91">
        <v>8.5299999999999994</v>
      </c>
      <c r="AE91">
        <v>0</v>
      </c>
      <c r="AF91">
        <v>0</v>
      </c>
      <c r="AG91">
        <v>0</v>
      </c>
      <c r="AH91">
        <v>8.5299999999999994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S91" t="s">
        <v>6</v>
      </c>
      <c r="AT91">
        <v>6.7</v>
      </c>
      <c r="AU91" t="s">
        <v>42</v>
      </c>
      <c r="AV91">
        <v>1</v>
      </c>
      <c r="AW91">
        <v>2</v>
      </c>
      <c r="AX91">
        <v>16878829</v>
      </c>
      <c r="AY91">
        <v>1</v>
      </c>
      <c r="AZ91">
        <v>0</v>
      </c>
      <c r="BA91">
        <v>87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Y91*Source!I56</f>
        <v>10.170599999999999</v>
      </c>
      <c r="CY91">
        <f>AD91</f>
        <v>8.5299999999999994</v>
      </c>
      <c r="CZ91">
        <f>AH91</f>
        <v>8.5299999999999994</v>
      </c>
      <c r="DA91">
        <f>AL91</f>
        <v>1</v>
      </c>
      <c r="DB91">
        <f>ROUND((ROUND(AT91*CZ91,2)*1.15),6)</f>
        <v>65.722499999999997</v>
      </c>
      <c r="DC91">
        <f>ROUND((ROUND(AT91*AG91,2)*1.15),6)</f>
        <v>0</v>
      </c>
    </row>
    <row r="92" spans="1:107" x14ac:dyDescent="0.2">
      <c r="A92">
        <f>ROW(Source!A56)</f>
        <v>56</v>
      </c>
      <c r="B92">
        <v>16878659</v>
      </c>
      <c r="C92">
        <v>16878824</v>
      </c>
      <c r="D92">
        <v>15162472</v>
      </c>
      <c r="E92">
        <v>17</v>
      </c>
      <c r="F92">
        <v>1</v>
      </c>
      <c r="G92">
        <v>1</v>
      </c>
      <c r="H92">
        <v>3</v>
      </c>
      <c r="I92" t="s">
        <v>104</v>
      </c>
      <c r="J92" t="s">
        <v>6</v>
      </c>
      <c r="K92" t="s">
        <v>105</v>
      </c>
      <c r="L92">
        <v>2233</v>
      </c>
      <c r="N92">
        <v>1013</v>
      </c>
      <c r="O92" t="s">
        <v>106</v>
      </c>
      <c r="P92" t="s">
        <v>106</v>
      </c>
      <c r="Q92">
        <v>1</v>
      </c>
      <c r="W92">
        <v>0</v>
      </c>
      <c r="X92">
        <v>-1710570218</v>
      </c>
      <c r="Y92">
        <v>100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100</v>
      </c>
      <c r="AU92" t="s">
        <v>6</v>
      </c>
      <c r="AV92">
        <v>0</v>
      </c>
      <c r="AW92">
        <v>2</v>
      </c>
      <c r="AX92">
        <v>16878830</v>
      </c>
      <c r="AY92">
        <v>1</v>
      </c>
      <c r="AZ92">
        <v>0</v>
      </c>
      <c r="BA92">
        <v>88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Y92*Source!I56</f>
        <v>132</v>
      </c>
      <c r="CY92">
        <f>AA92</f>
        <v>0</v>
      </c>
      <c r="CZ92">
        <f>AE92</f>
        <v>0</v>
      </c>
      <c r="DA92">
        <f>AI92</f>
        <v>1</v>
      </c>
      <c r="DB92">
        <f>ROUND(ROUND(AT92*CZ92,2),6)</f>
        <v>0</v>
      </c>
      <c r="DC92">
        <f>ROUND(ROUND(AT92*AG92,2),6)</f>
        <v>0</v>
      </c>
    </row>
    <row r="93" spans="1:107" x14ac:dyDescent="0.2">
      <c r="A93">
        <f>ROW(Source!A56)</f>
        <v>56</v>
      </c>
      <c r="B93">
        <v>16878659</v>
      </c>
      <c r="C93">
        <v>16878824</v>
      </c>
      <c r="D93">
        <v>15197756</v>
      </c>
      <c r="E93">
        <v>1</v>
      </c>
      <c r="F93">
        <v>1</v>
      </c>
      <c r="G93">
        <v>1</v>
      </c>
      <c r="H93">
        <v>3</v>
      </c>
      <c r="I93" t="s">
        <v>108</v>
      </c>
      <c r="J93" t="s">
        <v>111</v>
      </c>
      <c r="K93" t="s">
        <v>109</v>
      </c>
      <c r="L93">
        <v>1302</v>
      </c>
      <c r="N93">
        <v>1003</v>
      </c>
      <c r="O93" t="s">
        <v>110</v>
      </c>
      <c r="P93" t="s">
        <v>110</v>
      </c>
      <c r="Q93">
        <v>10</v>
      </c>
      <c r="W93">
        <v>0</v>
      </c>
      <c r="X93">
        <v>189188006</v>
      </c>
      <c r="Y93">
        <v>10</v>
      </c>
      <c r="AA93">
        <v>25.6</v>
      </c>
      <c r="AB93">
        <v>0</v>
      </c>
      <c r="AC93">
        <v>0</v>
      </c>
      <c r="AD93">
        <v>0</v>
      </c>
      <c r="AE93">
        <v>25.6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10</v>
      </c>
      <c r="AU93" t="s">
        <v>6</v>
      </c>
      <c r="AV93">
        <v>0</v>
      </c>
      <c r="AW93">
        <v>1</v>
      </c>
      <c r="AX93">
        <v>-1</v>
      </c>
      <c r="AY93">
        <v>0</v>
      </c>
      <c r="AZ93">
        <v>0</v>
      </c>
      <c r="BA93" t="s">
        <v>6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Y93*Source!I56</f>
        <v>13.200000000000001</v>
      </c>
      <c r="CY93">
        <f>AA93</f>
        <v>25.6</v>
      </c>
      <c r="CZ93">
        <f>AE93</f>
        <v>25.6</v>
      </c>
      <c r="DA93">
        <f>AI93</f>
        <v>1</v>
      </c>
      <c r="DB93">
        <f>ROUND(ROUND(AT93*CZ93,2),6)</f>
        <v>256</v>
      </c>
      <c r="DC93">
        <f>ROUND(ROUND(AT93*AG93,2),6)</f>
        <v>0</v>
      </c>
    </row>
    <row r="94" spans="1:107" x14ac:dyDescent="0.2">
      <c r="A94">
        <f>ROW(Source!A56)</f>
        <v>56</v>
      </c>
      <c r="B94">
        <v>16878659</v>
      </c>
      <c r="C94">
        <v>16878824</v>
      </c>
      <c r="D94">
        <v>15202504</v>
      </c>
      <c r="E94">
        <v>1</v>
      </c>
      <c r="F94">
        <v>1</v>
      </c>
      <c r="G94">
        <v>1</v>
      </c>
      <c r="H94">
        <v>3</v>
      </c>
      <c r="I94" t="s">
        <v>316</v>
      </c>
      <c r="J94" t="s">
        <v>317</v>
      </c>
      <c r="K94" t="s">
        <v>318</v>
      </c>
      <c r="L94">
        <v>1346</v>
      </c>
      <c r="N94">
        <v>1009</v>
      </c>
      <c r="O94" t="s">
        <v>86</v>
      </c>
      <c r="P94" t="s">
        <v>86</v>
      </c>
      <c r="Q94">
        <v>1</v>
      </c>
      <c r="W94">
        <v>0</v>
      </c>
      <c r="X94">
        <v>-1230081286</v>
      </c>
      <c r="Y94">
        <v>0.8</v>
      </c>
      <c r="AA94">
        <v>45</v>
      </c>
      <c r="AB94">
        <v>0</v>
      </c>
      <c r="AC94">
        <v>0</v>
      </c>
      <c r="AD94">
        <v>0</v>
      </c>
      <c r="AE94">
        <v>45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0.8</v>
      </c>
      <c r="AU94" t="s">
        <v>6</v>
      </c>
      <c r="AV94">
        <v>0</v>
      </c>
      <c r="AW94">
        <v>2</v>
      </c>
      <c r="AX94">
        <v>16878831</v>
      </c>
      <c r="AY94">
        <v>1</v>
      </c>
      <c r="AZ94">
        <v>0</v>
      </c>
      <c r="BA94">
        <v>89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Y94*Source!I56</f>
        <v>1.056</v>
      </c>
      <c r="CY94">
        <f>AA94</f>
        <v>45</v>
      </c>
      <c r="CZ94">
        <f>AE94</f>
        <v>45</v>
      </c>
      <c r="DA94">
        <f>AI94</f>
        <v>1</v>
      </c>
      <c r="DB94">
        <f>ROUND(ROUND(AT94*CZ94,2),6)</f>
        <v>36</v>
      </c>
      <c r="DC94">
        <f>ROUND(ROUND(AT94*AG94,2),6)</f>
        <v>0</v>
      </c>
    </row>
    <row r="95" spans="1:107" x14ac:dyDescent="0.2">
      <c r="A95">
        <f>ROW(Source!A57)</f>
        <v>57</v>
      </c>
      <c r="B95">
        <v>16878660</v>
      </c>
      <c r="C95">
        <v>16878824</v>
      </c>
      <c r="D95">
        <v>15430767</v>
      </c>
      <c r="E95">
        <v>1</v>
      </c>
      <c r="F95">
        <v>1</v>
      </c>
      <c r="G95">
        <v>1</v>
      </c>
      <c r="H95">
        <v>1</v>
      </c>
      <c r="I95" t="s">
        <v>297</v>
      </c>
      <c r="J95" t="s">
        <v>6</v>
      </c>
      <c r="K95" t="s">
        <v>298</v>
      </c>
      <c r="L95">
        <v>1191</v>
      </c>
      <c r="N95">
        <v>1013</v>
      </c>
      <c r="O95" t="s">
        <v>251</v>
      </c>
      <c r="P95" t="s">
        <v>251</v>
      </c>
      <c r="Q95">
        <v>1</v>
      </c>
      <c r="W95">
        <v>0</v>
      </c>
      <c r="X95">
        <v>-400197608</v>
      </c>
      <c r="Y95">
        <v>7.7049999999999992</v>
      </c>
      <c r="AA95">
        <v>0</v>
      </c>
      <c r="AB95">
        <v>0</v>
      </c>
      <c r="AC95">
        <v>0</v>
      </c>
      <c r="AD95">
        <v>57.75</v>
      </c>
      <c r="AE95">
        <v>0</v>
      </c>
      <c r="AF95">
        <v>0</v>
      </c>
      <c r="AG95">
        <v>0</v>
      </c>
      <c r="AH95">
        <v>8.5299999999999994</v>
      </c>
      <c r="AI95">
        <v>1</v>
      </c>
      <c r="AJ95">
        <v>1</v>
      </c>
      <c r="AK95">
        <v>1</v>
      </c>
      <c r="AL95">
        <v>6.77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6.7</v>
      </c>
      <c r="AU95" t="s">
        <v>42</v>
      </c>
      <c r="AV95">
        <v>1</v>
      </c>
      <c r="AW95">
        <v>2</v>
      </c>
      <c r="AX95">
        <v>16878829</v>
      </c>
      <c r="AY95">
        <v>1</v>
      </c>
      <c r="AZ95">
        <v>0</v>
      </c>
      <c r="BA95">
        <v>90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Y95*Source!I57</f>
        <v>10.170599999999999</v>
      </c>
      <c r="CY95">
        <f>AD95</f>
        <v>57.75</v>
      </c>
      <c r="CZ95">
        <f>AH95</f>
        <v>8.5299999999999994</v>
      </c>
      <c r="DA95">
        <f>AL95</f>
        <v>6.77</v>
      </c>
      <c r="DB95">
        <f>ROUND((ROUND(AT95*CZ95,2)*1.15),6)</f>
        <v>65.722499999999997</v>
      </c>
      <c r="DC95">
        <f>ROUND((ROUND(AT95*AG95,2)*1.15),6)</f>
        <v>0</v>
      </c>
    </row>
    <row r="96" spans="1:107" x14ac:dyDescent="0.2">
      <c r="A96">
        <f>ROW(Source!A57)</f>
        <v>57</v>
      </c>
      <c r="B96">
        <v>16878660</v>
      </c>
      <c r="C96">
        <v>16878824</v>
      </c>
      <c r="D96">
        <v>15162472</v>
      </c>
      <c r="E96">
        <v>17</v>
      </c>
      <c r="F96">
        <v>1</v>
      </c>
      <c r="G96">
        <v>1</v>
      </c>
      <c r="H96">
        <v>3</v>
      </c>
      <c r="I96" t="s">
        <v>104</v>
      </c>
      <c r="J96" t="s">
        <v>6</v>
      </c>
      <c r="K96" t="s">
        <v>105</v>
      </c>
      <c r="L96">
        <v>2233</v>
      </c>
      <c r="N96">
        <v>1013</v>
      </c>
      <c r="O96" t="s">
        <v>106</v>
      </c>
      <c r="P96" t="s">
        <v>106</v>
      </c>
      <c r="Q96">
        <v>1</v>
      </c>
      <c r="W96">
        <v>0</v>
      </c>
      <c r="X96">
        <v>-1710570218</v>
      </c>
      <c r="Y96">
        <v>100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6.77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100</v>
      </c>
      <c r="AU96" t="s">
        <v>6</v>
      </c>
      <c r="AV96">
        <v>0</v>
      </c>
      <c r="AW96">
        <v>2</v>
      </c>
      <c r="AX96">
        <v>16878830</v>
      </c>
      <c r="AY96">
        <v>1</v>
      </c>
      <c r="AZ96">
        <v>0</v>
      </c>
      <c r="BA96">
        <v>91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Y96*Source!I57</f>
        <v>132</v>
      </c>
      <c r="CY96">
        <f>AA96</f>
        <v>0</v>
      </c>
      <c r="CZ96">
        <f>AE96</f>
        <v>0</v>
      </c>
      <c r="DA96">
        <f>AI96</f>
        <v>6.77</v>
      </c>
      <c r="DB96">
        <f>ROUND(ROUND(AT96*CZ96,2),6)</f>
        <v>0</v>
      </c>
      <c r="DC96">
        <f>ROUND(ROUND(AT96*AG96,2),6)</f>
        <v>0</v>
      </c>
    </row>
    <row r="97" spans="1:107" x14ac:dyDescent="0.2">
      <c r="A97">
        <f>ROW(Source!A57)</f>
        <v>57</v>
      </c>
      <c r="B97">
        <v>16878660</v>
      </c>
      <c r="C97">
        <v>16878824</v>
      </c>
      <c r="D97">
        <v>15197756</v>
      </c>
      <c r="E97">
        <v>1</v>
      </c>
      <c r="F97">
        <v>1</v>
      </c>
      <c r="G97">
        <v>1</v>
      </c>
      <c r="H97">
        <v>3</v>
      </c>
      <c r="I97" t="s">
        <v>108</v>
      </c>
      <c r="J97" t="s">
        <v>111</v>
      </c>
      <c r="K97" t="s">
        <v>109</v>
      </c>
      <c r="L97">
        <v>1302</v>
      </c>
      <c r="N97">
        <v>1003</v>
      </c>
      <c r="O97" t="s">
        <v>110</v>
      </c>
      <c r="P97" t="s">
        <v>110</v>
      </c>
      <c r="Q97">
        <v>10</v>
      </c>
      <c r="W97">
        <v>0</v>
      </c>
      <c r="X97">
        <v>189188006</v>
      </c>
      <c r="Y97">
        <v>10</v>
      </c>
      <c r="AA97">
        <v>173.31</v>
      </c>
      <c r="AB97">
        <v>0</v>
      </c>
      <c r="AC97">
        <v>0</v>
      </c>
      <c r="AD97">
        <v>0</v>
      </c>
      <c r="AE97">
        <v>25.6</v>
      </c>
      <c r="AF97">
        <v>0</v>
      </c>
      <c r="AG97">
        <v>0</v>
      </c>
      <c r="AH97">
        <v>0</v>
      </c>
      <c r="AI97">
        <v>6.77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10</v>
      </c>
      <c r="AU97" t="s">
        <v>6</v>
      </c>
      <c r="AV97">
        <v>0</v>
      </c>
      <c r="AW97">
        <v>1</v>
      </c>
      <c r="AX97">
        <v>-1</v>
      </c>
      <c r="AY97">
        <v>0</v>
      </c>
      <c r="AZ97">
        <v>0</v>
      </c>
      <c r="BA97" t="s">
        <v>6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Y97*Source!I57</f>
        <v>13.200000000000001</v>
      </c>
      <c r="CY97">
        <f>AA97</f>
        <v>173.31</v>
      </c>
      <c r="CZ97">
        <f>AE97</f>
        <v>25.6</v>
      </c>
      <c r="DA97">
        <f>AI97</f>
        <v>6.77</v>
      </c>
      <c r="DB97">
        <f>ROUND(ROUND(AT97*CZ97,2),6)</f>
        <v>256</v>
      </c>
      <c r="DC97">
        <f>ROUND(ROUND(AT97*AG97,2),6)</f>
        <v>0</v>
      </c>
    </row>
    <row r="98" spans="1:107" x14ac:dyDescent="0.2">
      <c r="A98">
        <f>ROW(Source!A57)</f>
        <v>57</v>
      </c>
      <c r="B98">
        <v>16878660</v>
      </c>
      <c r="C98">
        <v>16878824</v>
      </c>
      <c r="D98">
        <v>15202504</v>
      </c>
      <c r="E98">
        <v>1</v>
      </c>
      <c r="F98">
        <v>1</v>
      </c>
      <c r="G98">
        <v>1</v>
      </c>
      <c r="H98">
        <v>3</v>
      </c>
      <c r="I98" t="s">
        <v>316</v>
      </c>
      <c r="J98" t="s">
        <v>317</v>
      </c>
      <c r="K98" t="s">
        <v>318</v>
      </c>
      <c r="L98">
        <v>1346</v>
      </c>
      <c r="N98">
        <v>1009</v>
      </c>
      <c r="O98" t="s">
        <v>86</v>
      </c>
      <c r="P98" t="s">
        <v>86</v>
      </c>
      <c r="Q98">
        <v>1</v>
      </c>
      <c r="W98">
        <v>0</v>
      </c>
      <c r="X98">
        <v>-1230081286</v>
      </c>
      <c r="Y98">
        <v>0.8</v>
      </c>
      <c r="AA98">
        <v>304.64999999999998</v>
      </c>
      <c r="AB98">
        <v>0</v>
      </c>
      <c r="AC98">
        <v>0</v>
      </c>
      <c r="AD98">
        <v>0</v>
      </c>
      <c r="AE98">
        <v>45</v>
      </c>
      <c r="AF98">
        <v>0</v>
      </c>
      <c r="AG98">
        <v>0</v>
      </c>
      <c r="AH98">
        <v>0</v>
      </c>
      <c r="AI98">
        <v>6.77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6</v>
      </c>
      <c r="AT98">
        <v>0.8</v>
      </c>
      <c r="AU98" t="s">
        <v>6</v>
      </c>
      <c r="AV98">
        <v>0</v>
      </c>
      <c r="AW98">
        <v>2</v>
      </c>
      <c r="AX98">
        <v>16878831</v>
      </c>
      <c r="AY98">
        <v>1</v>
      </c>
      <c r="AZ98">
        <v>0</v>
      </c>
      <c r="BA98">
        <v>92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Y98*Source!I57</f>
        <v>1.056</v>
      </c>
      <c r="CY98">
        <f>AA98</f>
        <v>304.64999999999998</v>
      </c>
      <c r="CZ98">
        <f>AE98</f>
        <v>45</v>
      </c>
      <c r="DA98">
        <f>AI98</f>
        <v>6.77</v>
      </c>
      <c r="DB98">
        <f>ROUND(ROUND(AT98*CZ98,2),6)</f>
        <v>36</v>
      </c>
      <c r="DC98">
        <f>ROUND(ROUND(AT98*AG98,2),6)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16878726</v>
      </c>
      <c r="C1">
        <v>16878722</v>
      </c>
      <c r="D1">
        <v>15433667</v>
      </c>
      <c r="E1">
        <v>1</v>
      </c>
      <c r="F1">
        <v>1</v>
      </c>
      <c r="G1">
        <v>1</v>
      </c>
      <c r="H1">
        <v>1</v>
      </c>
      <c r="I1" t="s">
        <v>249</v>
      </c>
      <c r="J1" t="s">
        <v>6</v>
      </c>
      <c r="K1" t="s">
        <v>250</v>
      </c>
      <c r="L1">
        <v>1191</v>
      </c>
      <c r="N1">
        <v>1013</v>
      </c>
      <c r="O1" t="s">
        <v>251</v>
      </c>
      <c r="P1" t="s">
        <v>251</v>
      </c>
      <c r="Q1">
        <v>1</v>
      </c>
      <c r="X1">
        <v>172.76</v>
      </c>
      <c r="Y1">
        <v>0</v>
      </c>
      <c r="Z1">
        <v>0</v>
      </c>
      <c r="AA1">
        <v>0</v>
      </c>
      <c r="AB1">
        <v>8.09</v>
      </c>
      <c r="AC1">
        <v>0</v>
      </c>
      <c r="AD1">
        <v>1</v>
      </c>
      <c r="AE1">
        <v>1</v>
      </c>
      <c r="AF1" t="s">
        <v>6</v>
      </c>
      <c r="AG1">
        <v>172.76</v>
      </c>
      <c r="AH1">
        <v>2</v>
      </c>
      <c r="AI1">
        <v>16878723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16878727</v>
      </c>
      <c r="C2">
        <v>16878722</v>
      </c>
      <c r="D2">
        <v>15430395</v>
      </c>
      <c r="E2">
        <v>1</v>
      </c>
      <c r="F2">
        <v>1</v>
      </c>
      <c r="G2">
        <v>1</v>
      </c>
      <c r="H2">
        <v>1</v>
      </c>
      <c r="I2" t="s">
        <v>252</v>
      </c>
      <c r="J2" t="s">
        <v>6</v>
      </c>
      <c r="K2" t="s">
        <v>253</v>
      </c>
      <c r="L2">
        <v>1191</v>
      </c>
      <c r="N2">
        <v>1013</v>
      </c>
      <c r="O2" t="s">
        <v>251</v>
      </c>
      <c r="P2" t="s">
        <v>251</v>
      </c>
      <c r="Q2">
        <v>1</v>
      </c>
      <c r="X2">
        <v>7.74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7.74</v>
      </c>
      <c r="AH2">
        <v>2</v>
      </c>
      <c r="AI2">
        <v>16878724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16878728</v>
      </c>
      <c r="C3">
        <v>16878722</v>
      </c>
      <c r="D3">
        <v>15247974</v>
      </c>
      <c r="E3">
        <v>1</v>
      </c>
      <c r="F3">
        <v>1</v>
      </c>
      <c r="G3">
        <v>1</v>
      </c>
      <c r="H3">
        <v>2</v>
      </c>
      <c r="I3" t="s">
        <v>254</v>
      </c>
      <c r="J3" t="s">
        <v>255</v>
      </c>
      <c r="K3" t="s">
        <v>256</v>
      </c>
      <c r="L3">
        <v>1368</v>
      </c>
      <c r="N3">
        <v>1011</v>
      </c>
      <c r="O3" t="s">
        <v>257</v>
      </c>
      <c r="P3" t="s">
        <v>257</v>
      </c>
      <c r="Q3">
        <v>1</v>
      </c>
      <c r="X3">
        <v>7.74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7.74</v>
      </c>
      <c r="AH3">
        <v>2</v>
      </c>
      <c r="AI3">
        <v>16878725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16878726</v>
      </c>
      <c r="C4">
        <v>16878722</v>
      </c>
      <c r="D4">
        <v>15433667</v>
      </c>
      <c r="E4">
        <v>1</v>
      </c>
      <c r="F4">
        <v>1</v>
      </c>
      <c r="G4">
        <v>1</v>
      </c>
      <c r="H4">
        <v>1</v>
      </c>
      <c r="I4" t="s">
        <v>249</v>
      </c>
      <c r="J4" t="s">
        <v>6</v>
      </c>
      <c r="K4" t="s">
        <v>250</v>
      </c>
      <c r="L4">
        <v>1191</v>
      </c>
      <c r="N4">
        <v>1013</v>
      </c>
      <c r="O4" t="s">
        <v>251</v>
      </c>
      <c r="P4" t="s">
        <v>251</v>
      </c>
      <c r="Q4">
        <v>1</v>
      </c>
      <c r="X4">
        <v>172.76</v>
      </c>
      <c r="Y4">
        <v>0</v>
      </c>
      <c r="Z4">
        <v>0</v>
      </c>
      <c r="AA4">
        <v>0</v>
      </c>
      <c r="AB4">
        <v>8.09</v>
      </c>
      <c r="AC4">
        <v>0</v>
      </c>
      <c r="AD4">
        <v>1</v>
      </c>
      <c r="AE4">
        <v>1</v>
      </c>
      <c r="AF4" t="s">
        <v>6</v>
      </c>
      <c r="AG4">
        <v>172.76</v>
      </c>
      <c r="AH4">
        <v>2</v>
      </c>
      <c r="AI4">
        <v>16878723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16878727</v>
      </c>
      <c r="C5">
        <v>16878722</v>
      </c>
      <c r="D5">
        <v>15430395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6</v>
      </c>
      <c r="K5" t="s">
        <v>253</v>
      </c>
      <c r="L5">
        <v>1191</v>
      </c>
      <c r="N5">
        <v>1013</v>
      </c>
      <c r="O5" t="s">
        <v>251</v>
      </c>
      <c r="P5" t="s">
        <v>251</v>
      </c>
      <c r="Q5">
        <v>1</v>
      </c>
      <c r="X5">
        <v>7.74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6</v>
      </c>
      <c r="AG5">
        <v>7.74</v>
      </c>
      <c r="AH5">
        <v>2</v>
      </c>
      <c r="AI5">
        <v>16878724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16878728</v>
      </c>
      <c r="C6">
        <v>16878722</v>
      </c>
      <c r="D6">
        <v>15247974</v>
      </c>
      <c r="E6">
        <v>1</v>
      </c>
      <c r="F6">
        <v>1</v>
      </c>
      <c r="G6">
        <v>1</v>
      </c>
      <c r="H6">
        <v>2</v>
      </c>
      <c r="I6" t="s">
        <v>254</v>
      </c>
      <c r="J6" t="s">
        <v>255</v>
      </c>
      <c r="K6" t="s">
        <v>256</v>
      </c>
      <c r="L6">
        <v>1368</v>
      </c>
      <c r="N6">
        <v>1011</v>
      </c>
      <c r="O6" t="s">
        <v>257</v>
      </c>
      <c r="P6" t="s">
        <v>257</v>
      </c>
      <c r="Q6">
        <v>1</v>
      </c>
      <c r="X6">
        <v>7.74</v>
      </c>
      <c r="Y6">
        <v>0</v>
      </c>
      <c r="Z6">
        <v>31.26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7.74</v>
      </c>
      <c r="AH6">
        <v>2</v>
      </c>
      <c r="AI6">
        <v>16878725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16878732</v>
      </c>
      <c r="C7">
        <v>16878729</v>
      </c>
      <c r="D7">
        <v>15430517</v>
      </c>
      <c r="E7">
        <v>1</v>
      </c>
      <c r="F7">
        <v>1</v>
      </c>
      <c r="G7">
        <v>1</v>
      </c>
      <c r="H7">
        <v>1</v>
      </c>
      <c r="I7" t="s">
        <v>258</v>
      </c>
      <c r="J7" t="s">
        <v>6</v>
      </c>
      <c r="K7" t="s">
        <v>259</v>
      </c>
      <c r="L7">
        <v>1191</v>
      </c>
      <c r="N7">
        <v>1013</v>
      </c>
      <c r="O7" t="s">
        <v>251</v>
      </c>
      <c r="P7" t="s">
        <v>251</v>
      </c>
      <c r="Q7">
        <v>1</v>
      </c>
      <c r="X7">
        <v>9.1</v>
      </c>
      <c r="Y7">
        <v>0</v>
      </c>
      <c r="Z7">
        <v>0</v>
      </c>
      <c r="AA7">
        <v>0</v>
      </c>
      <c r="AB7">
        <v>7.8</v>
      </c>
      <c r="AC7">
        <v>0</v>
      </c>
      <c r="AD7">
        <v>1</v>
      </c>
      <c r="AE7">
        <v>1</v>
      </c>
      <c r="AF7" t="s">
        <v>6</v>
      </c>
      <c r="AG7">
        <v>9.1</v>
      </c>
      <c r="AH7">
        <v>2</v>
      </c>
      <c r="AI7">
        <v>16878730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16878733</v>
      </c>
      <c r="C8">
        <v>16878729</v>
      </c>
      <c r="D8">
        <v>15247878</v>
      </c>
      <c r="E8">
        <v>1</v>
      </c>
      <c r="F8">
        <v>1</v>
      </c>
      <c r="G8">
        <v>1</v>
      </c>
      <c r="H8">
        <v>2</v>
      </c>
      <c r="I8" t="s">
        <v>260</v>
      </c>
      <c r="J8" t="s">
        <v>261</v>
      </c>
      <c r="K8" t="s">
        <v>262</v>
      </c>
      <c r="L8">
        <v>1368</v>
      </c>
      <c r="N8">
        <v>1011</v>
      </c>
      <c r="O8" t="s">
        <v>257</v>
      </c>
      <c r="P8" t="s">
        <v>257</v>
      </c>
      <c r="Q8">
        <v>1</v>
      </c>
      <c r="X8">
        <v>0.12</v>
      </c>
      <c r="Y8">
        <v>0</v>
      </c>
      <c r="Z8">
        <v>1.7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0.12</v>
      </c>
      <c r="AH8">
        <v>2</v>
      </c>
      <c r="AI8">
        <v>16878731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16878734</v>
      </c>
      <c r="C9">
        <v>16878729</v>
      </c>
      <c r="D9">
        <v>15164566</v>
      </c>
      <c r="E9">
        <v>17</v>
      </c>
      <c r="F9">
        <v>1</v>
      </c>
      <c r="G9">
        <v>1</v>
      </c>
      <c r="H9">
        <v>3</v>
      </c>
      <c r="I9" t="s">
        <v>319</v>
      </c>
      <c r="J9" t="s">
        <v>6</v>
      </c>
      <c r="K9" t="s">
        <v>320</v>
      </c>
      <c r="L9">
        <v>1348</v>
      </c>
      <c r="N9">
        <v>1009</v>
      </c>
      <c r="O9" t="s">
        <v>94</v>
      </c>
      <c r="P9" t="s">
        <v>94</v>
      </c>
      <c r="Q9">
        <v>1000</v>
      </c>
      <c r="X9">
        <v>0.12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6</v>
      </c>
      <c r="AG9">
        <v>0.12</v>
      </c>
      <c r="AH9">
        <v>3</v>
      </c>
      <c r="AI9">
        <v>-1</v>
      </c>
      <c r="AJ9" t="s">
        <v>6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16878732</v>
      </c>
      <c r="C10">
        <v>16878729</v>
      </c>
      <c r="D10">
        <v>15430517</v>
      </c>
      <c r="E10">
        <v>1</v>
      </c>
      <c r="F10">
        <v>1</v>
      </c>
      <c r="G10">
        <v>1</v>
      </c>
      <c r="H10">
        <v>1</v>
      </c>
      <c r="I10" t="s">
        <v>258</v>
      </c>
      <c r="J10" t="s">
        <v>6</v>
      </c>
      <c r="K10" t="s">
        <v>259</v>
      </c>
      <c r="L10">
        <v>1191</v>
      </c>
      <c r="N10">
        <v>1013</v>
      </c>
      <c r="O10" t="s">
        <v>251</v>
      </c>
      <c r="P10" t="s">
        <v>251</v>
      </c>
      <c r="Q10">
        <v>1</v>
      </c>
      <c r="X10">
        <v>9.1</v>
      </c>
      <c r="Y10">
        <v>0</v>
      </c>
      <c r="Z10">
        <v>0</v>
      </c>
      <c r="AA10">
        <v>0</v>
      </c>
      <c r="AB10">
        <v>7.8</v>
      </c>
      <c r="AC10">
        <v>0</v>
      </c>
      <c r="AD10">
        <v>1</v>
      </c>
      <c r="AE10">
        <v>1</v>
      </c>
      <c r="AF10" t="s">
        <v>6</v>
      </c>
      <c r="AG10">
        <v>9.1</v>
      </c>
      <c r="AH10">
        <v>2</v>
      </c>
      <c r="AI10">
        <v>16878730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ROW(Source!A27)</f>
        <v>27</v>
      </c>
      <c r="B11">
        <v>16878733</v>
      </c>
      <c r="C11">
        <v>16878729</v>
      </c>
      <c r="D11">
        <v>15247878</v>
      </c>
      <c r="E11">
        <v>1</v>
      </c>
      <c r="F11">
        <v>1</v>
      </c>
      <c r="G11">
        <v>1</v>
      </c>
      <c r="H11">
        <v>2</v>
      </c>
      <c r="I11" t="s">
        <v>260</v>
      </c>
      <c r="J11" t="s">
        <v>261</v>
      </c>
      <c r="K11" t="s">
        <v>262</v>
      </c>
      <c r="L11">
        <v>1368</v>
      </c>
      <c r="N11">
        <v>1011</v>
      </c>
      <c r="O11" t="s">
        <v>257</v>
      </c>
      <c r="P11" t="s">
        <v>257</v>
      </c>
      <c r="Q11">
        <v>1</v>
      </c>
      <c r="X11">
        <v>0.12</v>
      </c>
      <c r="Y11">
        <v>0</v>
      </c>
      <c r="Z11">
        <v>1.7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0.12</v>
      </c>
      <c r="AH11">
        <v>2</v>
      </c>
      <c r="AI11">
        <v>16878731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ROW(Source!A27)</f>
        <v>27</v>
      </c>
      <c r="B12">
        <v>16878734</v>
      </c>
      <c r="C12">
        <v>16878729</v>
      </c>
      <c r="D12">
        <v>15164566</v>
      </c>
      <c r="E12">
        <v>17</v>
      </c>
      <c r="F12">
        <v>1</v>
      </c>
      <c r="G12">
        <v>1</v>
      </c>
      <c r="H12">
        <v>3</v>
      </c>
      <c r="I12" t="s">
        <v>319</v>
      </c>
      <c r="J12" t="s">
        <v>6</v>
      </c>
      <c r="K12" t="s">
        <v>320</v>
      </c>
      <c r="L12">
        <v>1348</v>
      </c>
      <c r="N12">
        <v>1009</v>
      </c>
      <c r="O12" t="s">
        <v>94</v>
      </c>
      <c r="P12" t="s">
        <v>94</v>
      </c>
      <c r="Q12">
        <v>1000</v>
      </c>
      <c r="X12">
        <v>0.12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t="s">
        <v>6</v>
      </c>
      <c r="AG12">
        <v>0.12</v>
      </c>
      <c r="AH12">
        <v>3</v>
      </c>
      <c r="AI12">
        <v>-1</v>
      </c>
      <c r="AJ12" t="s">
        <v>6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16878739</v>
      </c>
      <c r="C13">
        <v>16878735</v>
      </c>
      <c r="D13">
        <v>15433570</v>
      </c>
      <c r="E13">
        <v>1</v>
      </c>
      <c r="F13">
        <v>1</v>
      </c>
      <c r="G13">
        <v>1</v>
      </c>
      <c r="H13">
        <v>1</v>
      </c>
      <c r="I13" t="s">
        <v>263</v>
      </c>
      <c r="J13" t="s">
        <v>6</v>
      </c>
      <c r="K13" t="s">
        <v>264</v>
      </c>
      <c r="L13">
        <v>1191</v>
      </c>
      <c r="N13">
        <v>1013</v>
      </c>
      <c r="O13" t="s">
        <v>251</v>
      </c>
      <c r="P13" t="s">
        <v>251</v>
      </c>
      <c r="Q13">
        <v>1</v>
      </c>
      <c r="X13">
        <v>275.60000000000002</v>
      </c>
      <c r="Y13">
        <v>0</v>
      </c>
      <c r="Z13">
        <v>0</v>
      </c>
      <c r="AA13">
        <v>0</v>
      </c>
      <c r="AB13">
        <v>7.68</v>
      </c>
      <c r="AC13">
        <v>0</v>
      </c>
      <c r="AD13">
        <v>1</v>
      </c>
      <c r="AE13">
        <v>1</v>
      </c>
      <c r="AF13" t="s">
        <v>6</v>
      </c>
      <c r="AG13">
        <v>275.60000000000002</v>
      </c>
      <c r="AH13">
        <v>2</v>
      </c>
      <c r="AI13">
        <v>16878736</v>
      </c>
      <c r="AJ13">
        <v>11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ROW(Source!A28)</f>
        <v>28</v>
      </c>
      <c r="B14">
        <v>16878740</v>
      </c>
      <c r="C14">
        <v>16878735</v>
      </c>
      <c r="D14">
        <v>15249402</v>
      </c>
      <c r="E14">
        <v>1</v>
      </c>
      <c r="F14">
        <v>1</v>
      </c>
      <c r="G14">
        <v>1</v>
      </c>
      <c r="H14">
        <v>2</v>
      </c>
      <c r="I14" t="s">
        <v>265</v>
      </c>
      <c r="J14" t="s">
        <v>266</v>
      </c>
      <c r="K14" t="s">
        <v>267</v>
      </c>
      <c r="L14">
        <v>1368</v>
      </c>
      <c r="N14">
        <v>1011</v>
      </c>
      <c r="O14" t="s">
        <v>257</v>
      </c>
      <c r="P14" t="s">
        <v>257</v>
      </c>
      <c r="Q14">
        <v>1</v>
      </c>
      <c r="X14">
        <v>1.58</v>
      </c>
      <c r="Y14">
        <v>0</v>
      </c>
      <c r="Z14">
        <v>32.5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1.58</v>
      </c>
      <c r="AH14">
        <v>2</v>
      </c>
      <c r="AI14">
        <v>16878737</v>
      </c>
      <c r="AJ14">
        <v>12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ROW(Source!A28)</f>
        <v>28</v>
      </c>
      <c r="B15">
        <v>16878741</v>
      </c>
      <c r="C15">
        <v>16878735</v>
      </c>
      <c r="D15">
        <v>15249998</v>
      </c>
      <c r="E15">
        <v>1</v>
      </c>
      <c r="F15">
        <v>1</v>
      </c>
      <c r="G15">
        <v>1</v>
      </c>
      <c r="H15">
        <v>2</v>
      </c>
      <c r="I15" t="s">
        <v>268</v>
      </c>
      <c r="J15" t="s">
        <v>269</v>
      </c>
      <c r="K15" t="s">
        <v>270</v>
      </c>
      <c r="L15">
        <v>1368</v>
      </c>
      <c r="N15">
        <v>1011</v>
      </c>
      <c r="O15" t="s">
        <v>257</v>
      </c>
      <c r="P15" t="s">
        <v>257</v>
      </c>
      <c r="Q15">
        <v>1</v>
      </c>
      <c r="X15">
        <v>3.16</v>
      </c>
      <c r="Y15">
        <v>0</v>
      </c>
      <c r="Z15">
        <v>1.53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3.16</v>
      </c>
      <c r="AH15">
        <v>2</v>
      </c>
      <c r="AI15">
        <v>16878738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ROW(Source!A28)</f>
        <v>28</v>
      </c>
      <c r="B16">
        <v>16878742</v>
      </c>
      <c r="C16">
        <v>16878735</v>
      </c>
      <c r="D16">
        <v>15164566</v>
      </c>
      <c r="E16">
        <v>17</v>
      </c>
      <c r="F16">
        <v>1</v>
      </c>
      <c r="G16">
        <v>1</v>
      </c>
      <c r="H16">
        <v>3</v>
      </c>
      <c r="I16" t="s">
        <v>319</v>
      </c>
      <c r="J16" t="s">
        <v>6</v>
      </c>
      <c r="K16" t="s">
        <v>320</v>
      </c>
      <c r="L16">
        <v>1348</v>
      </c>
      <c r="N16">
        <v>1009</v>
      </c>
      <c r="O16" t="s">
        <v>94</v>
      </c>
      <c r="P16" t="s">
        <v>94</v>
      </c>
      <c r="Q16">
        <v>1000</v>
      </c>
      <c r="X16">
        <v>13.4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6</v>
      </c>
      <c r="AG16">
        <v>13.4</v>
      </c>
      <c r="AH16">
        <v>3</v>
      </c>
      <c r="AI16">
        <v>-1</v>
      </c>
      <c r="AJ16" t="s">
        <v>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16878739</v>
      </c>
      <c r="C17">
        <v>16878735</v>
      </c>
      <c r="D17">
        <v>15433570</v>
      </c>
      <c r="E17">
        <v>1</v>
      </c>
      <c r="F17">
        <v>1</v>
      </c>
      <c r="G17">
        <v>1</v>
      </c>
      <c r="H17">
        <v>1</v>
      </c>
      <c r="I17" t="s">
        <v>263</v>
      </c>
      <c r="J17" t="s">
        <v>6</v>
      </c>
      <c r="K17" t="s">
        <v>264</v>
      </c>
      <c r="L17">
        <v>1191</v>
      </c>
      <c r="N17">
        <v>1013</v>
      </c>
      <c r="O17" t="s">
        <v>251</v>
      </c>
      <c r="P17" t="s">
        <v>251</v>
      </c>
      <c r="Q17">
        <v>1</v>
      </c>
      <c r="X17">
        <v>275.60000000000002</v>
      </c>
      <c r="Y17">
        <v>0</v>
      </c>
      <c r="Z17">
        <v>0</v>
      </c>
      <c r="AA17">
        <v>0</v>
      </c>
      <c r="AB17">
        <v>7.68</v>
      </c>
      <c r="AC17">
        <v>0</v>
      </c>
      <c r="AD17">
        <v>1</v>
      </c>
      <c r="AE17">
        <v>1</v>
      </c>
      <c r="AF17" t="s">
        <v>6</v>
      </c>
      <c r="AG17">
        <v>275.60000000000002</v>
      </c>
      <c r="AH17">
        <v>2</v>
      </c>
      <c r="AI17">
        <v>16878736</v>
      </c>
      <c r="AJ17">
        <v>14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16878740</v>
      </c>
      <c r="C18">
        <v>16878735</v>
      </c>
      <c r="D18">
        <v>15249402</v>
      </c>
      <c r="E18">
        <v>1</v>
      </c>
      <c r="F18">
        <v>1</v>
      </c>
      <c r="G18">
        <v>1</v>
      </c>
      <c r="H18">
        <v>2</v>
      </c>
      <c r="I18" t="s">
        <v>265</v>
      </c>
      <c r="J18" t="s">
        <v>266</v>
      </c>
      <c r="K18" t="s">
        <v>267</v>
      </c>
      <c r="L18">
        <v>1368</v>
      </c>
      <c r="N18">
        <v>1011</v>
      </c>
      <c r="O18" t="s">
        <v>257</v>
      </c>
      <c r="P18" t="s">
        <v>257</v>
      </c>
      <c r="Q18">
        <v>1</v>
      </c>
      <c r="X18">
        <v>1.58</v>
      </c>
      <c r="Y18">
        <v>0</v>
      </c>
      <c r="Z18">
        <v>32.5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1.58</v>
      </c>
      <c r="AH18">
        <v>2</v>
      </c>
      <c r="AI18">
        <v>16878737</v>
      </c>
      <c r="AJ18">
        <v>15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16878741</v>
      </c>
      <c r="C19">
        <v>16878735</v>
      </c>
      <c r="D19">
        <v>15249998</v>
      </c>
      <c r="E19">
        <v>1</v>
      </c>
      <c r="F19">
        <v>1</v>
      </c>
      <c r="G19">
        <v>1</v>
      </c>
      <c r="H19">
        <v>2</v>
      </c>
      <c r="I19" t="s">
        <v>268</v>
      </c>
      <c r="J19" t="s">
        <v>269</v>
      </c>
      <c r="K19" t="s">
        <v>270</v>
      </c>
      <c r="L19">
        <v>1368</v>
      </c>
      <c r="N19">
        <v>1011</v>
      </c>
      <c r="O19" t="s">
        <v>257</v>
      </c>
      <c r="P19" t="s">
        <v>257</v>
      </c>
      <c r="Q19">
        <v>1</v>
      </c>
      <c r="X19">
        <v>3.16</v>
      </c>
      <c r="Y19">
        <v>0</v>
      </c>
      <c r="Z19">
        <v>1.53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3.16</v>
      </c>
      <c r="AH19">
        <v>2</v>
      </c>
      <c r="AI19">
        <v>16878738</v>
      </c>
      <c r="AJ19">
        <v>16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16878742</v>
      </c>
      <c r="C20">
        <v>16878735</v>
      </c>
      <c r="D20">
        <v>15164566</v>
      </c>
      <c r="E20">
        <v>17</v>
      </c>
      <c r="F20">
        <v>1</v>
      </c>
      <c r="G20">
        <v>1</v>
      </c>
      <c r="H20">
        <v>3</v>
      </c>
      <c r="I20" t="s">
        <v>319</v>
      </c>
      <c r="J20" t="s">
        <v>6</v>
      </c>
      <c r="K20" t="s">
        <v>320</v>
      </c>
      <c r="L20">
        <v>1348</v>
      </c>
      <c r="N20">
        <v>1009</v>
      </c>
      <c r="O20" t="s">
        <v>94</v>
      </c>
      <c r="P20" t="s">
        <v>94</v>
      </c>
      <c r="Q20">
        <v>1000</v>
      </c>
      <c r="X20">
        <v>13.4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6</v>
      </c>
      <c r="AG20">
        <v>13.4</v>
      </c>
      <c r="AH20">
        <v>3</v>
      </c>
      <c r="AI20">
        <v>-1</v>
      </c>
      <c r="AJ20" t="s">
        <v>6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ROW(Source!A30)</f>
        <v>30</v>
      </c>
      <c r="B21">
        <v>16878755</v>
      </c>
      <c r="C21">
        <v>16878743</v>
      </c>
      <c r="D21">
        <v>15436014</v>
      </c>
      <c r="E21">
        <v>1</v>
      </c>
      <c r="F21">
        <v>1</v>
      </c>
      <c r="G21">
        <v>1</v>
      </c>
      <c r="H21">
        <v>1</v>
      </c>
      <c r="I21" t="s">
        <v>271</v>
      </c>
      <c r="J21" t="s">
        <v>6</v>
      </c>
      <c r="K21" t="s">
        <v>272</v>
      </c>
      <c r="L21">
        <v>1191</v>
      </c>
      <c r="N21">
        <v>1013</v>
      </c>
      <c r="O21" t="s">
        <v>251</v>
      </c>
      <c r="P21" t="s">
        <v>251</v>
      </c>
      <c r="Q21">
        <v>1</v>
      </c>
      <c r="X21">
        <v>145.72</v>
      </c>
      <c r="Y21">
        <v>0</v>
      </c>
      <c r="Z21">
        <v>0</v>
      </c>
      <c r="AA21">
        <v>0</v>
      </c>
      <c r="AB21">
        <v>8.74</v>
      </c>
      <c r="AC21">
        <v>0</v>
      </c>
      <c r="AD21">
        <v>1</v>
      </c>
      <c r="AE21">
        <v>1</v>
      </c>
      <c r="AF21" t="s">
        <v>42</v>
      </c>
      <c r="AG21">
        <v>167.57799999999997</v>
      </c>
      <c r="AH21">
        <v>2</v>
      </c>
      <c r="AI21">
        <v>16878744</v>
      </c>
      <c r="AJ21">
        <v>17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ROW(Source!A30)</f>
        <v>30</v>
      </c>
      <c r="B22">
        <v>16878756</v>
      </c>
      <c r="C22">
        <v>16878743</v>
      </c>
      <c r="D22">
        <v>15430395</v>
      </c>
      <c r="E22">
        <v>1</v>
      </c>
      <c r="F22">
        <v>1</v>
      </c>
      <c r="G22">
        <v>1</v>
      </c>
      <c r="H22">
        <v>1</v>
      </c>
      <c r="I22" t="s">
        <v>252</v>
      </c>
      <c r="J22" t="s">
        <v>6</v>
      </c>
      <c r="K22" t="s">
        <v>253</v>
      </c>
      <c r="L22">
        <v>1191</v>
      </c>
      <c r="N22">
        <v>1013</v>
      </c>
      <c r="O22" t="s">
        <v>251</v>
      </c>
      <c r="P22" t="s">
        <v>251</v>
      </c>
      <c r="Q22">
        <v>1</v>
      </c>
      <c r="X22">
        <v>4.2300000000000004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41</v>
      </c>
      <c r="AG22">
        <v>5.2875000000000005</v>
      </c>
      <c r="AH22">
        <v>2</v>
      </c>
      <c r="AI22">
        <v>16878745</v>
      </c>
      <c r="AJ22">
        <v>18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16878757</v>
      </c>
      <c r="C23">
        <v>16878743</v>
      </c>
      <c r="D23">
        <v>15247974</v>
      </c>
      <c r="E23">
        <v>1</v>
      </c>
      <c r="F23">
        <v>1</v>
      </c>
      <c r="G23">
        <v>1</v>
      </c>
      <c r="H23">
        <v>2</v>
      </c>
      <c r="I23" t="s">
        <v>254</v>
      </c>
      <c r="J23" t="s">
        <v>255</v>
      </c>
      <c r="K23" t="s">
        <v>256</v>
      </c>
      <c r="L23">
        <v>1368</v>
      </c>
      <c r="N23">
        <v>1011</v>
      </c>
      <c r="O23" t="s">
        <v>257</v>
      </c>
      <c r="P23" t="s">
        <v>257</v>
      </c>
      <c r="Q23">
        <v>1</v>
      </c>
      <c r="X23">
        <v>0.66</v>
      </c>
      <c r="Y23">
        <v>0</v>
      </c>
      <c r="Z23">
        <v>31.26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41</v>
      </c>
      <c r="AG23">
        <v>0.82500000000000007</v>
      </c>
      <c r="AH23">
        <v>2</v>
      </c>
      <c r="AI23">
        <v>16878746</v>
      </c>
      <c r="AJ23">
        <v>19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16878758</v>
      </c>
      <c r="C24">
        <v>16878743</v>
      </c>
      <c r="D24">
        <v>15249073</v>
      </c>
      <c r="E24">
        <v>1</v>
      </c>
      <c r="F24">
        <v>1</v>
      </c>
      <c r="G24">
        <v>1</v>
      </c>
      <c r="H24">
        <v>2</v>
      </c>
      <c r="I24" t="s">
        <v>273</v>
      </c>
      <c r="J24" t="s">
        <v>274</v>
      </c>
      <c r="K24" t="s">
        <v>275</v>
      </c>
      <c r="L24">
        <v>1368</v>
      </c>
      <c r="N24">
        <v>1011</v>
      </c>
      <c r="O24" t="s">
        <v>257</v>
      </c>
      <c r="P24" t="s">
        <v>257</v>
      </c>
      <c r="Q24">
        <v>1</v>
      </c>
      <c r="X24">
        <v>3.57</v>
      </c>
      <c r="Y24">
        <v>0</v>
      </c>
      <c r="Z24">
        <v>65.709999999999994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41</v>
      </c>
      <c r="AG24">
        <v>4.4624999999999995</v>
      </c>
      <c r="AH24">
        <v>2</v>
      </c>
      <c r="AI24">
        <v>16878747</v>
      </c>
      <c r="AJ24">
        <v>20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16878759</v>
      </c>
      <c r="C25">
        <v>16878743</v>
      </c>
      <c r="D25">
        <v>15167551</v>
      </c>
      <c r="E25">
        <v>1</v>
      </c>
      <c r="F25">
        <v>1</v>
      </c>
      <c r="G25">
        <v>1</v>
      </c>
      <c r="H25">
        <v>3</v>
      </c>
      <c r="I25" t="s">
        <v>276</v>
      </c>
      <c r="J25" t="s">
        <v>277</v>
      </c>
      <c r="K25" t="s">
        <v>278</v>
      </c>
      <c r="L25">
        <v>1301</v>
      </c>
      <c r="N25">
        <v>1003</v>
      </c>
      <c r="O25" t="s">
        <v>68</v>
      </c>
      <c r="P25" t="s">
        <v>68</v>
      </c>
      <c r="Q25">
        <v>1</v>
      </c>
      <c r="X25">
        <v>244</v>
      </c>
      <c r="Y25">
        <v>6.38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244</v>
      </c>
      <c r="AH25">
        <v>2</v>
      </c>
      <c r="AI25">
        <v>16878748</v>
      </c>
      <c r="AJ25">
        <v>21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16878760</v>
      </c>
      <c r="C26">
        <v>16878743</v>
      </c>
      <c r="D26">
        <v>15167552</v>
      </c>
      <c r="E26">
        <v>1</v>
      </c>
      <c r="F26">
        <v>1</v>
      </c>
      <c r="G26">
        <v>1</v>
      </c>
      <c r="H26">
        <v>3</v>
      </c>
      <c r="I26" t="s">
        <v>279</v>
      </c>
      <c r="J26" t="s">
        <v>280</v>
      </c>
      <c r="K26" t="s">
        <v>281</v>
      </c>
      <c r="L26">
        <v>1301</v>
      </c>
      <c r="N26">
        <v>1003</v>
      </c>
      <c r="O26" t="s">
        <v>68</v>
      </c>
      <c r="P26" t="s">
        <v>68</v>
      </c>
      <c r="Q26">
        <v>1</v>
      </c>
      <c r="X26">
        <v>56</v>
      </c>
      <c r="Y26">
        <v>7.95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56</v>
      </c>
      <c r="AH26">
        <v>2</v>
      </c>
      <c r="AI26">
        <v>16878749</v>
      </c>
      <c r="AJ26">
        <v>22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16878761</v>
      </c>
      <c r="C27">
        <v>16878743</v>
      </c>
      <c r="D27">
        <v>15167640</v>
      </c>
      <c r="E27">
        <v>1</v>
      </c>
      <c r="F27">
        <v>1</v>
      </c>
      <c r="G27">
        <v>1</v>
      </c>
      <c r="H27">
        <v>3</v>
      </c>
      <c r="I27" t="s">
        <v>282</v>
      </c>
      <c r="J27" t="s">
        <v>283</v>
      </c>
      <c r="K27" t="s">
        <v>284</v>
      </c>
      <c r="L27">
        <v>1302</v>
      </c>
      <c r="N27">
        <v>1003</v>
      </c>
      <c r="O27" t="s">
        <v>110</v>
      </c>
      <c r="P27" t="s">
        <v>110</v>
      </c>
      <c r="Q27">
        <v>10</v>
      </c>
      <c r="X27">
        <v>15.6</v>
      </c>
      <c r="Y27">
        <v>64.099999999999994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15.6</v>
      </c>
      <c r="AH27">
        <v>2</v>
      </c>
      <c r="AI27">
        <v>16878750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16878762</v>
      </c>
      <c r="C28">
        <v>16878743</v>
      </c>
      <c r="D28">
        <v>15170065</v>
      </c>
      <c r="E28">
        <v>1</v>
      </c>
      <c r="F28">
        <v>1</v>
      </c>
      <c r="G28">
        <v>1</v>
      </c>
      <c r="H28">
        <v>3</v>
      </c>
      <c r="I28" t="s">
        <v>285</v>
      </c>
      <c r="J28" t="s">
        <v>286</v>
      </c>
      <c r="K28" t="s">
        <v>287</v>
      </c>
      <c r="L28">
        <v>1358</v>
      </c>
      <c r="N28">
        <v>1010</v>
      </c>
      <c r="O28" t="s">
        <v>288</v>
      </c>
      <c r="P28" t="s">
        <v>288</v>
      </c>
      <c r="Q28">
        <v>10</v>
      </c>
      <c r="X28">
        <v>38.9</v>
      </c>
      <c r="Y28">
        <v>7.03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38.9</v>
      </c>
      <c r="AH28">
        <v>2</v>
      </c>
      <c r="AI28">
        <v>16878751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16878763</v>
      </c>
      <c r="C29">
        <v>16878743</v>
      </c>
      <c r="D29">
        <v>15162466</v>
      </c>
      <c r="E29">
        <v>17</v>
      </c>
      <c r="F29">
        <v>1</v>
      </c>
      <c r="G29">
        <v>1</v>
      </c>
      <c r="H29">
        <v>3</v>
      </c>
      <c r="I29" t="s">
        <v>321</v>
      </c>
      <c r="J29" t="s">
        <v>6</v>
      </c>
      <c r="K29" t="s">
        <v>322</v>
      </c>
      <c r="L29">
        <v>1327</v>
      </c>
      <c r="N29">
        <v>1005</v>
      </c>
      <c r="O29" t="s">
        <v>49</v>
      </c>
      <c r="P29" t="s">
        <v>49</v>
      </c>
      <c r="Q29">
        <v>1</v>
      </c>
      <c r="X29">
        <v>100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6</v>
      </c>
      <c r="AG29">
        <v>100</v>
      </c>
      <c r="AH29">
        <v>3</v>
      </c>
      <c r="AI29">
        <v>-1</v>
      </c>
      <c r="AJ29" t="s">
        <v>6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16878764</v>
      </c>
      <c r="C30">
        <v>16878743</v>
      </c>
      <c r="D30">
        <v>15197780</v>
      </c>
      <c r="E30">
        <v>1</v>
      </c>
      <c r="F30">
        <v>1</v>
      </c>
      <c r="G30">
        <v>1</v>
      </c>
      <c r="H30">
        <v>3</v>
      </c>
      <c r="I30" t="s">
        <v>289</v>
      </c>
      <c r="J30" t="s">
        <v>290</v>
      </c>
      <c r="K30" t="s">
        <v>291</v>
      </c>
      <c r="L30">
        <v>1355</v>
      </c>
      <c r="N30">
        <v>1010</v>
      </c>
      <c r="O30" t="s">
        <v>292</v>
      </c>
      <c r="P30" t="s">
        <v>292</v>
      </c>
      <c r="Q30">
        <v>100</v>
      </c>
      <c r="X30">
        <v>8</v>
      </c>
      <c r="Y30">
        <v>50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8</v>
      </c>
      <c r="AH30">
        <v>2</v>
      </c>
      <c r="AI30">
        <v>16878752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16878765</v>
      </c>
      <c r="C31">
        <v>16878743</v>
      </c>
      <c r="D31">
        <v>15204239</v>
      </c>
      <c r="E31">
        <v>1</v>
      </c>
      <c r="F31">
        <v>1</v>
      </c>
      <c r="G31">
        <v>1</v>
      </c>
      <c r="H31">
        <v>3</v>
      </c>
      <c r="I31" t="s">
        <v>293</v>
      </c>
      <c r="J31" t="s">
        <v>294</v>
      </c>
      <c r="K31" t="s">
        <v>295</v>
      </c>
      <c r="L31">
        <v>1354</v>
      </c>
      <c r="N31">
        <v>1010</v>
      </c>
      <c r="O31" t="s">
        <v>296</v>
      </c>
      <c r="P31" t="s">
        <v>296</v>
      </c>
      <c r="Q31">
        <v>1</v>
      </c>
      <c r="X31">
        <v>69</v>
      </c>
      <c r="Y31">
        <v>67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69</v>
      </c>
      <c r="AH31">
        <v>2</v>
      </c>
      <c r="AI31">
        <v>16878753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ROW(Source!A31)</f>
        <v>31</v>
      </c>
      <c r="B32">
        <v>16878755</v>
      </c>
      <c r="C32">
        <v>16878743</v>
      </c>
      <c r="D32">
        <v>15436014</v>
      </c>
      <c r="E32">
        <v>1</v>
      </c>
      <c r="F32">
        <v>1</v>
      </c>
      <c r="G32">
        <v>1</v>
      </c>
      <c r="H32">
        <v>1</v>
      </c>
      <c r="I32" t="s">
        <v>271</v>
      </c>
      <c r="J32" t="s">
        <v>6</v>
      </c>
      <c r="K32" t="s">
        <v>272</v>
      </c>
      <c r="L32">
        <v>1191</v>
      </c>
      <c r="N32">
        <v>1013</v>
      </c>
      <c r="O32" t="s">
        <v>251</v>
      </c>
      <c r="P32" t="s">
        <v>251</v>
      </c>
      <c r="Q32">
        <v>1</v>
      </c>
      <c r="X32">
        <v>145.72</v>
      </c>
      <c r="Y32">
        <v>0</v>
      </c>
      <c r="Z32">
        <v>0</v>
      </c>
      <c r="AA32">
        <v>0</v>
      </c>
      <c r="AB32">
        <v>8.74</v>
      </c>
      <c r="AC32">
        <v>0</v>
      </c>
      <c r="AD32">
        <v>1</v>
      </c>
      <c r="AE32">
        <v>1</v>
      </c>
      <c r="AF32" t="s">
        <v>42</v>
      </c>
      <c r="AG32">
        <v>167.57799999999997</v>
      </c>
      <c r="AH32">
        <v>2</v>
      </c>
      <c r="AI32">
        <v>16878744</v>
      </c>
      <c r="AJ32">
        <v>29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ROW(Source!A31)</f>
        <v>31</v>
      </c>
      <c r="B33">
        <v>16878756</v>
      </c>
      <c r="C33">
        <v>16878743</v>
      </c>
      <c r="D33">
        <v>15430395</v>
      </c>
      <c r="E33">
        <v>1</v>
      </c>
      <c r="F33">
        <v>1</v>
      </c>
      <c r="G33">
        <v>1</v>
      </c>
      <c r="H33">
        <v>1</v>
      </c>
      <c r="I33" t="s">
        <v>252</v>
      </c>
      <c r="J33" t="s">
        <v>6</v>
      </c>
      <c r="K33" t="s">
        <v>253</v>
      </c>
      <c r="L33">
        <v>1191</v>
      </c>
      <c r="N33">
        <v>1013</v>
      </c>
      <c r="O33" t="s">
        <v>251</v>
      </c>
      <c r="P33" t="s">
        <v>251</v>
      </c>
      <c r="Q33">
        <v>1</v>
      </c>
      <c r="X33">
        <v>4.2300000000000004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41</v>
      </c>
      <c r="AG33">
        <v>5.2875000000000005</v>
      </c>
      <c r="AH33">
        <v>2</v>
      </c>
      <c r="AI33">
        <v>16878745</v>
      </c>
      <c r="AJ33">
        <v>30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ROW(Source!A31)</f>
        <v>31</v>
      </c>
      <c r="B34">
        <v>16878757</v>
      </c>
      <c r="C34">
        <v>16878743</v>
      </c>
      <c r="D34">
        <v>15247974</v>
      </c>
      <c r="E34">
        <v>1</v>
      </c>
      <c r="F34">
        <v>1</v>
      </c>
      <c r="G34">
        <v>1</v>
      </c>
      <c r="H34">
        <v>2</v>
      </c>
      <c r="I34" t="s">
        <v>254</v>
      </c>
      <c r="J34" t="s">
        <v>255</v>
      </c>
      <c r="K34" t="s">
        <v>256</v>
      </c>
      <c r="L34">
        <v>1368</v>
      </c>
      <c r="N34">
        <v>1011</v>
      </c>
      <c r="O34" t="s">
        <v>257</v>
      </c>
      <c r="P34" t="s">
        <v>257</v>
      </c>
      <c r="Q34">
        <v>1</v>
      </c>
      <c r="X34">
        <v>0.66</v>
      </c>
      <c r="Y34">
        <v>0</v>
      </c>
      <c r="Z34">
        <v>31.26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41</v>
      </c>
      <c r="AG34">
        <v>0.82500000000000007</v>
      </c>
      <c r="AH34">
        <v>2</v>
      </c>
      <c r="AI34">
        <v>16878746</v>
      </c>
      <c r="AJ34">
        <v>31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16878758</v>
      </c>
      <c r="C35">
        <v>16878743</v>
      </c>
      <c r="D35">
        <v>15249073</v>
      </c>
      <c r="E35">
        <v>1</v>
      </c>
      <c r="F35">
        <v>1</v>
      </c>
      <c r="G35">
        <v>1</v>
      </c>
      <c r="H35">
        <v>2</v>
      </c>
      <c r="I35" t="s">
        <v>273</v>
      </c>
      <c r="J35" t="s">
        <v>274</v>
      </c>
      <c r="K35" t="s">
        <v>275</v>
      </c>
      <c r="L35">
        <v>1368</v>
      </c>
      <c r="N35">
        <v>1011</v>
      </c>
      <c r="O35" t="s">
        <v>257</v>
      </c>
      <c r="P35" t="s">
        <v>257</v>
      </c>
      <c r="Q35">
        <v>1</v>
      </c>
      <c r="X35">
        <v>3.57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41</v>
      </c>
      <c r="AG35">
        <v>4.4624999999999995</v>
      </c>
      <c r="AH35">
        <v>2</v>
      </c>
      <c r="AI35">
        <v>16878747</v>
      </c>
      <c r="AJ35">
        <v>32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16878759</v>
      </c>
      <c r="C36">
        <v>16878743</v>
      </c>
      <c r="D36">
        <v>15167551</v>
      </c>
      <c r="E36">
        <v>1</v>
      </c>
      <c r="F36">
        <v>1</v>
      </c>
      <c r="G36">
        <v>1</v>
      </c>
      <c r="H36">
        <v>3</v>
      </c>
      <c r="I36" t="s">
        <v>276</v>
      </c>
      <c r="J36" t="s">
        <v>277</v>
      </c>
      <c r="K36" t="s">
        <v>278</v>
      </c>
      <c r="L36">
        <v>1301</v>
      </c>
      <c r="N36">
        <v>1003</v>
      </c>
      <c r="O36" t="s">
        <v>68</v>
      </c>
      <c r="P36" t="s">
        <v>68</v>
      </c>
      <c r="Q36">
        <v>1</v>
      </c>
      <c r="X36">
        <v>244</v>
      </c>
      <c r="Y36">
        <v>6.38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244</v>
      </c>
      <c r="AH36">
        <v>2</v>
      </c>
      <c r="AI36">
        <v>16878748</v>
      </c>
      <c r="AJ36">
        <v>33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16878760</v>
      </c>
      <c r="C37">
        <v>16878743</v>
      </c>
      <c r="D37">
        <v>15167552</v>
      </c>
      <c r="E37">
        <v>1</v>
      </c>
      <c r="F37">
        <v>1</v>
      </c>
      <c r="G37">
        <v>1</v>
      </c>
      <c r="H37">
        <v>3</v>
      </c>
      <c r="I37" t="s">
        <v>279</v>
      </c>
      <c r="J37" t="s">
        <v>280</v>
      </c>
      <c r="K37" t="s">
        <v>281</v>
      </c>
      <c r="L37">
        <v>1301</v>
      </c>
      <c r="N37">
        <v>1003</v>
      </c>
      <c r="O37" t="s">
        <v>68</v>
      </c>
      <c r="P37" t="s">
        <v>68</v>
      </c>
      <c r="Q37">
        <v>1</v>
      </c>
      <c r="X37">
        <v>56</v>
      </c>
      <c r="Y37">
        <v>7.95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56</v>
      </c>
      <c r="AH37">
        <v>2</v>
      </c>
      <c r="AI37">
        <v>16878749</v>
      </c>
      <c r="AJ37">
        <v>34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16878761</v>
      </c>
      <c r="C38">
        <v>16878743</v>
      </c>
      <c r="D38">
        <v>15167640</v>
      </c>
      <c r="E38">
        <v>1</v>
      </c>
      <c r="F38">
        <v>1</v>
      </c>
      <c r="G38">
        <v>1</v>
      </c>
      <c r="H38">
        <v>3</v>
      </c>
      <c r="I38" t="s">
        <v>282</v>
      </c>
      <c r="J38" t="s">
        <v>283</v>
      </c>
      <c r="K38" t="s">
        <v>284</v>
      </c>
      <c r="L38">
        <v>1302</v>
      </c>
      <c r="N38">
        <v>1003</v>
      </c>
      <c r="O38" t="s">
        <v>110</v>
      </c>
      <c r="P38" t="s">
        <v>110</v>
      </c>
      <c r="Q38">
        <v>10</v>
      </c>
      <c r="X38">
        <v>15.6</v>
      </c>
      <c r="Y38">
        <v>64.099999999999994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15.6</v>
      </c>
      <c r="AH38">
        <v>2</v>
      </c>
      <c r="AI38">
        <v>16878750</v>
      </c>
      <c r="AJ38">
        <v>35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16878762</v>
      </c>
      <c r="C39">
        <v>16878743</v>
      </c>
      <c r="D39">
        <v>15170065</v>
      </c>
      <c r="E39">
        <v>1</v>
      </c>
      <c r="F39">
        <v>1</v>
      </c>
      <c r="G39">
        <v>1</v>
      </c>
      <c r="H39">
        <v>3</v>
      </c>
      <c r="I39" t="s">
        <v>285</v>
      </c>
      <c r="J39" t="s">
        <v>286</v>
      </c>
      <c r="K39" t="s">
        <v>287</v>
      </c>
      <c r="L39">
        <v>1358</v>
      </c>
      <c r="N39">
        <v>1010</v>
      </c>
      <c r="O39" t="s">
        <v>288</v>
      </c>
      <c r="P39" t="s">
        <v>288</v>
      </c>
      <c r="Q39">
        <v>10</v>
      </c>
      <c r="X39">
        <v>38.9</v>
      </c>
      <c r="Y39">
        <v>7.03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38.9</v>
      </c>
      <c r="AH39">
        <v>2</v>
      </c>
      <c r="AI39">
        <v>16878751</v>
      </c>
      <c r="AJ39">
        <v>36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16878763</v>
      </c>
      <c r="C40">
        <v>16878743</v>
      </c>
      <c r="D40">
        <v>15162466</v>
      </c>
      <c r="E40">
        <v>17</v>
      </c>
      <c r="F40">
        <v>1</v>
      </c>
      <c r="G40">
        <v>1</v>
      </c>
      <c r="H40">
        <v>3</v>
      </c>
      <c r="I40" t="s">
        <v>321</v>
      </c>
      <c r="J40" t="s">
        <v>6</v>
      </c>
      <c r="K40" t="s">
        <v>322</v>
      </c>
      <c r="L40">
        <v>1327</v>
      </c>
      <c r="N40">
        <v>1005</v>
      </c>
      <c r="O40" t="s">
        <v>49</v>
      </c>
      <c r="P40" t="s">
        <v>49</v>
      </c>
      <c r="Q40">
        <v>1</v>
      </c>
      <c r="X40">
        <v>100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 t="s">
        <v>6</v>
      </c>
      <c r="AG40">
        <v>100</v>
      </c>
      <c r="AH40">
        <v>3</v>
      </c>
      <c r="AI40">
        <v>-1</v>
      </c>
      <c r="AJ40" t="s">
        <v>6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16878764</v>
      </c>
      <c r="C41">
        <v>16878743</v>
      </c>
      <c r="D41">
        <v>15197780</v>
      </c>
      <c r="E41">
        <v>1</v>
      </c>
      <c r="F41">
        <v>1</v>
      </c>
      <c r="G41">
        <v>1</v>
      </c>
      <c r="H41">
        <v>3</v>
      </c>
      <c r="I41" t="s">
        <v>289</v>
      </c>
      <c r="J41" t="s">
        <v>290</v>
      </c>
      <c r="K41" t="s">
        <v>291</v>
      </c>
      <c r="L41">
        <v>1355</v>
      </c>
      <c r="N41">
        <v>1010</v>
      </c>
      <c r="O41" t="s">
        <v>292</v>
      </c>
      <c r="P41" t="s">
        <v>292</v>
      </c>
      <c r="Q41">
        <v>100</v>
      </c>
      <c r="X41">
        <v>8</v>
      </c>
      <c r="Y41">
        <v>50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8</v>
      </c>
      <c r="AH41">
        <v>2</v>
      </c>
      <c r="AI41">
        <v>16878752</v>
      </c>
      <c r="AJ41">
        <v>38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16878765</v>
      </c>
      <c r="C42">
        <v>16878743</v>
      </c>
      <c r="D42">
        <v>15204239</v>
      </c>
      <c r="E42">
        <v>1</v>
      </c>
      <c r="F42">
        <v>1</v>
      </c>
      <c r="G42">
        <v>1</v>
      </c>
      <c r="H42">
        <v>3</v>
      </c>
      <c r="I42" t="s">
        <v>293</v>
      </c>
      <c r="J42" t="s">
        <v>294</v>
      </c>
      <c r="K42" t="s">
        <v>295</v>
      </c>
      <c r="L42">
        <v>1354</v>
      </c>
      <c r="N42">
        <v>1010</v>
      </c>
      <c r="O42" t="s">
        <v>296</v>
      </c>
      <c r="P42" t="s">
        <v>296</v>
      </c>
      <c r="Q42">
        <v>1</v>
      </c>
      <c r="X42">
        <v>69</v>
      </c>
      <c r="Y42">
        <v>67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69</v>
      </c>
      <c r="AH42">
        <v>2</v>
      </c>
      <c r="AI42">
        <v>16878753</v>
      </c>
      <c r="AJ42">
        <v>39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ROW(Source!A36)</f>
        <v>36</v>
      </c>
      <c r="B43">
        <v>16878775</v>
      </c>
      <c r="C43">
        <v>16878767</v>
      </c>
      <c r="D43">
        <v>15430767</v>
      </c>
      <c r="E43">
        <v>1</v>
      </c>
      <c r="F43">
        <v>1</v>
      </c>
      <c r="G43">
        <v>1</v>
      </c>
      <c r="H43">
        <v>1</v>
      </c>
      <c r="I43" t="s">
        <v>297</v>
      </c>
      <c r="J43" t="s">
        <v>6</v>
      </c>
      <c r="K43" t="s">
        <v>298</v>
      </c>
      <c r="L43">
        <v>1191</v>
      </c>
      <c r="N43">
        <v>1013</v>
      </c>
      <c r="O43" t="s">
        <v>251</v>
      </c>
      <c r="P43" t="s">
        <v>251</v>
      </c>
      <c r="Q43">
        <v>1</v>
      </c>
      <c r="X43">
        <v>112.75</v>
      </c>
      <c r="Y43">
        <v>0</v>
      </c>
      <c r="Z43">
        <v>0</v>
      </c>
      <c r="AA43">
        <v>0</v>
      </c>
      <c r="AB43">
        <v>8.5299999999999994</v>
      </c>
      <c r="AC43">
        <v>0</v>
      </c>
      <c r="AD43">
        <v>1</v>
      </c>
      <c r="AE43">
        <v>1</v>
      </c>
      <c r="AF43" t="s">
        <v>42</v>
      </c>
      <c r="AG43">
        <v>129.66249999999999</v>
      </c>
      <c r="AH43">
        <v>2</v>
      </c>
      <c r="AI43">
        <v>16878768</v>
      </c>
      <c r="AJ43">
        <v>41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ROW(Source!A36)</f>
        <v>36</v>
      </c>
      <c r="B44">
        <v>16878776</v>
      </c>
      <c r="C44">
        <v>16878767</v>
      </c>
      <c r="D44">
        <v>15430395</v>
      </c>
      <c r="E44">
        <v>1</v>
      </c>
      <c r="F44">
        <v>1</v>
      </c>
      <c r="G44">
        <v>1</v>
      </c>
      <c r="H44">
        <v>1</v>
      </c>
      <c r="I44" t="s">
        <v>252</v>
      </c>
      <c r="J44" t="s">
        <v>6</v>
      </c>
      <c r="K44" t="s">
        <v>253</v>
      </c>
      <c r="L44">
        <v>1191</v>
      </c>
      <c r="N44">
        <v>1013</v>
      </c>
      <c r="O44" t="s">
        <v>251</v>
      </c>
      <c r="P44" t="s">
        <v>251</v>
      </c>
      <c r="Q44">
        <v>1</v>
      </c>
      <c r="X44">
        <v>0.27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41</v>
      </c>
      <c r="AG44">
        <v>0.33750000000000002</v>
      </c>
      <c r="AH44">
        <v>2</v>
      </c>
      <c r="AI44">
        <v>16878769</v>
      </c>
      <c r="AJ44">
        <v>42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ROW(Source!A36)</f>
        <v>36</v>
      </c>
      <c r="B45">
        <v>16878777</v>
      </c>
      <c r="C45">
        <v>16878767</v>
      </c>
      <c r="D45">
        <v>15247578</v>
      </c>
      <c r="E45">
        <v>1</v>
      </c>
      <c r="F45">
        <v>1</v>
      </c>
      <c r="G45">
        <v>1</v>
      </c>
      <c r="H45">
        <v>2</v>
      </c>
      <c r="I45" t="s">
        <v>299</v>
      </c>
      <c r="J45" t="s">
        <v>300</v>
      </c>
      <c r="K45" t="s">
        <v>301</v>
      </c>
      <c r="L45">
        <v>1368</v>
      </c>
      <c r="N45">
        <v>1011</v>
      </c>
      <c r="O45" t="s">
        <v>257</v>
      </c>
      <c r="P45" t="s">
        <v>257</v>
      </c>
      <c r="Q45">
        <v>1</v>
      </c>
      <c r="X45">
        <v>0.2</v>
      </c>
      <c r="Y45">
        <v>0</v>
      </c>
      <c r="Z45">
        <v>86.4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41</v>
      </c>
      <c r="AG45">
        <v>0.25</v>
      </c>
      <c r="AH45">
        <v>2</v>
      </c>
      <c r="AI45">
        <v>16878770</v>
      </c>
      <c r="AJ45">
        <v>43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ROW(Source!A36)</f>
        <v>36</v>
      </c>
      <c r="B46">
        <v>16878778</v>
      </c>
      <c r="C46">
        <v>16878767</v>
      </c>
      <c r="D46">
        <v>15249073</v>
      </c>
      <c r="E46">
        <v>1</v>
      </c>
      <c r="F46">
        <v>1</v>
      </c>
      <c r="G46">
        <v>1</v>
      </c>
      <c r="H46">
        <v>2</v>
      </c>
      <c r="I46" t="s">
        <v>273</v>
      </c>
      <c r="J46" t="s">
        <v>274</v>
      </c>
      <c r="K46" t="s">
        <v>275</v>
      </c>
      <c r="L46">
        <v>1368</v>
      </c>
      <c r="N46">
        <v>1011</v>
      </c>
      <c r="O46" t="s">
        <v>257</v>
      </c>
      <c r="P46" t="s">
        <v>257</v>
      </c>
      <c r="Q46">
        <v>1</v>
      </c>
      <c r="X46">
        <v>7.0000000000000007E-2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41</v>
      </c>
      <c r="AG46">
        <v>8.7500000000000008E-2</v>
      </c>
      <c r="AH46">
        <v>2</v>
      </c>
      <c r="AI46">
        <v>16878771</v>
      </c>
      <c r="AJ46">
        <v>44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ROW(Source!A36)</f>
        <v>36</v>
      </c>
      <c r="B47">
        <v>16878779</v>
      </c>
      <c r="C47">
        <v>16878767</v>
      </c>
      <c r="D47">
        <v>15170059</v>
      </c>
      <c r="E47">
        <v>1</v>
      </c>
      <c r="F47">
        <v>1</v>
      </c>
      <c r="G47">
        <v>1</v>
      </c>
      <c r="H47">
        <v>3</v>
      </c>
      <c r="I47" t="s">
        <v>302</v>
      </c>
      <c r="J47" t="s">
        <v>303</v>
      </c>
      <c r="K47" t="s">
        <v>304</v>
      </c>
      <c r="L47">
        <v>1348</v>
      </c>
      <c r="N47">
        <v>1009</v>
      </c>
      <c r="O47" t="s">
        <v>94</v>
      </c>
      <c r="P47" t="s">
        <v>94</v>
      </c>
      <c r="Q47">
        <v>1000</v>
      </c>
      <c r="X47">
        <v>4.0000000000000001E-3</v>
      </c>
      <c r="Y47">
        <v>8475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4.0000000000000001E-3</v>
      </c>
      <c r="AH47">
        <v>2</v>
      </c>
      <c r="AI47">
        <v>16878772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ROW(Source!A36)</f>
        <v>36</v>
      </c>
      <c r="B48">
        <v>16878780</v>
      </c>
      <c r="C48">
        <v>16878767</v>
      </c>
      <c r="D48">
        <v>15191140</v>
      </c>
      <c r="E48">
        <v>1</v>
      </c>
      <c r="F48">
        <v>1</v>
      </c>
      <c r="G48">
        <v>1</v>
      </c>
      <c r="H48">
        <v>3</v>
      </c>
      <c r="I48" t="s">
        <v>305</v>
      </c>
      <c r="J48" t="s">
        <v>306</v>
      </c>
      <c r="K48" t="s">
        <v>307</v>
      </c>
      <c r="L48">
        <v>1348</v>
      </c>
      <c r="N48">
        <v>1009</v>
      </c>
      <c r="O48" t="s">
        <v>94</v>
      </c>
      <c r="P48" t="s">
        <v>94</v>
      </c>
      <c r="Q48">
        <v>1000</v>
      </c>
      <c r="X48">
        <v>1.2E-2</v>
      </c>
      <c r="Y48">
        <v>8190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1.2E-2</v>
      </c>
      <c r="AH48">
        <v>2</v>
      </c>
      <c r="AI48">
        <v>16878773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ROW(Source!A36)</f>
        <v>36</v>
      </c>
      <c r="B49">
        <v>16878781</v>
      </c>
      <c r="C49">
        <v>16878767</v>
      </c>
      <c r="D49">
        <v>15191387</v>
      </c>
      <c r="E49">
        <v>1</v>
      </c>
      <c r="F49">
        <v>1</v>
      </c>
      <c r="G49">
        <v>1</v>
      </c>
      <c r="H49">
        <v>3</v>
      </c>
      <c r="I49" t="s">
        <v>308</v>
      </c>
      <c r="J49" t="s">
        <v>309</v>
      </c>
      <c r="K49" t="s">
        <v>310</v>
      </c>
      <c r="L49">
        <v>1348</v>
      </c>
      <c r="N49">
        <v>1009</v>
      </c>
      <c r="O49" t="s">
        <v>94</v>
      </c>
      <c r="P49" t="s">
        <v>94</v>
      </c>
      <c r="Q49">
        <v>1000</v>
      </c>
      <c r="X49">
        <v>0.78200000000000003</v>
      </c>
      <c r="Y49">
        <v>11200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0.78200000000000003</v>
      </c>
      <c r="AH49">
        <v>2</v>
      </c>
      <c r="AI49">
        <v>16878774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ROW(Source!A37)</f>
        <v>37</v>
      </c>
      <c r="B50">
        <v>16878775</v>
      </c>
      <c r="C50">
        <v>16878767</v>
      </c>
      <c r="D50">
        <v>15430767</v>
      </c>
      <c r="E50">
        <v>1</v>
      </c>
      <c r="F50">
        <v>1</v>
      </c>
      <c r="G50">
        <v>1</v>
      </c>
      <c r="H50">
        <v>1</v>
      </c>
      <c r="I50" t="s">
        <v>297</v>
      </c>
      <c r="J50" t="s">
        <v>6</v>
      </c>
      <c r="K50" t="s">
        <v>298</v>
      </c>
      <c r="L50">
        <v>1191</v>
      </c>
      <c r="N50">
        <v>1013</v>
      </c>
      <c r="O50" t="s">
        <v>251</v>
      </c>
      <c r="P50" t="s">
        <v>251</v>
      </c>
      <c r="Q50">
        <v>1</v>
      </c>
      <c r="X50">
        <v>112.75</v>
      </c>
      <c r="Y50">
        <v>0</v>
      </c>
      <c r="Z50">
        <v>0</v>
      </c>
      <c r="AA50">
        <v>0</v>
      </c>
      <c r="AB50">
        <v>8.5299999999999994</v>
      </c>
      <c r="AC50">
        <v>0</v>
      </c>
      <c r="AD50">
        <v>1</v>
      </c>
      <c r="AE50">
        <v>1</v>
      </c>
      <c r="AF50" t="s">
        <v>42</v>
      </c>
      <c r="AG50">
        <v>129.66249999999999</v>
      </c>
      <c r="AH50">
        <v>2</v>
      </c>
      <c r="AI50">
        <v>16878768</v>
      </c>
      <c r="AJ50">
        <v>48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ROW(Source!A37)</f>
        <v>37</v>
      </c>
      <c r="B51">
        <v>16878776</v>
      </c>
      <c r="C51">
        <v>16878767</v>
      </c>
      <c r="D51">
        <v>15430395</v>
      </c>
      <c r="E51">
        <v>1</v>
      </c>
      <c r="F51">
        <v>1</v>
      </c>
      <c r="G51">
        <v>1</v>
      </c>
      <c r="H51">
        <v>1</v>
      </c>
      <c r="I51" t="s">
        <v>252</v>
      </c>
      <c r="J51" t="s">
        <v>6</v>
      </c>
      <c r="K51" t="s">
        <v>253</v>
      </c>
      <c r="L51">
        <v>1191</v>
      </c>
      <c r="N51">
        <v>1013</v>
      </c>
      <c r="O51" t="s">
        <v>251</v>
      </c>
      <c r="P51" t="s">
        <v>251</v>
      </c>
      <c r="Q51">
        <v>1</v>
      </c>
      <c r="X51">
        <v>0.27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41</v>
      </c>
      <c r="AG51">
        <v>0.33750000000000002</v>
      </c>
      <c r="AH51">
        <v>2</v>
      </c>
      <c r="AI51">
        <v>16878769</v>
      </c>
      <c r="AJ51">
        <v>49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ROW(Source!A37)</f>
        <v>37</v>
      </c>
      <c r="B52">
        <v>16878777</v>
      </c>
      <c r="C52">
        <v>16878767</v>
      </c>
      <c r="D52">
        <v>15247578</v>
      </c>
      <c r="E52">
        <v>1</v>
      </c>
      <c r="F52">
        <v>1</v>
      </c>
      <c r="G52">
        <v>1</v>
      </c>
      <c r="H52">
        <v>2</v>
      </c>
      <c r="I52" t="s">
        <v>299</v>
      </c>
      <c r="J52" t="s">
        <v>300</v>
      </c>
      <c r="K52" t="s">
        <v>301</v>
      </c>
      <c r="L52">
        <v>1368</v>
      </c>
      <c r="N52">
        <v>1011</v>
      </c>
      <c r="O52" t="s">
        <v>257</v>
      </c>
      <c r="P52" t="s">
        <v>257</v>
      </c>
      <c r="Q52">
        <v>1</v>
      </c>
      <c r="X52">
        <v>0.2</v>
      </c>
      <c r="Y52">
        <v>0</v>
      </c>
      <c r="Z52">
        <v>86.4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41</v>
      </c>
      <c r="AG52">
        <v>0.25</v>
      </c>
      <c r="AH52">
        <v>2</v>
      </c>
      <c r="AI52">
        <v>16878770</v>
      </c>
      <c r="AJ52">
        <v>50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ROW(Source!A37)</f>
        <v>37</v>
      </c>
      <c r="B53">
        <v>16878778</v>
      </c>
      <c r="C53">
        <v>16878767</v>
      </c>
      <c r="D53">
        <v>15249073</v>
      </c>
      <c r="E53">
        <v>1</v>
      </c>
      <c r="F53">
        <v>1</v>
      </c>
      <c r="G53">
        <v>1</v>
      </c>
      <c r="H53">
        <v>2</v>
      </c>
      <c r="I53" t="s">
        <v>273</v>
      </c>
      <c r="J53" t="s">
        <v>274</v>
      </c>
      <c r="K53" t="s">
        <v>275</v>
      </c>
      <c r="L53">
        <v>1368</v>
      </c>
      <c r="N53">
        <v>1011</v>
      </c>
      <c r="O53" t="s">
        <v>257</v>
      </c>
      <c r="P53" t="s">
        <v>257</v>
      </c>
      <c r="Q53">
        <v>1</v>
      </c>
      <c r="X53">
        <v>7.0000000000000007E-2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41</v>
      </c>
      <c r="AG53">
        <v>8.7500000000000008E-2</v>
      </c>
      <c r="AH53">
        <v>2</v>
      </c>
      <c r="AI53">
        <v>16878771</v>
      </c>
      <c r="AJ53">
        <v>51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ROW(Source!A37)</f>
        <v>37</v>
      </c>
      <c r="B54">
        <v>16878779</v>
      </c>
      <c r="C54">
        <v>16878767</v>
      </c>
      <c r="D54">
        <v>15170059</v>
      </c>
      <c r="E54">
        <v>1</v>
      </c>
      <c r="F54">
        <v>1</v>
      </c>
      <c r="G54">
        <v>1</v>
      </c>
      <c r="H54">
        <v>3</v>
      </c>
      <c r="I54" t="s">
        <v>302</v>
      </c>
      <c r="J54" t="s">
        <v>303</v>
      </c>
      <c r="K54" t="s">
        <v>304</v>
      </c>
      <c r="L54">
        <v>1348</v>
      </c>
      <c r="N54">
        <v>1009</v>
      </c>
      <c r="O54" t="s">
        <v>94</v>
      </c>
      <c r="P54" t="s">
        <v>94</v>
      </c>
      <c r="Q54">
        <v>1000</v>
      </c>
      <c r="X54">
        <v>4.0000000000000001E-3</v>
      </c>
      <c r="Y54">
        <v>8475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4.0000000000000001E-3</v>
      </c>
      <c r="AH54">
        <v>2</v>
      </c>
      <c r="AI54">
        <v>16878772</v>
      </c>
      <c r="AJ54">
        <v>52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ROW(Source!A37)</f>
        <v>37</v>
      </c>
      <c r="B55">
        <v>16878780</v>
      </c>
      <c r="C55">
        <v>16878767</v>
      </c>
      <c r="D55">
        <v>15191140</v>
      </c>
      <c r="E55">
        <v>1</v>
      </c>
      <c r="F55">
        <v>1</v>
      </c>
      <c r="G55">
        <v>1</v>
      </c>
      <c r="H55">
        <v>3</v>
      </c>
      <c r="I55" t="s">
        <v>305</v>
      </c>
      <c r="J55" t="s">
        <v>306</v>
      </c>
      <c r="K55" t="s">
        <v>307</v>
      </c>
      <c r="L55">
        <v>1348</v>
      </c>
      <c r="N55">
        <v>1009</v>
      </c>
      <c r="O55" t="s">
        <v>94</v>
      </c>
      <c r="P55" t="s">
        <v>94</v>
      </c>
      <c r="Q55">
        <v>1000</v>
      </c>
      <c r="X55">
        <v>1.2E-2</v>
      </c>
      <c r="Y55">
        <v>8190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1.2E-2</v>
      </c>
      <c r="AH55">
        <v>2</v>
      </c>
      <c r="AI55">
        <v>16878773</v>
      </c>
      <c r="AJ55">
        <v>53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ROW(Source!A37)</f>
        <v>37</v>
      </c>
      <c r="B56">
        <v>16878781</v>
      </c>
      <c r="C56">
        <v>16878767</v>
      </c>
      <c r="D56">
        <v>15191387</v>
      </c>
      <c r="E56">
        <v>1</v>
      </c>
      <c r="F56">
        <v>1</v>
      </c>
      <c r="G56">
        <v>1</v>
      </c>
      <c r="H56">
        <v>3</v>
      </c>
      <c r="I56" t="s">
        <v>308</v>
      </c>
      <c r="J56" t="s">
        <v>309</v>
      </c>
      <c r="K56" t="s">
        <v>310</v>
      </c>
      <c r="L56">
        <v>1348</v>
      </c>
      <c r="N56">
        <v>1009</v>
      </c>
      <c r="O56" t="s">
        <v>94</v>
      </c>
      <c r="P56" t="s">
        <v>94</v>
      </c>
      <c r="Q56">
        <v>1000</v>
      </c>
      <c r="X56">
        <v>0.78200000000000003</v>
      </c>
      <c r="Y56">
        <v>11200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0.78200000000000003</v>
      </c>
      <c r="AH56">
        <v>2</v>
      </c>
      <c r="AI56">
        <v>16878774</v>
      </c>
      <c r="AJ56">
        <v>54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ROW(Source!A38)</f>
        <v>38</v>
      </c>
      <c r="B57">
        <v>16878790</v>
      </c>
      <c r="C57">
        <v>16878782</v>
      </c>
      <c r="D57">
        <v>15430767</v>
      </c>
      <c r="E57">
        <v>1</v>
      </c>
      <c r="F57">
        <v>1</v>
      </c>
      <c r="G57">
        <v>1</v>
      </c>
      <c r="H57">
        <v>1</v>
      </c>
      <c r="I57" t="s">
        <v>297</v>
      </c>
      <c r="J57" t="s">
        <v>6</v>
      </c>
      <c r="K57" t="s">
        <v>298</v>
      </c>
      <c r="L57">
        <v>1191</v>
      </c>
      <c r="N57">
        <v>1013</v>
      </c>
      <c r="O57" t="s">
        <v>251</v>
      </c>
      <c r="P57" t="s">
        <v>251</v>
      </c>
      <c r="Q57">
        <v>1</v>
      </c>
      <c r="X57">
        <v>21.19</v>
      </c>
      <c r="Y57">
        <v>0</v>
      </c>
      <c r="Z57">
        <v>0</v>
      </c>
      <c r="AA57">
        <v>0</v>
      </c>
      <c r="AB57">
        <v>8.5299999999999994</v>
      </c>
      <c r="AC57">
        <v>0</v>
      </c>
      <c r="AD57">
        <v>1</v>
      </c>
      <c r="AE57">
        <v>1</v>
      </c>
      <c r="AF57" t="s">
        <v>42</v>
      </c>
      <c r="AG57">
        <v>24.368500000000001</v>
      </c>
      <c r="AH57">
        <v>2</v>
      </c>
      <c r="AI57">
        <v>16878783</v>
      </c>
      <c r="AJ57">
        <v>55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ROW(Source!A38)</f>
        <v>38</v>
      </c>
      <c r="B58">
        <v>16878791</v>
      </c>
      <c r="C58">
        <v>16878782</v>
      </c>
      <c r="D58">
        <v>15430395</v>
      </c>
      <c r="E58">
        <v>1</v>
      </c>
      <c r="F58">
        <v>1</v>
      </c>
      <c r="G58">
        <v>1</v>
      </c>
      <c r="H58">
        <v>1</v>
      </c>
      <c r="I58" t="s">
        <v>252</v>
      </c>
      <c r="J58" t="s">
        <v>6</v>
      </c>
      <c r="K58" t="s">
        <v>253</v>
      </c>
      <c r="L58">
        <v>1191</v>
      </c>
      <c r="N58">
        <v>1013</v>
      </c>
      <c r="O58" t="s">
        <v>251</v>
      </c>
      <c r="P58" t="s">
        <v>251</v>
      </c>
      <c r="Q58">
        <v>1</v>
      </c>
      <c r="X58">
        <v>0.19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41</v>
      </c>
      <c r="AG58">
        <v>0.23749999999999999</v>
      </c>
      <c r="AH58">
        <v>2</v>
      </c>
      <c r="AI58">
        <v>16878784</v>
      </c>
      <c r="AJ58">
        <v>56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ROW(Source!A38)</f>
        <v>38</v>
      </c>
      <c r="B59">
        <v>16878792</v>
      </c>
      <c r="C59">
        <v>16878782</v>
      </c>
      <c r="D59">
        <v>15247974</v>
      </c>
      <c r="E59">
        <v>1</v>
      </c>
      <c r="F59">
        <v>1</v>
      </c>
      <c r="G59">
        <v>1</v>
      </c>
      <c r="H59">
        <v>2</v>
      </c>
      <c r="I59" t="s">
        <v>254</v>
      </c>
      <c r="J59" t="s">
        <v>255</v>
      </c>
      <c r="K59" t="s">
        <v>256</v>
      </c>
      <c r="L59">
        <v>1368</v>
      </c>
      <c r="N59">
        <v>1011</v>
      </c>
      <c r="O59" t="s">
        <v>257</v>
      </c>
      <c r="P59" t="s">
        <v>257</v>
      </c>
      <c r="Q59">
        <v>1</v>
      </c>
      <c r="X59">
        <v>0.04</v>
      </c>
      <c r="Y59">
        <v>0</v>
      </c>
      <c r="Z59">
        <v>31.26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41</v>
      </c>
      <c r="AG59">
        <v>0.05</v>
      </c>
      <c r="AH59">
        <v>2</v>
      </c>
      <c r="AI59">
        <v>16878785</v>
      </c>
      <c r="AJ59">
        <v>57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ROW(Source!A38)</f>
        <v>38</v>
      </c>
      <c r="B60">
        <v>16878793</v>
      </c>
      <c r="C60">
        <v>16878782</v>
      </c>
      <c r="D60">
        <v>15249073</v>
      </c>
      <c r="E60">
        <v>1</v>
      </c>
      <c r="F60">
        <v>1</v>
      </c>
      <c r="G60">
        <v>1</v>
      </c>
      <c r="H60">
        <v>2</v>
      </c>
      <c r="I60" t="s">
        <v>273</v>
      </c>
      <c r="J60" t="s">
        <v>274</v>
      </c>
      <c r="K60" t="s">
        <v>275</v>
      </c>
      <c r="L60">
        <v>1368</v>
      </c>
      <c r="N60">
        <v>1011</v>
      </c>
      <c r="O60" t="s">
        <v>257</v>
      </c>
      <c r="P60" t="s">
        <v>257</v>
      </c>
      <c r="Q60">
        <v>1</v>
      </c>
      <c r="X60">
        <v>0.15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41</v>
      </c>
      <c r="AG60">
        <v>0.1875</v>
      </c>
      <c r="AH60">
        <v>2</v>
      </c>
      <c r="AI60">
        <v>16878786</v>
      </c>
      <c r="AJ60">
        <v>58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ROW(Source!A38)</f>
        <v>38</v>
      </c>
      <c r="B61">
        <v>16878794</v>
      </c>
      <c r="C61">
        <v>16878782</v>
      </c>
      <c r="D61">
        <v>15162469</v>
      </c>
      <c r="E61">
        <v>17</v>
      </c>
      <c r="F61">
        <v>1</v>
      </c>
      <c r="G61">
        <v>1</v>
      </c>
      <c r="H61">
        <v>3</v>
      </c>
      <c r="I61" t="s">
        <v>323</v>
      </c>
      <c r="J61" t="s">
        <v>6</v>
      </c>
      <c r="K61" t="s">
        <v>324</v>
      </c>
      <c r="L61">
        <v>1301</v>
      </c>
      <c r="N61">
        <v>1003</v>
      </c>
      <c r="O61" t="s">
        <v>68</v>
      </c>
      <c r="P61" t="s">
        <v>68</v>
      </c>
      <c r="Q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 t="s">
        <v>6</v>
      </c>
      <c r="AG61">
        <v>0</v>
      </c>
      <c r="AH61">
        <v>3</v>
      </c>
      <c r="AI61">
        <v>-1</v>
      </c>
      <c r="AJ61" t="s">
        <v>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ROW(Source!A38)</f>
        <v>38</v>
      </c>
      <c r="B62">
        <v>16878795</v>
      </c>
      <c r="C62">
        <v>16878782</v>
      </c>
      <c r="D62">
        <v>15197780</v>
      </c>
      <c r="E62">
        <v>1</v>
      </c>
      <c r="F62">
        <v>1</v>
      </c>
      <c r="G62">
        <v>1</v>
      </c>
      <c r="H62">
        <v>3</v>
      </c>
      <c r="I62" t="s">
        <v>289</v>
      </c>
      <c r="J62" t="s">
        <v>290</v>
      </c>
      <c r="K62" t="s">
        <v>291</v>
      </c>
      <c r="L62">
        <v>1355</v>
      </c>
      <c r="N62">
        <v>1010</v>
      </c>
      <c r="O62" t="s">
        <v>292</v>
      </c>
      <c r="P62" t="s">
        <v>292</v>
      </c>
      <c r="Q62">
        <v>100</v>
      </c>
      <c r="X62">
        <v>4</v>
      </c>
      <c r="Y62">
        <v>50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4</v>
      </c>
      <c r="AH62">
        <v>2</v>
      </c>
      <c r="AI62">
        <v>16878787</v>
      </c>
      <c r="AJ62">
        <v>60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ROW(Source!A38)</f>
        <v>38</v>
      </c>
      <c r="B63">
        <v>16878796</v>
      </c>
      <c r="C63">
        <v>16878782</v>
      </c>
      <c r="D63">
        <v>15204239</v>
      </c>
      <c r="E63">
        <v>1</v>
      </c>
      <c r="F63">
        <v>1</v>
      </c>
      <c r="G63">
        <v>1</v>
      </c>
      <c r="H63">
        <v>3</v>
      </c>
      <c r="I63" t="s">
        <v>293</v>
      </c>
      <c r="J63" t="s">
        <v>294</v>
      </c>
      <c r="K63" t="s">
        <v>295</v>
      </c>
      <c r="L63">
        <v>1354</v>
      </c>
      <c r="N63">
        <v>1010</v>
      </c>
      <c r="O63" t="s">
        <v>296</v>
      </c>
      <c r="P63" t="s">
        <v>296</v>
      </c>
      <c r="Q63">
        <v>1</v>
      </c>
      <c r="X63">
        <v>56.6</v>
      </c>
      <c r="Y63">
        <v>67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56.6</v>
      </c>
      <c r="AH63">
        <v>2</v>
      </c>
      <c r="AI63">
        <v>16878788</v>
      </c>
      <c r="AJ63">
        <v>61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ROW(Source!A39)</f>
        <v>39</v>
      </c>
      <c r="B64">
        <v>16878790</v>
      </c>
      <c r="C64">
        <v>16878782</v>
      </c>
      <c r="D64">
        <v>15430767</v>
      </c>
      <c r="E64">
        <v>1</v>
      </c>
      <c r="F64">
        <v>1</v>
      </c>
      <c r="G64">
        <v>1</v>
      </c>
      <c r="H64">
        <v>1</v>
      </c>
      <c r="I64" t="s">
        <v>297</v>
      </c>
      <c r="J64" t="s">
        <v>6</v>
      </c>
      <c r="K64" t="s">
        <v>298</v>
      </c>
      <c r="L64">
        <v>1191</v>
      </c>
      <c r="N64">
        <v>1013</v>
      </c>
      <c r="O64" t="s">
        <v>251</v>
      </c>
      <c r="P64" t="s">
        <v>251</v>
      </c>
      <c r="Q64">
        <v>1</v>
      </c>
      <c r="X64">
        <v>21.19</v>
      </c>
      <c r="Y64">
        <v>0</v>
      </c>
      <c r="Z64">
        <v>0</v>
      </c>
      <c r="AA64">
        <v>0</v>
      </c>
      <c r="AB64">
        <v>8.5299999999999994</v>
      </c>
      <c r="AC64">
        <v>0</v>
      </c>
      <c r="AD64">
        <v>1</v>
      </c>
      <c r="AE64">
        <v>1</v>
      </c>
      <c r="AF64" t="s">
        <v>42</v>
      </c>
      <c r="AG64">
        <v>24.368500000000001</v>
      </c>
      <c r="AH64">
        <v>2</v>
      </c>
      <c r="AI64">
        <v>16878783</v>
      </c>
      <c r="AJ64">
        <v>62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ROW(Source!A39)</f>
        <v>39</v>
      </c>
      <c r="B65">
        <v>16878791</v>
      </c>
      <c r="C65">
        <v>16878782</v>
      </c>
      <c r="D65">
        <v>15430395</v>
      </c>
      <c r="E65">
        <v>1</v>
      </c>
      <c r="F65">
        <v>1</v>
      </c>
      <c r="G65">
        <v>1</v>
      </c>
      <c r="H65">
        <v>1</v>
      </c>
      <c r="I65" t="s">
        <v>252</v>
      </c>
      <c r="J65" t="s">
        <v>6</v>
      </c>
      <c r="K65" t="s">
        <v>253</v>
      </c>
      <c r="L65">
        <v>1191</v>
      </c>
      <c r="N65">
        <v>1013</v>
      </c>
      <c r="O65" t="s">
        <v>251</v>
      </c>
      <c r="P65" t="s">
        <v>251</v>
      </c>
      <c r="Q65">
        <v>1</v>
      </c>
      <c r="X65">
        <v>0.19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F65" t="s">
        <v>41</v>
      </c>
      <c r="AG65">
        <v>0.23749999999999999</v>
      </c>
      <c r="AH65">
        <v>2</v>
      </c>
      <c r="AI65">
        <v>16878784</v>
      </c>
      <c r="AJ65">
        <v>63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ROW(Source!A39)</f>
        <v>39</v>
      </c>
      <c r="B66">
        <v>16878792</v>
      </c>
      <c r="C66">
        <v>16878782</v>
      </c>
      <c r="D66">
        <v>15247974</v>
      </c>
      <c r="E66">
        <v>1</v>
      </c>
      <c r="F66">
        <v>1</v>
      </c>
      <c r="G66">
        <v>1</v>
      </c>
      <c r="H66">
        <v>2</v>
      </c>
      <c r="I66" t="s">
        <v>254</v>
      </c>
      <c r="J66" t="s">
        <v>255</v>
      </c>
      <c r="K66" t="s">
        <v>256</v>
      </c>
      <c r="L66">
        <v>1368</v>
      </c>
      <c r="N66">
        <v>1011</v>
      </c>
      <c r="O66" t="s">
        <v>257</v>
      </c>
      <c r="P66" t="s">
        <v>257</v>
      </c>
      <c r="Q66">
        <v>1</v>
      </c>
      <c r="X66">
        <v>0.04</v>
      </c>
      <c r="Y66">
        <v>0</v>
      </c>
      <c r="Z66">
        <v>31.26</v>
      </c>
      <c r="AA66">
        <v>13.5</v>
      </c>
      <c r="AB66">
        <v>0</v>
      </c>
      <c r="AC66">
        <v>0</v>
      </c>
      <c r="AD66">
        <v>1</v>
      </c>
      <c r="AE66">
        <v>0</v>
      </c>
      <c r="AF66" t="s">
        <v>41</v>
      </c>
      <c r="AG66">
        <v>0.05</v>
      </c>
      <c r="AH66">
        <v>2</v>
      </c>
      <c r="AI66">
        <v>16878785</v>
      </c>
      <c r="AJ66">
        <v>64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ROW(Source!A39)</f>
        <v>39</v>
      </c>
      <c r="B67">
        <v>16878793</v>
      </c>
      <c r="C67">
        <v>16878782</v>
      </c>
      <c r="D67">
        <v>15249073</v>
      </c>
      <c r="E67">
        <v>1</v>
      </c>
      <c r="F67">
        <v>1</v>
      </c>
      <c r="G67">
        <v>1</v>
      </c>
      <c r="H67">
        <v>2</v>
      </c>
      <c r="I67" t="s">
        <v>273</v>
      </c>
      <c r="J67" t="s">
        <v>274</v>
      </c>
      <c r="K67" t="s">
        <v>275</v>
      </c>
      <c r="L67">
        <v>1368</v>
      </c>
      <c r="N67">
        <v>1011</v>
      </c>
      <c r="O67" t="s">
        <v>257</v>
      </c>
      <c r="P67" t="s">
        <v>257</v>
      </c>
      <c r="Q67">
        <v>1</v>
      </c>
      <c r="X67">
        <v>0.15</v>
      </c>
      <c r="Y67">
        <v>0</v>
      </c>
      <c r="Z67">
        <v>65.709999999999994</v>
      </c>
      <c r="AA67">
        <v>11.6</v>
      </c>
      <c r="AB67">
        <v>0</v>
      </c>
      <c r="AC67">
        <v>0</v>
      </c>
      <c r="AD67">
        <v>1</v>
      </c>
      <c r="AE67">
        <v>0</v>
      </c>
      <c r="AF67" t="s">
        <v>41</v>
      </c>
      <c r="AG67">
        <v>0.1875</v>
      </c>
      <c r="AH67">
        <v>2</v>
      </c>
      <c r="AI67">
        <v>16878786</v>
      </c>
      <c r="AJ67">
        <v>65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ROW(Source!A39)</f>
        <v>39</v>
      </c>
      <c r="B68">
        <v>16878794</v>
      </c>
      <c r="C68">
        <v>16878782</v>
      </c>
      <c r="D68">
        <v>15162469</v>
      </c>
      <c r="E68">
        <v>17</v>
      </c>
      <c r="F68">
        <v>1</v>
      </c>
      <c r="G68">
        <v>1</v>
      </c>
      <c r="H68">
        <v>3</v>
      </c>
      <c r="I68" t="s">
        <v>323</v>
      </c>
      <c r="J68" t="s">
        <v>6</v>
      </c>
      <c r="K68" t="s">
        <v>324</v>
      </c>
      <c r="L68">
        <v>1301</v>
      </c>
      <c r="N68">
        <v>1003</v>
      </c>
      <c r="O68" t="s">
        <v>68</v>
      </c>
      <c r="P68" t="s">
        <v>68</v>
      </c>
      <c r="Q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3</v>
      </c>
      <c r="AI68">
        <v>-1</v>
      </c>
      <c r="AJ68" t="s">
        <v>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ROW(Source!A39)</f>
        <v>39</v>
      </c>
      <c r="B69">
        <v>16878795</v>
      </c>
      <c r="C69">
        <v>16878782</v>
      </c>
      <c r="D69">
        <v>15197780</v>
      </c>
      <c r="E69">
        <v>1</v>
      </c>
      <c r="F69">
        <v>1</v>
      </c>
      <c r="G69">
        <v>1</v>
      </c>
      <c r="H69">
        <v>3</v>
      </c>
      <c r="I69" t="s">
        <v>289</v>
      </c>
      <c r="J69" t="s">
        <v>290</v>
      </c>
      <c r="K69" t="s">
        <v>291</v>
      </c>
      <c r="L69">
        <v>1355</v>
      </c>
      <c r="N69">
        <v>1010</v>
      </c>
      <c r="O69" t="s">
        <v>292</v>
      </c>
      <c r="P69" t="s">
        <v>292</v>
      </c>
      <c r="Q69">
        <v>100</v>
      </c>
      <c r="X69">
        <v>4</v>
      </c>
      <c r="Y69">
        <v>50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4</v>
      </c>
      <c r="AH69">
        <v>2</v>
      </c>
      <c r="AI69">
        <v>16878787</v>
      </c>
      <c r="AJ69">
        <v>67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ROW(Source!A39)</f>
        <v>39</v>
      </c>
      <c r="B70">
        <v>16878796</v>
      </c>
      <c r="C70">
        <v>16878782</v>
      </c>
      <c r="D70">
        <v>15204239</v>
      </c>
      <c r="E70">
        <v>1</v>
      </c>
      <c r="F70">
        <v>1</v>
      </c>
      <c r="G70">
        <v>1</v>
      </c>
      <c r="H70">
        <v>3</v>
      </c>
      <c r="I70" t="s">
        <v>293</v>
      </c>
      <c r="J70" t="s">
        <v>294</v>
      </c>
      <c r="K70" t="s">
        <v>295</v>
      </c>
      <c r="L70">
        <v>1354</v>
      </c>
      <c r="N70">
        <v>1010</v>
      </c>
      <c r="O70" t="s">
        <v>296</v>
      </c>
      <c r="P70" t="s">
        <v>296</v>
      </c>
      <c r="Q70">
        <v>1</v>
      </c>
      <c r="X70">
        <v>56.6</v>
      </c>
      <c r="Y70">
        <v>67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56.6</v>
      </c>
      <c r="AH70">
        <v>2</v>
      </c>
      <c r="AI70">
        <v>16878788</v>
      </c>
      <c r="AJ70">
        <v>68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ROW(Source!A42)</f>
        <v>42</v>
      </c>
      <c r="B71">
        <v>16878810</v>
      </c>
      <c r="C71">
        <v>16878798</v>
      </c>
      <c r="D71">
        <v>15438286</v>
      </c>
      <c r="E71">
        <v>1</v>
      </c>
      <c r="F71">
        <v>1</v>
      </c>
      <c r="G71">
        <v>1</v>
      </c>
      <c r="H71">
        <v>1</v>
      </c>
      <c r="I71" t="s">
        <v>311</v>
      </c>
      <c r="J71" t="s">
        <v>6</v>
      </c>
      <c r="K71" t="s">
        <v>312</v>
      </c>
      <c r="L71">
        <v>1191</v>
      </c>
      <c r="N71">
        <v>1013</v>
      </c>
      <c r="O71" t="s">
        <v>251</v>
      </c>
      <c r="P71" t="s">
        <v>251</v>
      </c>
      <c r="Q71">
        <v>1</v>
      </c>
      <c r="X71">
        <v>166.47</v>
      </c>
      <c r="Y71">
        <v>0</v>
      </c>
      <c r="Z71">
        <v>0</v>
      </c>
      <c r="AA71">
        <v>0</v>
      </c>
      <c r="AB71">
        <v>9.18</v>
      </c>
      <c r="AC71">
        <v>0</v>
      </c>
      <c r="AD71">
        <v>1</v>
      </c>
      <c r="AE71">
        <v>1</v>
      </c>
      <c r="AF71" t="s">
        <v>42</v>
      </c>
      <c r="AG71">
        <v>191.44049999999999</v>
      </c>
      <c r="AH71">
        <v>2</v>
      </c>
      <c r="AI71">
        <v>16878799</v>
      </c>
      <c r="AJ71">
        <v>69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ROW(Source!A42)</f>
        <v>42</v>
      </c>
      <c r="B72">
        <v>16878811</v>
      </c>
      <c r="C72">
        <v>16878798</v>
      </c>
      <c r="D72">
        <v>15430395</v>
      </c>
      <c r="E72">
        <v>1</v>
      </c>
      <c r="F72">
        <v>1</v>
      </c>
      <c r="G72">
        <v>1</v>
      </c>
      <c r="H72">
        <v>1</v>
      </c>
      <c r="I72" t="s">
        <v>252</v>
      </c>
      <c r="J72" t="s">
        <v>6</v>
      </c>
      <c r="K72" t="s">
        <v>253</v>
      </c>
      <c r="L72">
        <v>1191</v>
      </c>
      <c r="N72">
        <v>1013</v>
      </c>
      <c r="O72" t="s">
        <v>251</v>
      </c>
      <c r="P72" t="s">
        <v>251</v>
      </c>
      <c r="Q72">
        <v>1</v>
      </c>
      <c r="X72">
        <v>0.57999999999999996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41</v>
      </c>
      <c r="AG72">
        <v>0.72499999999999998</v>
      </c>
      <c r="AH72">
        <v>2</v>
      </c>
      <c r="AI72">
        <v>16878800</v>
      </c>
      <c r="AJ72">
        <v>70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ROW(Source!A42)</f>
        <v>42</v>
      </c>
      <c r="B73">
        <v>16878812</v>
      </c>
      <c r="C73">
        <v>16878798</v>
      </c>
      <c r="D73">
        <v>15247974</v>
      </c>
      <c r="E73">
        <v>1</v>
      </c>
      <c r="F73">
        <v>1</v>
      </c>
      <c r="G73">
        <v>1</v>
      </c>
      <c r="H73">
        <v>2</v>
      </c>
      <c r="I73" t="s">
        <v>254</v>
      </c>
      <c r="J73" t="s">
        <v>255</v>
      </c>
      <c r="K73" t="s">
        <v>256</v>
      </c>
      <c r="L73">
        <v>1368</v>
      </c>
      <c r="N73">
        <v>1011</v>
      </c>
      <c r="O73" t="s">
        <v>257</v>
      </c>
      <c r="P73" t="s">
        <v>257</v>
      </c>
      <c r="Q73">
        <v>1</v>
      </c>
      <c r="X73">
        <v>0.08</v>
      </c>
      <c r="Y73">
        <v>0</v>
      </c>
      <c r="Z73">
        <v>31.26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41</v>
      </c>
      <c r="AG73">
        <v>0.1</v>
      </c>
      <c r="AH73">
        <v>2</v>
      </c>
      <c r="AI73">
        <v>16878801</v>
      </c>
      <c r="AJ73">
        <v>71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ROW(Source!A42)</f>
        <v>42</v>
      </c>
      <c r="B74">
        <v>16878813</v>
      </c>
      <c r="C74">
        <v>16878798</v>
      </c>
      <c r="D74">
        <v>15249073</v>
      </c>
      <c r="E74">
        <v>1</v>
      </c>
      <c r="F74">
        <v>1</v>
      </c>
      <c r="G74">
        <v>1</v>
      </c>
      <c r="H74">
        <v>2</v>
      </c>
      <c r="I74" t="s">
        <v>273</v>
      </c>
      <c r="J74" t="s">
        <v>274</v>
      </c>
      <c r="K74" t="s">
        <v>275</v>
      </c>
      <c r="L74">
        <v>1368</v>
      </c>
      <c r="N74">
        <v>1011</v>
      </c>
      <c r="O74" t="s">
        <v>257</v>
      </c>
      <c r="P74" t="s">
        <v>257</v>
      </c>
      <c r="Q74">
        <v>1</v>
      </c>
      <c r="X74">
        <v>0.5</v>
      </c>
      <c r="Y74">
        <v>0</v>
      </c>
      <c r="Z74">
        <v>65.709999999999994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41</v>
      </c>
      <c r="AG74">
        <v>0.625</v>
      </c>
      <c r="AH74">
        <v>2</v>
      </c>
      <c r="AI74">
        <v>16878802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ROW(Source!A42)</f>
        <v>42</v>
      </c>
      <c r="B75">
        <v>16878814</v>
      </c>
      <c r="C75">
        <v>16878798</v>
      </c>
      <c r="D75">
        <v>15162966</v>
      </c>
      <c r="E75">
        <v>17</v>
      </c>
      <c r="F75">
        <v>1</v>
      </c>
      <c r="G75">
        <v>1</v>
      </c>
      <c r="H75">
        <v>3</v>
      </c>
      <c r="I75" t="s">
        <v>77</v>
      </c>
      <c r="J75" t="s">
        <v>6</v>
      </c>
      <c r="K75" t="s">
        <v>78</v>
      </c>
      <c r="L75">
        <v>1327</v>
      </c>
      <c r="N75">
        <v>1005</v>
      </c>
      <c r="O75" t="s">
        <v>49</v>
      </c>
      <c r="P75" t="s">
        <v>49</v>
      </c>
      <c r="Q75">
        <v>1</v>
      </c>
      <c r="X75">
        <v>105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 t="s">
        <v>6</v>
      </c>
      <c r="AG75">
        <v>105</v>
      </c>
      <c r="AH75">
        <v>2</v>
      </c>
      <c r="AI75">
        <v>16878803</v>
      </c>
      <c r="AJ75">
        <v>73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ROW(Source!A42)</f>
        <v>42</v>
      </c>
      <c r="B76">
        <v>16878815</v>
      </c>
      <c r="C76">
        <v>16878798</v>
      </c>
      <c r="D76">
        <v>15171018</v>
      </c>
      <c r="E76">
        <v>1</v>
      </c>
      <c r="F76">
        <v>1</v>
      </c>
      <c r="G76">
        <v>1</v>
      </c>
      <c r="H76">
        <v>3</v>
      </c>
      <c r="I76" t="s">
        <v>313</v>
      </c>
      <c r="J76" t="s">
        <v>314</v>
      </c>
      <c r="K76" t="s">
        <v>315</v>
      </c>
      <c r="L76">
        <v>1346</v>
      </c>
      <c r="N76">
        <v>1009</v>
      </c>
      <c r="O76" t="s">
        <v>86</v>
      </c>
      <c r="P76" t="s">
        <v>86</v>
      </c>
      <c r="Q76">
        <v>1</v>
      </c>
      <c r="X76">
        <v>0.2</v>
      </c>
      <c r="Y76">
        <v>1.82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0.2</v>
      </c>
      <c r="AH76">
        <v>2</v>
      </c>
      <c r="AI76">
        <v>16878804</v>
      </c>
      <c r="AJ76">
        <v>74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ROW(Source!A42)</f>
        <v>42</v>
      </c>
      <c r="B77">
        <v>16878816</v>
      </c>
      <c r="C77">
        <v>16878798</v>
      </c>
      <c r="D77">
        <v>15162257</v>
      </c>
      <c r="E77">
        <v>17</v>
      </c>
      <c r="F77">
        <v>1</v>
      </c>
      <c r="G77">
        <v>1</v>
      </c>
      <c r="H77">
        <v>3</v>
      </c>
      <c r="I77" t="s">
        <v>84</v>
      </c>
      <c r="J77" t="s">
        <v>6</v>
      </c>
      <c r="K77" t="s">
        <v>85</v>
      </c>
      <c r="L77">
        <v>1346</v>
      </c>
      <c r="N77">
        <v>1009</v>
      </c>
      <c r="O77" t="s">
        <v>86</v>
      </c>
      <c r="P77" t="s">
        <v>86</v>
      </c>
      <c r="Q77">
        <v>1</v>
      </c>
      <c r="X77">
        <v>30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 t="s">
        <v>6</v>
      </c>
      <c r="AG77">
        <v>30</v>
      </c>
      <c r="AH77">
        <v>2</v>
      </c>
      <c r="AI77">
        <v>16878805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ROW(Source!A42)</f>
        <v>42</v>
      </c>
      <c r="B78">
        <v>16878817</v>
      </c>
      <c r="C78">
        <v>16878798</v>
      </c>
      <c r="D78">
        <v>15162572</v>
      </c>
      <c r="E78">
        <v>17</v>
      </c>
      <c r="F78">
        <v>1</v>
      </c>
      <c r="G78">
        <v>1</v>
      </c>
      <c r="H78">
        <v>3</v>
      </c>
      <c r="I78" t="s">
        <v>97</v>
      </c>
      <c r="J78" t="s">
        <v>6</v>
      </c>
      <c r="K78" t="s">
        <v>98</v>
      </c>
      <c r="L78">
        <v>1348</v>
      </c>
      <c r="N78">
        <v>1009</v>
      </c>
      <c r="O78" t="s">
        <v>94</v>
      </c>
      <c r="P78" t="s">
        <v>94</v>
      </c>
      <c r="Q78">
        <v>1000</v>
      </c>
      <c r="X78">
        <v>8.8999999999999999E-3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 t="s">
        <v>6</v>
      </c>
      <c r="AG78">
        <v>8.8999999999999999E-3</v>
      </c>
      <c r="AH78">
        <v>2</v>
      </c>
      <c r="AI78">
        <v>16878806</v>
      </c>
      <c r="AJ78">
        <v>79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ROW(Source!A43)</f>
        <v>43</v>
      </c>
      <c r="B79">
        <v>16878810</v>
      </c>
      <c r="C79">
        <v>16878798</v>
      </c>
      <c r="D79">
        <v>15438286</v>
      </c>
      <c r="E79">
        <v>1</v>
      </c>
      <c r="F79">
        <v>1</v>
      </c>
      <c r="G79">
        <v>1</v>
      </c>
      <c r="H79">
        <v>1</v>
      </c>
      <c r="I79" t="s">
        <v>311</v>
      </c>
      <c r="J79" t="s">
        <v>6</v>
      </c>
      <c r="K79" t="s">
        <v>312</v>
      </c>
      <c r="L79">
        <v>1191</v>
      </c>
      <c r="N79">
        <v>1013</v>
      </c>
      <c r="O79" t="s">
        <v>251</v>
      </c>
      <c r="P79" t="s">
        <v>251</v>
      </c>
      <c r="Q79">
        <v>1</v>
      </c>
      <c r="X79">
        <v>166.47</v>
      </c>
      <c r="Y79">
        <v>0</v>
      </c>
      <c r="Z79">
        <v>0</v>
      </c>
      <c r="AA79">
        <v>0</v>
      </c>
      <c r="AB79">
        <v>9.18</v>
      </c>
      <c r="AC79">
        <v>0</v>
      </c>
      <c r="AD79">
        <v>1</v>
      </c>
      <c r="AE79">
        <v>1</v>
      </c>
      <c r="AF79" t="s">
        <v>42</v>
      </c>
      <c r="AG79">
        <v>191.44049999999999</v>
      </c>
      <c r="AH79">
        <v>2</v>
      </c>
      <c r="AI79">
        <v>16878799</v>
      </c>
      <c r="AJ79">
        <v>80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ROW(Source!A43)</f>
        <v>43</v>
      </c>
      <c r="B80">
        <v>16878811</v>
      </c>
      <c r="C80">
        <v>16878798</v>
      </c>
      <c r="D80">
        <v>15430395</v>
      </c>
      <c r="E80">
        <v>1</v>
      </c>
      <c r="F80">
        <v>1</v>
      </c>
      <c r="G80">
        <v>1</v>
      </c>
      <c r="H80">
        <v>1</v>
      </c>
      <c r="I80" t="s">
        <v>252</v>
      </c>
      <c r="J80" t="s">
        <v>6</v>
      </c>
      <c r="K80" t="s">
        <v>253</v>
      </c>
      <c r="L80">
        <v>1191</v>
      </c>
      <c r="N80">
        <v>1013</v>
      </c>
      <c r="O80" t="s">
        <v>251</v>
      </c>
      <c r="P80" t="s">
        <v>251</v>
      </c>
      <c r="Q80">
        <v>1</v>
      </c>
      <c r="X80">
        <v>0.57999999999999996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41</v>
      </c>
      <c r="AG80">
        <v>0.72499999999999998</v>
      </c>
      <c r="AH80">
        <v>2</v>
      </c>
      <c r="AI80">
        <v>16878800</v>
      </c>
      <c r="AJ80">
        <v>81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ROW(Source!A43)</f>
        <v>43</v>
      </c>
      <c r="B81">
        <v>16878812</v>
      </c>
      <c r="C81">
        <v>16878798</v>
      </c>
      <c r="D81">
        <v>15247974</v>
      </c>
      <c r="E81">
        <v>1</v>
      </c>
      <c r="F81">
        <v>1</v>
      </c>
      <c r="G81">
        <v>1</v>
      </c>
      <c r="H81">
        <v>2</v>
      </c>
      <c r="I81" t="s">
        <v>254</v>
      </c>
      <c r="J81" t="s">
        <v>255</v>
      </c>
      <c r="K81" t="s">
        <v>256</v>
      </c>
      <c r="L81">
        <v>1368</v>
      </c>
      <c r="N81">
        <v>1011</v>
      </c>
      <c r="O81" t="s">
        <v>257</v>
      </c>
      <c r="P81" t="s">
        <v>257</v>
      </c>
      <c r="Q81">
        <v>1</v>
      </c>
      <c r="X81">
        <v>0.08</v>
      </c>
      <c r="Y81">
        <v>0</v>
      </c>
      <c r="Z81">
        <v>31.26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41</v>
      </c>
      <c r="AG81">
        <v>0.1</v>
      </c>
      <c r="AH81">
        <v>2</v>
      </c>
      <c r="AI81">
        <v>16878801</v>
      </c>
      <c r="AJ81">
        <v>82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ROW(Source!A43)</f>
        <v>43</v>
      </c>
      <c r="B82">
        <v>16878813</v>
      </c>
      <c r="C82">
        <v>16878798</v>
      </c>
      <c r="D82">
        <v>15249073</v>
      </c>
      <c r="E82">
        <v>1</v>
      </c>
      <c r="F82">
        <v>1</v>
      </c>
      <c r="G82">
        <v>1</v>
      </c>
      <c r="H82">
        <v>2</v>
      </c>
      <c r="I82" t="s">
        <v>273</v>
      </c>
      <c r="J82" t="s">
        <v>274</v>
      </c>
      <c r="K82" t="s">
        <v>275</v>
      </c>
      <c r="L82">
        <v>1368</v>
      </c>
      <c r="N82">
        <v>1011</v>
      </c>
      <c r="O82" t="s">
        <v>257</v>
      </c>
      <c r="P82" t="s">
        <v>257</v>
      </c>
      <c r="Q82">
        <v>1</v>
      </c>
      <c r="X82">
        <v>0.5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41</v>
      </c>
      <c r="AG82">
        <v>0.625</v>
      </c>
      <c r="AH82">
        <v>2</v>
      </c>
      <c r="AI82">
        <v>16878802</v>
      </c>
      <c r="AJ82">
        <v>83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ROW(Source!A43)</f>
        <v>43</v>
      </c>
      <c r="B83">
        <v>16878814</v>
      </c>
      <c r="C83">
        <v>16878798</v>
      </c>
      <c r="D83">
        <v>15162966</v>
      </c>
      <c r="E83">
        <v>17</v>
      </c>
      <c r="F83">
        <v>1</v>
      </c>
      <c r="G83">
        <v>1</v>
      </c>
      <c r="H83">
        <v>3</v>
      </c>
      <c r="I83" t="s">
        <v>77</v>
      </c>
      <c r="J83" t="s">
        <v>6</v>
      </c>
      <c r="K83" t="s">
        <v>78</v>
      </c>
      <c r="L83">
        <v>1327</v>
      </c>
      <c r="N83">
        <v>1005</v>
      </c>
      <c r="O83" t="s">
        <v>49</v>
      </c>
      <c r="P83" t="s">
        <v>49</v>
      </c>
      <c r="Q83">
        <v>1</v>
      </c>
      <c r="X83">
        <v>105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 t="s">
        <v>6</v>
      </c>
      <c r="AG83">
        <v>105</v>
      </c>
      <c r="AH83">
        <v>2</v>
      </c>
      <c r="AI83">
        <v>16878803</v>
      </c>
      <c r="AJ83">
        <v>84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ROW(Source!A43)</f>
        <v>43</v>
      </c>
      <c r="B84">
        <v>16878815</v>
      </c>
      <c r="C84">
        <v>16878798</v>
      </c>
      <c r="D84">
        <v>15171018</v>
      </c>
      <c r="E84">
        <v>1</v>
      </c>
      <c r="F84">
        <v>1</v>
      </c>
      <c r="G84">
        <v>1</v>
      </c>
      <c r="H84">
        <v>3</v>
      </c>
      <c r="I84" t="s">
        <v>313</v>
      </c>
      <c r="J84" t="s">
        <v>314</v>
      </c>
      <c r="K84" t="s">
        <v>315</v>
      </c>
      <c r="L84">
        <v>1346</v>
      </c>
      <c r="N84">
        <v>1009</v>
      </c>
      <c r="O84" t="s">
        <v>86</v>
      </c>
      <c r="P84" t="s">
        <v>86</v>
      </c>
      <c r="Q84">
        <v>1</v>
      </c>
      <c r="X84">
        <v>0.2</v>
      </c>
      <c r="Y84">
        <v>1.82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0.2</v>
      </c>
      <c r="AH84">
        <v>2</v>
      </c>
      <c r="AI84">
        <v>16878804</v>
      </c>
      <c r="AJ84">
        <v>85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ROW(Source!A43)</f>
        <v>43</v>
      </c>
      <c r="B85">
        <v>16878816</v>
      </c>
      <c r="C85">
        <v>16878798</v>
      </c>
      <c r="D85">
        <v>15162257</v>
      </c>
      <c r="E85">
        <v>17</v>
      </c>
      <c r="F85">
        <v>1</v>
      </c>
      <c r="G85">
        <v>1</v>
      </c>
      <c r="H85">
        <v>3</v>
      </c>
      <c r="I85" t="s">
        <v>84</v>
      </c>
      <c r="J85" t="s">
        <v>6</v>
      </c>
      <c r="K85" t="s">
        <v>85</v>
      </c>
      <c r="L85">
        <v>1346</v>
      </c>
      <c r="N85">
        <v>1009</v>
      </c>
      <c r="O85" t="s">
        <v>86</v>
      </c>
      <c r="P85" t="s">
        <v>86</v>
      </c>
      <c r="Q85">
        <v>1</v>
      </c>
      <c r="X85">
        <v>30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 t="s">
        <v>6</v>
      </c>
      <c r="AG85">
        <v>30</v>
      </c>
      <c r="AH85">
        <v>2</v>
      </c>
      <c r="AI85">
        <v>16878805</v>
      </c>
      <c r="AJ85">
        <v>88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ROW(Source!A43)</f>
        <v>43</v>
      </c>
      <c r="B86">
        <v>16878817</v>
      </c>
      <c r="C86">
        <v>16878798</v>
      </c>
      <c r="D86">
        <v>15162572</v>
      </c>
      <c r="E86">
        <v>17</v>
      </c>
      <c r="F86">
        <v>1</v>
      </c>
      <c r="G86">
        <v>1</v>
      </c>
      <c r="H86">
        <v>3</v>
      </c>
      <c r="I86" t="s">
        <v>97</v>
      </c>
      <c r="J86" t="s">
        <v>6</v>
      </c>
      <c r="K86" t="s">
        <v>98</v>
      </c>
      <c r="L86">
        <v>1348</v>
      </c>
      <c r="N86">
        <v>1009</v>
      </c>
      <c r="O86" t="s">
        <v>94</v>
      </c>
      <c r="P86" t="s">
        <v>94</v>
      </c>
      <c r="Q86">
        <v>1000</v>
      </c>
      <c r="X86">
        <v>8.8999999999999999E-3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 t="s">
        <v>6</v>
      </c>
      <c r="AG86">
        <v>8.8999999999999999E-3</v>
      </c>
      <c r="AH86">
        <v>2</v>
      </c>
      <c r="AI86">
        <v>16878806</v>
      </c>
      <c r="AJ86">
        <v>90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ROW(Source!A56)</f>
        <v>56</v>
      </c>
      <c r="B87">
        <v>16878829</v>
      </c>
      <c r="C87">
        <v>16878824</v>
      </c>
      <c r="D87">
        <v>15430767</v>
      </c>
      <c r="E87">
        <v>1</v>
      </c>
      <c r="F87">
        <v>1</v>
      </c>
      <c r="G87">
        <v>1</v>
      </c>
      <c r="H87">
        <v>1</v>
      </c>
      <c r="I87" t="s">
        <v>297</v>
      </c>
      <c r="J87" t="s">
        <v>6</v>
      </c>
      <c r="K87" t="s">
        <v>298</v>
      </c>
      <c r="L87">
        <v>1191</v>
      </c>
      <c r="N87">
        <v>1013</v>
      </c>
      <c r="O87" t="s">
        <v>251</v>
      </c>
      <c r="P87" t="s">
        <v>251</v>
      </c>
      <c r="Q87">
        <v>1</v>
      </c>
      <c r="X87">
        <v>6.7</v>
      </c>
      <c r="Y87">
        <v>0</v>
      </c>
      <c r="Z87">
        <v>0</v>
      </c>
      <c r="AA87">
        <v>0</v>
      </c>
      <c r="AB87">
        <v>8.5299999999999994</v>
      </c>
      <c r="AC87">
        <v>0</v>
      </c>
      <c r="AD87">
        <v>1</v>
      </c>
      <c r="AE87">
        <v>1</v>
      </c>
      <c r="AF87" t="s">
        <v>42</v>
      </c>
      <c r="AG87">
        <v>7.7049999999999992</v>
      </c>
      <c r="AH87">
        <v>2</v>
      </c>
      <c r="AI87">
        <v>16878825</v>
      </c>
      <c r="AJ87">
        <v>91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ROW(Source!A56)</f>
        <v>56</v>
      </c>
      <c r="B88">
        <v>16878830</v>
      </c>
      <c r="C88">
        <v>16878824</v>
      </c>
      <c r="D88">
        <v>15162472</v>
      </c>
      <c r="E88">
        <v>17</v>
      </c>
      <c r="F88">
        <v>1</v>
      </c>
      <c r="G88">
        <v>1</v>
      </c>
      <c r="H88">
        <v>3</v>
      </c>
      <c r="I88" t="s">
        <v>104</v>
      </c>
      <c r="J88" t="s">
        <v>6</v>
      </c>
      <c r="K88" t="s">
        <v>105</v>
      </c>
      <c r="L88">
        <v>2233</v>
      </c>
      <c r="N88">
        <v>1013</v>
      </c>
      <c r="O88" t="s">
        <v>106</v>
      </c>
      <c r="P88" t="s">
        <v>106</v>
      </c>
      <c r="Q88">
        <v>1</v>
      </c>
      <c r="X88">
        <v>100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 t="s">
        <v>6</v>
      </c>
      <c r="AG88">
        <v>100</v>
      </c>
      <c r="AH88">
        <v>2</v>
      </c>
      <c r="AI88">
        <v>16878826</v>
      </c>
      <c r="AJ88">
        <v>92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ROW(Source!A56)</f>
        <v>56</v>
      </c>
      <c r="B89">
        <v>16878831</v>
      </c>
      <c r="C89">
        <v>16878824</v>
      </c>
      <c r="D89">
        <v>15202504</v>
      </c>
      <c r="E89">
        <v>1</v>
      </c>
      <c r="F89">
        <v>1</v>
      </c>
      <c r="G89">
        <v>1</v>
      </c>
      <c r="H89">
        <v>3</v>
      </c>
      <c r="I89" t="s">
        <v>316</v>
      </c>
      <c r="J89" t="s">
        <v>317</v>
      </c>
      <c r="K89" t="s">
        <v>318</v>
      </c>
      <c r="L89">
        <v>1346</v>
      </c>
      <c r="N89">
        <v>1009</v>
      </c>
      <c r="O89" t="s">
        <v>86</v>
      </c>
      <c r="P89" t="s">
        <v>86</v>
      </c>
      <c r="Q89">
        <v>1</v>
      </c>
      <c r="X89">
        <v>0.8</v>
      </c>
      <c r="Y89">
        <v>45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0.8</v>
      </c>
      <c r="AH89">
        <v>2</v>
      </c>
      <c r="AI89">
        <v>16878827</v>
      </c>
      <c r="AJ89">
        <v>94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ROW(Source!A57)</f>
        <v>57</v>
      </c>
      <c r="B90">
        <v>16878829</v>
      </c>
      <c r="C90">
        <v>16878824</v>
      </c>
      <c r="D90">
        <v>15430767</v>
      </c>
      <c r="E90">
        <v>1</v>
      </c>
      <c r="F90">
        <v>1</v>
      </c>
      <c r="G90">
        <v>1</v>
      </c>
      <c r="H90">
        <v>1</v>
      </c>
      <c r="I90" t="s">
        <v>297</v>
      </c>
      <c r="J90" t="s">
        <v>6</v>
      </c>
      <c r="K90" t="s">
        <v>298</v>
      </c>
      <c r="L90">
        <v>1191</v>
      </c>
      <c r="N90">
        <v>1013</v>
      </c>
      <c r="O90" t="s">
        <v>251</v>
      </c>
      <c r="P90" t="s">
        <v>251</v>
      </c>
      <c r="Q90">
        <v>1</v>
      </c>
      <c r="X90">
        <v>6.7</v>
      </c>
      <c r="Y90">
        <v>0</v>
      </c>
      <c r="Z90">
        <v>0</v>
      </c>
      <c r="AA90">
        <v>0</v>
      </c>
      <c r="AB90">
        <v>8.5299999999999994</v>
      </c>
      <c r="AC90">
        <v>0</v>
      </c>
      <c r="AD90">
        <v>1</v>
      </c>
      <c r="AE90">
        <v>1</v>
      </c>
      <c r="AF90" t="s">
        <v>42</v>
      </c>
      <c r="AG90">
        <v>7.7049999999999992</v>
      </c>
      <c r="AH90">
        <v>2</v>
      </c>
      <c r="AI90">
        <v>16878825</v>
      </c>
      <c r="AJ90">
        <v>95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ROW(Source!A57)</f>
        <v>57</v>
      </c>
      <c r="B91">
        <v>16878830</v>
      </c>
      <c r="C91">
        <v>16878824</v>
      </c>
      <c r="D91">
        <v>15162472</v>
      </c>
      <c r="E91">
        <v>17</v>
      </c>
      <c r="F91">
        <v>1</v>
      </c>
      <c r="G91">
        <v>1</v>
      </c>
      <c r="H91">
        <v>3</v>
      </c>
      <c r="I91" t="s">
        <v>104</v>
      </c>
      <c r="J91" t="s">
        <v>6</v>
      </c>
      <c r="K91" t="s">
        <v>105</v>
      </c>
      <c r="L91">
        <v>2233</v>
      </c>
      <c r="N91">
        <v>1013</v>
      </c>
      <c r="O91" t="s">
        <v>106</v>
      </c>
      <c r="P91" t="s">
        <v>106</v>
      </c>
      <c r="Q91">
        <v>1</v>
      </c>
      <c r="X91">
        <v>100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 t="s">
        <v>6</v>
      </c>
      <c r="AG91">
        <v>100</v>
      </c>
      <c r="AH91">
        <v>2</v>
      </c>
      <c r="AI91">
        <v>16878826</v>
      </c>
      <c r="AJ91">
        <v>96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ROW(Source!A57)</f>
        <v>57</v>
      </c>
      <c r="B92">
        <v>16878831</v>
      </c>
      <c r="C92">
        <v>16878824</v>
      </c>
      <c r="D92">
        <v>15202504</v>
      </c>
      <c r="E92">
        <v>1</v>
      </c>
      <c r="F92">
        <v>1</v>
      </c>
      <c r="G92">
        <v>1</v>
      </c>
      <c r="H92">
        <v>3</v>
      </c>
      <c r="I92" t="s">
        <v>316</v>
      </c>
      <c r="J92" t="s">
        <v>317</v>
      </c>
      <c r="K92" t="s">
        <v>318</v>
      </c>
      <c r="L92">
        <v>1346</v>
      </c>
      <c r="N92">
        <v>1009</v>
      </c>
      <c r="O92" t="s">
        <v>86</v>
      </c>
      <c r="P92" t="s">
        <v>86</v>
      </c>
      <c r="Q92">
        <v>1</v>
      </c>
      <c r="X92">
        <v>0.8</v>
      </c>
      <c r="Y92">
        <v>45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0.8</v>
      </c>
      <c r="AH92">
        <v>2</v>
      </c>
      <c r="AI92">
        <v>16878827</v>
      </c>
      <c r="AJ92">
        <v>98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Смета 12 гр. по ФЕР</vt:lpstr>
      <vt:lpstr>Акт КС-2 c НР и СП</vt:lpstr>
      <vt:lpstr>Source</vt:lpstr>
      <vt:lpstr>SourceObSm</vt:lpstr>
      <vt:lpstr>SmtRes</vt:lpstr>
      <vt:lpstr>EtalonRes</vt:lpstr>
      <vt:lpstr>'Акт КС-2 c НР и СП'!Заголовки_для_печати</vt:lpstr>
      <vt:lpstr>'Смета 12 гр. по ФЕР'!Заголовки_для_печати</vt:lpstr>
      <vt:lpstr>'Акт КС-2 c НР и СП'!Область_печати</vt:lpstr>
      <vt:lpstr>'Смета 12 гр. по ФЕР'!Область_печати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2018-12-13T12:32:34Z</cp:lastPrinted>
  <dcterms:created xsi:type="dcterms:W3CDTF">2018-12-13T12:31:05Z</dcterms:created>
  <dcterms:modified xsi:type="dcterms:W3CDTF">2018-12-21T14:22:42Z</dcterms:modified>
</cp:coreProperties>
</file>