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815" windowHeight="13005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ФЕР'!$22:$22</definedName>
    <definedName name="_xlnm.Print_Area" localSheetId="1">'Акт КС-2 c НР и СП'!$A$1:$H$241</definedName>
    <definedName name="_xlnm.Print_Area" localSheetId="0">'Смета 12 гр. по ФЕР'!$A$1:$L$190</definedName>
  </definedNames>
  <calcPr calcId="145621"/>
</workbook>
</file>

<file path=xl/calcChain.xml><?xml version="1.0" encoding="utf-8"?>
<calcChain xmlns="http://schemas.openxmlformats.org/spreadsheetml/2006/main">
  <c r="A1" i="7" l="1"/>
  <c r="G236" i="6"/>
  <c r="G231" i="6"/>
  <c r="C236" i="6"/>
  <c r="C231" i="6"/>
  <c r="C228" i="6"/>
  <c r="C227" i="6"/>
  <c r="C226" i="6"/>
  <c r="D221" i="6"/>
  <c r="E220" i="6"/>
  <c r="C220" i="6"/>
  <c r="D220" i="6"/>
  <c r="B220" i="6"/>
  <c r="D219" i="6"/>
  <c r="E218" i="6"/>
  <c r="C218" i="6"/>
  <c r="D218" i="6"/>
  <c r="B218" i="6"/>
  <c r="H216" i="6"/>
  <c r="G216" i="6"/>
  <c r="F215" i="6"/>
  <c r="H214" i="6"/>
  <c r="G214" i="6"/>
  <c r="F213" i="6"/>
  <c r="D212" i="6"/>
  <c r="D211" i="6"/>
  <c r="D210" i="6"/>
  <c r="D209" i="6"/>
  <c r="F208" i="6"/>
  <c r="E208" i="6"/>
  <c r="C208" i="6"/>
  <c r="D208" i="6"/>
  <c r="B208" i="6"/>
  <c r="D207" i="6"/>
  <c r="E206" i="6"/>
  <c r="C206" i="6"/>
  <c r="D206" i="6"/>
  <c r="B206" i="6"/>
  <c r="H204" i="6"/>
  <c r="G204" i="6"/>
  <c r="F203" i="6"/>
  <c r="H202" i="6"/>
  <c r="G202" i="6"/>
  <c r="F201" i="6"/>
  <c r="D200" i="6"/>
  <c r="D199" i="6"/>
  <c r="D198" i="6"/>
  <c r="D197" i="6"/>
  <c r="F196" i="6"/>
  <c r="E196" i="6"/>
  <c r="C196" i="6"/>
  <c r="D196" i="6"/>
  <c r="B196" i="6"/>
  <c r="D195" i="6"/>
  <c r="E194" i="6"/>
  <c r="C194" i="6"/>
  <c r="D194" i="6"/>
  <c r="B194" i="6"/>
  <c r="D193" i="6"/>
  <c r="E192" i="6"/>
  <c r="C192" i="6"/>
  <c r="D192" i="6"/>
  <c r="B192" i="6"/>
  <c r="F190" i="6"/>
  <c r="F189" i="6"/>
  <c r="D188" i="6"/>
  <c r="D187" i="6"/>
  <c r="D186" i="6"/>
  <c r="D185" i="6"/>
  <c r="F184" i="6"/>
  <c r="E184" i="6"/>
  <c r="C184" i="6"/>
  <c r="D184" i="6"/>
  <c r="B184" i="6"/>
  <c r="D183" i="6"/>
  <c r="E182" i="6"/>
  <c r="C182" i="6"/>
  <c r="D182" i="6"/>
  <c r="B182" i="6"/>
  <c r="H180" i="6"/>
  <c r="G180" i="6"/>
  <c r="F179" i="6"/>
  <c r="H178" i="6"/>
  <c r="G178" i="6"/>
  <c r="F177" i="6"/>
  <c r="D176" i="6"/>
  <c r="D175" i="6"/>
  <c r="D174" i="6"/>
  <c r="D173" i="6"/>
  <c r="F172" i="6"/>
  <c r="E172" i="6"/>
  <c r="C172" i="6"/>
  <c r="D172" i="6"/>
  <c r="B172" i="6"/>
  <c r="D171" i="6"/>
  <c r="E170" i="6"/>
  <c r="C170" i="6"/>
  <c r="D170" i="6"/>
  <c r="B170" i="6"/>
  <c r="H168" i="6"/>
  <c r="G168" i="6"/>
  <c r="F167" i="6"/>
  <c r="H166" i="6"/>
  <c r="G166" i="6"/>
  <c r="F165" i="6"/>
  <c r="D164" i="6"/>
  <c r="D163" i="6"/>
  <c r="D162" i="6"/>
  <c r="D161" i="6"/>
  <c r="F160" i="6"/>
  <c r="E160" i="6"/>
  <c r="C160" i="6"/>
  <c r="D160" i="6"/>
  <c r="B160" i="6"/>
  <c r="D159" i="6"/>
  <c r="E158" i="6"/>
  <c r="C158" i="6"/>
  <c r="D158" i="6"/>
  <c r="B158" i="6"/>
  <c r="H156" i="6"/>
  <c r="G156" i="6"/>
  <c r="F155" i="6"/>
  <c r="H154" i="6"/>
  <c r="G154" i="6"/>
  <c r="F153" i="6"/>
  <c r="D152" i="6"/>
  <c r="D151" i="6"/>
  <c r="D150" i="6"/>
  <c r="D149" i="6"/>
  <c r="F148" i="6"/>
  <c r="E148" i="6"/>
  <c r="C148" i="6"/>
  <c r="D148" i="6"/>
  <c r="B148" i="6"/>
  <c r="D147" i="6"/>
  <c r="E146" i="6"/>
  <c r="C146" i="6"/>
  <c r="D146" i="6"/>
  <c r="B146" i="6"/>
  <c r="H144" i="6"/>
  <c r="G144" i="6"/>
  <c r="F143" i="6"/>
  <c r="H142" i="6"/>
  <c r="G142" i="6"/>
  <c r="F141" i="6"/>
  <c r="D140" i="6"/>
  <c r="D139" i="6"/>
  <c r="D138" i="6"/>
  <c r="D137" i="6"/>
  <c r="F136" i="6"/>
  <c r="E136" i="6"/>
  <c r="C136" i="6"/>
  <c r="D136" i="6"/>
  <c r="B136" i="6"/>
  <c r="H134" i="6"/>
  <c r="G134" i="6"/>
  <c r="F133" i="6"/>
  <c r="H132" i="6"/>
  <c r="G132" i="6"/>
  <c r="F131" i="6"/>
  <c r="D130" i="6"/>
  <c r="D129" i="6"/>
  <c r="D128" i="6"/>
  <c r="D127" i="6"/>
  <c r="F126" i="6"/>
  <c r="E126" i="6"/>
  <c r="C126" i="6"/>
  <c r="D126" i="6"/>
  <c r="B126" i="6"/>
  <c r="F124" i="6"/>
  <c r="F123" i="6"/>
  <c r="D122" i="6"/>
  <c r="D121" i="6"/>
  <c r="D120" i="6"/>
  <c r="D119" i="6"/>
  <c r="F118" i="6"/>
  <c r="E118" i="6"/>
  <c r="C118" i="6"/>
  <c r="D118" i="6"/>
  <c r="B118" i="6"/>
  <c r="H116" i="6"/>
  <c r="G116" i="6"/>
  <c r="F115" i="6"/>
  <c r="H114" i="6"/>
  <c r="G114" i="6"/>
  <c r="F113" i="6"/>
  <c r="D112" i="6"/>
  <c r="D111" i="6"/>
  <c r="D110" i="6"/>
  <c r="D109" i="6"/>
  <c r="F108" i="6"/>
  <c r="E108" i="6"/>
  <c r="C108" i="6"/>
  <c r="D108" i="6"/>
  <c r="B108" i="6"/>
  <c r="F106" i="6"/>
  <c r="F105" i="6"/>
  <c r="D104" i="6"/>
  <c r="D103" i="6"/>
  <c r="D102" i="6"/>
  <c r="D101" i="6"/>
  <c r="F100" i="6"/>
  <c r="E100" i="6"/>
  <c r="C100" i="6"/>
  <c r="D100" i="6"/>
  <c r="B100" i="6"/>
  <c r="F98" i="6"/>
  <c r="F97" i="6"/>
  <c r="D96" i="6"/>
  <c r="D95" i="6"/>
  <c r="D94" i="6"/>
  <c r="D93" i="6"/>
  <c r="F92" i="6"/>
  <c r="E92" i="6"/>
  <c r="C92" i="6"/>
  <c r="D92" i="6"/>
  <c r="B92" i="6"/>
  <c r="D91" i="6"/>
  <c r="E90" i="6"/>
  <c r="C90" i="6"/>
  <c r="D90" i="6"/>
  <c r="B90" i="6"/>
  <c r="F88" i="6"/>
  <c r="F87" i="6"/>
  <c r="D86" i="6"/>
  <c r="D85" i="6"/>
  <c r="D84" i="6"/>
  <c r="D83" i="6"/>
  <c r="F82" i="6"/>
  <c r="E82" i="6"/>
  <c r="C82" i="6"/>
  <c r="D82" i="6"/>
  <c r="B82" i="6"/>
  <c r="D81" i="6"/>
  <c r="E80" i="6"/>
  <c r="C80" i="6"/>
  <c r="D80" i="6"/>
  <c r="B80" i="6"/>
  <c r="F78" i="6"/>
  <c r="F77" i="6"/>
  <c r="D76" i="6"/>
  <c r="D75" i="6"/>
  <c r="D74" i="6"/>
  <c r="D73" i="6"/>
  <c r="F72" i="6"/>
  <c r="E72" i="6"/>
  <c r="C72" i="6"/>
  <c r="D72" i="6"/>
  <c r="B72" i="6"/>
  <c r="D71" i="6"/>
  <c r="E70" i="6"/>
  <c r="C70" i="6"/>
  <c r="D70" i="6"/>
  <c r="B70" i="6"/>
  <c r="F68" i="6"/>
  <c r="F67" i="6"/>
  <c r="D66" i="6"/>
  <c r="D65" i="6"/>
  <c r="D64" i="6"/>
  <c r="D63" i="6"/>
  <c r="F62" i="6"/>
  <c r="E62" i="6"/>
  <c r="C62" i="6"/>
  <c r="D62" i="6"/>
  <c r="B62" i="6"/>
  <c r="H60" i="6"/>
  <c r="G60" i="6"/>
  <c r="F59" i="6"/>
  <c r="H58" i="6"/>
  <c r="G58" i="6"/>
  <c r="F57" i="6"/>
  <c r="D56" i="6"/>
  <c r="D55" i="6"/>
  <c r="D54" i="6"/>
  <c r="D53" i="6"/>
  <c r="F52" i="6"/>
  <c r="E52" i="6"/>
  <c r="C52" i="6"/>
  <c r="D52" i="6"/>
  <c r="B52" i="6"/>
  <c r="F50" i="6"/>
  <c r="F49" i="6"/>
  <c r="D48" i="6"/>
  <c r="D47" i="6"/>
  <c r="D46" i="6"/>
  <c r="D45" i="6"/>
  <c r="F44" i="6"/>
  <c r="E44" i="6"/>
  <c r="C44" i="6"/>
  <c r="D44" i="6"/>
  <c r="B44" i="6"/>
  <c r="F42" i="6"/>
  <c r="F41" i="6"/>
  <c r="D40" i="6"/>
  <c r="D39" i="6"/>
  <c r="D38" i="6"/>
  <c r="D37" i="6"/>
  <c r="F36" i="6"/>
  <c r="E36" i="6"/>
  <c r="C36" i="6"/>
  <c r="D36" i="6"/>
  <c r="B36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8" i="5"/>
  <c r="C189" i="5"/>
  <c r="C188" i="5"/>
  <c r="C187" i="5"/>
  <c r="Z185" i="5"/>
  <c r="Y185" i="5"/>
  <c r="X185" i="5"/>
  <c r="J184" i="5"/>
  <c r="Z184" i="5"/>
  <c r="Y184" i="5"/>
  <c r="X184" i="5"/>
  <c r="F184" i="5"/>
  <c r="D184" i="5"/>
  <c r="C184" i="5"/>
  <c r="B184" i="5"/>
  <c r="A184" i="5"/>
  <c r="J183" i="5"/>
  <c r="Z183" i="5"/>
  <c r="Y183" i="5"/>
  <c r="X183" i="5"/>
  <c r="F183" i="5"/>
  <c r="D183" i="5"/>
  <c r="C183" i="5"/>
  <c r="B183" i="5"/>
  <c r="A183" i="5"/>
  <c r="G182" i="5"/>
  <c r="E182" i="5"/>
  <c r="J181" i="5"/>
  <c r="F181" i="5"/>
  <c r="E181" i="5"/>
  <c r="J180" i="5"/>
  <c r="F180" i="5"/>
  <c r="E180" i="5"/>
  <c r="J179" i="5"/>
  <c r="G179" i="5"/>
  <c r="F179" i="5"/>
  <c r="J178" i="5"/>
  <c r="G178" i="5"/>
  <c r="F178" i="5"/>
  <c r="J177" i="5"/>
  <c r="G177" i="5"/>
  <c r="F177" i="5"/>
  <c r="J176" i="5"/>
  <c r="G176" i="5"/>
  <c r="F176" i="5"/>
  <c r="F175" i="5"/>
  <c r="E175" i="5"/>
  <c r="D175" i="5"/>
  <c r="I175" i="5"/>
  <c r="C175" i="5"/>
  <c r="B175" i="5"/>
  <c r="A175" i="5"/>
  <c r="Z174" i="5"/>
  <c r="Y174" i="5"/>
  <c r="X174" i="5"/>
  <c r="J173" i="5"/>
  <c r="Z173" i="5"/>
  <c r="Y173" i="5"/>
  <c r="X173" i="5"/>
  <c r="F173" i="5"/>
  <c r="D173" i="5"/>
  <c r="C173" i="5"/>
  <c r="B173" i="5"/>
  <c r="A173" i="5"/>
  <c r="G172" i="5"/>
  <c r="E172" i="5"/>
  <c r="J171" i="5"/>
  <c r="F171" i="5"/>
  <c r="E171" i="5"/>
  <c r="J170" i="5"/>
  <c r="F170" i="5"/>
  <c r="E170" i="5"/>
  <c r="J169" i="5"/>
  <c r="G169" i="5"/>
  <c r="F169" i="5"/>
  <c r="J168" i="5"/>
  <c r="G168" i="5"/>
  <c r="F168" i="5"/>
  <c r="J167" i="5"/>
  <c r="G167" i="5"/>
  <c r="F167" i="5"/>
  <c r="J166" i="5"/>
  <c r="G166" i="5"/>
  <c r="F166" i="5"/>
  <c r="F165" i="5"/>
  <c r="E165" i="5"/>
  <c r="D165" i="5"/>
  <c r="I165" i="5"/>
  <c r="C165" i="5"/>
  <c r="B165" i="5"/>
  <c r="A165" i="5"/>
  <c r="Z164" i="5"/>
  <c r="Y164" i="5"/>
  <c r="X164" i="5"/>
  <c r="J163" i="5"/>
  <c r="Z163" i="5"/>
  <c r="Y163" i="5"/>
  <c r="X163" i="5"/>
  <c r="F163" i="5"/>
  <c r="D163" i="5"/>
  <c r="C163" i="5"/>
  <c r="B163" i="5"/>
  <c r="A163" i="5"/>
  <c r="J162" i="5"/>
  <c r="Z162" i="5"/>
  <c r="Y162" i="5"/>
  <c r="X162" i="5"/>
  <c r="F162" i="5"/>
  <c r="D162" i="5"/>
  <c r="C162" i="5"/>
  <c r="B162" i="5"/>
  <c r="A162" i="5"/>
  <c r="G161" i="5"/>
  <c r="E161" i="5"/>
  <c r="J160" i="5"/>
  <c r="E160" i="5"/>
  <c r="J159" i="5"/>
  <c r="E159" i="5"/>
  <c r="J158" i="5"/>
  <c r="G158" i="5"/>
  <c r="F158" i="5"/>
  <c r="J157" i="5"/>
  <c r="G157" i="5"/>
  <c r="F157" i="5"/>
  <c r="J156" i="5"/>
  <c r="G156" i="5"/>
  <c r="F156" i="5"/>
  <c r="J155" i="5"/>
  <c r="G155" i="5"/>
  <c r="F155" i="5"/>
  <c r="F154" i="5"/>
  <c r="E154" i="5"/>
  <c r="D154" i="5"/>
  <c r="I154" i="5"/>
  <c r="C154" i="5"/>
  <c r="B154" i="5"/>
  <c r="A154" i="5"/>
  <c r="Z153" i="5"/>
  <c r="Y153" i="5"/>
  <c r="X153" i="5"/>
  <c r="J152" i="5"/>
  <c r="Z152" i="5"/>
  <c r="Y152" i="5"/>
  <c r="X152" i="5"/>
  <c r="F152" i="5"/>
  <c r="D152" i="5"/>
  <c r="C152" i="5"/>
  <c r="B152" i="5"/>
  <c r="A152" i="5"/>
  <c r="G151" i="5"/>
  <c r="E151" i="5"/>
  <c r="J150" i="5"/>
  <c r="F150" i="5"/>
  <c r="E150" i="5"/>
  <c r="J149" i="5"/>
  <c r="F149" i="5"/>
  <c r="E149" i="5"/>
  <c r="J148" i="5"/>
  <c r="G148" i="5"/>
  <c r="F148" i="5"/>
  <c r="J147" i="5"/>
  <c r="G147" i="5"/>
  <c r="F147" i="5"/>
  <c r="J146" i="5"/>
  <c r="G146" i="5"/>
  <c r="F146" i="5"/>
  <c r="J145" i="5"/>
  <c r="G145" i="5"/>
  <c r="F145" i="5"/>
  <c r="F144" i="5"/>
  <c r="E144" i="5"/>
  <c r="D144" i="5"/>
  <c r="I144" i="5"/>
  <c r="C144" i="5"/>
  <c r="B144" i="5"/>
  <c r="A144" i="5"/>
  <c r="Z143" i="5"/>
  <c r="Y143" i="5"/>
  <c r="X143" i="5"/>
  <c r="J142" i="5"/>
  <c r="Z142" i="5"/>
  <c r="Y142" i="5"/>
  <c r="X142" i="5"/>
  <c r="F142" i="5"/>
  <c r="D142" i="5"/>
  <c r="C142" i="5"/>
  <c r="B142" i="5"/>
  <c r="A142" i="5"/>
  <c r="G141" i="5"/>
  <c r="E141" i="5"/>
  <c r="J140" i="5"/>
  <c r="F140" i="5"/>
  <c r="E140" i="5"/>
  <c r="J139" i="5"/>
  <c r="F139" i="5"/>
  <c r="E139" i="5"/>
  <c r="J138" i="5"/>
  <c r="G138" i="5"/>
  <c r="F138" i="5"/>
  <c r="J137" i="5"/>
  <c r="G137" i="5"/>
  <c r="F137" i="5"/>
  <c r="J136" i="5"/>
  <c r="G136" i="5"/>
  <c r="F136" i="5"/>
  <c r="J135" i="5"/>
  <c r="G135" i="5"/>
  <c r="F135" i="5"/>
  <c r="F134" i="5"/>
  <c r="E134" i="5"/>
  <c r="D134" i="5"/>
  <c r="I134" i="5"/>
  <c r="C134" i="5"/>
  <c r="B134" i="5"/>
  <c r="A134" i="5"/>
  <c r="Z133" i="5"/>
  <c r="Y133" i="5"/>
  <c r="X133" i="5"/>
  <c r="J132" i="5"/>
  <c r="Z132" i="5"/>
  <c r="Y132" i="5"/>
  <c r="X132" i="5"/>
  <c r="F132" i="5"/>
  <c r="D132" i="5"/>
  <c r="C132" i="5"/>
  <c r="B132" i="5"/>
  <c r="A132" i="5"/>
  <c r="G131" i="5"/>
  <c r="E131" i="5"/>
  <c r="J130" i="5"/>
  <c r="F130" i="5"/>
  <c r="E130" i="5"/>
  <c r="J129" i="5"/>
  <c r="F129" i="5"/>
  <c r="E129" i="5"/>
  <c r="J128" i="5"/>
  <c r="G128" i="5"/>
  <c r="F128" i="5"/>
  <c r="J127" i="5"/>
  <c r="G127" i="5"/>
  <c r="F127" i="5"/>
  <c r="J126" i="5"/>
  <c r="G126" i="5"/>
  <c r="F126" i="5"/>
  <c r="J125" i="5"/>
  <c r="G125" i="5"/>
  <c r="F125" i="5"/>
  <c r="F124" i="5"/>
  <c r="E124" i="5"/>
  <c r="D124" i="5"/>
  <c r="I124" i="5"/>
  <c r="C124" i="5"/>
  <c r="B124" i="5"/>
  <c r="A124" i="5"/>
  <c r="Z123" i="5"/>
  <c r="Y123" i="5"/>
  <c r="X123" i="5"/>
  <c r="J122" i="5"/>
  <c r="Z122" i="5"/>
  <c r="Y122" i="5"/>
  <c r="X122" i="5"/>
  <c r="F122" i="5"/>
  <c r="D122" i="5"/>
  <c r="C122" i="5"/>
  <c r="B122" i="5"/>
  <c r="A122" i="5"/>
  <c r="G121" i="5"/>
  <c r="E121" i="5"/>
  <c r="J120" i="5"/>
  <c r="F120" i="5"/>
  <c r="E120" i="5"/>
  <c r="J119" i="5"/>
  <c r="F119" i="5"/>
  <c r="E119" i="5"/>
  <c r="J118" i="5"/>
  <c r="G118" i="5"/>
  <c r="F118" i="5"/>
  <c r="J117" i="5"/>
  <c r="G117" i="5"/>
  <c r="F117" i="5"/>
  <c r="J116" i="5"/>
  <c r="G116" i="5"/>
  <c r="F116" i="5"/>
  <c r="J115" i="5"/>
  <c r="G115" i="5"/>
  <c r="F115" i="5"/>
  <c r="F114" i="5"/>
  <c r="E114" i="5"/>
  <c r="D114" i="5"/>
  <c r="I114" i="5"/>
  <c r="C114" i="5"/>
  <c r="B114" i="5"/>
  <c r="A114" i="5"/>
  <c r="Z113" i="5"/>
  <c r="Y113" i="5"/>
  <c r="X113" i="5"/>
  <c r="G112" i="5"/>
  <c r="E112" i="5"/>
  <c r="J111" i="5"/>
  <c r="F111" i="5"/>
  <c r="E111" i="5"/>
  <c r="J110" i="5"/>
  <c r="F110" i="5"/>
  <c r="E110" i="5"/>
  <c r="J109" i="5"/>
  <c r="G109" i="5"/>
  <c r="F109" i="5"/>
  <c r="J108" i="5"/>
  <c r="G108" i="5"/>
  <c r="F108" i="5"/>
  <c r="J107" i="5"/>
  <c r="G107" i="5"/>
  <c r="F107" i="5"/>
  <c r="F106" i="5"/>
  <c r="E106" i="5"/>
  <c r="D106" i="5"/>
  <c r="I106" i="5"/>
  <c r="C106" i="5"/>
  <c r="B106" i="5"/>
  <c r="A106" i="5"/>
  <c r="Z105" i="5"/>
  <c r="Y105" i="5"/>
  <c r="X105" i="5"/>
  <c r="G104" i="5"/>
  <c r="E104" i="5"/>
  <c r="J103" i="5"/>
  <c r="E103" i="5"/>
  <c r="J102" i="5"/>
  <c r="E102" i="5"/>
  <c r="J101" i="5"/>
  <c r="G101" i="5"/>
  <c r="F101" i="5"/>
  <c r="J100" i="5"/>
  <c r="G100" i="5"/>
  <c r="F100" i="5"/>
  <c r="J99" i="5"/>
  <c r="G99" i="5"/>
  <c r="F99" i="5"/>
  <c r="F98" i="5"/>
  <c r="E98" i="5"/>
  <c r="D98" i="5"/>
  <c r="I98" i="5"/>
  <c r="C98" i="5"/>
  <c r="B98" i="5"/>
  <c r="A98" i="5"/>
  <c r="Z97" i="5"/>
  <c r="Y97" i="5"/>
  <c r="X97" i="5"/>
  <c r="G96" i="5"/>
  <c r="E96" i="5"/>
  <c r="J95" i="5"/>
  <c r="F95" i="5"/>
  <c r="E95" i="5"/>
  <c r="J94" i="5"/>
  <c r="F94" i="5"/>
  <c r="E94" i="5"/>
  <c r="J93" i="5"/>
  <c r="G93" i="5"/>
  <c r="F93" i="5"/>
  <c r="J92" i="5"/>
  <c r="G92" i="5"/>
  <c r="F92" i="5"/>
  <c r="J91" i="5"/>
  <c r="G91" i="5"/>
  <c r="F91" i="5"/>
  <c r="F90" i="5"/>
  <c r="E90" i="5"/>
  <c r="D90" i="5"/>
  <c r="I90" i="5"/>
  <c r="C90" i="5"/>
  <c r="B90" i="5"/>
  <c r="A90" i="5"/>
  <c r="Z89" i="5"/>
  <c r="Y89" i="5"/>
  <c r="X89" i="5"/>
  <c r="G88" i="5"/>
  <c r="E88" i="5"/>
  <c r="J87" i="5"/>
  <c r="E87" i="5"/>
  <c r="J86" i="5"/>
  <c r="E86" i="5"/>
  <c r="J85" i="5"/>
  <c r="G85" i="5"/>
  <c r="F85" i="5"/>
  <c r="J84" i="5"/>
  <c r="G84" i="5"/>
  <c r="F84" i="5"/>
  <c r="J83" i="5"/>
  <c r="G83" i="5"/>
  <c r="F83" i="5"/>
  <c r="F82" i="5"/>
  <c r="E82" i="5"/>
  <c r="D82" i="5"/>
  <c r="I82" i="5"/>
  <c r="C82" i="5"/>
  <c r="B82" i="5"/>
  <c r="A82" i="5"/>
  <c r="Z81" i="5"/>
  <c r="Y81" i="5"/>
  <c r="X81" i="5"/>
  <c r="G80" i="5"/>
  <c r="E80" i="5"/>
  <c r="J79" i="5"/>
  <c r="E79" i="5"/>
  <c r="J78" i="5"/>
  <c r="E78" i="5"/>
  <c r="J77" i="5"/>
  <c r="G77" i="5"/>
  <c r="F77" i="5"/>
  <c r="J76" i="5"/>
  <c r="G76" i="5"/>
  <c r="F76" i="5"/>
  <c r="J75" i="5"/>
  <c r="G75" i="5"/>
  <c r="F75" i="5"/>
  <c r="F74" i="5"/>
  <c r="E74" i="5"/>
  <c r="D74" i="5"/>
  <c r="I74" i="5"/>
  <c r="C74" i="5"/>
  <c r="B74" i="5"/>
  <c r="A74" i="5"/>
  <c r="Z73" i="5"/>
  <c r="Y73" i="5"/>
  <c r="X73" i="5"/>
  <c r="J72" i="5"/>
  <c r="Z72" i="5"/>
  <c r="Y72" i="5"/>
  <c r="X72" i="5"/>
  <c r="F72" i="5"/>
  <c r="D72" i="5"/>
  <c r="C72" i="5"/>
  <c r="B72" i="5"/>
  <c r="A72" i="5"/>
  <c r="G71" i="5"/>
  <c r="E71" i="5"/>
  <c r="J70" i="5"/>
  <c r="E70" i="5"/>
  <c r="J69" i="5"/>
  <c r="E69" i="5"/>
  <c r="J68" i="5"/>
  <c r="G68" i="5"/>
  <c r="F68" i="5"/>
  <c r="J67" i="5"/>
  <c r="G67" i="5"/>
  <c r="F67" i="5"/>
  <c r="J66" i="5"/>
  <c r="G66" i="5"/>
  <c r="F66" i="5"/>
  <c r="J65" i="5"/>
  <c r="G65" i="5"/>
  <c r="F65" i="5"/>
  <c r="F64" i="5"/>
  <c r="E64" i="5"/>
  <c r="D64" i="5"/>
  <c r="I64" i="5"/>
  <c r="C64" i="5"/>
  <c r="B64" i="5"/>
  <c r="A64" i="5"/>
  <c r="Z63" i="5"/>
  <c r="Y63" i="5"/>
  <c r="X63" i="5"/>
  <c r="J62" i="5"/>
  <c r="Z62" i="5"/>
  <c r="Y62" i="5"/>
  <c r="X62" i="5"/>
  <c r="F62" i="5"/>
  <c r="D62" i="5"/>
  <c r="C62" i="5"/>
  <c r="B62" i="5"/>
  <c r="A62" i="5"/>
  <c r="G61" i="5"/>
  <c r="E61" i="5"/>
  <c r="J60" i="5"/>
  <c r="E60" i="5"/>
  <c r="J59" i="5"/>
  <c r="E59" i="5"/>
  <c r="J58" i="5"/>
  <c r="G58" i="5"/>
  <c r="F58" i="5"/>
  <c r="J57" i="5"/>
  <c r="G57" i="5"/>
  <c r="F57" i="5"/>
  <c r="J56" i="5"/>
  <c r="G56" i="5"/>
  <c r="F56" i="5"/>
  <c r="J55" i="5"/>
  <c r="G55" i="5"/>
  <c r="F55" i="5"/>
  <c r="F54" i="5"/>
  <c r="E54" i="5"/>
  <c r="D54" i="5"/>
  <c r="I54" i="5"/>
  <c r="C54" i="5"/>
  <c r="B54" i="5"/>
  <c r="A54" i="5"/>
  <c r="Z53" i="5"/>
  <c r="Y53" i="5"/>
  <c r="X53" i="5"/>
  <c r="J52" i="5"/>
  <c r="Z52" i="5"/>
  <c r="Y52" i="5"/>
  <c r="X52" i="5"/>
  <c r="F52" i="5"/>
  <c r="D52" i="5"/>
  <c r="C52" i="5"/>
  <c r="B52" i="5"/>
  <c r="A52" i="5"/>
  <c r="G51" i="5"/>
  <c r="E51" i="5"/>
  <c r="J50" i="5"/>
  <c r="E50" i="5"/>
  <c r="J49" i="5"/>
  <c r="E49" i="5"/>
  <c r="J48" i="5"/>
  <c r="G48" i="5"/>
  <c r="F48" i="5"/>
  <c r="J47" i="5"/>
  <c r="G47" i="5"/>
  <c r="F47" i="5"/>
  <c r="J46" i="5"/>
  <c r="G46" i="5"/>
  <c r="F46" i="5"/>
  <c r="J45" i="5"/>
  <c r="G45" i="5"/>
  <c r="F45" i="5"/>
  <c r="F44" i="5"/>
  <c r="E44" i="5"/>
  <c r="D44" i="5"/>
  <c r="I44" i="5"/>
  <c r="C44" i="5"/>
  <c r="B44" i="5"/>
  <c r="A44" i="5"/>
  <c r="Z43" i="5"/>
  <c r="Y43" i="5"/>
  <c r="X43" i="5"/>
  <c r="G42" i="5"/>
  <c r="E42" i="5"/>
  <c r="J41" i="5"/>
  <c r="F41" i="5"/>
  <c r="E41" i="5"/>
  <c r="J40" i="5"/>
  <c r="F40" i="5"/>
  <c r="E40" i="5"/>
  <c r="J39" i="5"/>
  <c r="G39" i="5"/>
  <c r="F39" i="5"/>
  <c r="J38" i="5"/>
  <c r="G38" i="5"/>
  <c r="F38" i="5"/>
  <c r="J37" i="5"/>
  <c r="G37" i="5"/>
  <c r="F37" i="5"/>
  <c r="J36" i="5"/>
  <c r="G36" i="5"/>
  <c r="F36" i="5"/>
  <c r="F35" i="5"/>
  <c r="E35" i="5"/>
  <c r="D35" i="5"/>
  <c r="I35" i="5"/>
  <c r="C35" i="5"/>
  <c r="B35" i="5"/>
  <c r="A35" i="5"/>
  <c r="Z34" i="5"/>
  <c r="Y34" i="5"/>
  <c r="X34" i="5"/>
  <c r="G33" i="5"/>
  <c r="E33" i="5"/>
  <c r="J32" i="5"/>
  <c r="E32" i="5"/>
  <c r="J31" i="5"/>
  <c r="E31" i="5"/>
  <c r="J30" i="5"/>
  <c r="G30" i="5"/>
  <c r="F30" i="5"/>
  <c r="F29" i="5"/>
  <c r="E29" i="5"/>
  <c r="D29" i="5"/>
  <c r="I29" i="5"/>
  <c r="C29" i="5"/>
  <c r="B29" i="5"/>
  <c r="A29" i="5"/>
  <c r="Z28" i="5"/>
  <c r="Y28" i="5"/>
  <c r="X28" i="5"/>
  <c r="G27" i="5"/>
  <c r="E27" i="5"/>
  <c r="J26" i="5"/>
  <c r="E26" i="5"/>
  <c r="J25" i="5"/>
  <c r="E25" i="5"/>
  <c r="J24" i="5"/>
  <c r="G24" i="5"/>
  <c r="F24" i="5"/>
  <c r="F23" i="5"/>
  <c r="E23" i="5"/>
  <c r="D23" i="5"/>
  <c r="I23" i="5"/>
  <c r="C23" i="5"/>
  <c r="B23" i="5"/>
  <c r="A23" i="5"/>
  <c r="B6" i="5"/>
  <c r="A1" i="5"/>
  <c r="G14" i="5" l="1"/>
  <c r="G15" i="5"/>
  <c r="G16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CQ24" i="1" s="1"/>
  <c r="P24" i="1" s="1"/>
  <c r="AE24" i="1"/>
  <c r="AD24" i="1" s="1"/>
  <c r="CR24" i="1" s="1"/>
  <c r="Q24" i="1" s="1"/>
  <c r="W36" i="6" s="1"/>
  <c r="AF24" i="1"/>
  <c r="AG24" i="1"/>
  <c r="CU24" i="1" s="1"/>
  <c r="T24" i="1" s="1"/>
  <c r="AH24" i="1"/>
  <c r="AI24" i="1"/>
  <c r="CW24" i="1" s="1"/>
  <c r="V24" i="1" s="1"/>
  <c r="Z36" i="6" s="1"/>
  <c r="AJ24" i="1"/>
  <c r="CT24" i="1"/>
  <c r="S24" i="1" s="1"/>
  <c r="CV24" i="1"/>
  <c r="U24" i="1" s="1"/>
  <c r="CX24" i="1"/>
  <c r="W24" i="1" s="1"/>
  <c r="FR24" i="1"/>
  <c r="GL24" i="1"/>
  <c r="GO24" i="1"/>
  <c r="GP24" i="1"/>
  <c r="GV24" i="1"/>
  <c r="GX24" i="1"/>
  <c r="C25" i="1"/>
  <c r="D25" i="1"/>
  <c r="AC25" i="1"/>
  <c r="AD25" i="1"/>
  <c r="CR25" i="1" s="1"/>
  <c r="Q25" i="1" s="1"/>
  <c r="W44" i="6" s="1"/>
  <c r="AE25" i="1"/>
  <c r="AF25" i="1"/>
  <c r="AG25" i="1"/>
  <c r="CU25" i="1" s="1"/>
  <c r="T25" i="1" s="1"/>
  <c r="AH25" i="1"/>
  <c r="CV25" i="1" s="1"/>
  <c r="U25" i="1" s="1"/>
  <c r="AI25" i="1"/>
  <c r="AJ25" i="1"/>
  <c r="CX25" i="1" s="1"/>
  <c r="W25" i="1" s="1"/>
  <c r="CQ25" i="1"/>
  <c r="P25" i="1" s="1"/>
  <c r="U44" i="6" s="1"/>
  <c r="CS25" i="1"/>
  <c r="R25" i="1" s="1"/>
  <c r="CW25" i="1"/>
  <c r="V25" i="1" s="1"/>
  <c r="Z44" i="6" s="1"/>
  <c r="FR25" i="1"/>
  <c r="GL25" i="1"/>
  <c r="GO25" i="1"/>
  <c r="GP25" i="1"/>
  <c r="GV25" i="1"/>
  <c r="GX25" i="1"/>
  <c r="C26" i="1"/>
  <c r="D26" i="1"/>
  <c r="AC26" i="1"/>
  <c r="AD26" i="1"/>
  <c r="AE26" i="1"/>
  <c r="H38" i="5" s="1"/>
  <c r="R38" i="5" s="1"/>
  <c r="AF26" i="1"/>
  <c r="AG26" i="1"/>
  <c r="CU26" i="1" s="1"/>
  <c r="T26" i="1" s="1"/>
  <c r="AH26" i="1"/>
  <c r="CV26" i="1" s="1"/>
  <c r="U26" i="1" s="1"/>
  <c r="AI26" i="1"/>
  <c r="AJ26" i="1"/>
  <c r="CQ26" i="1"/>
  <c r="P26" i="1" s="1"/>
  <c r="CS26" i="1"/>
  <c r="R26" i="1" s="1"/>
  <c r="CW26" i="1"/>
  <c r="V26" i="1" s="1"/>
  <c r="Z52" i="6" s="1"/>
  <c r="CX26" i="1"/>
  <c r="W26" i="1" s="1"/>
  <c r="FR26" i="1"/>
  <c r="GL26" i="1"/>
  <c r="GO26" i="1"/>
  <c r="GP26" i="1"/>
  <c r="GV26" i="1"/>
  <c r="GX26" i="1"/>
  <c r="C27" i="1"/>
  <c r="D27" i="1"/>
  <c r="AC27" i="1"/>
  <c r="H48" i="5" s="1"/>
  <c r="AE27" i="1"/>
  <c r="AF27" i="1"/>
  <c r="AG27" i="1"/>
  <c r="CU27" i="1" s="1"/>
  <c r="T27" i="1" s="1"/>
  <c r="AH27" i="1"/>
  <c r="AI27" i="1"/>
  <c r="AJ27" i="1"/>
  <c r="CX27" i="1" s="1"/>
  <c r="W27" i="1" s="1"/>
  <c r="CQ27" i="1"/>
  <c r="P27" i="1" s="1"/>
  <c r="CV27" i="1"/>
  <c r="U27" i="1" s="1"/>
  <c r="CW27" i="1"/>
  <c r="V27" i="1" s="1"/>
  <c r="Z62" i="6" s="1"/>
  <c r="FR27" i="1"/>
  <c r="GL27" i="1"/>
  <c r="GO27" i="1"/>
  <c r="GP27" i="1"/>
  <c r="GV27" i="1"/>
  <c r="GX27" i="1"/>
  <c r="I28" i="1"/>
  <c r="AC28" i="1"/>
  <c r="AE28" i="1"/>
  <c r="AF28" i="1"/>
  <c r="AG28" i="1"/>
  <c r="CU28" i="1" s="1"/>
  <c r="T28" i="1" s="1"/>
  <c r="AH28" i="1"/>
  <c r="AI28" i="1"/>
  <c r="CW28" i="1" s="1"/>
  <c r="AJ28" i="1"/>
  <c r="CX28" i="1" s="1"/>
  <c r="W28" i="1" s="1"/>
  <c r="CT28" i="1"/>
  <c r="S28" i="1" s="1"/>
  <c r="V70" i="6" s="1"/>
  <c r="CV28" i="1"/>
  <c r="U28" i="1" s="1"/>
  <c r="Y70" i="6" s="1"/>
  <c r="FR28" i="1"/>
  <c r="GL28" i="1"/>
  <c r="GO28" i="1"/>
  <c r="GP28" i="1"/>
  <c r="GV28" i="1"/>
  <c r="C29" i="1"/>
  <c r="D29" i="1"/>
  <c r="AC29" i="1"/>
  <c r="H58" i="5" s="1"/>
  <c r="AE29" i="1"/>
  <c r="AF29" i="1"/>
  <c r="CT29" i="1" s="1"/>
  <c r="S29" i="1" s="1"/>
  <c r="AG29" i="1"/>
  <c r="CU29" i="1" s="1"/>
  <c r="T29" i="1" s="1"/>
  <c r="AH29" i="1"/>
  <c r="AI29" i="1"/>
  <c r="AJ29" i="1"/>
  <c r="CX29" i="1" s="1"/>
  <c r="W29" i="1" s="1"/>
  <c r="CV29" i="1"/>
  <c r="U29" i="1" s="1"/>
  <c r="CW29" i="1"/>
  <c r="V29" i="1" s="1"/>
  <c r="Z72" i="6" s="1"/>
  <c r="FR29" i="1"/>
  <c r="GL29" i="1"/>
  <c r="GO29" i="1"/>
  <c r="GP29" i="1"/>
  <c r="GV29" i="1"/>
  <c r="GX29" i="1"/>
  <c r="I30" i="1"/>
  <c r="GX30" i="1" s="1"/>
  <c r="AC30" i="1"/>
  <c r="AE30" i="1"/>
  <c r="AD30" i="1" s="1"/>
  <c r="AF30" i="1"/>
  <c r="AG30" i="1"/>
  <c r="CU30" i="1" s="1"/>
  <c r="AH30" i="1"/>
  <c r="AI30" i="1"/>
  <c r="AJ30" i="1"/>
  <c r="CX30" i="1" s="1"/>
  <c r="CQ30" i="1"/>
  <c r="CV30" i="1"/>
  <c r="CW30" i="1"/>
  <c r="FR30" i="1"/>
  <c r="GL30" i="1"/>
  <c r="GO30" i="1"/>
  <c r="GP30" i="1"/>
  <c r="GV30" i="1"/>
  <c r="C31" i="1"/>
  <c r="D31" i="1"/>
  <c r="AC31" i="1"/>
  <c r="H68" i="5" s="1"/>
  <c r="AE31" i="1"/>
  <c r="H67" i="5" s="1"/>
  <c r="R67" i="5" s="1"/>
  <c r="AF31" i="1"/>
  <c r="AG31" i="1"/>
  <c r="CU31" i="1" s="1"/>
  <c r="T31" i="1" s="1"/>
  <c r="AH31" i="1"/>
  <c r="CV31" i="1" s="1"/>
  <c r="U31" i="1" s="1"/>
  <c r="AI31" i="1"/>
  <c r="AJ31" i="1"/>
  <c r="CT31" i="1"/>
  <c r="S31" i="1" s="1"/>
  <c r="CW31" i="1"/>
  <c r="V31" i="1" s="1"/>
  <c r="Z82" i="6" s="1"/>
  <c r="CX31" i="1"/>
  <c r="W31" i="1" s="1"/>
  <c r="FR31" i="1"/>
  <c r="GL31" i="1"/>
  <c r="GO31" i="1"/>
  <c r="GP31" i="1"/>
  <c r="GV31" i="1"/>
  <c r="GX31" i="1"/>
  <c r="I32" i="1"/>
  <c r="AC32" i="1"/>
  <c r="AE32" i="1"/>
  <c r="AD32" i="1" s="1"/>
  <c r="AF32" i="1"/>
  <c r="AG32" i="1"/>
  <c r="CU32" i="1" s="1"/>
  <c r="AH32" i="1"/>
  <c r="AI32" i="1"/>
  <c r="AJ32" i="1"/>
  <c r="CR32" i="1"/>
  <c r="Q32" i="1" s="1"/>
  <c r="W90" i="6" s="1"/>
  <c r="CV32" i="1"/>
  <c r="CW32" i="1"/>
  <c r="CX32" i="1"/>
  <c r="W32" i="1" s="1"/>
  <c r="FR32" i="1"/>
  <c r="GL32" i="1"/>
  <c r="GO32" i="1"/>
  <c r="GP32" i="1"/>
  <c r="GV32" i="1"/>
  <c r="C33" i="1"/>
  <c r="D33" i="1"/>
  <c r="AC33" i="1"/>
  <c r="AE33" i="1"/>
  <c r="AF33" i="1"/>
  <c r="CT33" i="1" s="1"/>
  <c r="S33" i="1" s="1"/>
  <c r="AG33" i="1"/>
  <c r="AH33" i="1"/>
  <c r="AI33" i="1"/>
  <c r="CW33" i="1" s="1"/>
  <c r="V33" i="1" s="1"/>
  <c r="Z92" i="6" s="1"/>
  <c r="AJ33" i="1"/>
  <c r="CX33" i="1" s="1"/>
  <c r="W33" i="1" s="1"/>
  <c r="CQ33" i="1"/>
  <c r="P33" i="1" s="1"/>
  <c r="CU33" i="1"/>
  <c r="T33" i="1" s="1"/>
  <c r="CV33" i="1"/>
  <c r="U33" i="1" s="1"/>
  <c r="FR33" i="1"/>
  <c r="GL33" i="1"/>
  <c r="GO33" i="1"/>
  <c r="GP33" i="1"/>
  <c r="GV33" i="1"/>
  <c r="GX33" i="1" s="1"/>
  <c r="C34" i="1"/>
  <c r="D34" i="1"/>
  <c r="AC34" i="1"/>
  <c r="CQ34" i="1" s="1"/>
  <c r="P34" i="1" s="1"/>
  <c r="U100" i="6" s="1"/>
  <c r="AE34" i="1"/>
  <c r="AF34" i="1"/>
  <c r="CT34" i="1" s="1"/>
  <c r="S34" i="1" s="1"/>
  <c r="AG34" i="1"/>
  <c r="CU34" i="1" s="1"/>
  <c r="T34" i="1" s="1"/>
  <c r="AH34" i="1"/>
  <c r="AI34" i="1"/>
  <c r="CW34" i="1" s="1"/>
  <c r="V34" i="1" s="1"/>
  <c r="Z100" i="6" s="1"/>
  <c r="AJ34" i="1"/>
  <c r="CX34" i="1" s="1"/>
  <c r="W34" i="1" s="1"/>
  <c r="CV34" i="1"/>
  <c r="U34" i="1" s="1"/>
  <c r="FR34" i="1"/>
  <c r="GL34" i="1"/>
  <c r="GO34" i="1"/>
  <c r="GP34" i="1"/>
  <c r="GV34" i="1"/>
  <c r="GX34" i="1" s="1"/>
  <c r="C35" i="1"/>
  <c r="D35" i="1"/>
  <c r="AC35" i="1"/>
  <c r="AD35" i="1"/>
  <c r="AE35" i="1"/>
  <c r="AF35" i="1"/>
  <c r="AG35" i="1"/>
  <c r="CU35" i="1" s="1"/>
  <c r="T35" i="1" s="1"/>
  <c r="AH35" i="1"/>
  <c r="CV35" i="1" s="1"/>
  <c r="U35" i="1" s="1"/>
  <c r="AI35" i="1"/>
  <c r="CW35" i="1" s="1"/>
  <c r="V35" i="1" s="1"/>
  <c r="Z108" i="6" s="1"/>
  <c r="AJ35" i="1"/>
  <c r="CQ35" i="1"/>
  <c r="P35" i="1" s="1"/>
  <c r="CT35" i="1"/>
  <c r="S35" i="1" s="1"/>
  <c r="CX35" i="1"/>
  <c r="W35" i="1" s="1"/>
  <c r="FR35" i="1"/>
  <c r="GL35" i="1"/>
  <c r="GO35" i="1"/>
  <c r="GP35" i="1"/>
  <c r="GV35" i="1"/>
  <c r="GX35" i="1" s="1"/>
  <c r="C36" i="1"/>
  <c r="D36" i="1"/>
  <c r="AC36" i="1"/>
  <c r="CQ36" i="1" s="1"/>
  <c r="P36" i="1" s="1"/>
  <c r="U118" i="6" s="1"/>
  <c r="AE36" i="1"/>
  <c r="AF36" i="1"/>
  <c r="AG36" i="1"/>
  <c r="CU36" i="1" s="1"/>
  <c r="T36" i="1" s="1"/>
  <c r="AH36" i="1"/>
  <c r="CV36" i="1" s="1"/>
  <c r="U36" i="1" s="1"/>
  <c r="AI36" i="1"/>
  <c r="AJ36" i="1"/>
  <c r="CX36" i="1" s="1"/>
  <c r="W36" i="1" s="1"/>
  <c r="CS36" i="1"/>
  <c r="R36" i="1" s="1"/>
  <c r="CW36" i="1"/>
  <c r="V36" i="1" s="1"/>
  <c r="Z118" i="6" s="1"/>
  <c r="FR36" i="1"/>
  <c r="GL36" i="1"/>
  <c r="GO36" i="1"/>
  <c r="GP36" i="1"/>
  <c r="GV36" i="1"/>
  <c r="GX36" i="1" s="1"/>
  <c r="C37" i="1"/>
  <c r="D37" i="1"/>
  <c r="AC37" i="1"/>
  <c r="AE37" i="1"/>
  <c r="AF37" i="1"/>
  <c r="CT37" i="1" s="1"/>
  <c r="S37" i="1" s="1"/>
  <c r="AG37" i="1"/>
  <c r="AH37" i="1"/>
  <c r="AI37" i="1"/>
  <c r="CW37" i="1" s="1"/>
  <c r="V37" i="1" s="1"/>
  <c r="Z126" i="6" s="1"/>
  <c r="AJ37" i="1"/>
  <c r="CX37" i="1" s="1"/>
  <c r="W37" i="1" s="1"/>
  <c r="CQ37" i="1"/>
  <c r="P37" i="1" s="1"/>
  <c r="CU37" i="1"/>
  <c r="T37" i="1" s="1"/>
  <c r="CV37" i="1"/>
  <c r="U37" i="1" s="1"/>
  <c r="FR37" i="1"/>
  <c r="GL37" i="1"/>
  <c r="GO37" i="1"/>
  <c r="GP37" i="1"/>
  <c r="GV37" i="1"/>
  <c r="GX37" i="1" s="1"/>
  <c r="C38" i="1"/>
  <c r="D38" i="1"/>
  <c r="AC38" i="1"/>
  <c r="AE38" i="1"/>
  <c r="AF38" i="1"/>
  <c r="CT38" i="1" s="1"/>
  <c r="S38" i="1" s="1"/>
  <c r="AG38" i="1"/>
  <c r="CU38" i="1" s="1"/>
  <c r="T38" i="1" s="1"/>
  <c r="AH38" i="1"/>
  <c r="AI38" i="1"/>
  <c r="CW38" i="1" s="1"/>
  <c r="V38" i="1" s="1"/>
  <c r="Z136" i="6" s="1"/>
  <c r="AJ38" i="1"/>
  <c r="CX38" i="1" s="1"/>
  <c r="W38" i="1" s="1"/>
  <c r="CV38" i="1"/>
  <c r="U38" i="1" s="1"/>
  <c r="FR38" i="1"/>
  <c r="GL38" i="1"/>
  <c r="GO38" i="1"/>
  <c r="GP38" i="1"/>
  <c r="GV38" i="1"/>
  <c r="GX38" i="1" s="1"/>
  <c r="I39" i="1"/>
  <c r="AC39" i="1"/>
  <c r="AE39" i="1"/>
  <c r="AD39" i="1" s="1"/>
  <c r="AF39" i="1"/>
  <c r="AG39" i="1"/>
  <c r="CU39" i="1" s="1"/>
  <c r="T39" i="1" s="1"/>
  <c r="AH39" i="1"/>
  <c r="AI39" i="1"/>
  <c r="CW39" i="1" s="1"/>
  <c r="V39" i="1" s="1"/>
  <c r="Z146" i="6" s="1"/>
  <c r="AJ39" i="1"/>
  <c r="CX39" i="1" s="1"/>
  <c r="CQ39" i="1"/>
  <c r="P39" i="1" s="1"/>
  <c r="U146" i="6" s="1"/>
  <c r="CV39" i="1"/>
  <c r="U39" i="1" s="1"/>
  <c r="Y146" i="6" s="1"/>
  <c r="FR39" i="1"/>
  <c r="GL39" i="1"/>
  <c r="GO39" i="1"/>
  <c r="GP39" i="1"/>
  <c r="GV39" i="1"/>
  <c r="GX39" i="1" s="1"/>
  <c r="C40" i="1"/>
  <c r="D40" i="1"/>
  <c r="AC40" i="1"/>
  <c r="H128" i="5" s="1"/>
  <c r="AE40" i="1"/>
  <c r="H127" i="5" s="1"/>
  <c r="R127" i="5" s="1"/>
  <c r="AF40" i="1"/>
  <c r="CT40" i="1" s="1"/>
  <c r="S40" i="1" s="1"/>
  <c r="AG40" i="1"/>
  <c r="AH40" i="1"/>
  <c r="CV40" i="1" s="1"/>
  <c r="U40" i="1" s="1"/>
  <c r="AI40" i="1"/>
  <c r="CW40" i="1" s="1"/>
  <c r="V40" i="1" s="1"/>
  <c r="Z148" i="6" s="1"/>
  <c r="AJ40" i="1"/>
  <c r="CX40" i="1" s="1"/>
  <c r="W40" i="1" s="1"/>
  <c r="CQ40" i="1"/>
  <c r="P40" i="1" s="1"/>
  <c r="CS40" i="1"/>
  <c r="R40" i="1" s="1"/>
  <c r="CU40" i="1"/>
  <c r="T40" i="1" s="1"/>
  <c r="FR40" i="1"/>
  <c r="GL40" i="1"/>
  <c r="GO40" i="1"/>
  <c r="GP40" i="1"/>
  <c r="GV40" i="1"/>
  <c r="GX40" i="1"/>
  <c r="I41" i="1"/>
  <c r="AC41" i="1"/>
  <c r="AE41" i="1"/>
  <c r="AD41" i="1" s="1"/>
  <c r="CR41" i="1" s="1"/>
  <c r="Q41" i="1" s="1"/>
  <c r="W158" i="6" s="1"/>
  <c r="AF41" i="1"/>
  <c r="AG41" i="1"/>
  <c r="CU41" i="1" s="1"/>
  <c r="T41" i="1" s="1"/>
  <c r="AH41" i="1"/>
  <c r="AI41" i="1"/>
  <c r="CW41" i="1" s="1"/>
  <c r="V41" i="1" s="1"/>
  <c r="Z158" i="6" s="1"/>
  <c r="AJ41" i="1"/>
  <c r="CT41" i="1"/>
  <c r="S41" i="1" s="1"/>
  <c r="V158" i="6" s="1"/>
  <c r="CV41" i="1"/>
  <c r="U41" i="1" s="1"/>
  <c r="Y158" i="6" s="1"/>
  <c r="CX41" i="1"/>
  <c r="W41" i="1" s="1"/>
  <c r="FR41" i="1"/>
  <c r="GL41" i="1"/>
  <c r="GO41" i="1"/>
  <c r="GP41" i="1"/>
  <c r="GV41" i="1"/>
  <c r="GX41" i="1"/>
  <c r="C42" i="1"/>
  <c r="D42" i="1"/>
  <c r="AC42" i="1"/>
  <c r="AE42" i="1"/>
  <c r="AF42" i="1"/>
  <c r="AG42" i="1"/>
  <c r="CU42" i="1" s="1"/>
  <c r="T42" i="1" s="1"/>
  <c r="AH42" i="1"/>
  <c r="AI42" i="1"/>
  <c r="AJ42" i="1"/>
  <c r="CT42" i="1"/>
  <c r="S42" i="1" s="1"/>
  <c r="CV42" i="1"/>
  <c r="U42" i="1" s="1"/>
  <c r="CW42" i="1"/>
  <c r="V42" i="1" s="1"/>
  <c r="Z160" i="6" s="1"/>
  <c r="CX42" i="1"/>
  <c r="W42" i="1" s="1"/>
  <c r="FR42" i="1"/>
  <c r="GL42" i="1"/>
  <c r="GO42" i="1"/>
  <c r="GP42" i="1"/>
  <c r="GV42" i="1"/>
  <c r="GX42" i="1"/>
  <c r="I43" i="1"/>
  <c r="AC43" i="1"/>
  <c r="AE43" i="1"/>
  <c r="AD43" i="1" s="1"/>
  <c r="CR43" i="1" s="1"/>
  <c r="AF43" i="1"/>
  <c r="AG43" i="1"/>
  <c r="CU43" i="1" s="1"/>
  <c r="T43" i="1" s="1"/>
  <c r="AH43" i="1"/>
  <c r="AI43" i="1"/>
  <c r="CW43" i="1" s="1"/>
  <c r="AJ43" i="1"/>
  <c r="CX43" i="1" s="1"/>
  <c r="W43" i="1" s="1"/>
  <c r="CT43" i="1"/>
  <c r="S43" i="1" s="1"/>
  <c r="V170" i="6" s="1"/>
  <c r="CV43" i="1"/>
  <c r="FR43" i="1"/>
  <c r="GL43" i="1"/>
  <c r="GO43" i="1"/>
  <c r="GP43" i="1"/>
  <c r="GV43" i="1"/>
  <c r="C44" i="1"/>
  <c r="D44" i="1"/>
  <c r="AC44" i="1"/>
  <c r="H148" i="5" s="1"/>
  <c r="AE44" i="1"/>
  <c r="H147" i="5" s="1"/>
  <c r="R147" i="5" s="1"/>
  <c r="AF44" i="1"/>
  <c r="AG44" i="1"/>
  <c r="CU44" i="1" s="1"/>
  <c r="T44" i="1" s="1"/>
  <c r="AH44" i="1"/>
  <c r="AI44" i="1"/>
  <c r="CW44" i="1" s="1"/>
  <c r="V44" i="1" s="1"/>
  <c r="Z172" i="6" s="1"/>
  <c r="AJ44" i="1"/>
  <c r="CT44" i="1"/>
  <c r="S44" i="1" s="1"/>
  <c r="CV44" i="1"/>
  <c r="U44" i="1" s="1"/>
  <c r="CX44" i="1"/>
  <c r="W44" i="1" s="1"/>
  <c r="FR44" i="1"/>
  <c r="GL44" i="1"/>
  <c r="GO44" i="1"/>
  <c r="GP44" i="1"/>
  <c r="GV44" i="1"/>
  <c r="GX44" i="1" s="1"/>
  <c r="I45" i="1"/>
  <c r="AC45" i="1"/>
  <c r="AD45" i="1"/>
  <c r="AE45" i="1"/>
  <c r="AF45" i="1"/>
  <c r="AG45" i="1"/>
  <c r="CU45" i="1" s="1"/>
  <c r="T45" i="1" s="1"/>
  <c r="AH45" i="1"/>
  <c r="CV45" i="1" s="1"/>
  <c r="U45" i="1" s="1"/>
  <c r="Y182" i="6" s="1"/>
  <c r="AI45" i="1"/>
  <c r="AJ45" i="1"/>
  <c r="CX45" i="1" s="1"/>
  <c r="W45" i="1" s="1"/>
  <c r="CQ45" i="1"/>
  <c r="P45" i="1" s="1"/>
  <c r="U182" i="6" s="1"/>
  <c r="CS45" i="1"/>
  <c r="R45" i="1" s="1"/>
  <c r="CW45" i="1"/>
  <c r="V45" i="1" s="1"/>
  <c r="Z182" i="6" s="1"/>
  <c r="FR45" i="1"/>
  <c r="GL45" i="1"/>
  <c r="GO45" i="1"/>
  <c r="GP45" i="1"/>
  <c r="GV45" i="1"/>
  <c r="GX45" i="1" s="1"/>
  <c r="C46" i="1"/>
  <c r="D46" i="1"/>
  <c r="AC46" i="1"/>
  <c r="H158" i="5" s="1"/>
  <c r="AE46" i="1"/>
  <c r="H157" i="5" s="1"/>
  <c r="R157" i="5" s="1"/>
  <c r="AF46" i="1"/>
  <c r="AG46" i="1"/>
  <c r="AH46" i="1"/>
  <c r="CV46" i="1" s="1"/>
  <c r="U46" i="1" s="1"/>
  <c r="AI46" i="1"/>
  <c r="CW46" i="1" s="1"/>
  <c r="V46" i="1" s="1"/>
  <c r="Z184" i="6" s="1"/>
  <c r="AJ46" i="1"/>
  <c r="CX46" i="1" s="1"/>
  <c r="W46" i="1" s="1"/>
  <c r="CQ46" i="1"/>
  <c r="P46" i="1" s="1"/>
  <c r="CU46" i="1"/>
  <c r="T46" i="1" s="1"/>
  <c r="FR46" i="1"/>
  <c r="GL46" i="1"/>
  <c r="GO46" i="1"/>
  <c r="GP46" i="1"/>
  <c r="GV46" i="1"/>
  <c r="GX46" i="1" s="1"/>
  <c r="I47" i="1"/>
  <c r="AC47" i="1"/>
  <c r="AE47" i="1"/>
  <c r="AD47" i="1" s="1"/>
  <c r="CR47" i="1" s="1"/>
  <c r="Q47" i="1" s="1"/>
  <c r="W192" i="6" s="1"/>
  <c r="AF47" i="1"/>
  <c r="CT47" i="1" s="1"/>
  <c r="S47" i="1" s="1"/>
  <c r="V192" i="6" s="1"/>
  <c r="AG47" i="1"/>
  <c r="CU47" i="1" s="1"/>
  <c r="AH47" i="1"/>
  <c r="AI47" i="1"/>
  <c r="CW47" i="1" s="1"/>
  <c r="V47" i="1" s="1"/>
  <c r="Z192" i="6" s="1"/>
  <c r="AJ47" i="1"/>
  <c r="CX47" i="1" s="1"/>
  <c r="W47" i="1" s="1"/>
  <c r="CS47" i="1"/>
  <c r="CV47" i="1"/>
  <c r="U47" i="1" s="1"/>
  <c r="Y192" i="6" s="1"/>
  <c r="FR47" i="1"/>
  <c r="GL47" i="1"/>
  <c r="GO47" i="1"/>
  <c r="GP47" i="1"/>
  <c r="GV47" i="1"/>
  <c r="I48" i="1"/>
  <c r="AC48" i="1"/>
  <c r="AE48" i="1"/>
  <c r="AD48" i="1" s="1"/>
  <c r="AF48" i="1"/>
  <c r="AG48" i="1"/>
  <c r="CU48" i="1" s="1"/>
  <c r="AH48" i="1"/>
  <c r="AI48" i="1"/>
  <c r="CW48" i="1" s="1"/>
  <c r="AJ48" i="1"/>
  <c r="CX48" i="1" s="1"/>
  <c r="CQ48" i="1"/>
  <c r="P48" i="1" s="1"/>
  <c r="U194" i="6" s="1"/>
  <c r="CV48" i="1"/>
  <c r="FR48" i="1"/>
  <c r="GL48" i="1"/>
  <c r="GO48" i="1"/>
  <c r="GP48" i="1"/>
  <c r="GV48" i="1"/>
  <c r="GX48" i="1" s="1"/>
  <c r="C49" i="1"/>
  <c r="D49" i="1"/>
  <c r="T49" i="1"/>
  <c r="AC49" i="1"/>
  <c r="H169" i="5" s="1"/>
  <c r="AE49" i="1"/>
  <c r="H168" i="5" s="1"/>
  <c r="R168" i="5" s="1"/>
  <c r="AF49" i="1"/>
  <c r="AG49" i="1"/>
  <c r="AH49" i="1"/>
  <c r="CV49" i="1" s="1"/>
  <c r="U49" i="1" s="1"/>
  <c r="AI49" i="1"/>
  <c r="AJ49" i="1"/>
  <c r="CX49" i="1" s="1"/>
  <c r="W49" i="1" s="1"/>
  <c r="CQ49" i="1"/>
  <c r="P49" i="1" s="1"/>
  <c r="CS49" i="1"/>
  <c r="R49" i="1" s="1"/>
  <c r="CU49" i="1"/>
  <c r="CW49" i="1"/>
  <c r="V49" i="1" s="1"/>
  <c r="Z196" i="6" s="1"/>
  <c r="FR49" i="1"/>
  <c r="GL49" i="1"/>
  <c r="GO49" i="1"/>
  <c r="CC55" i="1" s="1"/>
  <c r="CC22" i="1" s="1"/>
  <c r="GP49" i="1"/>
  <c r="GV49" i="1"/>
  <c r="GX49" i="1"/>
  <c r="I50" i="1"/>
  <c r="AC50" i="1"/>
  <c r="AE50" i="1"/>
  <c r="AD50" i="1" s="1"/>
  <c r="AF50" i="1"/>
  <c r="AG50" i="1"/>
  <c r="CU50" i="1" s="1"/>
  <c r="T50" i="1" s="1"/>
  <c r="AH50" i="1"/>
  <c r="CV50" i="1" s="1"/>
  <c r="U50" i="1" s="1"/>
  <c r="Y206" i="6" s="1"/>
  <c r="AI50" i="1"/>
  <c r="CW50" i="1" s="1"/>
  <c r="AJ50" i="1"/>
  <c r="CS50" i="1"/>
  <c r="R50" i="1" s="1"/>
  <c r="CT50" i="1"/>
  <c r="CX50" i="1"/>
  <c r="FR50" i="1"/>
  <c r="GL50" i="1"/>
  <c r="BZ55" i="1" s="1"/>
  <c r="GO50" i="1"/>
  <c r="GP50" i="1"/>
  <c r="GV50" i="1"/>
  <c r="GX50" i="1" s="1"/>
  <c r="C51" i="1"/>
  <c r="D51" i="1"/>
  <c r="U51" i="1"/>
  <c r="AC51" i="1"/>
  <c r="AE51" i="1"/>
  <c r="AF51" i="1"/>
  <c r="AG51" i="1"/>
  <c r="CU51" i="1" s="1"/>
  <c r="T51" i="1" s="1"/>
  <c r="AH51" i="1"/>
  <c r="AI51" i="1"/>
  <c r="CW51" i="1" s="1"/>
  <c r="V51" i="1" s="1"/>
  <c r="Z208" i="6" s="1"/>
  <c r="AJ51" i="1"/>
  <c r="CV51" i="1"/>
  <c r="CX51" i="1"/>
  <c r="W51" i="1" s="1"/>
  <c r="FR51" i="1"/>
  <c r="GL51" i="1"/>
  <c r="GO51" i="1"/>
  <c r="GP51" i="1"/>
  <c r="GV51" i="1"/>
  <c r="GX51" i="1" s="1"/>
  <c r="I52" i="1"/>
  <c r="AC52" i="1"/>
  <c r="AD52" i="1"/>
  <c r="CR52" i="1" s="1"/>
  <c r="AE52" i="1"/>
  <c r="AF52" i="1"/>
  <c r="AG52" i="1"/>
  <c r="CU52" i="1" s="1"/>
  <c r="T52" i="1" s="1"/>
  <c r="AH52" i="1"/>
  <c r="CV52" i="1" s="1"/>
  <c r="AI52" i="1"/>
  <c r="AJ52" i="1"/>
  <c r="CS52" i="1"/>
  <c r="R52" i="1" s="1"/>
  <c r="CT52" i="1"/>
  <c r="CW52" i="1"/>
  <c r="V52" i="1" s="1"/>
  <c r="Z218" i="6" s="1"/>
  <c r="CX52" i="1"/>
  <c r="W52" i="1" s="1"/>
  <c r="FR52" i="1"/>
  <c r="GL52" i="1"/>
  <c r="GO52" i="1"/>
  <c r="GP52" i="1"/>
  <c r="GV52" i="1"/>
  <c r="I53" i="1"/>
  <c r="AC53" i="1"/>
  <c r="AE53" i="1"/>
  <c r="AD53" i="1" s="1"/>
  <c r="CR53" i="1" s="1"/>
  <c r="Q53" i="1" s="1"/>
  <c r="W220" i="6" s="1"/>
  <c r="AF53" i="1"/>
  <c r="AG53" i="1"/>
  <c r="CU53" i="1" s="1"/>
  <c r="AH53" i="1"/>
  <c r="AI53" i="1"/>
  <c r="CW53" i="1" s="1"/>
  <c r="V53" i="1" s="1"/>
  <c r="Z220" i="6" s="1"/>
  <c r="AJ53" i="1"/>
  <c r="CX53" i="1" s="1"/>
  <c r="W53" i="1" s="1"/>
  <c r="CV53" i="1"/>
  <c r="U53" i="1" s="1"/>
  <c r="Y220" i="6" s="1"/>
  <c r="FR53" i="1"/>
  <c r="GL53" i="1"/>
  <c r="GO53" i="1"/>
  <c r="GP53" i="1"/>
  <c r="GV53" i="1"/>
  <c r="GX53" i="1" s="1"/>
  <c r="B55" i="1"/>
  <c r="B22" i="1" s="1"/>
  <c r="C55" i="1"/>
  <c r="C22" i="1" s="1"/>
  <c r="D55" i="1"/>
  <c r="D22" i="1" s="1"/>
  <c r="F55" i="1"/>
  <c r="F22" i="1" s="1"/>
  <c r="G55" i="1"/>
  <c r="BX55" i="1"/>
  <c r="BX22" i="1" s="1"/>
  <c r="CK55" i="1"/>
  <c r="CK22" i="1" s="1"/>
  <c r="CL55" i="1"/>
  <c r="B87" i="1"/>
  <c r="B18" i="1" s="1"/>
  <c r="C87" i="1"/>
  <c r="C18" i="1" s="1"/>
  <c r="D87" i="1"/>
  <c r="D18" i="1" s="1"/>
  <c r="F87" i="1"/>
  <c r="F18" i="1" s="1"/>
  <c r="G87" i="1"/>
  <c r="G18" i="1" s="1"/>
  <c r="Y172" i="6" l="1"/>
  <c r="L153" i="5"/>
  <c r="Q153" i="5" s="1"/>
  <c r="L151" i="5"/>
  <c r="Y118" i="6"/>
  <c r="L105" i="5"/>
  <c r="Q105" i="5" s="1"/>
  <c r="L104" i="5"/>
  <c r="V92" i="6"/>
  <c r="K75" i="5"/>
  <c r="V72" i="6"/>
  <c r="K55" i="5"/>
  <c r="X148" i="6"/>
  <c r="K127" i="5"/>
  <c r="GK40" i="1"/>
  <c r="V136" i="6"/>
  <c r="K115" i="5"/>
  <c r="Y108" i="6"/>
  <c r="L97" i="5"/>
  <c r="Q97" i="5" s="1"/>
  <c r="L96" i="5"/>
  <c r="Y160" i="6"/>
  <c r="L143" i="5"/>
  <c r="Q143" i="5" s="1"/>
  <c r="L141" i="5"/>
  <c r="V126" i="6"/>
  <c r="K107" i="5"/>
  <c r="X196" i="6"/>
  <c r="K168" i="5"/>
  <c r="GK49" i="1"/>
  <c r="V160" i="6"/>
  <c r="K135" i="5"/>
  <c r="V148" i="6"/>
  <c r="K125" i="5"/>
  <c r="V100" i="6"/>
  <c r="K83" i="5"/>
  <c r="U184" i="5"/>
  <c r="S184" i="5"/>
  <c r="CT53" i="1"/>
  <c r="S53" i="1" s="1"/>
  <c r="V220" i="6" s="1"/>
  <c r="CQ52" i="1"/>
  <c r="P52" i="1" s="1"/>
  <c r="U218" i="6" s="1"/>
  <c r="H183" i="5"/>
  <c r="W183" i="5" s="1"/>
  <c r="GK50" i="1"/>
  <c r="X206" i="6"/>
  <c r="F206" i="6"/>
  <c r="E173" i="5"/>
  <c r="CS53" i="1"/>
  <c r="R53" i="1" s="1"/>
  <c r="CQ53" i="1"/>
  <c r="H184" i="5"/>
  <c r="W184" i="5" s="1"/>
  <c r="U183" i="5"/>
  <c r="S183" i="5"/>
  <c r="CS51" i="1"/>
  <c r="R51" i="1" s="1"/>
  <c r="H178" i="5"/>
  <c r="R178" i="5" s="1"/>
  <c r="W50" i="1"/>
  <c r="U173" i="5"/>
  <c r="S173" i="5"/>
  <c r="U48" i="1"/>
  <c r="Y194" i="6" s="1"/>
  <c r="CT48" i="1"/>
  <c r="U163" i="5"/>
  <c r="S163" i="5"/>
  <c r="GX47" i="1"/>
  <c r="CS46" i="1"/>
  <c r="R46" i="1" s="1"/>
  <c r="Y184" i="6"/>
  <c r="L164" i="5"/>
  <c r="Q164" i="5" s="1"/>
  <c r="L161" i="5"/>
  <c r="AD46" i="1"/>
  <c r="H152" i="5"/>
  <c r="W152" i="5" s="1"/>
  <c r="GX43" i="1"/>
  <c r="U142" i="5"/>
  <c r="S142" i="5"/>
  <c r="G167" i="6"/>
  <c r="G165" i="6"/>
  <c r="H135" i="5"/>
  <c r="U134" i="5"/>
  <c r="S134" i="5"/>
  <c r="H139" i="5" s="1"/>
  <c r="CQ41" i="1"/>
  <c r="P41" i="1" s="1"/>
  <c r="U158" i="6" s="1"/>
  <c r="H132" i="5"/>
  <c r="W132" i="5" s="1"/>
  <c r="CT39" i="1"/>
  <c r="U122" i="5"/>
  <c r="S122" i="5"/>
  <c r="F146" i="6"/>
  <c r="E122" i="5"/>
  <c r="AD38" i="1"/>
  <c r="H117" i="5"/>
  <c r="R117" i="5" s="1"/>
  <c r="CS37" i="1"/>
  <c r="R37" i="1" s="1"/>
  <c r="H109" i="5"/>
  <c r="R109" i="5" s="1"/>
  <c r="U108" i="6"/>
  <c r="AD34" i="1"/>
  <c r="H85" i="5"/>
  <c r="R85" i="5" s="1"/>
  <c r="CS33" i="1"/>
  <c r="R33" i="1" s="1"/>
  <c r="H77" i="5"/>
  <c r="R77" i="5" s="1"/>
  <c r="V32" i="1"/>
  <c r="Z90" i="6" s="1"/>
  <c r="U72" i="5"/>
  <c r="S72" i="5"/>
  <c r="V82" i="6"/>
  <c r="K65" i="5"/>
  <c r="Y82" i="6"/>
  <c r="L73" i="5"/>
  <c r="Q73" i="5" s="1"/>
  <c r="L71" i="5"/>
  <c r="AD31" i="1"/>
  <c r="CT30" i="1"/>
  <c r="S62" i="5"/>
  <c r="U62" i="5"/>
  <c r="Y72" i="6"/>
  <c r="L63" i="5"/>
  <c r="Q63" i="5" s="1"/>
  <c r="L61" i="5"/>
  <c r="AD29" i="1"/>
  <c r="H57" i="5"/>
  <c r="R57" i="5" s="1"/>
  <c r="F70" i="6"/>
  <c r="E52" i="5"/>
  <c r="Y62" i="6"/>
  <c r="L53" i="5"/>
  <c r="Q53" i="5" s="1"/>
  <c r="L51" i="5"/>
  <c r="CT27" i="1"/>
  <c r="S27" i="1" s="1"/>
  <c r="G67" i="6"/>
  <c r="G68" i="6"/>
  <c r="H45" i="5"/>
  <c r="R45" i="5" s="1"/>
  <c r="U44" i="5"/>
  <c r="S44" i="5"/>
  <c r="U52" i="6"/>
  <c r="K39" i="5"/>
  <c r="AB26" i="1"/>
  <c r="G52" i="6" s="1"/>
  <c r="H39" i="5"/>
  <c r="G41" i="6"/>
  <c r="G42" i="6"/>
  <c r="S23" i="5"/>
  <c r="H25" i="5" s="1"/>
  <c r="H24" i="5"/>
  <c r="U23" i="5"/>
  <c r="H26" i="5" s="1"/>
  <c r="G22" i="1"/>
  <c r="C223" i="6"/>
  <c r="A186" i="5"/>
  <c r="GK52" i="1"/>
  <c r="X218" i="6"/>
  <c r="G215" i="6"/>
  <c r="G213" i="6"/>
  <c r="H176" i="5"/>
  <c r="R176" i="5" s="1"/>
  <c r="U175" i="5"/>
  <c r="H181" i="5" s="1"/>
  <c r="S175" i="5"/>
  <c r="F220" i="6"/>
  <c r="E184" i="5"/>
  <c r="S52" i="1"/>
  <c r="V218" i="6" s="1"/>
  <c r="F218" i="6"/>
  <c r="E183" i="5"/>
  <c r="CQ51" i="1"/>
  <c r="P51" i="1" s="1"/>
  <c r="H179" i="5"/>
  <c r="V50" i="1"/>
  <c r="Z206" i="6" s="1"/>
  <c r="AB50" i="1"/>
  <c r="G206" i="6" s="1"/>
  <c r="Y196" i="6"/>
  <c r="L174" i="5"/>
  <c r="Q174" i="5" s="1"/>
  <c r="L172" i="5"/>
  <c r="AD49" i="1"/>
  <c r="V48" i="1"/>
  <c r="Z194" i="6" s="1"/>
  <c r="R47" i="1"/>
  <c r="CQ47" i="1"/>
  <c r="P47" i="1" s="1"/>
  <c r="U192" i="6" s="1"/>
  <c r="H162" i="5"/>
  <c r="W162" i="5" s="1"/>
  <c r="U184" i="6"/>
  <c r="K158" i="5"/>
  <c r="CT45" i="1"/>
  <c r="S45" i="1" s="1"/>
  <c r="U152" i="5"/>
  <c r="S152" i="5"/>
  <c r="F182" i="6"/>
  <c r="E152" i="5"/>
  <c r="V172" i="6"/>
  <c r="K145" i="5"/>
  <c r="V43" i="1"/>
  <c r="Z170" i="6" s="1"/>
  <c r="Q43" i="1"/>
  <c r="W170" i="6" s="1"/>
  <c r="CS42" i="1"/>
  <c r="R42" i="1" s="1"/>
  <c r="CZ42" i="1" s="1"/>
  <c r="Y42" i="1" s="1"/>
  <c r="H137" i="5"/>
  <c r="R137" i="5" s="1"/>
  <c r="CS41" i="1"/>
  <c r="R41" i="1" s="1"/>
  <c r="AB41" i="1"/>
  <c r="G158" i="6" s="1"/>
  <c r="Y148" i="6"/>
  <c r="L133" i="5"/>
  <c r="Q133" i="5" s="1"/>
  <c r="L131" i="5"/>
  <c r="AD40" i="1"/>
  <c r="CS38" i="1"/>
  <c r="R38" i="1" s="1"/>
  <c r="CQ38" i="1"/>
  <c r="P38" i="1" s="1"/>
  <c r="H118" i="5"/>
  <c r="AD37" i="1"/>
  <c r="G123" i="6"/>
  <c r="G124" i="6"/>
  <c r="H99" i="5"/>
  <c r="U98" i="5"/>
  <c r="H103" i="5" s="1"/>
  <c r="S98" i="5"/>
  <c r="H102" i="5" s="1"/>
  <c r="G113" i="6"/>
  <c r="G115" i="6"/>
  <c r="H91" i="5"/>
  <c r="U90" i="5"/>
  <c r="H95" i="5" s="1"/>
  <c r="S90" i="5"/>
  <c r="H94" i="5" s="1"/>
  <c r="CS34" i="1"/>
  <c r="R34" i="1" s="1"/>
  <c r="AD33" i="1"/>
  <c r="CS31" i="1"/>
  <c r="R31" i="1" s="1"/>
  <c r="AB30" i="1"/>
  <c r="G80" i="6" s="1"/>
  <c r="GX28" i="1"/>
  <c r="U52" i="5"/>
  <c r="S52" i="5"/>
  <c r="AD27" i="1"/>
  <c r="H46" i="5" s="1"/>
  <c r="H47" i="5"/>
  <c r="R47" i="5" s="1"/>
  <c r="G61" i="6"/>
  <c r="G59" i="6"/>
  <c r="G57" i="6"/>
  <c r="H36" i="5"/>
  <c r="U35" i="5"/>
  <c r="H41" i="5" s="1"/>
  <c r="S35" i="5"/>
  <c r="H40" i="5" s="1"/>
  <c r="AB25" i="1"/>
  <c r="G44" i="6" s="1"/>
  <c r="G49" i="6"/>
  <c r="G50" i="6"/>
  <c r="U29" i="5"/>
  <c r="H32" i="5" s="1"/>
  <c r="S29" i="5"/>
  <c r="H31" i="5" s="1"/>
  <c r="H30" i="5"/>
  <c r="CT51" i="1"/>
  <c r="S51" i="1" s="1"/>
  <c r="Y208" i="6"/>
  <c r="L185" i="5"/>
  <c r="Q185" i="5" s="1"/>
  <c r="L182" i="5"/>
  <c r="S50" i="1"/>
  <c r="V206" i="6" s="1"/>
  <c r="CQ50" i="1"/>
  <c r="H173" i="5"/>
  <c r="W173" i="5" s="1"/>
  <c r="CD55" i="1"/>
  <c r="U196" i="6"/>
  <c r="K169" i="5"/>
  <c r="CS48" i="1"/>
  <c r="R48" i="1" s="1"/>
  <c r="H163" i="5"/>
  <c r="W163" i="5" s="1"/>
  <c r="T47" i="1"/>
  <c r="CT46" i="1"/>
  <c r="S46" i="1" s="1"/>
  <c r="G189" i="6"/>
  <c r="G190" i="6"/>
  <c r="H155" i="5"/>
  <c r="U154" i="5"/>
  <c r="S154" i="5"/>
  <c r="G179" i="6"/>
  <c r="G177" i="6"/>
  <c r="H145" i="5"/>
  <c r="U144" i="5"/>
  <c r="S144" i="5"/>
  <c r="U43" i="1"/>
  <c r="Y170" i="6" s="1"/>
  <c r="H142" i="5"/>
  <c r="W142" i="5" s="1"/>
  <c r="CQ42" i="1"/>
  <c r="P42" i="1" s="1"/>
  <c r="H138" i="5"/>
  <c r="U132" i="5"/>
  <c r="S132" i="5"/>
  <c r="F158" i="6"/>
  <c r="E132" i="5"/>
  <c r="U148" i="6"/>
  <c r="K128" i="5"/>
  <c r="CS39" i="1"/>
  <c r="R39" i="1" s="1"/>
  <c r="H122" i="5"/>
  <c r="W122" i="5" s="1"/>
  <c r="U126" i="6"/>
  <c r="CT36" i="1"/>
  <c r="S36" i="1" s="1"/>
  <c r="AD36" i="1"/>
  <c r="H101" i="5"/>
  <c r="R101" i="5" s="1"/>
  <c r="CS35" i="1"/>
  <c r="R35" i="1" s="1"/>
  <c r="H93" i="5"/>
  <c r="R93" i="5" s="1"/>
  <c r="U92" i="6"/>
  <c r="CT32" i="1"/>
  <c r="S32" i="1" s="1"/>
  <c r="V90" i="6" s="1"/>
  <c r="H72" i="5"/>
  <c r="W72" i="5" s="1"/>
  <c r="G88" i="6"/>
  <c r="G87" i="6"/>
  <c r="H65" i="5"/>
  <c r="U64" i="5"/>
  <c r="S64" i="5"/>
  <c r="H69" i="5" s="1"/>
  <c r="CS30" i="1"/>
  <c r="R30" i="1" s="1"/>
  <c r="H62" i="5"/>
  <c r="W62" i="5" s="1"/>
  <c r="CS29" i="1"/>
  <c r="R29" i="1" s="1"/>
  <c r="V28" i="1"/>
  <c r="Z70" i="6" s="1"/>
  <c r="CS27" i="1"/>
  <c r="R27" i="1" s="1"/>
  <c r="CT26" i="1"/>
  <c r="S26" i="1" s="1"/>
  <c r="Y36" i="6"/>
  <c r="L28" i="5"/>
  <c r="Q28" i="5" s="1"/>
  <c r="L27" i="5"/>
  <c r="CP24" i="1"/>
  <c r="O24" i="1" s="1"/>
  <c r="U36" i="6"/>
  <c r="CT49" i="1"/>
  <c r="S49" i="1" s="1"/>
  <c r="G203" i="6"/>
  <c r="G201" i="6"/>
  <c r="H166" i="5"/>
  <c r="U165" i="5"/>
  <c r="H171" i="5" s="1"/>
  <c r="S165" i="5"/>
  <c r="H170" i="5" s="1"/>
  <c r="BY55" i="1"/>
  <c r="T48" i="1"/>
  <c r="F194" i="6"/>
  <c r="E163" i="5"/>
  <c r="U162" i="5"/>
  <c r="S162" i="5"/>
  <c r="F192" i="6"/>
  <c r="E162" i="5"/>
  <c r="GK45" i="1"/>
  <c r="X182" i="6"/>
  <c r="F170" i="6"/>
  <c r="E142" i="5"/>
  <c r="G155" i="6"/>
  <c r="G153" i="6"/>
  <c r="H125" i="5"/>
  <c r="R125" i="5" s="1"/>
  <c r="U124" i="5"/>
  <c r="H130" i="5" s="1"/>
  <c r="S124" i="5"/>
  <c r="Y136" i="6"/>
  <c r="L123" i="5"/>
  <c r="Q123" i="5" s="1"/>
  <c r="L121" i="5"/>
  <c r="G141" i="6"/>
  <c r="G143" i="6"/>
  <c r="H115" i="5"/>
  <c r="U114" i="5"/>
  <c r="S114" i="5"/>
  <c r="Y126" i="6"/>
  <c r="L113" i="5"/>
  <c r="Q113" i="5" s="1"/>
  <c r="L112" i="5"/>
  <c r="G131" i="6"/>
  <c r="G133" i="6"/>
  <c r="H107" i="5"/>
  <c r="U106" i="5"/>
  <c r="H111" i="5" s="1"/>
  <c r="S106" i="5"/>
  <c r="H110" i="5" s="1"/>
  <c r="GK36" i="1"/>
  <c r="X118" i="6"/>
  <c r="K101" i="5"/>
  <c r="V108" i="6"/>
  <c r="K91" i="5"/>
  <c r="CR35" i="1"/>
  <c r="Q35" i="1" s="1"/>
  <c r="H92" i="5"/>
  <c r="Y100" i="6"/>
  <c r="L89" i="5"/>
  <c r="Q89" i="5" s="1"/>
  <c r="L88" i="5"/>
  <c r="G105" i="6"/>
  <c r="G106" i="6"/>
  <c r="H83" i="5"/>
  <c r="U82" i="5"/>
  <c r="H87" i="5" s="1"/>
  <c r="S82" i="5"/>
  <c r="H86" i="5" s="1"/>
  <c r="Y92" i="6"/>
  <c r="L81" i="5"/>
  <c r="Q81" i="5" s="1"/>
  <c r="L80" i="5"/>
  <c r="G97" i="6"/>
  <c r="G98" i="6"/>
  <c r="S74" i="5"/>
  <c r="H78" i="5" s="1"/>
  <c r="H75" i="5"/>
  <c r="U74" i="5"/>
  <c r="H79" i="5" s="1"/>
  <c r="F90" i="6"/>
  <c r="E72" i="5"/>
  <c r="V30" i="1"/>
  <c r="Z80" i="6" s="1"/>
  <c r="F80" i="6"/>
  <c r="E62" i="5"/>
  <c r="G77" i="6"/>
  <c r="G78" i="6"/>
  <c r="S54" i="5"/>
  <c r="H59" i="5" s="1"/>
  <c r="H55" i="5"/>
  <c r="U54" i="5"/>
  <c r="CQ28" i="1"/>
  <c r="P28" i="1" s="1"/>
  <c r="U70" i="6" s="1"/>
  <c r="U62" i="6"/>
  <c r="K48" i="5"/>
  <c r="GK26" i="1"/>
  <c r="X52" i="6"/>
  <c r="K38" i="5"/>
  <c r="Y52" i="6"/>
  <c r="L43" i="5"/>
  <c r="Q43" i="5" s="1"/>
  <c r="L42" i="5"/>
  <c r="CR26" i="1"/>
  <c r="Q26" i="1" s="1"/>
  <c r="H37" i="5"/>
  <c r="GK25" i="1"/>
  <c r="X44" i="6"/>
  <c r="Y44" i="6"/>
  <c r="L34" i="5"/>
  <c r="Q34" i="5" s="1"/>
  <c r="L33" i="5"/>
  <c r="V36" i="6"/>
  <c r="K24" i="5"/>
  <c r="AI55" i="1"/>
  <c r="AB48" i="1"/>
  <c r="G194" i="6" s="1"/>
  <c r="CR48" i="1"/>
  <c r="Q48" i="1" s="1"/>
  <c r="CP47" i="1"/>
  <c r="O47" i="1" s="1"/>
  <c r="CY50" i="1"/>
  <c r="X50" i="1" s="1"/>
  <c r="CZ50" i="1"/>
  <c r="Y50" i="1" s="1"/>
  <c r="CD22" i="1"/>
  <c r="AU55" i="1"/>
  <c r="CY53" i="1"/>
  <c r="X53" i="1" s="1"/>
  <c r="CZ53" i="1"/>
  <c r="Y53" i="1" s="1"/>
  <c r="CZ49" i="1"/>
  <c r="Y49" i="1" s="1"/>
  <c r="CY49" i="1"/>
  <c r="X49" i="1" s="1"/>
  <c r="BY22" i="1"/>
  <c r="CI55" i="1"/>
  <c r="AP55" i="1"/>
  <c r="CY47" i="1"/>
  <c r="X47" i="1" s="1"/>
  <c r="CZ47" i="1"/>
  <c r="Y47" i="1" s="1"/>
  <c r="GK46" i="1"/>
  <c r="CY46" i="1"/>
  <c r="X46" i="1" s="1"/>
  <c r="CZ52" i="1"/>
  <c r="Y52" i="1" s="1"/>
  <c r="CY52" i="1"/>
  <c r="X52" i="1" s="1"/>
  <c r="BZ22" i="1"/>
  <c r="AQ55" i="1"/>
  <c r="AB49" i="1"/>
  <c r="G196" i="6" s="1"/>
  <c r="AT55" i="1"/>
  <c r="AO55" i="1"/>
  <c r="GX52" i="1"/>
  <c r="AB52" i="1"/>
  <c r="G218" i="6" s="1"/>
  <c r="AD51" i="1"/>
  <c r="CR50" i="1"/>
  <c r="Q50" i="1" s="1"/>
  <c r="W206" i="6" s="1"/>
  <c r="P50" i="1"/>
  <c r="AB47" i="1"/>
  <c r="G192" i="6" s="1"/>
  <c r="CZ46" i="1"/>
  <c r="Y46" i="1" s="1"/>
  <c r="AB46" i="1"/>
  <c r="G184" i="6" s="1"/>
  <c r="CZ45" i="1"/>
  <c r="Y45" i="1" s="1"/>
  <c r="CS44" i="1"/>
  <c r="R44" i="1" s="1"/>
  <c r="AD44" i="1"/>
  <c r="CP41" i="1"/>
  <c r="O41" i="1" s="1"/>
  <c r="CY35" i="1"/>
  <c r="X35" i="1" s="1"/>
  <c r="CZ35" i="1"/>
  <c r="Y35" i="1" s="1"/>
  <c r="CY44" i="1"/>
  <c r="X44" i="1" s="1"/>
  <c r="AB44" i="1"/>
  <c r="G172" i="6" s="1"/>
  <c r="CY41" i="1"/>
  <c r="X41" i="1" s="1"/>
  <c r="CZ41" i="1"/>
  <c r="Y41" i="1" s="1"/>
  <c r="CZ40" i="1"/>
  <c r="Y40" i="1" s="1"/>
  <c r="CY40" i="1"/>
  <c r="X40" i="1" s="1"/>
  <c r="CY38" i="1"/>
  <c r="X38" i="1" s="1"/>
  <c r="CZ38" i="1"/>
  <c r="Y38" i="1" s="1"/>
  <c r="CY34" i="1"/>
  <c r="X34" i="1" s="1"/>
  <c r="CZ34" i="1"/>
  <c r="Y34" i="1" s="1"/>
  <c r="CZ31" i="1"/>
  <c r="Y31" i="1" s="1"/>
  <c r="CY31" i="1"/>
  <c r="X31" i="1" s="1"/>
  <c r="P53" i="1"/>
  <c r="CZ51" i="1"/>
  <c r="Y51" i="1" s="1"/>
  <c r="CL22" i="1"/>
  <c r="BC55" i="1"/>
  <c r="CG55" i="1"/>
  <c r="BB55" i="1"/>
  <c r="T53" i="1"/>
  <c r="AB53" i="1"/>
  <c r="G220" i="6" s="1"/>
  <c r="U52" i="1"/>
  <c r="Y218" i="6" s="1"/>
  <c r="Q52" i="1"/>
  <c r="W48" i="1"/>
  <c r="S48" i="1"/>
  <c r="V194" i="6" s="1"/>
  <c r="CR45" i="1"/>
  <c r="Q45" i="1" s="1"/>
  <c r="AB45" i="1"/>
  <c r="G182" i="6" s="1"/>
  <c r="CR39" i="1"/>
  <c r="Q39" i="1" s="1"/>
  <c r="W146" i="6" s="1"/>
  <c r="AB39" i="1"/>
  <c r="G146" i="6" s="1"/>
  <c r="CY37" i="1"/>
  <c r="X37" i="1" s="1"/>
  <c r="CZ37" i="1"/>
  <c r="Y37" i="1" s="1"/>
  <c r="CY33" i="1"/>
  <c r="X33" i="1" s="1"/>
  <c r="CZ33" i="1"/>
  <c r="Y33" i="1" s="1"/>
  <c r="CQ43" i="1"/>
  <c r="P43" i="1" s="1"/>
  <c r="AB43" i="1"/>
  <c r="G170" i="6" s="1"/>
  <c r="CY36" i="1"/>
  <c r="X36" i="1" s="1"/>
  <c r="CZ36" i="1"/>
  <c r="Y36" i="1" s="1"/>
  <c r="CQ44" i="1"/>
  <c r="P44" i="1" s="1"/>
  <c r="CS43" i="1"/>
  <c r="R43" i="1" s="1"/>
  <c r="W39" i="1"/>
  <c r="S39" i="1"/>
  <c r="V146" i="6" s="1"/>
  <c r="AB37" i="1"/>
  <c r="G126" i="6" s="1"/>
  <c r="AB36" i="1"/>
  <c r="G118" i="6" s="1"/>
  <c r="AB33" i="1"/>
  <c r="G92" i="6" s="1"/>
  <c r="U32" i="1"/>
  <c r="Y90" i="6" s="1"/>
  <c r="CR30" i="1"/>
  <c r="Q30" i="1" s="1"/>
  <c r="W80" i="6" s="1"/>
  <c r="AB40" i="1"/>
  <c r="G148" i="6" s="1"/>
  <c r="CZ27" i="1"/>
  <c r="Y27" i="1" s="1"/>
  <c r="CY27" i="1"/>
  <c r="X27" i="1" s="1"/>
  <c r="CP26" i="1"/>
  <c r="O26" i="1" s="1"/>
  <c r="AD42" i="1"/>
  <c r="AB38" i="1"/>
  <c r="G136" i="6" s="1"/>
  <c r="AB35" i="1"/>
  <c r="G108" i="6" s="1"/>
  <c r="AB34" i="1"/>
  <c r="G100" i="6" s="1"/>
  <c r="GX32" i="1"/>
  <c r="CJ55" i="1" s="1"/>
  <c r="CS32" i="1"/>
  <c r="R32" i="1" s="1"/>
  <c r="CQ32" i="1"/>
  <c r="P32" i="1" s="1"/>
  <c r="AB32" i="1"/>
  <c r="G90" i="6" s="1"/>
  <c r="T30" i="1"/>
  <c r="AG55" i="1" s="1"/>
  <c r="W30" i="1"/>
  <c r="AJ55" i="1" s="1"/>
  <c r="S30" i="1"/>
  <c r="V80" i="6" s="1"/>
  <c r="AB29" i="1"/>
  <c r="G72" i="6" s="1"/>
  <c r="CQ29" i="1"/>
  <c r="P29" i="1" s="1"/>
  <c r="AD28" i="1"/>
  <c r="CR28" i="1" s="1"/>
  <c r="Q28" i="1" s="1"/>
  <c r="CS28" i="1"/>
  <c r="R28" i="1" s="1"/>
  <c r="CZ28" i="1" s="1"/>
  <c r="Y28" i="1" s="1"/>
  <c r="AB31" i="1"/>
  <c r="G82" i="6" s="1"/>
  <c r="CQ31" i="1"/>
  <c r="P31" i="1" s="1"/>
  <c r="CY29" i="1"/>
  <c r="X29" i="1" s="1"/>
  <c r="CZ29" i="1"/>
  <c r="Y29" i="1" s="1"/>
  <c r="CY28" i="1"/>
  <c r="X28" i="1" s="1"/>
  <c r="CY26" i="1"/>
  <c r="X26" i="1" s="1"/>
  <c r="CZ26" i="1"/>
  <c r="Y26" i="1" s="1"/>
  <c r="T32" i="1"/>
  <c r="U30" i="1"/>
  <c r="P30" i="1"/>
  <c r="CP25" i="1"/>
  <c r="O25" i="1" s="1"/>
  <c r="CR27" i="1"/>
  <c r="Q27" i="1" s="1"/>
  <c r="AB27" i="1"/>
  <c r="G62" i="6" s="1"/>
  <c r="CS24" i="1"/>
  <c r="R24" i="1" s="1"/>
  <c r="X36" i="6" s="1"/>
  <c r="AB24" i="1"/>
  <c r="G36" i="6" s="1"/>
  <c r="CT25" i="1"/>
  <c r="S25" i="1" s="1"/>
  <c r="H119" i="5" l="1"/>
  <c r="H149" i="5"/>
  <c r="H129" i="5"/>
  <c r="H120" i="5"/>
  <c r="H150" i="5"/>
  <c r="H60" i="5"/>
  <c r="H70" i="5"/>
  <c r="H180" i="5"/>
  <c r="H140" i="5"/>
  <c r="AB70" i="6"/>
  <c r="V52" i="5"/>
  <c r="H167" i="6"/>
  <c r="AB160" i="6"/>
  <c r="V134" i="5"/>
  <c r="H59" i="6"/>
  <c r="AB52" i="6"/>
  <c r="V35" i="5"/>
  <c r="K41" i="5" s="1"/>
  <c r="GK32" i="1"/>
  <c r="X90" i="6"/>
  <c r="H68" i="6"/>
  <c r="AB62" i="6"/>
  <c r="V44" i="5"/>
  <c r="H123" i="6"/>
  <c r="AA118" i="6"/>
  <c r="T98" i="5"/>
  <c r="K102" i="5" s="1"/>
  <c r="H105" i="6"/>
  <c r="AA100" i="6"/>
  <c r="T82" i="5"/>
  <c r="K86" i="5" s="1"/>
  <c r="H153" i="6"/>
  <c r="AA148" i="6"/>
  <c r="T124" i="5"/>
  <c r="H113" i="6"/>
  <c r="AA108" i="6"/>
  <c r="T90" i="5"/>
  <c r="K94" i="5" s="1"/>
  <c r="CR44" i="1"/>
  <c r="Q44" i="1" s="1"/>
  <c r="H146" i="5"/>
  <c r="H190" i="6"/>
  <c r="AB184" i="6"/>
  <c r="V154" i="5"/>
  <c r="CR51" i="1"/>
  <c r="Q51" i="1" s="1"/>
  <c r="H177" i="5"/>
  <c r="AA218" i="6"/>
  <c r="T183" i="5"/>
  <c r="AB192" i="6"/>
  <c r="V162" i="5"/>
  <c r="AA220" i="6"/>
  <c r="T184" i="5"/>
  <c r="AA206" i="6"/>
  <c r="T173" i="5"/>
  <c r="H52" i="5"/>
  <c r="W52" i="5" s="1"/>
  <c r="G99" i="6"/>
  <c r="R83" i="5"/>
  <c r="W108" i="6"/>
  <c r="K92" i="5"/>
  <c r="R107" i="5"/>
  <c r="R166" i="5"/>
  <c r="V196" i="6"/>
  <c r="K166" i="5"/>
  <c r="L186" i="5"/>
  <c r="G89" i="6"/>
  <c r="R145" i="5"/>
  <c r="H159" i="5"/>
  <c r="CY51" i="1"/>
  <c r="X51" i="1" s="1"/>
  <c r="V208" i="6"/>
  <c r="K176" i="5"/>
  <c r="GK31" i="1"/>
  <c r="X82" i="6"/>
  <c r="K67" i="5"/>
  <c r="G125" i="6"/>
  <c r="GK41" i="1"/>
  <c r="X158" i="6"/>
  <c r="R24" i="5"/>
  <c r="W28" i="5"/>
  <c r="G28" i="5"/>
  <c r="O28" i="5" s="1"/>
  <c r="G43" i="6"/>
  <c r="GK53" i="1"/>
  <c r="X220" i="6"/>
  <c r="H44" i="6"/>
  <c r="GK43" i="1"/>
  <c r="X170" i="6"/>
  <c r="CP43" i="1"/>
  <c r="O43" i="1" s="1"/>
  <c r="U170" i="6"/>
  <c r="H133" i="6"/>
  <c r="AB126" i="6"/>
  <c r="V106" i="5"/>
  <c r="K111" i="5" s="1"/>
  <c r="H87" i="6"/>
  <c r="AA82" i="6"/>
  <c r="T64" i="5"/>
  <c r="H155" i="6"/>
  <c r="AB148" i="6"/>
  <c r="V124" i="5"/>
  <c r="H177" i="6"/>
  <c r="AA172" i="6"/>
  <c r="T144" i="5"/>
  <c r="GK44" i="1"/>
  <c r="X172" i="6"/>
  <c r="K147" i="5"/>
  <c r="AB218" i="6"/>
  <c r="V183" i="5"/>
  <c r="AA192" i="6"/>
  <c r="T162" i="5"/>
  <c r="H201" i="6"/>
  <c r="AA196" i="6"/>
  <c r="T165" i="5"/>
  <c r="K170" i="5" s="1"/>
  <c r="T192" i="6"/>
  <c r="H192" i="6"/>
  <c r="K162" i="5"/>
  <c r="G79" i="6"/>
  <c r="G107" i="6"/>
  <c r="R115" i="5"/>
  <c r="G157" i="6"/>
  <c r="GK29" i="1"/>
  <c r="X72" i="6"/>
  <c r="K57" i="5"/>
  <c r="H100" i="5"/>
  <c r="W105" i="5" s="1"/>
  <c r="CR36" i="1"/>
  <c r="Q36" i="1" s="1"/>
  <c r="H160" i="5"/>
  <c r="GK48" i="1"/>
  <c r="X194" i="6"/>
  <c r="R30" i="5"/>
  <c r="W34" i="5"/>
  <c r="G34" i="5"/>
  <c r="O34" i="5" s="1"/>
  <c r="CR33" i="1"/>
  <c r="Q33" i="1" s="1"/>
  <c r="H76" i="5"/>
  <c r="R91" i="5"/>
  <c r="G97" i="5"/>
  <c r="O97" i="5" s="1"/>
  <c r="W97" i="5"/>
  <c r="U136" i="6"/>
  <c r="K118" i="5"/>
  <c r="X192" i="6"/>
  <c r="GK47" i="1"/>
  <c r="H49" i="5"/>
  <c r="CR31" i="1"/>
  <c r="Q31" i="1" s="1"/>
  <c r="H66" i="5"/>
  <c r="H84" i="5"/>
  <c r="G89" i="5" s="1"/>
  <c r="O89" i="5" s="1"/>
  <c r="CR34" i="1"/>
  <c r="Q34" i="1" s="1"/>
  <c r="X126" i="6"/>
  <c r="K109" i="5"/>
  <c r="GK37" i="1"/>
  <c r="R135" i="5"/>
  <c r="CR46" i="1"/>
  <c r="Q46" i="1" s="1"/>
  <c r="H156" i="5"/>
  <c r="W164" i="5" s="1"/>
  <c r="X184" i="6"/>
  <c r="K157" i="5"/>
  <c r="CP28" i="1"/>
  <c r="O28" i="1" s="1"/>
  <c r="W70" i="6"/>
  <c r="H52" i="6"/>
  <c r="H61" i="6"/>
  <c r="T52" i="6"/>
  <c r="CP44" i="1"/>
  <c r="O44" i="1" s="1"/>
  <c r="U172" i="6"/>
  <c r="K148" i="5"/>
  <c r="H98" i="6"/>
  <c r="AB92" i="6"/>
  <c r="V74" i="5"/>
  <c r="K79" i="5" s="1"/>
  <c r="H131" i="6"/>
  <c r="AA126" i="6"/>
  <c r="T106" i="5"/>
  <c r="K110" i="5" s="1"/>
  <c r="CP52" i="1"/>
  <c r="O52" i="1" s="1"/>
  <c r="W218" i="6"/>
  <c r="H215" i="6"/>
  <c r="AB208" i="6"/>
  <c r="V175" i="5"/>
  <c r="AB82" i="6"/>
  <c r="H88" i="6"/>
  <c r="V64" i="5"/>
  <c r="H143" i="6"/>
  <c r="AB136" i="6"/>
  <c r="V114" i="5"/>
  <c r="AB158" i="6"/>
  <c r="V132" i="5"/>
  <c r="AB51" i="1"/>
  <c r="CP39" i="1"/>
  <c r="O39" i="1" s="1"/>
  <c r="AB182" i="6"/>
  <c r="V152" i="5"/>
  <c r="CP50" i="1"/>
  <c r="O50" i="1" s="1"/>
  <c r="U206" i="6"/>
  <c r="H189" i="6"/>
  <c r="AA184" i="6"/>
  <c r="T154" i="5"/>
  <c r="H203" i="6"/>
  <c r="AB196" i="6"/>
  <c r="V165" i="5"/>
  <c r="CP48" i="1"/>
  <c r="O48" i="1" s="1"/>
  <c r="W194" i="6"/>
  <c r="R75" i="5"/>
  <c r="G81" i="5"/>
  <c r="O81" i="5" s="1"/>
  <c r="W81" i="5"/>
  <c r="G135" i="6"/>
  <c r="H36" i="6"/>
  <c r="V52" i="6"/>
  <c r="K36" i="5"/>
  <c r="R65" i="5"/>
  <c r="V118" i="6"/>
  <c r="K99" i="5"/>
  <c r="GK39" i="1"/>
  <c r="X146" i="6"/>
  <c r="R155" i="5"/>
  <c r="V184" i="6"/>
  <c r="K155" i="5"/>
  <c r="G51" i="6"/>
  <c r="G43" i="5"/>
  <c r="O43" i="5" s="1"/>
  <c r="R36" i="5"/>
  <c r="W43" i="5"/>
  <c r="GK34" i="1"/>
  <c r="X100" i="6"/>
  <c r="K85" i="5"/>
  <c r="GK38" i="1"/>
  <c r="X136" i="6"/>
  <c r="K117" i="5"/>
  <c r="GK42" i="1"/>
  <c r="X160" i="6"/>
  <c r="K137" i="5"/>
  <c r="U208" i="6"/>
  <c r="K179" i="5"/>
  <c r="H50" i="5"/>
  <c r="G69" i="6"/>
  <c r="CR29" i="1"/>
  <c r="Q29" i="1" s="1"/>
  <c r="H56" i="5"/>
  <c r="CY42" i="1"/>
  <c r="X42" i="1" s="1"/>
  <c r="H77" i="6"/>
  <c r="AA72" i="6"/>
  <c r="T54" i="5"/>
  <c r="CP30" i="1"/>
  <c r="O30" i="1" s="1"/>
  <c r="U80" i="6"/>
  <c r="H57" i="6"/>
  <c r="AA52" i="6"/>
  <c r="T35" i="5"/>
  <c r="K40" i="5" s="1"/>
  <c r="CP31" i="1"/>
  <c r="O31" i="1" s="1"/>
  <c r="U82" i="6"/>
  <c r="K68" i="5"/>
  <c r="U72" i="6"/>
  <c r="K58" i="5"/>
  <c r="CR42" i="1"/>
  <c r="Q42" i="1" s="1"/>
  <c r="H136" i="5"/>
  <c r="G143" i="5" s="1"/>
  <c r="O143" i="5" s="1"/>
  <c r="V44" i="6"/>
  <c r="K30" i="5"/>
  <c r="AH55" i="1"/>
  <c r="Y80" i="6"/>
  <c r="AA70" i="6"/>
  <c r="T52" i="5"/>
  <c r="AB28" i="1"/>
  <c r="G70" i="6" s="1"/>
  <c r="W62" i="6"/>
  <c r="K46" i="5"/>
  <c r="H78" i="6"/>
  <c r="AB72" i="6"/>
  <c r="V54" i="5"/>
  <c r="GK28" i="1"/>
  <c r="X70" i="6"/>
  <c r="CP32" i="1"/>
  <c r="O32" i="1" s="1"/>
  <c r="U90" i="6"/>
  <c r="H67" i="6"/>
  <c r="AA62" i="6"/>
  <c r="T44" i="5"/>
  <c r="H124" i="6"/>
  <c r="AB118" i="6"/>
  <c r="V98" i="5"/>
  <c r="K103" i="5" s="1"/>
  <c r="H97" i="6"/>
  <c r="AA92" i="6"/>
  <c r="T74" i="5"/>
  <c r="K78" i="5" s="1"/>
  <c r="CP45" i="1"/>
  <c r="O45" i="1" s="1"/>
  <c r="W182" i="6"/>
  <c r="CP53" i="1"/>
  <c r="O53" i="1" s="1"/>
  <c r="U220" i="6"/>
  <c r="H106" i="6"/>
  <c r="AB100" i="6"/>
  <c r="V82" i="5"/>
  <c r="K87" i="5" s="1"/>
  <c r="H141" i="6"/>
  <c r="AA136" i="6"/>
  <c r="T114" i="5"/>
  <c r="AA158" i="6"/>
  <c r="T132" i="5"/>
  <c r="H115" i="6"/>
  <c r="AB108" i="6"/>
  <c r="V90" i="5"/>
  <c r="K95" i="5" s="1"/>
  <c r="T158" i="6"/>
  <c r="H158" i="6"/>
  <c r="K132" i="5"/>
  <c r="AB220" i="6"/>
  <c r="V184" i="5"/>
  <c r="AB206" i="6"/>
  <c r="V173" i="5"/>
  <c r="W52" i="6"/>
  <c r="K37" i="5"/>
  <c r="R55" i="5"/>
  <c r="W63" i="5"/>
  <c r="G145" i="6"/>
  <c r="G205" i="6"/>
  <c r="GK27" i="1"/>
  <c r="X62" i="6"/>
  <c r="K47" i="5"/>
  <c r="GK30" i="1"/>
  <c r="X80" i="6"/>
  <c r="X108" i="6"/>
  <c r="K93" i="5"/>
  <c r="GK35" i="1"/>
  <c r="U160" i="6"/>
  <c r="K138" i="5"/>
  <c r="G181" i="6"/>
  <c r="G191" i="6"/>
  <c r="G117" i="6"/>
  <c r="R99" i="5"/>
  <c r="CR37" i="1"/>
  <c r="Q37" i="1" s="1"/>
  <c r="H108" i="5"/>
  <c r="W113" i="5" s="1"/>
  <c r="CR40" i="1"/>
  <c r="Q40" i="1" s="1"/>
  <c r="H126" i="5"/>
  <c r="G133" i="5" s="1"/>
  <c r="O133" i="5" s="1"/>
  <c r="V182" i="6"/>
  <c r="CY45" i="1"/>
  <c r="X45" i="1" s="1"/>
  <c r="CR49" i="1"/>
  <c r="Q49" i="1" s="1"/>
  <c r="H167" i="5"/>
  <c r="G174" i="5" s="1"/>
  <c r="O174" i="5" s="1"/>
  <c r="V62" i="6"/>
  <c r="K45" i="5"/>
  <c r="X92" i="6"/>
  <c r="K77" i="5"/>
  <c r="GK33" i="1"/>
  <c r="CP35" i="1"/>
  <c r="O35" i="1" s="1"/>
  <c r="GM35" i="1" s="1"/>
  <c r="H116" i="5"/>
  <c r="CR38" i="1"/>
  <c r="Q38" i="1" s="1"/>
  <c r="W143" i="5"/>
  <c r="GK51" i="1"/>
  <c r="X208" i="6"/>
  <c r="K178" i="5"/>
  <c r="GN28" i="1"/>
  <c r="GM28" i="1"/>
  <c r="GM52" i="1"/>
  <c r="GN52" i="1"/>
  <c r="GM45" i="1"/>
  <c r="GN45" i="1"/>
  <c r="CP27" i="1"/>
  <c r="O27" i="1" s="1"/>
  <c r="CY32" i="1"/>
  <c r="X32" i="1" s="1"/>
  <c r="CP29" i="1"/>
  <c r="O29" i="1" s="1"/>
  <c r="AC55" i="1"/>
  <c r="CJ22" i="1"/>
  <c r="BA55" i="1"/>
  <c r="GK24" i="1"/>
  <c r="AE55" i="1"/>
  <c r="CZ24" i="1"/>
  <c r="Y24" i="1" s="1"/>
  <c r="GM26" i="1"/>
  <c r="GN26" i="1"/>
  <c r="CY48" i="1"/>
  <c r="X48" i="1" s="1"/>
  <c r="CZ48" i="1"/>
  <c r="Y48" i="1" s="1"/>
  <c r="BC22" i="1"/>
  <c r="F71" i="1"/>
  <c r="BC87" i="1"/>
  <c r="GN41" i="1"/>
  <c r="GM41" i="1"/>
  <c r="AO22" i="1"/>
  <c r="F59" i="1"/>
  <c r="AO87" i="1"/>
  <c r="CY43" i="1"/>
  <c r="X43" i="1" s="1"/>
  <c r="AI22" i="1"/>
  <c r="V55" i="1"/>
  <c r="CZ25" i="1"/>
  <c r="Y25" i="1" s="1"/>
  <c r="GN25" i="1" s="1"/>
  <c r="CY25" i="1"/>
  <c r="X25" i="1" s="1"/>
  <c r="AF55" i="1"/>
  <c r="CY24" i="1"/>
  <c r="X24" i="1" s="1"/>
  <c r="CY30" i="1"/>
  <c r="X30" i="1" s="1"/>
  <c r="CZ30" i="1"/>
  <c r="Y30" i="1" s="1"/>
  <c r="GM32" i="1"/>
  <c r="CY39" i="1"/>
  <c r="X39" i="1" s="1"/>
  <c r="CZ39" i="1"/>
  <c r="Y39" i="1" s="1"/>
  <c r="CZ32" i="1"/>
  <c r="Y32" i="1" s="1"/>
  <c r="CZ44" i="1"/>
  <c r="Y44" i="1" s="1"/>
  <c r="GM44" i="1" s="1"/>
  <c r="AT22" i="1"/>
  <c r="F73" i="1"/>
  <c r="AT87" i="1"/>
  <c r="AU22" i="1"/>
  <c r="AU87" i="1"/>
  <c r="F74" i="1"/>
  <c r="GM47" i="1"/>
  <c r="GN47" i="1"/>
  <c r="GM31" i="1"/>
  <c r="GN31" i="1"/>
  <c r="BB22" i="1"/>
  <c r="BB87" i="1"/>
  <c r="F68" i="1"/>
  <c r="AP22" i="1"/>
  <c r="AP87" i="1"/>
  <c r="F64" i="1"/>
  <c r="AG22" i="1"/>
  <c r="T55" i="1"/>
  <c r="CG22" i="1"/>
  <c r="AX55" i="1"/>
  <c r="GN53" i="1"/>
  <c r="GM53" i="1"/>
  <c r="GM50" i="1"/>
  <c r="GN50" i="1"/>
  <c r="AQ22" i="1"/>
  <c r="F65" i="1"/>
  <c r="AQ87" i="1"/>
  <c r="CZ43" i="1"/>
  <c r="Y43" i="1" s="1"/>
  <c r="CI22" i="1"/>
  <c r="AZ55" i="1"/>
  <c r="AJ22" i="1"/>
  <c r="W55" i="1"/>
  <c r="AH22" i="1"/>
  <c r="U55" i="1"/>
  <c r="AB42" i="1"/>
  <c r="K50" i="5" l="1"/>
  <c r="J97" i="5"/>
  <c r="P97" i="5" s="1"/>
  <c r="G63" i="5"/>
  <c r="O63" i="5" s="1"/>
  <c r="W153" i="5"/>
  <c r="G185" i="5"/>
  <c r="O185" i="5" s="1"/>
  <c r="W73" i="5"/>
  <c r="G73" i="5"/>
  <c r="O73" i="5" s="1"/>
  <c r="G123" i="5"/>
  <c r="O123" i="5" s="1"/>
  <c r="G105" i="5"/>
  <c r="O105" i="5" s="1"/>
  <c r="G164" i="5"/>
  <c r="O164" i="5" s="1"/>
  <c r="G153" i="5"/>
  <c r="O153" i="5" s="1"/>
  <c r="G53" i="5"/>
  <c r="O53" i="5" s="1"/>
  <c r="W185" i="5"/>
  <c r="K49" i="5"/>
  <c r="J53" i="5" s="1"/>
  <c r="P53" i="5" s="1"/>
  <c r="G16" i="2"/>
  <c r="G18" i="2" s="1"/>
  <c r="I15" i="5"/>
  <c r="AB170" i="6"/>
  <c r="V142" i="5"/>
  <c r="K140" i="5" s="1"/>
  <c r="GN32" i="1"/>
  <c r="AB90" i="6"/>
  <c r="V72" i="5"/>
  <c r="AB80" i="6"/>
  <c r="V62" i="5"/>
  <c r="GM25" i="1"/>
  <c r="H49" i="6"/>
  <c r="AA44" i="6"/>
  <c r="T29" i="5"/>
  <c r="K31" i="5" s="1"/>
  <c r="J34" i="5" s="1"/>
  <c r="P34" i="5" s="1"/>
  <c r="GN48" i="1"/>
  <c r="AA194" i="6"/>
  <c r="T163" i="5"/>
  <c r="H42" i="6"/>
  <c r="AB36" i="6"/>
  <c r="V23" i="5"/>
  <c r="K26" i="5" s="1"/>
  <c r="AA90" i="6"/>
  <c r="T72" i="5"/>
  <c r="K69" i="5" s="1"/>
  <c r="W126" i="6"/>
  <c r="K108" i="5"/>
  <c r="J113" i="5" s="1"/>
  <c r="P113" i="5" s="1"/>
  <c r="CP37" i="1"/>
  <c r="O37" i="1" s="1"/>
  <c r="K60" i="5"/>
  <c r="T80" i="6"/>
  <c r="H80" i="6"/>
  <c r="K62" i="5"/>
  <c r="H165" i="6"/>
  <c r="AA160" i="6"/>
  <c r="T134" i="5"/>
  <c r="J43" i="5"/>
  <c r="P43" i="5" s="1"/>
  <c r="T206" i="6"/>
  <c r="H206" i="6"/>
  <c r="K173" i="5"/>
  <c r="G208" i="6"/>
  <c r="G217" i="6"/>
  <c r="W184" i="6"/>
  <c r="K156" i="5"/>
  <c r="CP46" i="1"/>
  <c r="O46" i="1" s="1"/>
  <c r="W118" i="6"/>
  <c r="K100" i="5"/>
  <c r="CP36" i="1"/>
  <c r="O36" i="1" s="1"/>
  <c r="W89" i="5"/>
  <c r="G160" i="6"/>
  <c r="G169" i="6"/>
  <c r="F16" i="2"/>
  <c r="F18" i="2" s="1"/>
  <c r="I14" i="5"/>
  <c r="AB146" i="6"/>
  <c r="V122" i="5"/>
  <c r="GN30" i="1"/>
  <c r="AA80" i="6"/>
  <c r="T62" i="5"/>
  <c r="H50" i="6"/>
  <c r="AB44" i="6"/>
  <c r="V29" i="5"/>
  <c r="K32" i="5" s="1"/>
  <c r="GM43" i="1"/>
  <c r="AA170" i="6"/>
  <c r="T142" i="5"/>
  <c r="H62" i="6"/>
  <c r="H69" i="6"/>
  <c r="T62" i="6"/>
  <c r="W136" i="6"/>
  <c r="K116" i="5"/>
  <c r="CP38" i="1"/>
  <c r="O38" i="1" s="1"/>
  <c r="H182" i="6"/>
  <c r="T182" i="6"/>
  <c r="K152" i="5"/>
  <c r="T90" i="6"/>
  <c r="H90" i="6"/>
  <c r="K72" i="5"/>
  <c r="AD55" i="1"/>
  <c r="K59" i="5"/>
  <c r="K181" i="5"/>
  <c r="H218" i="6"/>
  <c r="T218" i="6"/>
  <c r="K183" i="5"/>
  <c r="W92" i="6"/>
  <c r="K76" i="5"/>
  <c r="J81" i="5" s="1"/>
  <c r="P81" i="5" s="1"/>
  <c r="CP33" i="1"/>
  <c r="O33" i="1" s="1"/>
  <c r="AB55" i="1" s="1"/>
  <c r="T44" i="6"/>
  <c r="W133" i="5"/>
  <c r="CP51" i="1"/>
  <c r="O51" i="1" s="1"/>
  <c r="W208" i="6"/>
  <c r="K177" i="5"/>
  <c r="GM39" i="1"/>
  <c r="AA146" i="6"/>
  <c r="T122" i="5"/>
  <c r="K119" i="5" s="1"/>
  <c r="H41" i="6"/>
  <c r="AA36" i="6"/>
  <c r="T23" i="5"/>
  <c r="K25" i="5" s="1"/>
  <c r="J28" i="5" s="1"/>
  <c r="P28" i="5" s="1"/>
  <c r="W196" i="6"/>
  <c r="K167" i="5"/>
  <c r="J174" i="5" s="1"/>
  <c r="P174" i="5" s="1"/>
  <c r="CP49" i="1"/>
  <c r="O49" i="1" s="1"/>
  <c r="W148" i="6"/>
  <c r="K126" i="5"/>
  <c r="CP40" i="1"/>
  <c r="O40" i="1" s="1"/>
  <c r="CP42" i="1"/>
  <c r="O42" i="1" s="1"/>
  <c r="W160" i="6"/>
  <c r="K136" i="5"/>
  <c r="T36" i="6"/>
  <c r="T194" i="6"/>
  <c r="H194" i="6"/>
  <c r="K163" i="5"/>
  <c r="K70" i="5"/>
  <c r="H172" i="6"/>
  <c r="H181" i="6"/>
  <c r="T172" i="6"/>
  <c r="W100" i="6"/>
  <c r="K84" i="5"/>
  <c r="J89" i="5" s="1"/>
  <c r="P89" i="5" s="1"/>
  <c r="CP34" i="1"/>
  <c r="O34" i="1" s="1"/>
  <c r="W82" i="6"/>
  <c r="K66" i="5"/>
  <c r="W123" i="5"/>
  <c r="T170" i="6"/>
  <c r="H170" i="6"/>
  <c r="K142" i="5"/>
  <c r="H51" i="6"/>
  <c r="G18" i="5"/>
  <c r="G113" i="5"/>
  <c r="O113" i="5" s="1"/>
  <c r="K160" i="5"/>
  <c r="W172" i="6"/>
  <c r="K146" i="5"/>
  <c r="K129" i="5"/>
  <c r="GN44" i="1"/>
  <c r="H179" i="6"/>
  <c r="AB172" i="6"/>
  <c r="V144" i="5"/>
  <c r="K150" i="5" s="1"/>
  <c r="AB194" i="6"/>
  <c r="V163" i="5"/>
  <c r="H79" i="6"/>
  <c r="T72" i="6"/>
  <c r="H72" i="6"/>
  <c r="H117" i="6"/>
  <c r="T108" i="6"/>
  <c r="H108" i="6"/>
  <c r="GN35" i="1"/>
  <c r="AA182" i="6"/>
  <c r="T152" i="5"/>
  <c r="K149" i="5" s="1"/>
  <c r="W174" i="5"/>
  <c r="T220" i="6"/>
  <c r="H220" i="6"/>
  <c r="K184" i="5"/>
  <c r="H89" i="6"/>
  <c r="T82" i="6"/>
  <c r="H82" i="6"/>
  <c r="W72" i="6"/>
  <c r="K56" i="5"/>
  <c r="J105" i="5"/>
  <c r="P105" i="5" s="1"/>
  <c r="H43" i="6"/>
  <c r="K171" i="5"/>
  <c r="K159" i="5"/>
  <c r="T146" i="6"/>
  <c r="H146" i="6"/>
  <c r="K122" i="5"/>
  <c r="K120" i="5"/>
  <c r="H70" i="6"/>
  <c r="T70" i="6"/>
  <c r="K52" i="5"/>
  <c r="W53" i="5"/>
  <c r="G13" i="5" s="1"/>
  <c r="K130" i="5"/>
  <c r="H213" i="6"/>
  <c r="AA208" i="6"/>
  <c r="T175" i="5"/>
  <c r="K180" i="5" s="1"/>
  <c r="AP18" i="1"/>
  <c r="F96" i="1"/>
  <c r="AU18" i="1"/>
  <c r="F106" i="1"/>
  <c r="AL55" i="1"/>
  <c r="BA22" i="1"/>
  <c r="F75" i="1"/>
  <c r="I16" i="5" s="1"/>
  <c r="BA87" i="1"/>
  <c r="GM30" i="1"/>
  <c r="GM48" i="1"/>
  <c r="GN43" i="1"/>
  <c r="AZ22" i="1"/>
  <c r="F66" i="1"/>
  <c r="AZ87" i="1"/>
  <c r="GN39" i="1"/>
  <c r="AX22" i="1"/>
  <c r="F62" i="1"/>
  <c r="AX87" i="1"/>
  <c r="T22" i="1"/>
  <c r="T87" i="1"/>
  <c r="F76" i="1"/>
  <c r="BB18" i="1"/>
  <c r="F100" i="1"/>
  <c r="AK55" i="1"/>
  <c r="GN24" i="1"/>
  <c r="GM24" i="1"/>
  <c r="V22" i="1"/>
  <c r="F78" i="1"/>
  <c r="V87" i="1"/>
  <c r="AE22" i="1"/>
  <c r="R55" i="1"/>
  <c r="AT18" i="1"/>
  <c r="F105" i="1"/>
  <c r="AF22" i="1"/>
  <c r="S55" i="1"/>
  <c r="AO18" i="1"/>
  <c r="F91" i="1"/>
  <c r="AC22" i="1"/>
  <c r="CE55" i="1"/>
  <c r="CH55" i="1"/>
  <c r="P55" i="1"/>
  <c r="CF55" i="1"/>
  <c r="W22" i="1"/>
  <c r="F79" i="1"/>
  <c r="W87" i="1"/>
  <c r="GN29" i="1"/>
  <c r="GM29" i="1"/>
  <c r="GM27" i="1"/>
  <c r="GN27" i="1"/>
  <c r="BC18" i="1"/>
  <c r="F103" i="1"/>
  <c r="AQ18" i="1"/>
  <c r="F97" i="1"/>
  <c r="U22" i="1"/>
  <c r="F77" i="1"/>
  <c r="I17" i="5" s="1"/>
  <c r="G17" i="5" s="1"/>
  <c r="U87" i="1"/>
  <c r="J164" i="5" l="1"/>
  <c r="P164" i="5" s="1"/>
  <c r="J63" i="5"/>
  <c r="P63" i="5" s="1"/>
  <c r="J153" i="5"/>
  <c r="P153" i="5" s="1"/>
  <c r="G12" i="5"/>
  <c r="O55" i="1"/>
  <c r="AB22" i="1"/>
  <c r="H16" i="2"/>
  <c r="H18" i="2" s="1"/>
  <c r="J133" i="5"/>
  <c r="P133" i="5" s="1"/>
  <c r="J185" i="5"/>
  <c r="P185" i="5" s="1"/>
  <c r="H107" i="6"/>
  <c r="T100" i="6"/>
  <c r="H100" i="6"/>
  <c r="GN34" i="1"/>
  <c r="GM34" i="1"/>
  <c r="G186" i="5"/>
  <c r="H169" i="6"/>
  <c r="T160" i="6"/>
  <c r="H160" i="6"/>
  <c r="GM42" i="1"/>
  <c r="GN42" i="1"/>
  <c r="H205" i="6"/>
  <c r="T196" i="6"/>
  <c r="H196" i="6"/>
  <c r="GN49" i="1"/>
  <c r="GM49" i="1"/>
  <c r="H208" i="6"/>
  <c r="H217" i="6"/>
  <c r="T208" i="6"/>
  <c r="GN51" i="1"/>
  <c r="GM51" i="1"/>
  <c r="H99" i="6"/>
  <c r="H92" i="6"/>
  <c r="T92" i="6"/>
  <c r="GM33" i="1"/>
  <c r="GN33" i="1"/>
  <c r="CB55" i="1" s="1"/>
  <c r="H145" i="6"/>
  <c r="T136" i="6"/>
  <c r="H136" i="6"/>
  <c r="GN38" i="1"/>
  <c r="GM38" i="1"/>
  <c r="H191" i="6"/>
  <c r="T184" i="6"/>
  <c r="H184" i="6"/>
  <c r="GN46" i="1"/>
  <c r="GM46" i="1"/>
  <c r="J73" i="5"/>
  <c r="P73" i="5" s="1"/>
  <c r="H157" i="6"/>
  <c r="T148" i="6"/>
  <c r="H148" i="6"/>
  <c r="GM40" i="1"/>
  <c r="GN40" i="1"/>
  <c r="AD22" i="1"/>
  <c r="Q55" i="1"/>
  <c r="J123" i="5"/>
  <c r="P123" i="5" s="1"/>
  <c r="H125" i="6"/>
  <c r="T118" i="6"/>
  <c r="H223" i="6" s="1"/>
  <c r="H118" i="6"/>
  <c r="GM36" i="1"/>
  <c r="GN36" i="1"/>
  <c r="K139" i="5"/>
  <c r="J143" i="5" s="1"/>
  <c r="P143" i="5" s="1"/>
  <c r="H135" i="6"/>
  <c r="T126" i="6"/>
  <c r="H126" i="6"/>
  <c r="GN37" i="1"/>
  <c r="GM37" i="1"/>
  <c r="AL22" i="1"/>
  <c r="Y55" i="1"/>
  <c r="U18" i="1"/>
  <c r="F109" i="1"/>
  <c r="CH22" i="1"/>
  <c r="AY55" i="1"/>
  <c r="T18" i="1"/>
  <c r="F108" i="1"/>
  <c r="BA18" i="1"/>
  <c r="F107" i="1"/>
  <c r="CE22" i="1"/>
  <c r="AV55" i="1"/>
  <c r="R22" i="1"/>
  <c r="F69" i="1"/>
  <c r="R87" i="1"/>
  <c r="CF22" i="1"/>
  <c r="AW55" i="1"/>
  <c r="CA55" i="1"/>
  <c r="AX18" i="1"/>
  <c r="F94" i="1"/>
  <c r="AZ18" i="1"/>
  <c r="F98" i="1"/>
  <c r="W18" i="1"/>
  <c r="F111" i="1"/>
  <c r="P22" i="1"/>
  <c r="P87" i="1"/>
  <c r="F58" i="1"/>
  <c r="V18" i="1"/>
  <c r="F110" i="1"/>
  <c r="AK22" i="1"/>
  <c r="X55" i="1"/>
  <c r="O22" i="1"/>
  <c r="F57" i="1"/>
  <c r="O87" i="1"/>
  <c r="S22" i="1"/>
  <c r="S87" i="1"/>
  <c r="F70" i="1"/>
  <c r="J186" i="5" l="1"/>
  <c r="CB22" i="1"/>
  <c r="AS55" i="1"/>
  <c r="AS22" i="1" s="1"/>
  <c r="J16" i="2"/>
  <c r="J18" i="2" s="1"/>
  <c r="I18" i="5"/>
  <c r="Q22" i="1"/>
  <c r="F67" i="1"/>
  <c r="Q87" i="1"/>
  <c r="X22" i="1"/>
  <c r="X87" i="1"/>
  <c r="F80" i="1"/>
  <c r="AW22" i="1"/>
  <c r="F61" i="1"/>
  <c r="AW87" i="1"/>
  <c r="O18" i="1"/>
  <c r="F89" i="1"/>
  <c r="P18" i="1"/>
  <c r="F90" i="1"/>
  <c r="AV22" i="1"/>
  <c r="F60" i="1"/>
  <c r="AV87" i="1"/>
  <c r="F72" i="1"/>
  <c r="AS87" i="1"/>
  <c r="R18" i="1"/>
  <c r="F101" i="1"/>
  <c r="S18" i="1"/>
  <c r="F102" i="1"/>
  <c r="CA22" i="1"/>
  <c r="AR55" i="1"/>
  <c r="AY22" i="1"/>
  <c r="AY87" i="1"/>
  <c r="F63" i="1"/>
  <c r="Y22" i="1"/>
  <c r="F81" i="1"/>
  <c r="Y87" i="1"/>
  <c r="Q18" i="1" l="1"/>
  <c r="F99" i="1"/>
  <c r="E16" i="2"/>
  <c r="E18" i="2" s="1"/>
  <c r="I13" i="5"/>
  <c r="AR22" i="1"/>
  <c r="AR87" i="1"/>
  <c r="F82" i="1"/>
  <c r="F83" i="1" s="1"/>
  <c r="AW18" i="1"/>
  <c r="F93" i="1"/>
  <c r="X18" i="1"/>
  <c r="F112" i="1"/>
  <c r="AV18" i="1"/>
  <c r="F92" i="1"/>
  <c r="Y18" i="1"/>
  <c r="F113" i="1"/>
  <c r="AY18" i="1"/>
  <c r="F95" i="1"/>
  <c r="AS18" i="1"/>
  <c r="F104" i="1"/>
  <c r="G226" i="6" l="1"/>
  <c r="J187" i="5"/>
  <c r="I16" i="2"/>
  <c r="I18" i="2" s="1"/>
  <c r="F84" i="1"/>
  <c r="AR18" i="1"/>
  <c r="F114" i="1"/>
  <c r="F85" i="1" l="1"/>
  <c r="G227" i="6"/>
  <c r="J188" i="5"/>
  <c r="G228" i="6" l="1"/>
  <c r="J189" i="5"/>
  <c r="I12" i="5"/>
  <c r="F31" i="6"/>
</calcChain>
</file>

<file path=xl/sharedStrings.xml><?xml version="1.0" encoding="utf-8"?>
<sst xmlns="http://schemas.openxmlformats.org/spreadsheetml/2006/main" count="3563" uniqueCount="492">
  <si>
    <t>Smeta.RU  (495) 974-1589</t>
  </si>
  <si>
    <t>_PS_</t>
  </si>
  <si>
    <t>Smeta.RU</t>
  </si>
  <si>
    <t/>
  </si>
  <si>
    <t>Новый объект</t>
  </si>
  <si>
    <t>на капитальный ремонт внутренней  системы отопления и холодного водоснабжения в корпусах В,А,Б,Д,Э и Главном корпусе, наружной системы отопления  и холодного водоснабжения с заменой pfgjhyjq fhvfnehs  НИЯУ МИФИ по адресу: г.Москва,Каширское шоссе,д.31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</si>
  <si>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</si>
  <si>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</si>
  <si>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</si>
  <si>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</si>
  <si>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</si>
  <si>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</si>
  <si>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</si>
  <si>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65-23-2</t>
  </si>
  <si>
    <t>Слив и наполнение водой системы отопления с осмотром системы</t>
  </si>
  <si>
    <t>1000 м3</t>
  </si>
  <si>
    <t>ФЕР-2001, 65-23-2, приказ Минстроя России №1039/пр от 30.12.2016г.</t>
  </si>
  <si>
    <t>Ремонтно-строительные работы</t>
  </si>
  <si>
    <t>Внтуренниие с/техработы:  демонтаж, разборка, промывка</t>
  </si>
  <si>
    <t>рФЕР-65</t>
  </si>
  <si>
    <t>2</t>
  </si>
  <si>
    <t>66-8-1</t>
  </si>
  <si>
    <t>Демонтаж чугунных люков</t>
  </si>
  <si>
    <t>ШТ</t>
  </si>
  <si>
    <t>ФЕР-2001, 66-8-1, приказ Минстроя России №1039/пр от 30.12.2016г.</t>
  </si>
  <si>
    <t>Наружные с/техработы : разборка, очистка...</t>
  </si>
  <si>
    <t>рФЕР-66</t>
  </si>
  <si>
    <t>3</t>
  </si>
  <si>
    <t>23-04-011-01</t>
  </si>
  <si>
    <t>Установка люка (без стоимости материала)</t>
  </si>
  <si>
    <t>ФЕР-2001, 23-04-011-01, приказ Минстроя России №1039/пр от 30.12.2016г.</t>
  </si>
  <si>
    <t>)*1,25</t>
  </si>
  <si>
    <t>)*1,15</t>
  </si>
  <si>
    <t>Общестроительные работы</t>
  </si>
  <si>
    <t>Канализация - наружные сети</t>
  </si>
  <si>
    <t>ФЕР-23</t>
  </si>
  <si>
    <t>Поправка: МДС 81-35.2004, п.4.7</t>
  </si>
  <si>
    <t>*0,9</t>
  </si>
  <si>
    <t>*0,85</t>
  </si>
  <si>
    <t>4</t>
  </si>
  <si>
    <t>65-5-8</t>
  </si>
  <si>
    <t>Смена задвижек диаметром 50 мм</t>
  </si>
  <si>
    <t>100 ШТ</t>
  </si>
  <si>
    <t>ФЕР-2001, 65-5-8, приказ Минстроя России №1039/пр от 30.12.2016г.</t>
  </si>
  <si>
    <t>Внтуренниие с/техработы: смена труб</t>
  </si>
  <si>
    <t>4,1</t>
  </si>
  <si>
    <t>18.1.02.01-0051</t>
  </si>
  <si>
    <t>Задвижки клиновые с выдвижным шпинделем фланцевые для воды, пара и неагрессивных нефтепродуктов (жидких и газообразных) давлением 1 МПа (10 кгс/см2) 30с42нж диаметром 50 мм</t>
  </si>
  <si>
    <t>шт.</t>
  </si>
  <si>
    <t>ФССЦ-2001, 18.1.02.01-0051, приказ Минстроя России №1039/пр от 30.12.2016г.</t>
  </si>
  <si>
    <t>Трубопроводы внутренние</t>
  </si>
  <si>
    <t>ФЕР-16</t>
  </si>
  <si>
    <t>5</t>
  </si>
  <si>
    <t>65-5-9</t>
  </si>
  <si>
    <t>Смена задвижек диаметром 100 мм</t>
  </si>
  <si>
    <t>ФЕР-2001, 65-5-9, приказ Минстроя России №1039/пр от 30.12.2016г.</t>
  </si>
  <si>
    <t>5,1</t>
  </si>
  <si>
    <t>18.1.02.01-0053</t>
  </si>
  <si>
    <t>Задвижки клиновые с выдвижным шпинделем фланцевые для воды, пара и неагрессивных нефтепродуктов (жидких и газообразных) давлением 1 МПа (10 кгс/см2) 30с42нж диаметром 100 мм</t>
  </si>
  <si>
    <t>ФССЦ-2001, 18.1.02.01-0053, приказ Минстроя России №1039/пр от 30.12.2016г.</t>
  </si>
  <si>
    <t>6</t>
  </si>
  <si>
    <t>65-5-10</t>
  </si>
  <si>
    <t>Смена задвижек диаметром 150 мм</t>
  </si>
  <si>
    <t>ФЕР-2001, 65-5-10, приказ Минстроя России №1039/пр от 30.12.2016г.</t>
  </si>
  <si>
    <t>6,1</t>
  </si>
  <si>
    <t>18.1.02.01-0104</t>
  </si>
  <si>
    <t>Задвижки клиновые с выдвижным шпинделем фланцевые для воды, пара и нефтепродуктов давлением 1,6 МПа (16 кгс/см2) 30с941нж диаметром 150 мм</t>
  </si>
  <si>
    <t>ФССЦ-2001, 18.1.02.01-0104, приказ Минстроя России №1039/пр от 30.12.2016г.</t>
  </si>
  <si>
    <t>Тепло/газоснабжение - наружные сети</t>
  </si>
  <si>
    <t>ФЕР-24</t>
  </si>
  <si>
    <t>7</t>
  </si>
  <si>
    <t>65-3-14</t>
  </si>
  <si>
    <t>Снятие задвижек диаметром до 200 мм (тепловой узел диам.200мм)</t>
  </si>
  <si>
    <t>ФЕР-2001, 65-3-14, приказ Минстроя России №1039/пр от 30.12.2016г.</t>
  </si>
  <si>
    <t>8</t>
  </si>
  <si>
    <t>65-3-13</t>
  </si>
  <si>
    <t>Снятие задвижек диаметром до 100 мм (диам.80мм Тепловой узел)</t>
  </si>
  <si>
    <t>ФЕР-2001, 65-3-13, приказ Минстроя России №1039/пр от 30.12.2016г.</t>
  </si>
  <si>
    <t>9</t>
  </si>
  <si>
    <t>16-05-001-07</t>
  </si>
  <si>
    <t>Демонтаж  задвижек  на трубопроводах из стальных труб диаметром до 250 мм (диам.250мм Тепловой узел)</t>
  </si>
  <si>
    <t>ФЕР-2001, 16-05-001-07,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</si>
  <si>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</si>
  <si>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</t>
  </si>
  <si>
    <t>)*0,4</t>
  </si>
  <si>
    <t>Поправка: МДС 81-36.2004, п.3.3.1.в</t>
  </si>
  <si>
    <t>10</t>
  </si>
  <si>
    <t>66-26-5</t>
  </si>
  <si>
    <t>Демонтаж задвижек диаметром до 300 мм (диам.250мм) (колодец)</t>
  </si>
  <si>
    <t>ФЕР-2001, 66-26-5, приказ Минстроя России №1039/пр от 30.12.2016г.</t>
  </si>
  <si>
    <t>11</t>
  </si>
  <si>
    <t>16-05-001-01</t>
  </si>
  <si>
    <t>Демонтаж   кранов проходных на трубопроводах из стальных труб диаметром до 25 мм (стояки)</t>
  </si>
  <si>
    <t>ФЕР-2001, 16-05-001-01, приказ Минстроя России №1039/пр от 30.12.2016г.</t>
  </si>
  <si>
    <t>12</t>
  </si>
  <si>
    <t>16-05-001-03</t>
  </si>
  <si>
    <t>Установка  задвижек на трубопроводах из стальных труб диаметром до 100 мм (диам.80мм)</t>
  </si>
  <si>
    <t>ФЕР-2001, 16-05-001-03, приказ Минстроя России №1039/пр от 30.12.2016г.</t>
  </si>
  <si>
    <t>12,1</t>
  </si>
  <si>
    <t>18.1.02.01-0052</t>
  </si>
  <si>
    <t>Задвижки клиновые с выдвижным шпинделем фланцевые для воды, пара и неагрессивных нефтепродуктов (жидких и газообразных) давлением 1 МПа (10 кгс/см2) 30с42нж диаметром 80 мм</t>
  </si>
  <si>
    <t>ФССЦ-2001, 18.1.02.01-0052, приказ Минстроя России №1039/пр от 30.12.2016г.</t>
  </si>
  <si>
    <t>13</t>
  </si>
  <si>
    <t>Установка  задвижекна трубопроводах из стальных труб диаметром до 250 мм</t>
  </si>
  <si>
    <t>13,1</t>
  </si>
  <si>
    <t>18.1.02.01-0106</t>
  </si>
  <si>
    <t>Задвижки клиновые с выдвижным шпинделем фланцевые для воды, пара и нефтепродуктов давлением 1,6 МПа (16 кгс/см2) 30с941нж диаметром 250 мм</t>
  </si>
  <si>
    <t>ФССЦ-2001, 18.1.02.01-0106, приказ Минстроя России №1039/пр от 30.12.2016г.</t>
  </si>
  <si>
    <t>14</t>
  </si>
  <si>
    <t>16-05-001-06</t>
  </si>
  <si>
    <t>Установка  задвижек на трубопроводах из стальных труб диаметром до 200 мм (тепловом узле)</t>
  </si>
  <si>
    <t>ФЕР-2001, 16-05-001-06, приказ Минстроя России №1039/пр от 30.12.2016г.</t>
  </si>
  <si>
    <t>14,1</t>
  </si>
  <si>
    <t>18.1.02.01-0105</t>
  </si>
  <si>
    <t>Задвижки клиновые с выдвижным шпинделем фланцевые для воды, пара и нефтепродуктов давлением 1,6 МПа (16 кгс/см2) 30с941нж диаметром 200 мм</t>
  </si>
  <si>
    <t>ФССЦ-2001, 18.1.02.01-0105, приказ Минстроя России №1039/пр от 30.12.2016г.</t>
  </si>
  <si>
    <t>15</t>
  </si>
  <si>
    <t>Установка, кранов проходных на трубопроводах из стальных труб диаметром до 25 мм (Стояки)</t>
  </si>
  <si>
    <t>15,1</t>
  </si>
  <si>
    <t>18.1.09.06-0074</t>
  </si>
  <si>
    <t>Кран шаровый муфтовый Valtec для воды диаметром 25 мм, тип в/н</t>
  </si>
  <si>
    <t>ФССЦ-2001, 18.1.09.06-0074, приказ Минстроя России №1039/пр от 30.12.2016г.</t>
  </si>
  <si>
    <t>16</t>
  </si>
  <si>
    <t>65-16-2</t>
  </si>
  <si>
    <t>Смена сгонов у трубопроводов диаметром до 32 мм</t>
  </si>
  <si>
    <t>ФЕР-2001, 65-16-2, приказ Минстроя России №1039/пр от 30.12.2016г.</t>
  </si>
  <si>
    <t>16,1</t>
  </si>
  <si>
    <t>23.8.03.06-0007</t>
  </si>
  <si>
    <t>Сгоны стальные с муфтой и контргайкой, диаметром 32 мм</t>
  </si>
  <si>
    <t>ФССЦ-2001, 23.8.03.06-0007, приказ Минстроя России №1039/пр от 30.12.2016г.</t>
  </si>
  <si>
    <t>занесена вручную</t>
  </si>
  <si>
    <t>16,2</t>
  </si>
  <si>
    <t>23.8.03.06-0005</t>
  </si>
  <si>
    <t>Сгоны стальные с муфтой и контргайкой, диаметром 25 мм</t>
  </si>
  <si>
    <t>ФССЦ-2001, 23.8.03.06-0005, приказ Минстроя России №1039/пр от 30.12.2016г.</t>
  </si>
  <si>
    <t>17</t>
  </si>
  <si>
    <t>22-03-007-05</t>
  </si>
  <si>
    <t>Установка задвижек или клапанов обратных стальных диаметром 250 мм (колодец)</t>
  </si>
  <si>
    <t>ФЕР-2001, 22-03-007-05, приказ Минстроя России №1039/пр от 30.12.2016г.</t>
  </si>
  <si>
    <t>Водопровод - наружные сети</t>
  </si>
  <si>
    <t>ФЕР-22</t>
  </si>
  <si>
    <t>17,1</t>
  </si>
  <si>
    <t>18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</si>
  <si>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</si>
  <si>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</si>
  <si>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100 м2</t>
  </si>
  <si>
    <t>ФЕР-2001, 15-04-030-04, приказ Минстроя России №1039/пр от 30.12.2016г.</t>
  </si>
  <si>
    <t>Отделочные работы</t>
  </si>
  <si>
    <t>ФЕР-15</t>
  </si>
  <si>
    <t>18,1</t>
  </si>
  <si>
    <t>14.4.04.13-0215</t>
  </si>
  <si>
    <t>Эмаль МС-2263, масляно-стирольная, цветная</t>
  </si>
  <si>
    <t>т</t>
  </si>
  <si>
    <t>ФССЦ-2001, 14.4.04.13-0215, приказ Минстроя России №1039/пр от 30.12.2016г.</t>
  </si>
  <si>
    <t>18,2</t>
  </si>
  <si>
    <t>14.4.02.04</t>
  </si>
  <si>
    <t>Краски для внутренних работ масляные готовые к применению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</si>
  <si>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</si>
  <si>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</si>
  <si>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</si>
  <si>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</si>
  <si>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</si>
  <si>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</si>
  <si>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</si>
  <si>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</si>
  <si>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</si>
  <si>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</si>
  <si>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</si>
  <si>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</si>
  <si>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</si>
  <si>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</si>
  <si>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</si>
  <si>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</si>
  <si>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</si>
  <si>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</si>
  <si>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</si>
  <si>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</si>
  <si>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</si>
  <si>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</si>
  <si>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</si>
  <si>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</si>
  <si>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</si>
  <si>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</si>
  <si>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</si>
  <si>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</si>
  <si>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</si>
  <si>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</si>
  <si>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</si>
  <si>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</si>
  <si>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</si>
  <si>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</si>
  <si>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</si>
  <si>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</si>
  <si>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</si>
  <si>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</si>
  <si>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</si>
  <si>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</si>
  <si>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</si>
  <si>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</si>
  <si>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</si>
  <si>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</si>
  <si>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</si>
  <si>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</si>
  <si>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</si>
  <si>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</si>
  <si>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</si>
  <si>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</si>
  <si>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</si>
  <si>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</si>
  <si>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</si>
  <si>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</si>
  <si>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</si>
  <si>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</si>
  <si>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</si>
  <si>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</si>
  <si>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</si>
  <si>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</si>
  <si>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</si>
  <si>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</si>
  <si>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</si>
  <si>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</si>
  <si>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</si>
  <si>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</si>
  <si>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</si>
  <si>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</si>
  <si>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</si>
  <si>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</si>
  <si>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</si>
  <si>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</si>
  <si>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</si>
  <si>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</si>
  <si>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</si>
  <si>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</si>
  <si>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</si>
  <si>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</si>
  <si>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</si>
  <si>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</si>
  <si>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</si>
  <si>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</si>
  <si>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</si>
  <si>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</si>
  <si>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</si>
  <si>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</si>
  <si>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</si>
  <si>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</si>
  <si>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</si>
  <si>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</si>
  <si>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</si>
  <si>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</si>
  <si>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</si>
  <si>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</si>
  <si>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</si>
  <si>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</si>
  <si>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</si>
  <si>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</si>
  <si>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</si>
  <si>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</si>
  <si>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</si>
  <si>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</si>
  <si>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</si>
  <si>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</si>
  <si>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</si>
  <si>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</si>
  <si>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</si>
  <si>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</si>
  <si>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</si>
  <si>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</si>
  <si>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</si>
  <si>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</si>
  <si>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</si>
  <si>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</si>
  <si>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</si>
  <si>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</si>
  <si>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</si>
  <si>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</si>
  <si>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</si>
  <si>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</si>
  <si>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</si>
  <si>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1-100-30</t>
  </si>
  <si>
    <t>Рабочий среднего разряда 3</t>
  </si>
  <si>
    <t>чел.-ч.</t>
  </si>
  <si>
    <t>1-100-21</t>
  </si>
  <si>
    <t>Рабочий среднего разряда 2.1</t>
  </si>
  <si>
    <t>1-100-31</t>
  </si>
  <si>
    <t>Рабочий среднего разряда 3.1</t>
  </si>
  <si>
    <t>4-100-00</t>
  </si>
  <si>
    <t>Затраты труда машинистов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</si>
  <si>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</si>
  <si>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</si>
  <si>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</si>
  <si>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маш.-ч</t>
  </si>
  <si>
    <t>04.1.02.05-0007</t>
  </si>
  <si>
    <t>ФССЦ-2001, 04.1.02.05-0007, приказ Минстроя России №1039/пр от 30.12.2016г.</t>
  </si>
  <si>
    <t>Бетон тяжелый, класс В20 (М250)</t>
  </si>
  <si>
    <t>м3</t>
  </si>
  <si>
    <t>1-100-35</t>
  </si>
  <si>
    <t>Рабочий среднего разряда 3.5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</si>
  <si>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</si>
  <si>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</si>
  <si>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</si>
  <si>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1000 шт.</t>
  </si>
  <si>
    <t>01.7.15.03-0015</t>
  </si>
  <si>
    <t>ФССЦ-2001, 01.7.15.03-0015, приказ Минстроя России №1039/пр от 30.12.2016г.</t>
  </si>
  <si>
    <t>Болты с гайками и шайбами для санитарно-технических работ диаметром 20-22 мм</t>
  </si>
  <si>
    <t>01.1.02.08-0002</t>
  </si>
  <si>
    <t>ФССЦ-2001, 01.1.02.08-0002, приказ Минстроя России №1039/пр от 30.12.2016г.</t>
  </si>
  <si>
    <t>Прокладки из паронита марки ПМБ, толщиной 1 мм, диаметром 100 мм</t>
  </si>
  <si>
    <t>01.1.02.08-0003</t>
  </si>
  <si>
    <t>ФССЦ-2001, 01.1.02.08-0003, приказ Минстроя России №1039/пр от 30.12.2016г.</t>
  </si>
  <si>
    <t>Прокладки из паронита марки ПМБ, толщиной 1 мм, диаметром 150 мм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</si>
  <si>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</si>
  <si>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</si>
  <si>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</si>
  <si>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1-100-37</t>
  </si>
  <si>
    <t>Рабочий среднего разряда 3.7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</si>
  <si>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</si>
  <si>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</si>
  <si>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</si>
  <si>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</si>
  <si>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</si>
  <si>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</si>
  <si>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</si>
  <si>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</si>
  <si>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</si>
  <si>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01.1.02.08-0006</t>
  </si>
  <si>
    <t>ФССЦ-2001, 01.1.02.08-0006, приказ Минстроя России №1039/пр от 30.12.2016г.</t>
  </si>
  <si>
    <t>Прокладки из паронита марки ПМБ, толщиной 1 мм, диаметром 300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</si>
  <si>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</si>
  <si>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</si>
  <si>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</si>
  <si>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</si>
  <si>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</si>
  <si>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</si>
  <si>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</si>
  <si>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</si>
  <si>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</si>
  <si>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01.1.02.08-0004</t>
  </si>
  <si>
    <t>ФССЦ-2001, 01.1.02.08-0004, приказ Минстроя России №1039/пр от 30.12.2016г.</t>
  </si>
  <si>
    <t>Прокладки из паронита марки ПМБ, толщиной 1 мм, диаметром 200 мм</t>
  </si>
  <si>
    <t>1-100-39</t>
  </si>
  <si>
    <t>Рабочий среднего разряда 3.9</t>
  </si>
  <si>
    <t>01.7.07.29-0101</t>
  </si>
  <si>
    <t>ФССЦ-2001, 01.7.07.29-0101, приказ Минстроя России №1039/пр от 30.12.2016г.</t>
  </si>
  <si>
    <t>Очес льняной</t>
  </si>
  <si>
    <t>кг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</si>
  <si>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</si>
  <si>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</si>
  <si>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</si>
  <si>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</si>
  <si>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</si>
  <si>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</si>
  <si>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1-100-36</t>
  </si>
  <si>
    <t>Рабочий среднего разряда 3.6</t>
  </si>
  <si>
    <t>91.10.05-004</t>
  </si>
  <si>
    <t>ФСЭМ-2001, 91.10.05-004, приказ Минстроя России №1039/пр от 30.12.2016г.</t>
  </si>
  <si>
    <t>Трубоукладчики для труб диаметром до 400 мм, грузоподъемность 6,3 т</t>
  </si>
  <si>
    <t>01.7.15.03-0016</t>
  </si>
  <si>
    <t>ФССЦ-2001, 01.7.15.03-0016, приказ Минстроя России №1039/пр от 30.12.2016г.</t>
  </si>
  <si>
    <t>Болты с гайками и шайбами для санитарно-технических работ диаметром 24 мм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</si>
  <si>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</si>
  <si>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</si>
  <si>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</si>
  <si>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1-100-33</t>
  </si>
  <si>
    <t>Рабочий среднего разряда 3.3</t>
  </si>
  <si>
    <t>01.7.20.08-0051</t>
  </si>
  <si>
    <t>ФССЦ-2001, 01.7.20.08-0051, приказ Минстроя России №1039/пр от 30.12.2016г.</t>
  </si>
  <si>
    <t>Ветошь</t>
  </si>
  <si>
    <t>14.5.05.02-0001</t>
  </si>
  <si>
    <t>ФССЦ-2001, 14.5.05.02-0001, приказ Минстроя России №1039/пр от 30.12.2016г.</t>
  </si>
  <si>
    <t>Олифа натуральная</t>
  </si>
  <si>
    <t>08.1.02.06</t>
  </si>
  <si>
    <t>Люки чугунные</t>
  </si>
  <si>
    <t>01.7.07.07</t>
  </si>
  <si>
    <t>Строительный мусор и масса возвратных материалов</t>
  </si>
  <si>
    <t>18.1.01.01</t>
  </si>
  <si>
    <t>Арматура трубопроводная фланцевая</t>
  </si>
  <si>
    <t>23.8.03.12</t>
  </si>
  <si>
    <t>Фланцы стальные</t>
  </si>
  <si>
    <t>18.1.02.03</t>
  </si>
  <si>
    <t>Задвижки стальные водопроводные (или клапаны обратные)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</si>
  <si>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</si>
  <si>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</si>
  <si>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</si>
  <si>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</si>
  <si>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</si>
  <si>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</si>
  <si>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</si>
  <si>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</si>
  <si>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</si>
  <si>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</si>
  <si>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</si>
  <si>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</si>
  <si>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</si>
  <si>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</si>
  <si>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</si>
  <si>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</si>
  <si>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</si>
  <si>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</si>
  <si>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</si>
  <si>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</si>
  <si>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</si>
  <si>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</si>
  <si>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</si>
  <si>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</si>
  <si>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</si>
  <si>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</si>
  <si>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</si>
  <si>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</si>
  <si>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</si>
  <si>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</si>
  <si>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</si>
  <si>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</si>
  <si>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</si>
  <si>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</si>
  <si>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</si>
  <si>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</si>
  <si>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</si>
  <si>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</si>
  <si>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</si>
  <si>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</si>
  <si>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</si>
  <si>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</si>
  <si>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</si>
  <si>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</si>
  <si>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</si>
  <si>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</si>
  <si>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</si>
  <si>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</si>
  <si>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</si>
  <si>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</si>
  <si>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</si>
  <si>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</si>
  <si>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</si>
  <si>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</si>
  <si>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</si>
  <si>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</si>
  <si>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</si>
  <si>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</si>
  <si>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</si>
  <si>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</si>
  <si>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</si>
  <si>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</si>
  <si>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</si>
  <si>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</si>
  <si>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</si>
  <si>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</si>
  <si>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</si>
  <si>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</si>
  <si>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</si>
  <si>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</si>
  <si>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</si>
  <si>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</si>
  <si>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</si>
  <si>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</si>
  <si>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</si>
  <si>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</si>
  <si>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</si>
  <si>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СП</t>
  </si>
  <si>
    <t xml:space="preserve">Итого с НР и СП </t>
  </si>
  <si>
    <t>% НР с поправкой</t>
  </si>
  <si>
    <t>СП с поправкой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</si>
  <si>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</si>
  <si>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</si>
  <si>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</si>
  <si>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</si>
  <si>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</si>
  <si>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</si>
  <si>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</si>
  <si>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</si>
  <si>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</si>
  <si>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</si>
  <si>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</si>
  <si>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</si>
  <si>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</si>
  <si>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</si>
  <si>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</si>
  <si>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</si>
  <si>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</si>
  <si>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</si>
  <si>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</si>
  <si>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</si>
  <si>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</si>
  <si>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</si>
  <si>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</si>
  <si>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</si>
  <si>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 xml:space="preserve">Сумма НДС </t>
  </si>
  <si>
    <t xml:space="preserve">Всего с учетом НДС </t>
  </si>
  <si>
    <t>МП</t>
  </si>
  <si>
    <t xml:space="preserve"> СМЕТА </t>
  </si>
  <si>
    <t>на капитальный ремонт внутренней  системы отопления и холодного водоснабжения в корпусах В,А,Б,Д,Э и Главном корпусе, наружной системы отопления  и холодного водоснабжения с заменой задвижек в колодцах и тепловых пунктах   НИЯУ МИФИ по адресу: г.Москва,Каширское шоссе,д.31</t>
  </si>
  <si>
    <t>Приложение 1 к форме 7</t>
  </si>
  <si>
    <t>на ремонт систем отопления и холодного водоснабжения  с заменой задвижек  в колодцах и  тепловых узлах  главного корпуса, лабораторных корпусах "А", "Б", "Д", "Э","В"  НИЯУ МИФИ по адресу: г. Москва, Каширское шоссе, д.31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</si>
</sst>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7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3" fillId="0" borderId="0" xfId="0" applyFont="1" applyAlignment="1">
      <alignment vertical="center" wrapText="1"/>
    </xf>
    <xf numFmtId="0" fontId="13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164" fontId="0" fillId="0" borderId="0" xfId="0" applyNumberFormat="1"/>
    <xf numFmtId="0" fontId="11" fillId="0" borderId="2" xfId="0" applyFont="1" applyBorder="1"/>
    <xf numFmtId="0" fontId="13" fillId="0" borderId="0" xfId="0" applyFont="1"/>
    <xf numFmtId="0" fontId="9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6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4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3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6" xfId="0" applyFont="1" applyBorder="1" applyAlignment="1">
      <alignment horizontal="center"/>
    </xf>
    <xf numFmtId="14" fontId="11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164" fontId="13" fillId="0" borderId="1" xfId="0" applyNumberFormat="1" applyFont="1" applyBorder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0" fontId="12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center" vertical="top" shrinkToFit="1"/>
    </xf>
    <xf numFmtId="164" fontId="13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1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shrinkToFit="1"/>
    </xf>
    <xf numFmtId="0" fontId="11" fillId="0" borderId="0" xfId="0" applyFont="1" applyAlignment="1">
      <alignment horizontal="right" vertical="center" wrapText="1" shrinkToFit="1"/>
    </xf>
    <xf numFmtId="164" fontId="11" fillId="0" borderId="4" xfId="0" applyNumberFormat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justify" vertical="top" wrapText="1" shrinkToFit="1"/>
    </xf>
    <xf numFmtId="164" fontId="11" fillId="0" borderId="5" xfId="0" applyNumberFormat="1" applyFont="1" applyBorder="1" applyAlignment="1">
      <alignment horizontal="right" wrapText="1" shrinkToFit="1"/>
    </xf>
    <xf numFmtId="0" fontId="11" fillId="0" borderId="1" xfId="0" applyFont="1" applyBorder="1" applyAlignment="1">
      <alignment horizontal="right" wrapText="1" shrinkToFit="1"/>
    </xf>
    <xf numFmtId="0" fontId="11" fillId="0" borderId="6" xfId="0" applyFont="1" applyBorder="1" applyAlignment="1">
      <alignment horizontal="right" wrapText="1" shrinkToFit="1"/>
    </xf>
    <xf numFmtId="0" fontId="11" fillId="0" borderId="4" xfId="0" applyFont="1" applyBorder="1" applyAlignment="1">
      <alignment horizontal="justify" vertical="top" wrapText="1" shrinkToFit="1"/>
    </xf>
    <xf numFmtId="0" fontId="11" fillId="0" borderId="16" xfId="0" applyFont="1" applyBorder="1" applyAlignment="1">
      <alignment horizontal="justify" vertical="top" wrapText="1" shrinkToFit="1"/>
    </xf>
    <xf numFmtId="0" fontId="11" fillId="0" borderId="6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right"/>
    </xf>
    <xf numFmtId="0" fontId="11" fillId="0" borderId="6" xfId="0" applyFont="1" applyBorder="1" applyAlignment="1">
      <alignment horizontal="right"/>
    </xf>
    <xf numFmtId="164" fontId="11" fillId="0" borderId="5" xfId="0" applyNumberFormat="1" applyFont="1" applyBorder="1" applyAlignment="1">
      <alignment horizontal="right"/>
    </xf>
    <xf numFmtId="164" fontId="11" fillId="0" borderId="5" xfId="0" applyNumberFormat="1" applyFont="1" applyBorder="1" applyAlignment="1">
      <alignment horizontal="right" vertical="center" wrapText="1" shrinkToFit="1"/>
    </xf>
    <xf numFmtId="0" fontId="11" fillId="0" borderId="6" xfId="0" applyFont="1" applyBorder="1" applyAlignment="1">
      <alignment horizontal="right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right"/>
    </xf>
    <xf numFmtId="0" fontId="11" fillId="0" borderId="16" xfId="0" applyFont="1" applyBorder="1" applyAlignment="1">
      <alignment horizontal="right"/>
    </xf>
    <xf numFmtId="0" fontId="11" fillId="0" borderId="4" xfId="0" applyFont="1" applyBorder="1"/>
    <xf numFmtId="0" fontId="11" fillId="0" borderId="11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14" fontId="11" fillId="0" borderId="16" xfId="0" applyNumberFormat="1" applyFont="1" applyBorder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2" xfId="0" applyFont="1" applyBorder="1"/>
    <xf numFmtId="0" fontId="1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89"/>
  <sheetViews>
    <sheetView tabSelected="1" zoomScaleNormal="100" workbookViewId="0">
      <selection activeCell="C14" sqref="C14:F14"/>
    </sheetView>
  </sheetViews>
  <sheetFormatPr defaultRowHeight="12.75" x14ac:dyDescent="0.2"/>
  <cols>
    <col min="1" max="1" width="5.7109375" customWidth="1"/>
    <col min="2" max="2" width="22.42578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0" t="str">
        <f>Source!B1</f>
        <v>Smeta.RU  (495) 974-1589</v>
      </c>
      <c r="I1" t="s">
        <v>490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4" spans="1:30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30" ht="15.75" x14ac:dyDescent="0.25">
      <c r="A5" s="14"/>
      <c r="B5" s="77" t="s">
        <v>488</v>
      </c>
      <c r="C5" s="77"/>
      <c r="D5" s="77"/>
      <c r="E5" s="77"/>
      <c r="F5" s="77"/>
      <c r="G5" s="77"/>
      <c r="H5" s="77"/>
      <c r="I5" s="77"/>
      <c r="J5" s="77"/>
      <c r="K5" s="77"/>
      <c r="L5" s="14"/>
    </row>
    <row r="6" spans="1:30" ht="18" hidden="1" x14ac:dyDescent="0.25">
      <c r="A6" s="14"/>
      <c r="B6" s="78" t="str">
        <f>IF(Source!G20&lt;&gt;"Новая локальная смета", Source!G20, "")</f>
        <v/>
      </c>
      <c r="C6" s="78"/>
      <c r="D6" s="78"/>
      <c r="E6" s="78"/>
      <c r="F6" s="78"/>
      <c r="G6" s="78"/>
      <c r="H6" s="78"/>
      <c r="I6" s="78"/>
      <c r="J6" s="78"/>
      <c r="K6" s="78"/>
      <c r="L6" s="14"/>
    </row>
    <row r="7" spans="1:30" ht="14.25" hidden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30" ht="54" x14ac:dyDescent="0.25">
      <c r="A8" s="12"/>
      <c r="B8" s="78" t="s">
        <v>491</v>
      </c>
      <c r="C8" s="78"/>
      <c r="D8" s="78"/>
      <c r="E8" s="78"/>
      <c r="F8" s="78"/>
      <c r="G8" s="78"/>
      <c r="H8" s="78"/>
      <c r="I8" s="78"/>
      <c r="J8" s="78"/>
      <c r="K8" s="78"/>
      <c r="L8" s="15"/>
      <c r="AD8" s="48" t="str">
        <f>IF(Source!G12&lt;&gt;"Новый объект", Source!G12, "")</f>
        <v>на капитальный ремонт внутренней  системы отопления и холодного водоснабжения в корпусах В,А,Б,Д,Э и Главном корпусе, наружной системы отопления  и холодного водоснабжения с заменой задвижек в колодцах и тепловых пунктах   НИЯУ МИФИ по адресу: г.Москва,Каширское шоссе,д.31</v>
      </c>
    </row>
    <row r="9" spans="1:30" ht="14.25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30" ht="14.25" x14ac:dyDescent="0.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30" ht="14.25" x14ac:dyDescent="0.2">
      <c r="A11" s="12"/>
      <c r="B11" s="12"/>
      <c r="C11" s="12"/>
      <c r="D11" s="12"/>
      <c r="E11" s="16"/>
      <c r="F11" s="16"/>
      <c r="G11" s="79" t="s">
        <v>381</v>
      </c>
      <c r="H11" s="79"/>
      <c r="I11" s="79" t="s">
        <v>382</v>
      </c>
      <c r="J11" s="79"/>
      <c r="K11" s="12"/>
      <c r="L11" s="12"/>
    </row>
    <row r="12" spans="1:30" ht="15" x14ac:dyDescent="0.25">
      <c r="A12" s="12"/>
      <c r="B12" s="12"/>
      <c r="C12" s="71" t="s">
        <v>383</v>
      </c>
      <c r="D12" s="71"/>
      <c r="E12" s="71"/>
      <c r="F12" s="71"/>
      <c r="G12" s="72">
        <f>SUM(O23:O186)/1000</f>
        <v>278.10596999999996</v>
      </c>
      <c r="H12" s="72"/>
      <c r="I12" s="72">
        <f>(Source!F85/1000)</f>
        <v>2126.6891000000001</v>
      </c>
      <c r="J12" s="72"/>
      <c r="K12" s="73" t="s">
        <v>384</v>
      </c>
      <c r="L12" s="73"/>
    </row>
    <row r="13" spans="1:30" ht="14.25" x14ac:dyDescent="0.2">
      <c r="A13" s="12"/>
      <c r="B13" s="12"/>
      <c r="C13" s="76" t="s">
        <v>385</v>
      </c>
      <c r="D13" s="76"/>
      <c r="E13" s="76"/>
      <c r="F13" s="76"/>
      <c r="G13" s="72">
        <f>SUM(W23:W186)/1000</f>
        <v>278.10597000000001</v>
      </c>
      <c r="H13" s="72"/>
      <c r="I13" s="72">
        <f>(Source!F72)/1000</f>
        <v>1802.2788999999998</v>
      </c>
      <c r="J13" s="72"/>
      <c r="K13" s="73" t="s">
        <v>384</v>
      </c>
      <c r="L13" s="73"/>
    </row>
    <row r="14" spans="1:30" ht="14.25" x14ac:dyDescent="0.2">
      <c r="A14" s="12"/>
      <c r="B14" s="12"/>
      <c r="C14" s="76" t="s">
        <v>386</v>
      </c>
      <c r="D14" s="76"/>
      <c r="E14" s="76"/>
      <c r="F14" s="76"/>
      <c r="G14" s="72">
        <f>SUM(X23:X186)/1000</f>
        <v>0</v>
      </c>
      <c r="H14" s="72"/>
      <c r="I14" s="72">
        <f>(Source!F73)/1000</f>
        <v>0</v>
      </c>
      <c r="J14" s="72"/>
      <c r="K14" s="73" t="s">
        <v>384</v>
      </c>
      <c r="L14" s="73"/>
    </row>
    <row r="15" spans="1:30" ht="14.25" x14ac:dyDescent="0.2">
      <c r="A15" s="12"/>
      <c r="B15" s="12"/>
      <c r="C15" s="76" t="s">
        <v>387</v>
      </c>
      <c r="D15" s="76"/>
      <c r="E15" s="76"/>
      <c r="F15" s="76"/>
      <c r="G15" s="72">
        <f>SUM(Y23:Y186)/1000</f>
        <v>0</v>
      </c>
      <c r="H15" s="72"/>
      <c r="I15" s="72">
        <f>(Source!F64)/1000</f>
        <v>0</v>
      </c>
      <c r="J15" s="72"/>
      <c r="K15" s="73" t="s">
        <v>384</v>
      </c>
      <c r="L15" s="73"/>
    </row>
    <row r="16" spans="1:30" ht="14.25" x14ac:dyDescent="0.2">
      <c r="A16" s="12"/>
      <c r="B16" s="12"/>
      <c r="C16" s="76" t="s">
        <v>388</v>
      </c>
      <c r="D16" s="76"/>
      <c r="E16" s="76"/>
      <c r="F16" s="76"/>
      <c r="G16" s="72">
        <f>SUM(Z23:Z186)/1000</f>
        <v>0</v>
      </c>
      <c r="H16" s="72"/>
      <c r="I16" s="72">
        <f>(Source!F74+Source!F75)/1000</f>
        <v>0</v>
      </c>
      <c r="J16" s="72"/>
      <c r="K16" s="73" t="s">
        <v>384</v>
      </c>
      <c r="L16" s="73"/>
    </row>
    <row r="17" spans="1:26" ht="15" x14ac:dyDescent="0.25">
      <c r="A17" s="12"/>
      <c r="B17" s="12"/>
      <c r="C17" s="71" t="s">
        <v>389</v>
      </c>
      <c r="D17" s="71"/>
      <c r="E17" s="71"/>
      <c r="F17" s="71"/>
      <c r="G17" s="72">
        <f>I17</f>
        <v>1297.2551999999998</v>
      </c>
      <c r="H17" s="72"/>
      <c r="I17" s="72">
        <f>(Source!F77+Source!F78)</f>
        <v>1297.2551999999998</v>
      </c>
      <c r="J17" s="72"/>
      <c r="K17" s="73" t="s">
        <v>390</v>
      </c>
      <c r="L17" s="73"/>
    </row>
    <row r="18" spans="1:26" ht="15" x14ac:dyDescent="0.25">
      <c r="A18" s="12"/>
      <c r="B18" s="12"/>
      <c r="C18" s="71" t="s">
        <v>391</v>
      </c>
      <c r="D18" s="71"/>
      <c r="E18" s="71"/>
      <c r="F18" s="71"/>
      <c r="G18" s="72">
        <f>SUM(R23:R186)/1000</f>
        <v>11.872809999999996</v>
      </c>
      <c r="H18" s="72"/>
      <c r="I18" s="72">
        <f>(Source!F70+ Source!F69)/1000</f>
        <v>76.935839999999999</v>
      </c>
      <c r="J18" s="72"/>
      <c r="K18" s="73" t="s">
        <v>384</v>
      </c>
      <c r="L18" s="73"/>
    </row>
    <row r="19" spans="1:26" ht="14.25" x14ac:dyDescent="0.2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26" ht="14.25" x14ac:dyDescent="0.2">
      <c r="A20" s="74" t="s">
        <v>404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</row>
    <row r="21" spans="1:26" ht="57" x14ac:dyDescent="0.2">
      <c r="A21" s="17" t="s">
        <v>392</v>
      </c>
      <c r="B21" s="17" t="s">
        <v>393</v>
      </c>
      <c r="C21" s="17" t="s">
        <v>394</v>
      </c>
      <c r="D21" s="17" t="s">
        <v>395</v>
      </c>
      <c r="E21" s="17" t="s">
        <v>396</v>
      </c>
      <c r="F21" s="17" t="s">
        <v>397</v>
      </c>
      <c r="G21" s="17" t="s">
        <v>398</v>
      </c>
      <c r="H21" s="17" t="s">
        <v>399</v>
      </c>
      <c r="I21" s="17" t="s">
        <v>400</v>
      </c>
      <c r="J21" s="17" t="s">
        <v>401</v>
      </c>
      <c r="K21" s="17" t="s">
        <v>402</v>
      </c>
      <c r="L21" s="17" t="s">
        <v>403</v>
      </c>
    </row>
    <row r="22" spans="1:26" ht="14.25" x14ac:dyDescent="0.2">
      <c r="A22" s="18">
        <v>1</v>
      </c>
      <c r="B22" s="18">
        <v>2</v>
      </c>
      <c r="C22" s="18">
        <v>3</v>
      </c>
      <c r="D22" s="18">
        <v>4</v>
      </c>
      <c r="E22" s="18">
        <v>5</v>
      </c>
      <c r="F22" s="18">
        <v>6</v>
      </c>
      <c r="G22" s="18">
        <v>7</v>
      </c>
      <c r="H22" s="18">
        <v>8</v>
      </c>
      <c r="I22" s="18">
        <v>9</v>
      </c>
      <c r="J22" s="18">
        <v>10</v>
      </c>
      <c r="K22" s="18">
        <v>11</v>
      </c>
      <c r="L22" s="19">
        <v>12</v>
      </c>
    </row>
    <row r="23" spans="1:26" ht="28.5" x14ac:dyDescent="0.2">
      <c r="A23" s="43" t="str">
        <f>Source!E24</f>
        <v>1</v>
      </c>
      <c r="B23" s="44" t="str">
        <f>Source!F24</f>
        <v>65-23-2</v>
      </c>
      <c r="C23" s="44" t="str">
        <f>Source!G24</f>
        <v>Слив и наполнение водой системы отопления с осмотром системы</v>
      </c>
      <c r="D23" s="27" t="str">
        <f>Source!H24</f>
        <v>1000 м3</v>
      </c>
      <c r="E23" s="11">
        <f>Source!I24</f>
        <v>0.105</v>
      </c>
      <c r="F23" s="28">
        <f>Source!AL24+Source!AM24+Source!AO24</f>
        <v>10.83</v>
      </c>
      <c r="G23" s="29"/>
      <c r="H23" s="28"/>
      <c r="I23" s="29" t="str">
        <f>Source!BO24</f>
        <v/>
      </c>
      <c r="J23" s="29"/>
      <c r="K23" s="28"/>
      <c r="L23" s="30"/>
      <c r="S23">
        <f>ROUND((Source!FX24/100)*((ROUND(Source!AF24*Source!I24, 2)+ROUND(Source!AE24*Source!I24, 2))), 2)</f>
        <v>0.84</v>
      </c>
      <c r="T23">
        <f>Source!X24</f>
        <v>5.45</v>
      </c>
      <c r="U23">
        <f>ROUND((Source!FY24/100)*((ROUND(Source!AF24*Source!I24, 2)+ROUND(Source!AE24*Source!I24, 2))), 2)</f>
        <v>0.56999999999999995</v>
      </c>
      <c r="V23">
        <f>Source!Y24</f>
        <v>3.69</v>
      </c>
    </row>
    <row r="24" spans="1:26" ht="14.25" x14ac:dyDescent="0.2">
      <c r="A24" s="43"/>
      <c r="B24" s="44"/>
      <c r="C24" s="44" t="s">
        <v>405</v>
      </c>
      <c r="D24" s="27"/>
      <c r="E24" s="11"/>
      <c r="F24" s="28">
        <f>Source!AO24</f>
        <v>10.83</v>
      </c>
      <c r="G24" s="29" t="str">
        <f>Source!DG24</f>
        <v/>
      </c>
      <c r="H24" s="28">
        <f>ROUND(Source!AF24*Source!I24, 2)</f>
        <v>1.1399999999999999</v>
      </c>
      <c r="I24" s="29"/>
      <c r="J24" s="29">
        <f>IF(Source!BA24&lt;&gt; 0, Source!BA24, 1)</f>
        <v>6.48</v>
      </c>
      <c r="K24" s="28">
        <f>Source!S24</f>
        <v>7.37</v>
      </c>
      <c r="L24" s="30"/>
      <c r="R24">
        <f>H24</f>
        <v>1.1399999999999999</v>
      </c>
    </row>
    <row r="25" spans="1:26" ht="14.25" x14ac:dyDescent="0.2">
      <c r="A25" s="43"/>
      <c r="B25" s="44"/>
      <c r="C25" s="44" t="s">
        <v>406</v>
      </c>
      <c r="D25" s="27" t="s">
        <v>407</v>
      </c>
      <c r="E25" s="11">
        <f>Source!BZ24</f>
        <v>74</v>
      </c>
      <c r="F25" s="47"/>
      <c r="G25" s="29"/>
      <c r="H25" s="28">
        <f>SUM(S23:S27)</f>
        <v>0.84</v>
      </c>
      <c r="I25" s="31"/>
      <c r="J25" s="25">
        <f>Source!AT24</f>
        <v>74</v>
      </c>
      <c r="K25" s="28">
        <f>SUM(T23:T27)</f>
        <v>5.45</v>
      </c>
      <c r="L25" s="30"/>
    </row>
    <row r="26" spans="1:26" ht="14.25" x14ac:dyDescent="0.2">
      <c r="A26" s="43"/>
      <c r="B26" s="44"/>
      <c r="C26" s="44" t="s">
        <v>408</v>
      </c>
      <c r="D26" s="27" t="s">
        <v>407</v>
      </c>
      <c r="E26" s="11">
        <f>Source!CA24</f>
        <v>50</v>
      </c>
      <c r="F26" s="47"/>
      <c r="G26" s="29"/>
      <c r="H26" s="28">
        <f>SUM(U23:U27)</f>
        <v>0.56999999999999995</v>
      </c>
      <c r="I26" s="31"/>
      <c r="J26" s="25">
        <f>Source!AU24</f>
        <v>50</v>
      </c>
      <c r="K26" s="28">
        <f>SUM(V23:V27)</f>
        <v>3.69</v>
      </c>
      <c r="L26" s="30"/>
    </row>
    <row r="27" spans="1:26" ht="14.25" x14ac:dyDescent="0.2">
      <c r="A27" s="45"/>
      <c r="B27" s="46"/>
      <c r="C27" s="46" t="s">
        <v>409</v>
      </c>
      <c r="D27" s="32" t="s">
        <v>410</v>
      </c>
      <c r="E27" s="33">
        <f>Source!AQ24</f>
        <v>1.27</v>
      </c>
      <c r="F27" s="34"/>
      <c r="G27" s="35" t="str">
        <f>Source!DI24</f>
        <v/>
      </c>
      <c r="H27" s="34"/>
      <c r="I27" s="35"/>
      <c r="J27" s="35"/>
      <c r="K27" s="34"/>
      <c r="L27" s="36">
        <f>Source!U24</f>
        <v>0.13335</v>
      </c>
    </row>
    <row r="28" spans="1:26" ht="15" x14ac:dyDescent="0.25">
      <c r="G28" s="68">
        <f>H24+H25+H26</f>
        <v>2.5499999999999998</v>
      </c>
      <c r="H28" s="68"/>
      <c r="J28" s="68">
        <f>K24+K25+K26</f>
        <v>16.510000000000002</v>
      </c>
      <c r="K28" s="68"/>
      <c r="L28" s="37">
        <f>Source!U24</f>
        <v>0.13335</v>
      </c>
      <c r="O28" s="21">
        <f>G28</f>
        <v>2.5499999999999998</v>
      </c>
      <c r="P28" s="21">
        <f>J28</f>
        <v>16.510000000000002</v>
      </c>
      <c r="Q28" s="21">
        <f>L28</f>
        <v>0.13335</v>
      </c>
      <c r="W28">
        <f>IF(Source!BI24&lt;=1,H24+H25+H26, 0)</f>
        <v>2.5499999999999998</v>
      </c>
      <c r="X28">
        <f>IF(Source!BI24=2,H24+H25+H26, 0)</f>
        <v>0</v>
      </c>
      <c r="Y28">
        <f>IF(Source!BI24=3,H24+H25+H26, 0)</f>
        <v>0</v>
      </c>
      <c r="Z28">
        <f>IF(Source!BI24=4,H24+H25+H26, 0)</f>
        <v>0</v>
      </c>
    </row>
    <row r="29" spans="1:26" ht="14.25" x14ac:dyDescent="0.2">
      <c r="A29" s="43" t="str">
        <f>Source!E25</f>
        <v>2</v>
      </c>
      <c r="B29" s="44" t="str">
        <f>Source!F25</f>
        <v>66-8-1</v>
      </c>
      <c r="C29" s="44" t="str">
        <f>Source!G25</f>
        <v>Демонтаж чугунных люков</v>
      </c>
      <c r="D29" s="27" t="str">
        <f>Source!H25</f>
        <v>ШТ</v>
      </c>
      <c r="E29" s="11">
        <f>Source!I25</f>
        <v>13</v>
      </c>
      <c r="F29" s="28">
        <f>Source!AL25+Source!AM25+Source!AO25</f>
        <v>17.86</v>
      </c>
      <c r="G29" s="29"/>
      <c r="H29" s="28"/>
      <c r="I29" s="29" t="str">
        <f>Source!BO25</f>
        <v/>
      </c>
      <c r="J29" s="29"/>
      <c r="K29" s="28"/>
      <c r="L29" s="30"/>
      <c r="S29">
        <f>ROUND((Source!FX25/100)*((ROUND(Source!AF25*Source!I25, 2)+ROUND(Source!AE25*Source!I25, 2))), 2)</f>
        <v>171.81</v>
      </c>
      <c r="T29">
        <f>Source!X25</f>
        <v>1113.3499999999999</v>
      </c>
      <c r="U29">
        <f>ROUND((Source!FY25/100)*((ROUND(Source!AF25*Source!I25, 2)+ROUND(Source!AE25*Source!I25, 2))), 2)</f>
        <v>116.09</v>
      </c>
      <c r="V29">
        <f>Source!Y25</f>
        <v>752.27</v>
      </c>
    </row>
    <row r="30" spans="1:26" ht="14.25" x14ac:dyDescent="0.2">
      <c r="A30" s="43"/>
      <c r="B30" s="44"/>
      <c r="C30" s="44" t="s">
        <v>405</v>
      </c>
      <c r="D30" s="27"/>
      <c r="E30" s="11"/>
      <c r="F30" s="28">
        <f>Source!AO25</f>
        <v>17.86</v>
      </c>
      <c r="G30" s="29" t="str">
        <f>Source!DG25</f>
        <v/>
      </c>
      <c r="H30" s="28">
        <f>ROUND(Source!AF25*Source!I25, 2)</f>
        <v>232.18</v>
      </c>
      <c r="I30" s="29"/>
      <c r="J30" s="29">
        <f>IF(Source!BA25&lt;&gt; 0, Source!BA25, 1)</f>
        <v>6.48</v>
      </c>
      <c r="K30" s="28">
        <f>Source!S25</f>
        <v>1504.53</v>
      </c>
      <c r="L30" s="30"/>
      <c r="R30">
        <f>H30</f>
        <v>232.18</v>
      </c>
    </row>
    <row r="31" spans="1:26" ht="14.25" x14ac:dyDescent="0.2">
      <c r="A31" s="43"/>
      <c r="B31" s="44"/>
      <c r="C31" s="44" t="s">
        <v>406</v>
      </c>
      <c r="D31" s="27" t="s">
        <v>407</v>
      </c>
      <c r="E31" s="11">
        <f>Source!BZ25</f>
        <v>74</v>
      </c>
      <c r="F31" s="47"/>
      <c r="G31" s="29"/>
      <c r="H31" s="28">
        <f>SUM(S29:S33)</f>
        <v>171.81</v>
      </c>
      <c r="I31" s="31"/>
      <c r="J31" s="25">
        <f>Source!AT25</f>
        <v>74</v>
      </c>
      <c r="K31" s="28">
        <f>SUM(T29:T33)</f>
        <v>1113.3499999999999</v>
      </c>
      <c r="L31" s="30"/>
    </row>
    <row r="32" spans="1:26" ht="14.25" x14ac:dyDescent="0.2">
      <c r="A32" s="43"/>
      <c r="B32" s="44"/>
      <c r="C32" s="44" t="s">
        <v>408</v>
      </c>
      <c r="D32" s="27" t="s">
        <v>407</v>
      </c>
      <c r="E32" s="11">
        <f>Source!CA25</f>
        <v>50</v>
      </c>
      <c r="F32" s="47"/>
      <c r="G32" s="29"/>
      <c r="H32" s="28">
        <f>SUM(U29:U33)</f>
        <v>116.09</v>
      </c>
      <c r="I32" s="31"/>
      <c r="J32" s="25">
        <f>Source!AU25</f>
        <v>50</v>
      </c>
      <c r="K32" s="28">
        <f>SUM(V29:V33)</f>
        <v>752.27</v>
      </c>
      <c r="L32" s="30"/>
    </row>
    <row r="33" spans="1:26" ht="14.25" x14ac:dyDescent="0.2">
      <c r="A33" s="45"/>
      <c r="B33" s="46"/>
      <c r="C33" s="46" t="s">
        <v>409</v>
      </c>
      <c r="D33" s="32" t="s">
        <v>410</v>
      </c>
      <c r="E33" s="33">
        <f>Source!AQ25</f>
        <v>2.27</v>
      </c>
      <c r="F33" s="34"/>
      <c r="G33" s="35" t="str">
        <f>Source!DI25</f>
        <v/>
      </c>
      <c r="H33" s="34"/>
      <c r="I33" s="35"/>
      <c r="J33" s="35"/>
      <c r="K33" s="34"/>
      <c r="L33" s="36">
        <f>Source!U25</f>
        <v>29.51</v>
      </c>
    </row>
    <row r="34" spans="1:26" ht="15" x14ac:dyDescent="0.25">
      <c r="G34" s="68">
        <f>H30+H31+H32</f>
        <v>520.08000000000004</v>
      </c>
      <c r="H34" s="68"/>
      <c r="J34" s="68">
        <f>K30+K31+K32</f>
        <v>3370.15</v>
      </c>
      <c r="K34" s="68"/>
      <c r="L34" s="37">
        <f>Source!U25</f>
        <v>29.51</v>
      </c>
      <c r="O34" s="21">
        <f>G34</f>
        <v>520.08000000000004</v>
      </c>
      <c r="P34" s="21">
        <f>J34</f>
        <v>3370.15</v>
      </c>
      <c r="Q34" s="21">
        <f>L34</f>
        <v>29.51</v>
      </c>
      <c r="W34">
        <f>IF(Source!BI25&lt;=1,H30+H31+H32, 0)</f>
        <v>520.08000000000004</v>
      </c>
      <c r="X34">
        <f>IF(Source!BI25=2,H30+H31+H32, 0)</f>
        <v>0</v>
      </c>
      <c r="Y34">
        <f>IF(Source!BI25=3,H30+H31+H32, 0)</f>
        <v>0</v>
      </c>
      <c r="Z34">
        <f>IF(Source!BI25=4,H30+H31+H32, 0)</f>
        <v>0</v>
      </c>
    </row>
    <row r="35" spans="1:26" ht="28.5" x14ac:dyDescent="0.2">
      <c r="A35" s="43" t="str">
        <f>Source!E26</f>
        <v>3</v>
      </c>
      <c r="B35" s="44" t="str">
        <f>Source!F26</f>
        <v>23-04-011-01</v>
      </c>
      <c r="C35" s="44" t="str">
        <f>Source!G26</f>
        <v>Установка люка (без стоимости материала)</v>
      </c>
      <c r="D35" s="27" t="str">
        <f>Source!H26</f>
        <v>ШТ</v>
      </c>
      <c r="E35" s="11">
        <f>Source!I26</f>
        <v>13</v>
      </c>
      <c r="F35" s="28">
        <f>Source!AL26+Source!AM26+Source!AO26</f>
        <v>16.45</v>
      </c>
      <c r="G35" s="29"/>
      <c r="H35" s="28"/>
      <c r="I35" s="29" t="str">
        <f>Source!BO26</f>
        <v/>
      </c>
      <c r="J35" s="29"/>
      <c r="K35" s="28"/>
      <c r="L35" s="30"/>
      <c r="S35">
        <f>ROUND((Source!FX26/100)*((ROUND(Source!AF26*Source!I26, 2)+ROUND(Source!AE26*Source!I26, 2))), 2)</f>
        <v>213.4</v>
      </c>
      <c r="T35">
        <f>Source!X26</f>
        <v>1382.8</v>
      </c>
      <c r="U35">
        <f>ROUND((Source!FY26/100)*((ROUND(Source!AF26*Source!I26, 2)+ROUND(Source!AE26*Source!I26, 2))), 2)</f>
        <v>137.97999999999999</v>
      </c>
      <c r="V35">
        <f>Source!Y26</f>
        <v>898.23</v>
      </c>
    </row>
    <row r="36" spans="1:26" ht="14.25" x14ac:dyDescent="0.2">
      <c r="A36" s="43"/>
      <c r="B36" s="44"/>
      <c r="C36" s="44" t="s">
        <v>405</v>
      </c>
      <c r="D36" s="27"/>
      <c r="E36" s="11"/>
      <c r="F36" s="28">
        <f>Source!AO26</f>
        <v>11.32</v>
      </c>
      <c r="G36" s="29" t="str">
        <f>Source!DG26</f>
        <v>)*1,15</v>
      </c>
      <c r="H36" s="28">
        <f>ROUND(Source!AF26*Source!I26, 2)</f>
        <v>169.26</v>
      </c>
      <c r="I36" s="29"/>
      <c r="J36" s="29">
        <f>IF(Source!BA26&lt;&gt; 0, Source!BA26, 1)</f>
        <v>6.48</v>
      </c>
      <c r="K36" s="28">
        <f>Source!S26</f>
        <v>1096.8</v>
      </c>
      <c r="L36" s="30"/>
      <c r="R36">
        <f>H36</f>
        <v>169.26</v>
      </c>
    </row>
    <row r="37" spans="1:26" ht="14.25" x14ac:dyDescent="0.2">
      <c r="A37" s="43"/>
      <c r="B37" s="44"/>
      <c r="C37" s="44" t="s">
        <v>178</v>
      </c>
      <c r="D37" s="27"/>
      <c r="E37" s="11"/>
      <c r="F37" s="28">
        <f>Source!AM26</f>
        <v>4.5999999999999996</v>
      </c>
      <c r="G37" s="29" t="str">
        <f>Source!DE26</f>
        <v>)*1,25</v>
      </c>
      <c r="H37" s="28">
        <f>ROUND(Source!AD26*Source!I26, 2)</f>
        <v>74.75</v>
      </c>
      <c r="I37" s="29"/>
      <c r="J37" s="29">
        <f>IF(Source!BB26&lt;&gt; 0, Source!BB26, 1)</f>
        <v>6.48</v>
      </c>
      <c r="K37" s="28">
        <f>Source!Q26</f>
        <v>484.38</v>
      </c>
      <c r="L37" s="30"/>
    </row>
    <row r="38" spans="1:26" ht="14.25" x14ac:dyDescent="0.2">
      <c r="A38" s="43"/>
      <c r="B38" s="44"/>
      <c r="C38" s="44" t="s">
        <v>411</v>
      </c>
      <c r="D38" s="27"/>
      <c r="E38" s="11"/>
      <c r="F38" s="28">
        <f>Source!AN26</f>
        <v>0.81</v>
      </c>
      <c r="G38" s="29" t="str">
        <f>Source!DF26</f>
        <v>)*1,25</v>
      </c>
      <c r="H38" s="38">
        <f>ROUND(Source!AE26*Source!I26, 2)</f>
        <v>13.13</v>
      </c>
      <c r="I38" s="29"/>
      <c r="J38" s="29">
        <f>IF(Source!BS26&lt;&gt; 0, Source!BS26, 1)</f>
        <v>6.48</v>
      </c>
      <c r="K38" s="38">
        <f>Source!R26</f>
        <v>85.08</v>
      </c>
      <c r="L38" s="30"/>
      <c r="R38">
        <f>H38</f>
        <v>13.13</v>
      </c>
    </row>
    <row r="39" spans="1:26" ht="14.25" x14ac:dyDescent="0.2">
      <c r="A39" s="43"/>
      <c r="B39" s="44"/>
      <c r="C39" s="44" t="s">
        <v>412</v>
      </c>
      <c r="D39" s="27"/>
      <c r="E39" s="11"/>
      <c r="F39" s="28">
        <f>Source!AL26</f>
        <v>0.53</v>
      </c>
      <c r="G39" s="29" t="str">
        <f>Source!DD26</f>
        <v/>
      </c>
      <c r="H39" s="28">
        <f>ROUND(Source!AC26*Source!I26, 2)</f>
        <v>6.89</v>
      </c>
      <c r="I39" s="29"/>
      <c r="J39" s="29">
        <f>IF(Source!BC26&lt;&gt; 0, Source!BC26, 1)</f>
        <v>6.48</v>
      </c>
      <c r="K39" s="28">
        <f>Source!P26</f>
        <v>44.65</v>
      </c>
      <c r="L39" s="30"/>
    </row>
    <row r="40" spans="1:26" ht="14.25" x14ac:dyDescent="0.2">
      <c r="A40" s="43"/>
      <c r="B40" s="44"/>
      <c r="C40" s="44" t="s">
        <v>406</v>
      </c>
      <c r="D40" s="27" t="s">
        <v>407</v>
      </c>
      <c r="E40" s="11">
        <f>Source!BZ26</f>
        <v>130</v>
      </c>
      <c r="F40" s="66" t="str">
        <f>CONCATENATE(" )", Source!DL26, Source!FT26, "=", Source!FX26)</f>
        <v xml:space="preserve"> )*0,9=117</v>
      </c>
      <c r="G40" s="67"/>
      <c r="H40" s="28">
        <f>SUM(S35:S42)</f>
        <v>213.4</v>
      </c>
      <c r="I40" s="31"/>
      <c r="J40" s="25">
        <f>Source!AT26</f>
        <v>117</v>
      </c>
      <c r="K40" s="28">
        <f>SUM(T35:T42)</f>
        <v>1382.8</v>
      </c>
      <c r="L40" s="30"/>
    </row>
    <row r="41" spans="1:26" ht="14.25" x14ac:dyDescent="0.2">
      <c r="A41" s="43"/>
      <c r="B41" s="44"/>
      <c r="C41" s="44" t="s">
        <v>408</v>
      </c>
      <c r="D41" s="27" t="s">
        <v>407</v>
      </c>
      <c r="E41" s="11">
        <f>Source!CA26</f>
        <v>89</v>
      </c>
      <c r="F41" s="66" t="str">
        <f>CONCATENATE(" )", Source!DM26, Source!FU26, "=", Source!FY26)</f>
        <v xml:space="preserve"> )*0,85=75,65</v>
      </c>
      <c r="G41" s="67"/>
      <c r="H41" s="28">
        <f>SUM(U35:U42)</f>
        <v>137.97999999999999</v>
      </c>
      <c r="I41" s="31"/>
      <c r="J41" s="25">
        <f>Source!AU26</f>
        <v>76</v>
      </c>
      <c r="K41" s="28">
        <f>SUM(V35:V42)</f>
        <v>898.23</v>
      </c>
      <c r="L41" s="30"/>
    </row>
    <row r="42" spans="1:26" ht="14.25" x14ac:dyDescent="0.2">
      <c r="A42" s="45"/>
      <c r="B42" s="46"/>
      <c r="C42" s="46" t="s">
        <v>409</v>
      </c>
      <c r="D42" s="32" t="s">
        <v>410</v>
      </c>
      <c r="E42" s="33">
        <f>Source!AQ26</f>
        <v>1.31</v>
      </c>
      <c r="F42" s="34"/>
      <c r="G42" s="35" t="str">
        <f>Source!DI26</f>
        <v>)*1,15</v>
      </c>
      <c r="H42" s="34"/>
      <c r="I42" s="35"/>
      <c r="J42" s="35"/>
      <c r="K42" s="34"/>
      <c r="L42" s="36">
        <f>Source!U26</f>
        <v>19.584499999999998</v>
      </c>
    </row>
    <row r="43" spans="1:26" ht="15" x14ac:dyDescent="0.25">
      <c r="G43" s="68">
        <f>H36+H37+H39+H40+H41</f>
        <v>602.28</v>
      </c>
      <c r="H43" s="68"/>
      <c r="J43" s="68">
        <f>K36+K37+K39+K40+K41</f>
        <v>3906.86</v>
      </c>
      <c r="K43" s="68"/>
      <c r="L43" s="37">
        <f>Source!U26</f>
        <v>19.584499999999998</v>
      </c>
      <c r="O43" s="21">
        <f>G43</f>
        <v>602.28</v>
      </c>
      <c r="P43" s="21">
        <f>J43</f>
        <v>3906.86</v>
      </c>
      <c r="Q43" s="21">
        <f>L43</f>
        <v>19.584499999999998</v>
      </c>
      <c r="W43">
        <f>IF(Source!BI26&lt;=1,H36+H37+H39+H40+H41, 0)</f>
        <v>602.28</v>
      </c>
      <c r="X43">
        <f>IF(Source!BI26=2,H36+H37+H39+H40+H41, 0)</f>
        <v>0</v>
      </c>
      <c r="Y43">
        <f>IF(Source!BI26=3,H36+H37+H39+H40+H41, 0)</f>
        <v>0</v>
      </c>
      <c r="Z43">
        <f>IF(Source!BI26=4,H36+H37+H39+H40+H41, 0)</f>
        <v>0</v>
      </c>
    </row>
    <row r="44" spans="1:26" ht="14.25" x14ac:dyDescent="0.2">
      <c r="A44" s="43" t="str">
        <f>Source!E27</f>
        <v>4</v>
      </c>
      <c r="B44" s="44" t="str">
        <f>Source!F27</f>
        <v>65-5-8</v>
      </c>
      <c r="C44" s="44" t="str">
        <f>Source!G27</f>
        <v>Смена задвижек диаметром 50 мм</v>
      </c>
      <c r="D44" s="27" t="str">
        <f>Source!H27</f>
        <v>100 ШТ</v>
      </c>
      <c r="E44" s="11">
        <f>Source!I27</f>
        <v>0.04</v>
      </c>
      <c r="F44" s="28">
        <f>Source!AL27+Source!AM27+Source!AO27</f>
        <v>5080.2999999999993</v>
      </c>
      <c r="G44" s="29"/>
      <c r="H44" s="28"/>
      <c r="I44" s="29" t="str">
        <f>Source!BO27</f>
        <v/>
      </c>
      <c r="J44" s="29"/>
      <c r="K44" s="28"/>
      <c r="L44" s="30"/>
      <c r="S44">
        <f>ROUND((Source!FX27/100)*((ROUND(Source!AF27*Source!I27, 2)+ROUND(Source!AE27*Source!I27, 2))), 2)</f>
        <v>115.85</v>
      </c>
      <c r="T44">
        <f>Source!X27</f>
        <v>750.77</v>
      </c>
      <c r="U44">
        <f>ROUND((Source!FY27/100)*((ROUND(Source!AF27*Source!I27, 2)+ROUND(Source!AE27*Source!I27, 2))), 2)</f>
        <v>67.489999999999995</v>
      </c>
      <c r="V44">
        <f>Source!Y27</f>
        <v>437.34</v>
      </c>
    </row>
    <row r="45" spans="1:26" ht="14.25" x14ac:dyDescent="0.2">
      <c r="A45" s="43"/>
      <c r="B45" s="44"/>
      <c r="C45" s="44" t="s">
        <v>405</v>
      </c>
      <c r="D45" s="27"/>
      <c r="E45" s="11"/>
      <c r="F45" s="28">
        <f>Source!AO27</f>
        <v>2793.56</v>
      </c>
      <c r="G45" s="29" t="str">
        <f>Source!DG27</f>
        <v/>
      </c>
      <c r="H45" s="28">
        <f>ROUND(Source!AF27*Source!I27, 2)</f>
        <v>111.74</v>
      </c>
      <c r="I45" s="29"/>
      <c r="J45" s="29">
        <f>IF(Source!BA27&lt;&gt; 0, Source!BA27, 1)</f>
        <v>6.48</v>
      </c>
      <c r="K45" s="28">
        <f>Source!S27</f>
        <v>724.09</v>
      </c>
      <c r="L45" s="30"/>
      <c r="R45">
        <f>H45</f>
        <v>111.74</v>
      </c>
    </row>
    <row r="46" spans="1:26" ht="14.25" x14ac:dyDescent="0.2">
      <c r="A46" s="43"/>
      <c r="B46" s="44"/>
      <c r="C46" s="44" t="s">
        <v>178</v>
      </c>
      <c r="D46" s="27"/>
      <c r="E46" s="11"/>
      <c r="F46" s="28">
        <f>Source!AM27</f>
        <v>105.14</v>
      </c>
      <c r="G46" s="29" t="str">
        <f>Source!DE27</f>
        <v/>
      </c>
      <c r="H46" s="28">
        <f>ROUND(Source!AD27*Source!I27, 2)</f>
        <v>4.21</v>
      </c>
      <c r="I46" s="29"/>
      <c r="J46" s="29">
        <f>IF(Source!BB27&lt;&gt; 0, Source!BB27, 1)</f>
        <v>6.48</v>
      </c>
      <c r="K46" s="28">
        <f>Source!Q27</f>
        <v>27.25</v>
      </c>
      <c r="L46" s="30"/>
    </row>
    <row r="47" spans="1:26" ht="14.25" x14ac:dyDescent="0.2">
      <c r="A47" s="43"/>
      <c r="B47" s="44"/>
      <c r="C47" s="44" t="s">
        <v>411</v>
      </c>
      <c r="D47" s="27"/>
      <c r="E47" s="11"/>
      <c r="F47" s="28">
        <f>Source!AN27</f>
        <v>18.559999999999999</v>
      </c>
      <c r="G47" s="29" t="str">
        <f>Source!DF27</f>
        <v/>
      </c>
      <c r="H47" s="38">
        <f>ROUND(Source!AE27*Source!I27, 2)</f>
        <v>0.74</v>
      </c>
      <c r="I47" s="29"/>
      <c r="J47" s="29">
        <f>IF(Source!BS27&lt;&gt; 0, Source!BS27, 1)</f>
        <v>6.48</v>
      </c>
      <c r="K47" s="38">
        <f>Source!R27</f>
        <v>4.8099999999999996</v>
      </c>
      <c r="L47" s="30"/>
      <c r="R47">
        <f>H47</f>
        <v>0.74</v>
      </c>
    </row>
    <row r="48" spans="1:26" ht="14.25" x14ac:dyDescent="0.2">
      <c r="A48" s="43"/>
      <c r="B48" s="44"/>
      <c r="C48" s="44" t="s">
        <v>412</v>
      </c>
      <c r="D48" s="27"/>
      <c r="E48" s="11"/>
      <c r="F48" s="28">
        <f>Source!AL27</f>
        <v>2181.6</v>
      </c>
      <c r="G48" s="29" t="str">
        <f>Source!DD27</f>
        <v/>
      </c>
      <c r="H48" s="28">
        <f>ROUND(Source!AC27*Source!I27, 2)</f>
        <v>87.26</v>
      </c>
      <c r="I48" s="29"/>
      <c r="J48" s="29">
        <f>IF(Source!BC27&lt;&gt; 0, Source!BC27, 1)</f>
        <v>6.48</v>
      </c>
      <c r="K48" s="28">
        <f>Source!P27</f>
        <v>565.47</v>
      </c>
      <c r="L48" s="30"/>
    </row>
    <row r="49" spans="1:26" ht="14.25" x14ac:dyDescent="0.2">
      <c r="A49" s="43"/>
      <c r="B49" s="44"/>
      <c r="C49" s="44" t="s">
        <v>406</v>
      </c>
      <c r="D49" s="27" t="s">
        <v>407</v>
      </c>
      <c r="E49" s="11">
        <f>Source!BZ27</f>
        <v>103</v>
      </c>
      <c r="F49" s="47"/>
      <c r="G49" s="29"/>
      <c r="H49" s="28">
        <f>SUM(S44:S52)</f>
        <v>115.85</v>
      </c>
      <c r="I49" s="31"/>
      <c r="J49" s="25">
        <f>Source!AT27</f>
        <v>103</v>
      </c>
      <c r="K49" s="28">
        <f>SUM(T44:T52)</f>
        <v>750.77</v>
      </c>
      <c r="L49" s="30"/>
    </row>
    <row r="50" spans="1:26" ht="14.25" x14ac:dyDescent="0.2">
      <c r="A50" s="43"/>
      <c r="B50" s="44"/>
      <c r="C50" s="44" t="s">
        <v>408</v>
      </c>
      <c r="D50" s="27" t="s">
        <v>407</v>
      </c>
      <c r="E50" s="11">
        <f>Source!CA27</f>
        <v>60</v>
      </c>
      <c r="F50" s="47"/>
      <c r="G50" s="29"/>
      <c r="H50" s="28">
        <f>SUM(U44:U52)</f>
        <v>67.489999999999995</v>
      </c>
      <c r="I50" s="31"/>
      <c r="J50" s="25">
        <f>Source!AU27</f>
        <v>60</v>
      </c>
      <c r="K50" s="28">
        <f>SUM(V44:V52)</f>
        <v>437.34</v>
      </c>
      <c r="L50" s="30"/>
    </row>
    <row r="51" spans="1:26" ht="14.25" x14ac:dyDescent="0.2">
      <c r="A51" s="43"/>
      <c r="B51" s="44"/>
      <c r="C51" s="44" t="s">
        <v>409</v>
      </c>
      <c r="D51" s="27" t="s">
        <v>410</v>
      </c>
      <c r="E51" s="11">
        <f>Source!AQ27</f>
        <v>308</v>
      </c>
      <c r="F51" s="28"/>
      <c r="G51" s="29" t="str">
        <f>Source!DI27</f>
        <v/>
      </c>
      <c r="H51" s="28"/>
      <c r="I51" s="29"/>
      <c r="J51" s="29"/>
      <c r="K51" s="28"/>
      <c r="L51" s="39">
        <f>Source!U27</f>
        <v>12.32</v>
      </c>
    </row>
    <row r="52" spans="1:26" ht="85.5" x14ac:dyDescent="0.2">
      <c r="A52" s="45" t="str">
        <f>Source!E28</f>
        <v>4,1</v>
      </c>
      <c r="B52" s="46" t="str">
        <f>Source!F28</f>
        <v>18.1.02.01-0051</v>
      </c>
      <c r="C52" s="46" t="str">
        <f>Source!G28</f>
        <v>Задвижки клиновые с выдвижным шпинделем фланцевые для воды, пара и неагрессивных нефтепродуктов (жидких и газообразных) давлением 1 МПа (10 кгс/см2) 30с42нж диаметром 50 мм</v>
      </c>
      <c r="D52" s="32" t="str">
        <f>Source!H28</f>
        <v>шт.</v>
      </c>
      <c r="E52" s="33">
        <f>Source!I28</f>
        <v>4</v>
      </c>
      <c r="F52" s="34">
        <f>Source!AL28+Source!AM28+Source!AO28</f>
        <v>594.34</v>
      </c>
      <c r="G52" s="40" t="s">
        <v>3</v>
      </c>
      <c r="H52" s="34">
        <f>ROUND(Source!AC28*Source!I28, 2)+ROUND(Source!AD28*Source!I28, 2)+ROUND(Source!AF28*Source!I28, 2)</f>
        <v>2377.36</v>
      </c>
      <c r="I52" s="35"/>
      <c r="J52" s="35">
        <f>IF(Source!BC28&lt;&gt; 0, Source!BC28, 1)</f>
        <v>6.48</v>
      </c>
      <c r="K52" s="34">
        <f>Source!O28</f>
        <v>15405.29</v>
      </c>
      <c r="L52" s="41"/>
      <c r="S52">
        <f>ROUND((Source!FX28/100)*((ROUND(Source!AF28*Source!I28, 2)+ROUND(Source!AE28*Source!I28, 2))), 2)</f>
        <v>0</v>
      </c>
      <c r="T52">
        <f>Source!X28</f>
        <v>0</v>
      </c>
      <c r="U52">
        <f>ROUND((Source!FY28/100)*((ROUND(Source!AF28*Source!I28, 2)+ROUND(Source!AE28*Source!I28, 2))), 2)</f>
        <v>0</v>
      </c>
      <c r="V52">
        <f>Source!Y28</f>
        <v>0</v>
      </c>
      <c r="W52">
        <f>IF(Source!BI28&lt;=1,H52, 0)</f>
        <v>2377.36</v>
      </c>
      <c r="X52">
        <f>IF(Source!BI28=2,H52, 0)</f>
        <v>0</v>
      </c>
      <c r="Y52">
        <f>IF(Source!BI28=3,H52, 0)</f>
        <v>0</v>
      </c>
      <c r="Z52">
        <f>IF(Source!BI28=4,H52, 0)</f>
        <v>0</v>
      </c>
    </row>
    <row r="53" spans="1:26" ht="15" x14ac:dyDescent="0.25">
      <c r="G53" s="68">
        <f>H45+H46+H48+H49+H50+SUM(H52:H52)</f>
        <v>2763.91</v>
      </c>
      <c r="H53" s="68"/>
      <c r="J53" s="68">
        <f>K45+K46+K48+K49+K50+SUM(K52:K52)</f>
        <v>17910.21</v>
      </c>
      <c r="K53" s="68"/>
      <c r="L53" s="37">
        <f>Source!U27</f>
        <v>12.32</v>
      </c>
      <c r="O53" s="21">
        <f>G53</f>
        <v>2763.91</v>
      </c>
      <c r="P53" s="21">
        <f>J53</f>
        <v>17910.21</v>
      </c>
      <c r="Q53" s="21">
        <f>L53</f>
        <v>12.32</v>
      </c>
      <c r="W53">
        <f>IF(Source!BI27&lt;=1,H45+H46+H48+H49+H50, 0)</f>
        <v>386.54999999999995</v>
      </c>
      <c r="X53">
        <f>IF(Source!BI27=2,H45+H46+H48+H49+H50, 0)</f>
        <v>0</v>
      </c>
      <c r="Y53">
        <f>IF(Source!BI27=3,H45+H46+H48+H49+H50, 0)</f>
        <v>0</v>
      </c>
      <c r="Z53">
        <f>IF(Source!BI27=4,H45+H46+H48+H49+H50, 0)</f>
        <v>0</v>
      </c>
    </row>
    <row r="54" spans="1:26" ht="14.25" x14ac:dyDescent="0.2">
      <c r="A54" s="43" t="str">
        <f>Source!E29</f>
        <v>5</v>
      </c>
      <c r="B54" s="44" t="str">
        <f>Source!F29</f>
        <v>65-5-9</v>
      </c>
      <c r="C54" s="44" t="str">
        <f>Source!G29</f>
        <v>Смена задвижек диаметром 100 мм</v>
      </c>
      <c r="D54" s="27" t="str">
        <f>Source!H29</f>
        <v>100 ШТ</v>
      </c>
      <c r="E54" s="11">
        <f>Source!I29</f>
        <v>0.11</v>
      </c>
      <c r="F54" s="28">
        <f>Source!AL29+Source!AM29+Source!AO29</f>
        <v>8081.12</v>
      </c>
      <c r="G54" s="29"/>
      <c r="H54" s="28"/>
      <c r="I54" s="29" t="str">
        <f>Source!BO29</f>
        <v/>
      </c>
      <c r="J54" s="29"/>
      <c r="K54" s="28"/>
      <c r="L54" s="30"/>
      <c r="S54">
        <f>ROUND((Source!FX29/100)*((ROUND(Source!AF29*Source!I29, 2)+ROUND(Source!AE29*Source!I29, 2))), 2)</f>
        <v>439.18</v>
      </c>
      <c r="T54">
        <f>Source!X29</f>
        <v>2845.89</v>
      </c>
      <c r="U54">
        <f>ROUND((Source!FY29/100)*((ROUND(Source!AF29*Source!I29, 2)+ROUND(Source!AE29*Source!I29, 2))), 2)</f>
        <v>255.83</v>
      </c>
      <c r="V54">
        <f>Source!Y29</f>
        <v>1657.8</v>
      </c>
    </row>
    <row r="55" spans="1:26" ht="14.25" x14ac:dyDescent="0.2">
      <c r="A55" s="43"/>
      <c r="B55" s="44"/>
      <c r="C55" s="44" t="s">
        <v>405</v>
      </c>
      <c r="D55" s="27"/>
      <c r="E55" s="11"/>
      <c r="F55" s="28">
        <f>Source!AO29</f>
        <v>3827.54</v>
      </c>
      <c r="G55" s="29" t="str">
        <f>Source!DG29</f>
        <v/>
      </c>
      <c r="H55" s="28">
        <f>ROUND(Source!AF29*Source!I29, 2)</f>
        <v>421.03</v>
      </c>
      <c r="I55" s="29"/>
      <c r="J55" s="29">
        <f>IF(Source!BA29&lt;&gt; 0, Source!BA29, 1)</f>
        <v>6.48</v>
      </c>
      <c r="K55" s="28">
        <f>Source!S29</f>
        <v>2728.27</v>
      </c>
      <c r="L55" s="30"/>
      <c r="R55">
        <f>H55</f>
        <v>421.03</v>
      </c>
    </row>
    <row r="56" spans="1:26" ht="14.25" x14ac:dyDescent="0.2">
      <c r="A56" s="43"/>
      <c r="B56" s="44"/>
      <c r="C56" s="44" t="s">
        <v>178</v>
      </c>
      <c r="D56" s="27"/>
      <c r="E56" s="11"/>
      <c r="F56" s="28">
        <f>Source!AM29</f>
        <v>275.98</v>
      </c>
      <c r="G56" s="29" t="str">
        <f>Source!DE29</f>
        <v/>
      </c>
      <c r="H56" s="28">
        <f>ROUND(Source!AD29*Source!I29, 2)</f>
        <v>30.36</v>
      </c>
      <c r="I56" s="29"/>
      <c r="J56" s="29">
        <f>IF(Source!BB29&lt;&gt; 0, Source!BB29, 1)</f>
        <v>6.48</v>
      </c>
      <c r="K56" s="28">
        <f>Source!Q29</f>
        <v>196.72</v>
      </c>
      <c r="L56" s="30"/>
    </row>
    <row r="57" spans="1:26" ht="14.25" x14ac:dyDescent="0.2">
      <c r="A57" s="43"/>
      <c r="B57" s="44"/>
      <c r="C57" s="44" t="s">
        <v>411</v>
      </c>
      <c r="D57" s="27"/>
      <c r="E57" s="11"/>
      <c r="F57" s="28">
        <f>Source!AN29</f>
        <v>48.72</v>
      </c>
      <c r="G57" s="29" t="str">
        <f>Source!DF29</f>
        <v/>
      </c>
      <c r="H57" s="38">
        <f>ROUND(Source!AE29*Source!I29, 2)</f>
        <v>5.36</v>
      </c>
      <c r="I57" s="29"/>
      <c r="J57" s="29">
        <f>IF(Source!BS29&lt;&gt; 0, Source!BS29, 1)</f>
        <v>6.48</v>
      </c>
      <c r="K57" s="38">
        <f>Source!R29</f>
        <v>34.729999999999997</v>
      </c>
      <c r="L57" s="30"/>
      <c r="R57">
        <f>H57</f>
        <v>5.36</v>
      </c>
    </row>
    <row r="58" spans="1:26" ht="14.25" x14ac:dyDescent="0.2">
      <c r="A58" s="43"/>
      <c r="B58" s="44"/>
      <c r="C58" s="44" t="s">
        <v>412</v>
      </c>
      <c r="D58" s="27"/>
      <c r="E58" s="11"/>
      <c r="F58" s="28">
        <f>Source!AL29</f>
        <v>3977.6</v>
      </c>
      <c r="G58" s="29" t="str">
        <f>Source!DD29</f>
        <v/>
      </c>
      <c r="H58" s="28">
        <f>ROUND(Source!AC29*Source!I29, 2)</f>
        <v>437.54</v>
      </c>
      <c r="I58" s="29"/>
      <c r="J58" s="29">
        <f>IF(Source!BC29&lt;&gt; 0, Source!BC29, 1)</f>
        <v>6.48</v>
      </c>
      <c r="K58" s="28">
        <f>Source!P29</f>
        <v>2835.23</v>
      </c>
      <c r="L58" s="30"/>
    </row>
    <row r="59" spans="1:26" ht="14.25" x14ac:dyDescent="0.2">
      <c r="A59" s="43"/>
      <c r="B59" s="44"/>
      <c r="C59" s="44" t="s">
        <v>406</v>
      </c>
      <c r="D59" s="27" t="s">
        <v>407</v>
      </c>
      <c r="E59" s="11">
        <f>Source!BZ29</f>
        <v>103</v>
      </c>
      <c r="F59" s="47"/>
      <c r="G59" s="29"/>
      <c r="H59" s="28">
        <f>SUM(S54:S62)</f>
        <v>439.18</v>
      </c>
      <c r="I59" s="31"/>
      <c r="J59" s="25">
        <f>Source!AT29</f>
        <v>103</v>
      </c>
      <c r="K59" s="28">
        <f>SUM(T54:T62)</f>
        <v>2845.89</v>
      </c>
      <c r="L59" s="30"/>
    </row>
    <row r="60" spans="1:26" ht="14.25" x14ac:dyDescent="0.2">
      <c r="A60" s="43"/>
      <c r="B60" s="44"/>
      <c r="C60" s="44" t="s">
        <v>408</v>
      </c>
      <c r="D60" s="27" t="s">
        <v>407</v>
      </c>
      <c r="E60" s="11">
        <f>Source!CA29</f>
        <v>60</v>
      </c>
      <c r="F60" s="47"/>
      <c r="G60" s="29"/>
      <c r="H60" s="28">
        <f>SUM(U54:U62)</f>
        <v>255.83</v>
      </c>
      <c r="I60" s="31"/>
      <c r="J60" s="25">
        <f>Source!AU29</f>
        <v>60</v>
      </c>
      <c r="K60" s="28">
        <f>SUM(V54:V62)</f>
        <v>1657.8</v>
      </c>
      <c r="L60" s="30"/>
    </row>
    <row r="61" spans="1:26" ht="14.25" x14ac:dyDescent="0.2">
      <c r="A61" s="43"/>
      <c r="B61" s="44"/>
      <c r="C61" s="44" t="s">
        <v>409</v>
      </c>
      <c r="D61" s="27" t="s">
        <v>410</v>
      </c>
      <c r="E61" s="11">
        <f>Source!AQ29</f>
        <v>422</v>
      </c>
      <c r="F61" s="28"/>
      <c r="G61" s="29" t="str">
        <f>Source!DI29</f>
        <v/>
      </c>
      <c r="H61" s="28"/>
      <c r="I61" s="29"/>
      <c r="J61" s="29"/>
      <c r="K61" s="28"/>
      <c r="L61" s="39">
        <f>Source!U29</f>
        <v>46.42</v>
      </c>
    </row>
    <row r="62" spans="1:26" ht="85.5" x14ac:dyDescent="0.2">
      <c r="A62" s="45" t="str">
        <f>Source!E30</f>
        <v>5,1</v>
      </c>
      <c r="B62" s="46" t="str">
        <f>Source!F30</f>
        <v>18.1.02.01-0053</v>
      </c>
      <c r="C62" s="46" t="str">
        <f>Source!G30</f>
        <v>Задвижки клиновые с выдвижным шпинделем фланцевые для воды, пара и неагрессивных нефтепродуктов (жидких и газообразных) давлением 1 МПа (10 кгс/см2) 30с42нж диаметром 100 мм</v>
      </c>
      <c r="D62" s="32" t="str">
        <f>Source!H30</f>
        <v>шт.</v>
      </c>
      <c r="E62" s="33">
        <f>Source!I30</f>
        <v>11</v>
      </c>
      <c r="F62" s="34">
        <f>Source!AL30+Source!AM30+Source!AO30</f>
        <v>1061.33</v>
      </c>
      <c r="G62" s="40" t="s">
        <v>3</v>
      </c>
      <c r="H62" s="34">
        <f>ROUND(Source!AC30*Source!I30, 2)+ROUND(Source!AD30*Source!I30, 2)+ROUND(Source!AF30*Source!I30, 2)</f>
        <v>11674.63</v>
      </c>
      <c r="I62" s="35"/>
      <c r="J62" s="35">
        <f>IF(Source!BC30&lt;&gt; 0, Source!BC30, 1)</f>
        <v>6.48</v>
      </c>
      <c r="K62" s="34">
        <f>Source!O30</f>
        <v>75651.600000000006</v>
      </c>
      <c r="L62" s="41"/>
      <c r="S62">
        <f>ROUND((Source!FX30/100)*((ROUND(Source!AF30*Source!I30, 2)+ROUND(Source!AE30*Source!I30, 2))), 2)</f>
        <v>0</v>
      </c>
      <c r="T62">
        <f>Source!X30</f>
        <v>0</v>
      </c>
      <c r="U62">
        <f>ROUND((Source!FY30/100)*((ROUND(Source!AF30*Source!I30, 2)+ROUND(Source!AE30*Source!I30, 2))), 2)</f>
        <v>0</v>
      </c>
      <c r="V62">
        <f>Source!Y30</f>
        <v>0</v>
      </c>
      <c r="W62">
        <f>IF(Source!BI30&lt;=1,H62, 0)</f>
        <v>11674.63</v>
      </c>
      <c r="X62">
        <f>IF(Source!BI30=2,H62, 0)</f>
        <v>0</v>
      </c>
      <c r="Y62">
        <f>IF(Source!BI30=3,H62, 0)</f>
        <v>0</v>
      </c>
      <c r="Z62">
        <f>IF(Source!BI30=4,H62, 0)</f>
        <v>0</v>
      </c>
    </row>
    <row r="63" spans="1:26" ht="15" x14ac:dyDescent="0.25">
      <c r="G63" s="68">
        <f>H55+H56+H58+H59+H60+SUM(H62:H62)</f>
        <v>13258.57</v>
      </c>
      <c r="H63" s="68"/>
      <c r="J63" s="68">
        <f>K55+K56+K58+K59+K60+SUM(K62:K62)</f>
        <v>85915.510000000009</v>
      </c>
      <c r="K63" s="68"/>
      <c r="L63" s="37">
        <f>Source!U29</f>
        <v>46.42</v>
      </c>
      <c r="O63" s="21">
        <f>G63</f>
        <v>13258.57</v>
      </c>
      <c r="P63" s="21">
        <f>J63</f>
        <v>85915.510000000009</v>
      </c>
      <c r="Q63" s="21">
        <f>L63</f>
        <v>46.42</v>
      </c>
      <c r="W63">
        <f>IF(Source!BI29&lt;=1,H55+H56+H58+H59+H60, 0)</f>
        <v>1583.94</v>
      </c>
      <c r="X63">
        <f>IF(Source!BI29=2,H55+H56+H58+H59+H60, 0)</f>
        <v>0</v>
      </c>
      <c r="Y63">
        <f>IF(Source!BI29=3,H55+H56+H58+H59+H60, 0)</f>
        <v>0</v>
      </c>
      <c r="Z63">
        <f>IF(Source!BI29=4,H55+H56+H58+H59+H60, 0)</f>
        <v>0</v>
      </c>
    </row>
    <row r="64" spans="1:26" ht="14.25" x14ac:dyDescent="0.2">
      <c r="A64" s="43" t="str">
        <f>Source!E31</f>
        <v>6</v>
      </c>
      <c r="B64" s="44" t="str">
        <f>Source!F31</f>
        <v>65-5-10</v>
      </c>
      <c r="C64" s="44" t="str">
        <f>Source!G31</f>
        <v>Смена задвижек диаметром 150 мм</v>
      </c>
      <c r="D64" s="27" t="str">
        <f>Source!H31</f>
        <v>100 ШТ</v>
      </c>
      <c r="E64" s="11">
        <f>Source!I31</f>
        <v>0.08</v>
      </c>
      <c r="F64" s="28">
        <f>Source!AL31+Source!AM31+Source!AO31</f>
        <v>14313.15</v>
      </c>
      <c r="G64" s="29"/>
      <c r="H64" s="28"/>
      <c r="I64" s="29" t="str">
        <f>Source!BO31</f>
        <v/>
      </c>
      <c r="J64" s="29"/>
      <c r="K64" s="28"/>
      <c r="L64" s="30"/>
      <c r="S64">
        <f>ROUND((Source!FX31/100)*((ROUND(Source!AF31*Source!I31, 2)+ROUND(Source!AE31*Source!I31, 2))), 2)</f>
        <v>449.97</v>
      </c>
      <c r="T64">
        <f>Source!X31</f>
        <v>2915.72</v>
      </c>
      <c r="U64">
        <f>ROUND((Source!FY31/100)*((ROUND(Source!AF31*Source!I31, 2)+ROUND(Source!AE31*Source!I31, 2))), 2)</f>
        <v>262.12</v>
      </c>
      <c r="V64">
        <f>Source!Y31</f>
        <v>1698.48</v>
      </c>
    </row>
    <row r="65" spans="1:26" ht="14.25" x14ac:dyDescent="0.2">
      <c r="A65" s="43"/>
      <c r="B65" s="44"/>
      <c r="C65" s="44" t="s">
        <v>405</v>
      </c>
      <c r="D65" s="27"/>
      <c r="E65" s="11"/>
      <c r="F65" s="28">
        <f>Source!AO31</f>
        <v>5387.58</v>
      </c>
      <c r="G65" s="29" t="str">
        <f>Source!DG31</f>
        <v/>
      </c>
      <c r="H65" s="28">
        <f>ROUND(Source!AF31*Source!I31, 2)</f>
        <v>431.01</v>
      </c>
      <c r="I65" s="29"/>
      <c r="J65" s="29">
        <f>IF(Source!BA31&lt;&gt; 0, Source!BA31, 1)</f>
        <v>6.48</v>
      </c>
      <c r="K65" s="28">
        <f>Source!S31</f>
        <v>2792.92</v>
      </c>
      <c r="L65" s="30"/>
      <c r="R65">
        <f>H65</f>
        <v>431.01</v>
      </c>
    </row>
    <row r="66" spans="1:26" ht="14.25" x14ac:dyDescent="0.2">
      <c r="A66" s="43"/>
      <c r="B66" s="44"/>
      <c r="C66" s="44" t="s">
        <v>178</v>
      </c>
      <c r="D66" s="27"/>
      <c r="E66" s="11"/>
      <c r="F66" s="28">
        <f>Source!AM31</f>
        <v>413.97</v>
      </c>
      <c r="G66" s="29" t="str">
        <f>Source!DE31</f>
        <v/>
      </c>
      <c r="H66" s="28">
        <f>ROUND(Source!AD31*Source!I31, 2)</f>
        <v>33.119999999999997</v>
      </c>
      <c r="I66" s="29"/>
      <c r="J66" s="29">
        <f>IF(Source!BB31&lt;&gt; 0, Source!BB31, 1)</f>
        <v>6.48</v>
      </c>
      <c r="K66" s="28">
        <f>Source!Q31</f>
        <v>214.6</v>
      </c>
      <c r="L66" s="30"/>
    </row>
    <row r="67" spans="1:26" ht="14.25" x14ac:dyDescent="0.2">
      <c r="A67" s="43"/>
      <c r="B67" s="44"/>
      <c r="C67" s="44" t="s">
        <v>411</v>
      </c>
      <c r="D67" s="27"/>
      <c r="E67" s="11"/>
      <c r="F67" s="28">
        <f>Source!AN31</f>
        <v>73.08</v>
      </c>
      <c r="G67" s="29" t="str">
        <f>Source!DF31</f>
        <v/>
      </c>
      <c r="H67" s="38">
        <f>ROUND(Source!AE31*Source!I31, 2)</f>
        <v>5.85</v>
      </c>
      <c r="I67" s="29"/>
      <c r="J67" s="29">
        <f>IF(Source!BS31&lt;&gt; 0, Source!BS31, 1)</f>
        <v>6.48</v>
      </c>
      <c r="K67" s="38">
        <f>Source!R31</f>
        <v>37.880000000000003</v>
      </c>
      <c r="L67" s="30"/>
      <c r="R67">
        <f>H67</f>
        <v>5.85</v>
      </c>
    </row>
    <row r="68" spans="1:26" ht="14.25" x14ac:dyDescent="0.2">
      <c r="A68" s="43"/>
      <c r="B68" s="44"/>
      <c r="C68" s="44" t="s">
        <v>412</v>
      </c>
      <c r="D68" s="27"/>
      <c r="E68" s="11"/>
      <c r="F68" s="28">
        <f>Source!AL31</f>
        <v>8511.6</v>
      </c>
      <c r="G68" s="29" t="str">
        <f>Source!DD31</f>
        <v/>
      </c>
      <c r="H68" s="28">
        <f>ROUND(Source!AC31*Source!I31, 2)</f>
        <v>680.93</v>
      </c>
      <c r="I68" s="29"/>
      <c r="J68" s="29">
        <f>IF(Source!BC31&lt;&gt; 0, Source!BC31, 1)</f>
        <v>6.48</v>
      </c>
      <c r="K68" s="28">
        <f>Source!P31</f>
        <v>4412.41</v>
      </c>
      <c r="L68" s="30"/>
    </row>
    <row r="69" spans="1:26" ht="14.25" x14ac:dyDescent="0.2">
      <c r="A69" s="43"/>
      <c r="B69" s="44"/>
      <c r="C69" s="44" t="s">
        <v>406</v>
      </c>
      <c r="D69" s="27" t="s">
        <v>407</v>
      </c>
      <c r="E69" s="11">
        <f>Source!BZ31</f>
        <v>103</v>
      </c>
      <c r="F69" s="47"/>
      <c r="G69" s="29"/>
      <c r="H69" s="28">
        <f>SUM(S64:S72)</f>
        <v>449.97</v>
      </c>
      <c r="I69" s="31"/>
      <c r="J69" s="25">
        <f>Source!AT31</f>
        <v>103</v>
      </c>
      <c r="K69" s="28">
        <f>SUM(T64:T72)</f>
        <v>2915.72</v>
      </c>
      <c r="L69" s="30"/>
    </row>
    <row r="70" spans="1:26" ht="14.25" x14ac:dyDescent="0.2">
      <c r="A70" s="43"/>
      <c r="B70" s="44"/>
      <c r="C70" s="44" t="s">
        <v>408</v>
      </c>
      <c r="D70" s="27" t="s">
        <v>407</v>
      </c>
      <c r="E70" s="11">
        <f>Source!CA31</f>
        <v>60</v>
      </c>
      <c r="F70" s="47"/>
      <c r="G70" s="29"/>
      <c r="H70" s="28">
        <f>SUM(U64:U72)</f>
        <v>262.12</v>
      </c>
      <c r="I70" s="31"/>
      <c r="J70" s="25">
        <f>Source!AU31</f>
        <v>60</v>
      </c>
      <c r="K70" s="28">
        <f>SUM(V64:V72)</f>
        <v>1698.48</v>
      </c>
      <c r="L70" s="30"/>
    </row>
    <row r="71" spans="1:26" ht="14.25" x14ac:dyDescent="0.2">
      <c r="A71" s="43"/>
      <c r="B71" s="44"/>
      <c r="C71" s="44" t="s">
        <v>409</v>
      </c>
      <c r="D71" s="27" t="s">
        <v>410</v>
      </c>
      <c r="E71" s="11">
        <f>Source!AQ31</f>
        <v>594</v>
      </c>
      <c r="F71" s="28"/>
      <c r="G71" s="29" t="str">
        <f>Source!DI31</f>
        <v/>
      </c>
      <c r="H71" s="28"/>
      <c r="I71" s="29"/>
      <c r="J71" s="29"/>
      <c r="K71" s="28"/>
      <c r="L71" s="39">
        <f>Source!U31</f>
        <v>47.52</v>
      </c>
    </row>
    <row r="72" spans="1:26" ht="71.25" x14ac:dyDescent="0.2">
      <c r="A72" s="45" t="str">
        <f>Source!E32</f>
        <v>6,1</v>
      </c>
      <c r="B72" s="46" t="str">
        <f>Source!F32</f>
        <v>18.1.02.01-0104</v>
      </c>
      <c r="C72" s="46" t="str">
        <f>Source!G32</f>
        <v>Задвижки клиновые с выдвижным шпинделем фланцевые для воды, пара и нефтепродуктов давлением 1,6 МПа (16 кгс/см2) 30с941нж диаметром 150 мм</v>
      </c>
      <c r="D72" s="32" t="str">
        <f>Source!H32</f>
        <v>шт.</v>
      </c>
      <c r="E72" s="33">
        <f>Source!I32</f>
        <v>8</v>
      </c>
      <c r="F72" s="34">
        <f>Source!AL32+Source!AM32+Source!AO32</f>
        <v>3092.71</v>
      </c>
      <c r="G72" s="40" t="s">
        <v>3</v>
      </c>
      <c r="H72" s="34">
        <f>ROUND(Source!AC32*Source!I32, 2)+ROUND(Source!AD32*Source!I32, 2)+ROUND(Source!AF32*Source!I32, 2)</f>
        <v>24741.68</v>
      </c>
      <c r="I72" s="35"/>
      <c r="J72" s="35">
        <f>IF(Source!BC32&lt;&gt; 0, Source!BC32, 1)</f>
        <v>6.48</v>
      </c>
      <c r="K72" s="34">
        <f>Source!O32</f>
        <v>160326.09</v>
      </c>
      <c r="L72" s="41"/>
      <c r="S72">
        <f>ROUND((Source!FX32/100)*((ROUND(Source!AF32*Source!I32, 2)+ROUND(Source!AE32*Source!I32, 2))), 2)</f>
        <v>0</v>
      </c>
      <c r="T72">
        <f>Source!X32</f>
        <v>0</v>
      </c>
      <c r="U72">
        <f>ROUND((Source!FY32/100)*((ROUND(Source!AF32*Source!I32, 2)+ROUND(Source!AE32*Source!I32, 2))), 2)</f>
        <v>0</v>
      </c>
      <c r="V72">
        <f>Source!Y32</f>
        <v>0</v>
      </c>
      <c r="W72">
        <f>IF(Source!BI32&lt;=1,H72, 0)</f>
        <v>24741.68</v>
      </c>
      <c r="X72">
        <f>IF(Source!BI32=2,H72, 0)</f>
        <v>0</v>
      </c>
      <c r="Y72">
        <f>IF(Source!BI32=3,H72, 0)</f>
        <v>0</v>
      </c>
      <c r="Z72">
        <f>IF(Source!BI32=4,H72, 0)</f>
        <v>0</v>
      </c>
    </row>
    <row r="73" spans="1:26" ht="15" x14ac:dyDescent="0.25">
      <c r="G73" s="68">
        <f>H65+H66+H68+H69+H70+SUM(H72:H72)</f>
        <v>26598.83</v>
      </c>
      <c r="H73" s="68"/>
      <c r="J73" s="68">
        <f>K65+K66+K68+K69+K70+SUM(K72:K72)</f>
        <v>172360.22</v>
      </c>
      <c r="K73" s="68"/>
      <c r="L73" s="37">
        <f>Source!U31</f>
        <v>47.52</v>
      </c>
      <c r="O73" s="21">
        <f>G73</f>
        <v>26598.83</v>
      </c>
      <c r="P73" s="21">
        <f>J73</f>
        <v>172360.22</v>
      </c>
      <c r="Q73" s="21">
        <f>L73</f>
        <v>47.52</v>
      </c>
      <c r="W73">
        <f>IF(Source!BI31&lt;=1,H65+H66+H68+H69+H70, 0)</f>
        <v>1857.15</v>
      </c>
      <c r="X73">
        <f>IF(Source!BI31=2,H65+H66+H68+H69+H70, 0)</f>
        <v>0</v>
      </c>
      <c r="Y73">
        <f>IF(Source!BI31=3,H65+H66+H68+H69+H70, 0)</f>
        <v>0</v>
      </c>
      <c r="Z73">
        <f>IF(Source!BI31=4,H65+H66+H68+H69+H70, 0)</f>
        <v>0</v>
      </c>
    </row>
    <row r="74" spans="1:26" ht="28.5" x14ac:dyDescent="0.2">
      <c r="A74" s="43" t="str">
        <f>Source!E33</f>
        <v>7</v>
      </c>
      <c r="B74" s="44" t="str">
        <f>Source!F33</f>
        <v>65-3-14</v>
      </c>
      <c r="C74" s="44" t="str">
        <f>Source!G33</f>
        <v>Снятие задвижек диаметром до 200 мм (тепловой узел диам.200мм)</v>
      </c>
      <c r="D74" s="27" t="str">
        <f>Source!H33</f>
        <v>100 ШТ</v>
      </c>
      <c r="E74" s="11">
        <f>Source!I33</f>
        <v>0.05</v>
      </c>
      <c r="F74" s="28">
        <f>Source!AL33+Source!AM33+Source!AO33</f>
        <v>1343.04</v>
      </c>
      <c r="G74" s="29"/>
      <c r="H74" s="28"/>
      <c r="I74" s="29" t="str">
        <f>Source!BO33</f>
        <v/>
      </c>
      <c r="J74" s="29"/>
      <c r="K74" s="28"/>
      <c r="L74" s="30"/>
      <c r="S74">
        <f>ROUND((Source!FX33/100)*((ROUND(Source!AF33*Source!I33, 2)+ROUND(Source!AE33*Source!I33, 2))), 2)</f>
        <v>49.2</v>
      </c>
      <c r="T74">
        <f>Source!X33</f>
        <v>318.81</v>
      </c>
      <c r="U74">
        <f>ROUND((Source!FY33/100)*((ROUND(Source!AF33*Source!I33, 2)+ROUND(Source!AE33*Source!I33, 2))), 2)</f>
        <v>33.25</v>
      </c>
      <c r="V74">
        <f>Source!Y33</f>
        <v>215.42</v>
      </c>
    </row>
    <row r="75" spans="1:26" ht="14.25" x14ac:dyDescent="0.2">
      <c r="A75" s="43"/>
      <c r="B75" s="44"/>
      <c r="C75" s="44" t="s">
        <v>405</v>
      </c>
      <c r="D75" s="27"/>
      <c r="E75" s="11"/>
      <c r="F75" s="28">
        <f>Source!AO33</f>
        <v>1319.59</v>
      </c>
      <c r="G75" s="29" t="str">
        <f>Source!DG33</f>
        <v/>
      </c>
      <c r="H75" s="28">
        <f>ROUND(Source!AF33*Source!I33, 2)</f>
        <v>65.98</v>
      </c>
      <c r="I75" s="29"/>
      <c r="J75" s="29">
        <f>IF(Source!BA33&lt;&gt; 0, Source!BA33, 1)</f>
        <v>6.48</v>
      </c>
      <c r="K75" s="28">
        <f>Source!S33</f>
        <v>427.55</v>
      </c>
      <c r="L75" s="30"/>
      <c r="R75">
        <f>H75</f>
        <v>65.98</v>
      </c>
    </row>
    <row r="76" spans="1:26" ht="14.25" x14ac:dyDescent="0.2">
      <c r="A76" s="43"/>
      <c r="B76" s="44"/>
      <c r="C76" s="44" t="s">
        <v>178</v>
      </c>
      <c r="D76" s="27"/>
      <c r="E76" s="11"/>
      <c r="F76" s="28">
        <f>Source!AM33</f>
        <v>23.45</v>
      </c>
      <c r="G76" s="29" t="str">
        <f>Source!DE33</f>
        <v/>
      </c>
      <c r="H76" s="28">
        <f>ROUND(Source!AD33*Source!I33, 2)</f>
        <v>1.17</v>
      </c>
      <c r="I76" s="29"/>
      <c r="J76" s="29">
        <f>IF(Source!BB33&lt;&gt; 0, Source!BB33, 1)</f>
        <v>6.48</v>
      </c>
      <c r="K76" s="28">
        <f>Source!Q33</f>
        <v>7.6</v>
      </c>
      <c r="L76" s="30"/>
    </row>
    <row r="77" spans="1:26" ht="14.25" x14ac:dyDescent="0.2">
      <c r="A77" s="43"/>
      <c r="B77" s="44"/>
      <c r="C77" s="44" t="s">
        <v>411</v>
      </c>
      <c r="D77" s="27"/>
      <c r="E77" s="11"/>
      <c r="F77" s="28">
        <f>Source!AN33</f>
        <v>10.130000000000001</v>
      </c>
      <c r="G77" s="29" t="str">
        <f>Source!DF33</f>
        <v/>
      </c>
      <c r="H77" s="38">
        <f>ROUND(Source!AE33*Source!I33, 2)</f>
        <v>0.51</v>
      </c>
      <c r="I77" s="29"/>
      <c r="J77" s="29">
        <f>IF(Source!BS33&lt;&gt; 0, Source!BS33, 1)</f>
        <v>6.48</v>
      </c>
      <c r="K77" s="38">
        <f>Source!R33</f>
        <v>3.28</v>
      </c>
      <c r="L77" s="30"/>
      <c r="R77">
        <f>H77</f>
        <v>0.51</v>
      </c>
    </row>
    <row r="78" spans="1:26" ht="14.25" x14ac:dyDescent="0.2">
      <c r="A78" s="43"/>
      <c r="B78" s="44"/>
      <c r="C78" s="44" t="s">
        <v>406</v>
      </c>
      <c r="D78" s="27" t="s">
        <v>407</v>
      </c>
      <c r="E78" s="11">
        <f>Source!BZ33</f>
        <v>74</v>
      </c>
      <c r="F78" s="47"/>
      <c r="G78" s="29"/>
      <c r="H78" s="28">
        <f>SUM(S74:S80)</f>
        <v>49.2</v>
      </c>
      <c r="I78" s="31"/>
      <c r="J78" s="25">
        <f>Source!AT33</f>
        <v>74</v>
      </c>
      <c r="K78" s="28">
        <f>SUM(T74:T80)</f>
        <v>318.81</v>
      </c>
      <c r="L78" s="30"/>
    </row>
    <row r="79" spans="1:26" ht="14.25" x14ac:dyDescent="0.2">
      <c r="A79" s="43"/>
      <c r="B79" s="44"/>
      <c r="C79" s="44" t="s">
        <v>408</v>
      </c>
      <c r="D79" s="27" t="s">
        <v>407</v>
      </c>
      <c r="E79" s="11">
        <f>Source!CA33</f>
        <v>50</v>
      </c>
      <c r="F79" s="47"/>
      <c r="G79" s="29"/>
      <c r="H79" s="28">
        <f>SUM(U74:U80)</f>
        <v>33.25</v>
      </c>
      <c r="I79" s="31"/>
      <c r="J79" s="25">
        <f>Source!AU33</f>
        <v>50</v>
      </c>
      <c r="K79" s="28">
        <f>SUM(V74:V80)</f>
        <v>215.42</v>
      </c>
      <c r="L79" s="30"/>
    </row>
    <row r="80" spans="1:26" ht="14.25" x14ac:dyDescent="0.2">
      <c r="A80" s="45"/>
      <c r="B80" s="46"/>
      <c r="C80" s="46" t="s">
        <v>409</v>
      </c>
      <c r="D80" s="32" t="s">
        <v>410</v>
      </c>
      <c r="E80" s="33">
        <f>Source!AQ33</f>
        <v>154.69999999999999</v>
      </c>
      <c r="F80" s="34"/>
      <c r="G80" s="35" t="str">
        <f>Source!DI33</f>
        <v/>
      </c>
      <c r="H80" s="34"/>
      <c r="I80" s="35"/>
      <c r="J80" s="35"/>
      <c r="K80" s="34"/>
      <c r="L80" s="36">
        <f>Source!U33</f>
        <v>7.7349999999999994</v>
      </c>
    </row>
    <row r="81" spans="1:26" ht="15" x14ac:dyDescent="0.25">
      <c r="G81" s="68">
        <f>H75+H76+H78+H79</f>
        <v>149.60000000000002</v>
      </c>
      <c r="H81" s="68"/>
      <c r="J81" s="68">
        <f>K75+K76+K78+K79</f>
        <v>969.38</v>
      </c>
      <c r="K81" s="68"/>
      <c r="L81" s="37">
        <f>Source!U33</f>
        <v>7.7349999999999994</v>
      </c>
      <c r="O81" s="21">
        <f>G81</f>
        <v>149.60000000000002</v>
      </c>
      <c r="P81" s="21">
        <f>J81</f>
        <v>969.38</v>
      </c>
      <c r="Q81" s="21">
        <f>L81</f>
        <v>7.7349999999999994</v>
      </c>
      <c r="W81">
        <f>IF(Source!BI33&lt;=1,H75+H76+H78+H79, 0)</f>
        <v>149.60000000000002</v>
      </c>
      <c r="X81">
        <f>IF(Source!BI33=2,H75+H76+H78+H79, 0)</f>
        <v>0</v>
      </c>
      <c r="Y81">
        <f>IF(Source!BI33=3,H75+H76+H78+H79, 0)</f>
        <v>0</v>
      </c>
      <c r="Z81">
        <f>IF(Source!BI33=4,H75+H76+H78+H79, 0)</f>
        <v>0</v>
      </c>
    </row>
    <row r="82" spans="1:26" ht="28.5" x14ac:dyDescent="0.2">
      <c r="A82" s="43" t="str">
        <f>Source!E34</f>
        <v>8</v>
      </c>
      <c r="B82" s="44" t="str">
        <f>Source!F34</f>
        <v>65-3-13</v>
      </c>
      <c r="C82" s="44" t="str">
        <f>Source!G34</f>
        <v>Снятие задвижек диаметром до 100 мм (диам.80мм Тепловой узел)</v>
      </c>
      <c r="D82" s="27" t="str">
        <f>Source!H34</f>
        <v>100 ШТ</v>
      </c>
      <c r="E82" s="11">
        <f>Source!I34</f>
        <v>0.45</v>
      </c>
      <c r="F82" s="28">
        <f>Source!AL34+Source!AM34+Source!AO34</f>
        <v>820.73</v>
      </c>
      <c r="G82" s="29"/>
      <c r="H82" s="28"/>
      <c r="I82" s="29" t="str">
        <f>Source!BO34</f>
        <v/>
      </c>
      <c r="J82" s="29"/>
      <c r="K82" s="28"/>
      <c r="L82" s="30"/>
      <c r="S82">
        <f>ROUND((Source!FX34/100)*((ROUND(Source!AF34*Source!I34, 2)+ROUND(Source!AE34*Source!I34, 2))), 2)</f>
        <v>271.82</v>
      </c>
      <c r="T82">
        <f>Source!X34</f>
        <v>1761.43</v>
      </c>
      <c r="U82">
        <f>ROUND((Source!FY34/100)*((ROUND(Source!AF34*Source!I34, 2)+ROUND(Source!AE34*Source!I34, 2))), 2)</f>
        <v>183.67</v>
      </c>
      <c r="V82">
        <f>Source!Y34</f>
        <v>1190.1600000000001</v>
      </c>
    </row>
    <row r="83" spans="1:26" ht="14.25" x14ac:dyDescent="0.2">
      <c r="A83" s="43"/>
      <c r="B83" s="44"/>
      <c r="C83" s="44" t="s">
        <v>405</v>
      </c>
      <c r="D83" s="27"/>
      <c r="E83" s="11"/>
      <c r="F83" s="28">
        <f>Source!AO34</f>
        <v>812.91</v>
      </c>
      <c r="G83" s="29" t="str">
        <f>Source!DG34</f>
        <v/>
      </c>
      <c r="H83" s="28">
        <f>ROUND(Source!AF34*Source!I34, 2)</f>
        <v>365.81</v>
      </c>
      <c r="I83" s="29"/>
      <c r="J83" s="29">
        <f>IF(Source!BA34&lt;&gt; 0, Source!BA34, 1)</f>
        <v>6.48</v>
      </c>
      <c r="K83" s="28">
        <f>Source!S34</f>
        <v>2370.4499999999998</v>
      </c>
      <c r="L83" s="30"/>
      <c r="R83">
        <f>H83</f>
        <v>365.81</v>
      </c>
    </row>
    <row r="84" spans="1:26" ht="14.25" x14ac:dyDescent="0.2">
      <c r="A84" s="43"/>
      <c r="B84" s="44"/>
      <c r="C84" s="44" t="s">
        <v>178</v>
      </c>
      <c r="D84" s="27"/>
      <c r="E84" s="11"/>
      <c r="F84" s="28">
        <f>Source!AM34</f>
        <v>7.82</v>
      </c>
      <c r="G84" s="29" t="str">
        <f>Source!DE34</f>
        <v/>
      </c>
      <c r="H84" s="28">
        <f>ROUND(Source!AD34*Source!I34, 2)</f>
        <v>3.52</v>
      </c>
      <c r="I84" s="29"/>
      <c r="J84" s="29">
        <f>IF(Source!BB34&lt;&gt; 0, Source!BB34, 1)</f>
        <v>6.48</v>
      </c>
      <c r="K84" s="28">
        <f>Source!Q34</f>
        <v>22.8</v>
      </c>
      <c r="L84" s="30"/>
    </row>
    <row r="85" spans="1:26" ht="14.25" x14ac:dyDescent="0.2">
      <c r="A85" s="43"/>
      <c r="B85" s="44"/>
      <c r="C85" s="44" t="s">
        <v>411</v>
      </c>
      <c r="D85" s="27"/>
      <c r="E85" s="11"/>
      <c r="F85" s="28">
        <f>Source!AN34</f>
        <v>3.38</v>
      </c>
      <c r="G85" s="29" t="str">
        <f>Source!DF34</f>
        <v/>
      </c>
      <c r="H85" s="38">
        <f>ROUND(Source!AE34*Source!I34, 2)</f>
        <v>1.52</v>
      </c>
      <c r="I85" s="29"/>
      <c r="J85" s="29">
        <f>IF(Source!BS34&lt;&gt; 0, Source!BS34, 1)</f>
        <v>6.48</v>
      </c>
      <c r="K85" s="38">
        <f>Source!R34</f>
        <v>9.86</v>
      </c>
      <c r="L85" s="30"/>
      <c r="R85">
        <f>H85</f>
        <v>1.52</v>
      </c>
    </row>
    <row r="86" spans="1:26" ht="14.25" x14ac:dyDescent="0.2">
      <c r="A86" s="43"/>
      <c r="B86" s="44"/>
      <c r="C86" s="44" t="s">
        <v>406</v>
      </c>
      <c r="D86" s="27" t="s">
        <v>407</v>
      </c>
      <c r="E86" s="11">
        <f>Source!BZ34</f>
        <v>74</v>
      </c>
      <c r="F86" s="47"/>
      <c r="G86" s="29"/>
      <c r="H86" s="28">
        <f>SUM(S82:S88)</f>
        <v>271.82</v>
      </c>
      <c r="I86" s="31"/>
      <c r="J86" s="25">
        <f>Source!AT34</f>
        <v>74</v>
      </c>
      <c r="K86" s="28">
        <f>SUM(T82:T88)</f>
        <v>1761.43</v>
      </c>
      <c r="L86" s="30"/>
    </row>
    <row r="87" spans="1:26" ht="14.25" x14ac:dyDescent="0.2">
      <c r="A87" s="43"/>
      <c r="B87" s="44"/>
      <c r="C87" s="44" t="s">
        <v>408</v>
      </c>
      <c r="D87" s="27" t="s">
        <v>407</v>
      </c>
      <c r="E87" s="11">
        <f>Source!CA34</f>
        <v>50</v>
      </c>
      <c r="F87" s="47"/>
      <c r="G87" s="29"/>
      <c r="H87" s="28">
        <f>SUM(U82:U88)</f>
        <v>183.67</v>
      </c>
      <c r="I87" s="31"/>
      <c r="J87" s="25">
        <f>Source!AU34</f>
        <v>50</v>
      </c>
      <c r="K87" s="28">
        <f>SUM(V82:V88)</f>
        <v>1190.1600000000001</v>
      </c>
      <c r="L87" s="30"/>
    </row>
    <row r="88" spans="1:26" ht="14.25" x14ac:dyDescent="0.2">
      <c r="A88" s="45"/>
      <c r="B88" s="46"/>
      <c r="C88" s="46" t="s">
        <v>409</v>
      </c>
      <c r="D88" s="32" t="s">
        <v>410</v>
      </c>
      <c r="E88" s="33">
        <f>Source!AQ34</f>
        <v>95.3</v>
      </c>
      <c r="F88" s="34"/>
      <c r="G88" s="35" t="str">
        <f>Source!DI34</f>
        <v/>
      </c>
      <c r="H88" s="34"/>
      <c r="I88" s="35"/>
      <c r="J88" s="35"/>
      <c r="K88" s="34"/>
      <c r="L88" s="36">
        <f>Source!U34</f>
        <v>42.884999999999998</v>
      </c>
    </row>
    <row r="89" spans="1:26" ht="15" x14ac:dyDescent="0.25">
      <c r="G89" s="68">
        <f>H83+H84+H86+H87</f>
        <v>824.81999999999994</v>
      </c>
      <c r="H89" s="68"/>
      <c r="J89" s="68">
        <f>K83+K84+K86+K87</f>
        <v>5344.84</v>
      </c>
      <c r="K89" s="68"/>
      <c r="L89" s="37">
        <f>Source!U34</f>
        <v>42.884999999999998</v>
      </c>
      <c r="O89" s="21">
        <f>G89</f>
        <v>824.81999999999994</v>
      </c>
      <c r="P89" s="21">
        <f>J89</f>
        <v>5344.84</v>
      </c>
      <c r="Q89" s="21">
        <f>L89</f>
        <v>42.884999999999998</v>
      </c>
      <c r="W89">
        <f>IF(Source!BI34&lt;=1,H83+H84+H86+H87, 0)</f>
        <v>824.81999999999994</v>
      </c>
      <c r="X89">
        <f>IF(Source!BI34=2,H83+H84+H86+H87, 0)</f>
        <v>0</v>
      </c>
      <c r="Y89">
        <f>IF(Source!BI34=3,H83+H84+H86+H87, 0)</f>
        <v>0</v>
      </c>
      <c r="Z89">
        <f>IF(Source!BI34=4,H83+H84+H86+H87, 0)</f>
        <v>0</v>
      </c>
    </row>
    <row r="90" spans="1:26" ht="42.75" x14ac:dyDescent="0.2">
      <c r="A90" s="43" t="str">
        <f>Source!E35</f>
        <v>9</v>
      </c>
      <c r="B90" s="44" t="str">
        <f>Source!F35</f>
        <v>16-05-001-07</v>
      </c>
      <c r="C90" s="44" t="str">
        <f>Source!G35</f>
        <v>Демонтаж  задвижек  на трубопроводах из стальных труб диаметром до 250 мм (диам.250мм Тепловой узел)</v>
      </c>
      <c r="D90" s="27" t="str">
        <f>Source!H35</f>
        <v>ШТ</v>
      </c>
      <c r="E90" s="11">
        <f>Source!I35</f>
        <v>1</v>
      </c>
      <c r="F90" s="28">
        <f>Source!AL35+Source!AM35+Source!AO35</f>
        <v>283.45</v>
      </c>
      <c r="G90" s="29"/>
      <c r="H90" s="28"/>
      <c r="I90" s="29" t="str">
        <f>Source!BO35</f>
        <v/>
      </c>
      <c r="J90" s="29"/>
      <c r="K90" s="28"/>
      <c r="L90" s="30"/>
      <c r="S90">
        <f>ROUND((Source!FX35/100)*((ROUND(Source!AF35*Source!I35, 2)+ROUND(Source!AE35*Source!I35, 2))), 2)</f>
        <v>47.24</v>
      </c>
      <c r="T90">
        <f>Source!X35</f>
        <v>305.61</v>
      </c>
      <c r="U90">
        <f>ROUND((Source!FY35/100)*((ROUND(Source!AF35*Source!I35, 2)+ROUND(Source!AE35*Source!I35, 2))), 2)</f>
        <v>28.93</v>
      </c>
      <c r="V90">
        <f>Source!Y35</f>
        <v>188.68</v>
      </c>
    </row>
    <row r="91" spans="1:26" ht="14.25" x14ac:dyDescent="0.2">
      <c r="A91" s="43"/>
      <c r="B91" s="44"/>
      <c r="C91" s="44" t="s">
        <v>405</v>
      </c>
      <c r="D91" s="27"/>
      <c r="E91" s="11"/>
      <c r="F91" s="28">
        <f>Source!AO35</f>
        <v>99.77</v>
      </c>
      <c r="G91" s="29" t="str">
        <f>Source!DG35</f>
        <v>)*0,4</v>
      </c>
      <c r="H91" s="28">
        <f>ROUND(Source!AF35*Source!I35, 2)</f>
        <v>39.909999999999997</v>
      </c>
      <c r="I91" s="29"/>
      <c r="J91" s="29">
        <f>IF(Source!BA35&lt;&gt; 0, Source!BA35, 1)</f>
        <v>6.48</v>
      </c>
      <c r="K91" s="28">
        <f>Source!S35</f>
        <v>258.62</v>
      </c>
      <c r="L91" s="30"/>
      <c r="R91">
        <f>H91</f>
        <v>39.909999999999997</v>
      </c>
    </row>
    <row r="92" spans="1:26" ht="14.25" x14ac:dyDescent="0.2">
      <c r="A92" s="43"/>
      <c r="B92" s="44"/>
      <c r="C92" s="44" t="s">
        <v>178</v>
      </c>
      <c r="D92" s="27"/>
      <c r="E92" s="11"/>
      <c r="F92" s="28">
        <f>Source!AM35</f>
        <v>32.049999999999997</v>
      </c>
      <c r="G92" s="29" t="str">
        <f>Source!DE35</f>
        <v>)*0,4</v>
      </c>
      <c r="H92" s="28">
        <f>ROUND(Source!AD35*Source!I35, 2)</f>
        <v>12.82</v>
      </c>
      <c r="I92" s="29"/>
      <c r="J92" s="29">
        <f>IF(Source!BB35&lt;&gt; 0, Source!BB35, 1)</f>
        <v>6.48</v>
      </c>
      <c r="K92" s="28">
        <f>Source!Q35</f>
        <v>83.07</v>
      </c>
      <c r="L92" s="30"/>
    </row>
    <row r="93" spans="1:26" ht="14.25" x14ac:dyDescent="0.2">
      <c r="A93" s="43"/>
      <c r="B93" s="44"/>
      <c r="C93" s="44" t="s">
        <v>411</v>
      </c>
      <c r="D93" s="27"/>
      <c r="E93" s="11"/>
      <c r="F93" s="28">
        <f>Source!AN35</f>
        <v>2.74</v>
      </c>
      <c r="G93" s="29" t="str">
        <f>Source!DF35</f>
        <v>)*0,4</v>
      </c>
      <c r="H93" s="38">
        <f>ROUND(Source!AE35*Source!I35, 2)</f>
        <v>1.1000000000000001</v>
      </c>
      <c r="I93" s="29"/>
      <c r="J93" s="29">
        <f>IF(Source!BS35&lt;&gt; 0, Source!BS35, 1)</f>
        <v>6.48</v>
      </c>
      <c r="K93" s="38">
        <f>Source!R35</f>
        <v>7.13</v>
      </c>
      <c r="L93" s="30"/>
      <c r="R93">
        <f>H93</f>
        <v>1.1000000000000001</v>
      </c>
    </row>
    <row r="94" spans="1:26" ht="14.25" x14ac:dyDescent="0.2">
      <c r="A94" s="43"/>
      <c r="B94" s="44"/>
      <c r="C94" s="44" t="s">
        <v>406</v>
      </c>
      <c r="D94" s="27" t="s">
        <v>407</v>
      </c>
      <c r="E94" s="11">
        <f>Source!BZ35</f>
        <v>128</v>
      </c>
      <c r="F94" s="66" t="str">
        <f>CONCATENATE(" )", Source!DL35, Source!FT35, "=", Source!FX35)</f>
        <v xml:space="preserve"> )*0,9=115,2</v>
      </c>
      <c r="G94" s="67"/>
      <c r="H94" s="28">
        <f>SUM(S90:S96)</f>
        <v>47.24</v>
      </c>
      <c r="I94" s="31"/>
      <c r="J94" s="25">
        <f>Source!AT35</f>
        <v>115</v>
      </c>
      <c r="K94" s="28">
        <f>SUM(T90:T96)</f>
        <v>305.61</v>
      </c>
      <c r="L94" s="30"/>
    </row>
    <row r="95" spans="1:26" ht="14.25" x14ac:dyDescent="0.2">
      <c r="A95" s="43"/>
      <c r="B95" s="44"/>
      <c r="C95" s="44" t="s">
        <v>408</v>
      </c>
      <c r="D95" s="27" t="s">
        <v>407</v>
      </c>
      <c r="E95" s="11">
        <f>Source!CA35</f>
        <v>83</v>
      </c>
      <c r="F95" s="66" t="str">
        <f>CONCATENATE(" )", Source!DM35, Source!FU35, "=", Source!FY35)</f>
        <v xml:space="preserve"> )*0,85=70,55</v>
      </c>
      <c r="G95" s="67"/>
      <c r="H95" s="28">
        <f>SUM(U90:U96)</f>
        <v>28.93</v>
      </c>
      <c r="I95" s="31"/>
      <c r="J95" s="25">
        <f>Source!AU35</f>
        <v>71</v>
      </c>
      <c r="K95" s="28">
        <f>SUM(V90:V96)</f>
        <v>188.68</v>
      </c>
      <c r="L95" s="30"/>
    </row>
    <row r="96" spans="1:26" ht="14.25" x14ac:dyDescent="0.2">
      <c r="A96" s="45"/>
      <c r="B96" s="46"/>
      <c r="C96" s="46" t="s">
        <v>409</v>
      </c>
      <c r="D96" s="32" t="s">
        <v>410</v>
      </c>
      <c r="E96" s="33">
        <f>Source!AQ35</f>
        <v>10.74</v>
      </c>
      <c r="F96" s="34"/>
      <c r="G96" s="35" t="str">
        <f>Source!DI35</f>
        <v>)*0,4</v>
      </c>
      <c r="H96" s="34"/>
      <c r="I96" s="35"/>
      <c r="J96" s="35"/>
      <c r="K96" s="34"/>
      <c r="L96" s="36">
        <f>Source!U35</f>
        <v>4.2960000000000003</v>
      </c>
    </row>
    <row r="97" spans="1:26" ht="15" x14ac:dyDescent="0.25">
      <c r="G97" s="68">
        <f>H91+H92+H94+H95</f>
        <v>128.9</v>
      </c>
      <c r="H97" s="68"/>
      <c r="J97" s="68">
        <f>K91+K92+K94+K95</f>
        <v>835.98</v>
      </c>
      <c r="K97" s="68"/>
      <c r="L97" s="37">
        <f>Source!U35</f>
        <v>4.2960000000000003</v>
      </c>
      <c r="O97" s="21">
        <f>G97</f>
        <v>128.9</v>
      </c>
      <c r="P97" s="21">
        <f>J97</f>
        <v>835.98</v>
      </c>
      <c r="Q97" s="21">
        <f>L97</f>
        <v>4.2960000000000003</v>
      </c>
      <c r="W97">
        <f>IF(Source!BI35&lt;=1,H91+H92+H94+H95, 0)</f>
        <v>128.9</v>
      </c>
      <c r="X97">
        <f>IF(Source!BI35=2,H91+H92+H94+H95, 0)</f>
        <v>0</v>
      </c>
      <c r="Y97">
        <f>IF(Source!BI35=3,H91+H92+H94+H95, 0)</f>
        <v>0</v>
      </c>
      <c r="Z97">
        <f>IF(Source!BI35=4,H91+H92+H94+H95, 0)</f>
        <v>0</v>
      </c>
    </row>
    <row r="98" spans="1:26" ht="28.5" x14ac:dyDescent="0.2">
      <c r="A98" s="43" t="str">
        <f>Source!E36</f>
        <v>10</v>
      </c>
      <c r="B98" s="44" t="str">
        <f>Source!F36</f>
        <v>66-26-5</v>
      </c>
      <c r="C98" s="44" t="str">
        <f>Source!G36</f>
        <v>Демонтаж задвижек диаметром до 300 мм (диам.250мм) (колодец)</v>
      </c>
      <c r="D98" s="27" t="str">
        <f>Source!H36</f>
        <v>ШТ</v>
      </c>
      <c r="E98" s="11">
        <f>Source!I36</f>
        <v>13</v>
      </c>
      <c r="F98" s="28">
        <f>Source!AL36+Source!AM36+Source!AO36</f>
        <v>146.81</v>
      </c>
      <c r="G98" s="29"/>
      <c r="H98" s="28"/>
      <c r="I98" s="29" t="str">
        <f>Source!BO36</f>
        <v/>
      </c>
      <c r="J98" s="29"/>
      <c r="K98" s="28"/>
      <c r="L98" s="30"/>
      <c r="S98">
        <f>ROUND((Source!FX36/100)*((ROUND(Source!AF36*Source!I36, 2)+ROUND(Source!AE36*Source!I36, 2))), 2)</f>
        <v>412.79</v>
      </c>
      <c r="T98">
        <f>Source!X36</f>
        <v>2674.91</v>
      </c>
      <c r="U98">
        <f>ROUND((Source!FY36/100)*((ROUND(Source!AF36*Source!I36, 2)+ROUND(Source!AE36*Source!I36, 2))), 2)</f>
        <v>278.92</v>
      </c>
      <c r="V98">
        <f>Source!Y36</f>
        <v>1807.37</v>
      </c>
    </row>
    <row r="99" spans="1:26" ht="14.25" x14ac:dyDescent="0.2">
      <c r="A99" s="43"/>
      <c r="B99" s="44"/>
      <c r="C99" s="44" t="s">
        <v>405</v>
      </c>
      <c r="D99" s="27"/>
      <c r="E99" s="11"/>
      <c r="F99" s="28">
        <f>Source!AO36</f>
        <v>28.25</v>
      </c>
      <c r="G99" s="29" t="str">
        <f>Source!DG36</f>
        <v/>
      </c>
      <c r="H99" s="28">
        <f>ROUND(Source!AF36*Source!I36, 2)</f>
        <v>367.25</v>
      </c>
      <c r="I99" s="29"/>
      <c r="J99" s="29">
        <f>IF(Source!BA36&lt;&gt; 0, Source!BA36, 1)</f>
        <v>6.48</v>
      </c>
      <c r="K99" s="28">
        <f>Source!S36</f>
        <v>2379.7800000000002</v>
      </c>
      <c r="L99" s="30"/>
      <c r="R99">
        <f>H99</f>
        <v>367.25</v>
      </c>
    </row>
    <row r="100" spans="1:26" ht="14.25" x14ac:dyDescent="0.2">
      <c r="A100" s="43"/>
      <c r="B100" s="44"/>
      <c r="C100" s="44" t="s">
        <v>178</v>
      </c>
      <c r="D100" s="27"/>
      <c r="E100" s="11"/>
      <c r="F100" s="28">
        <f>Source!AM36</f>
        <v>118.56</v>
      </c>
      <c r="G100" s="29" t="str">
        <f>Source!DE36</f>
        <v/>
      </c>
      <c r="H100" s="28">
        <f>ROUND(Source!AD36*Source!I36, 2)</f>
        <v>1541.28</v>
      </c>
      <c r="I100" s="29"/>
      <c r="J100" s="29">
        <f>IF(Source!BB36&lt;&gt; 0, Source!BB36, 1)</f>
        <v>6.48</v>
      </c>
      <c r="K100" s="28">
        <f>Source!Q36</f>
        <v>9987.49</v>
      </c>
      <c r="L100" s="30"/>
    </row>
    <row r="101" spans="1:26" ht="14.25" x14ac:dyDescent="0.2">
      <c r="A101" s="43"/>
      <c r="B101" s="44"/>
      <c r="C101" s="44" t="s">
        <v>411</v>
      </c>
      <c r="D101" s="27"/>
      <c r="E101" s="11"/>
      <c r="F101" s="28">
        <f>Source!AN36</f>
        <v>14.66</v>
      </c>
      <c r="G101" s="29" t="str">
        <f>Source!DF36</f>
        <v/>
      </c>
      <c r="H101" s="38">
        <f>ROUND(Source!AE36*Source!I36, 2)</f>
        <v>190.58</v>
      </c>
      <c r="I101" s="29"/>
      <c r="J101" s="29">
        <f>IF(Source!BS36&lt;&gt; 0, Source!BS36, 1)</f>
        <v>6.48</v>
      </c>
      <c r="K101" s="38">
        <f>Source!R36</f>
        <v>1234.96</v>
      </c>
      <c r="L101" s="30"/>
      <c r="R101">
        <f>H101</f>
        <v>190.58</v>
      </c>
    </row>
    <row r="102" spans="1:26" ht="14.25" x14ac:dyDescent="0.2">
      <c r="A102" s="43"/>
      <c r="B102" s="44"/>
      <c r="C102" s="44" t="s">
        <v>406</v>
      </c>
      <c r="D102" s="27" t="s">
        <v>407</v>
      </c>
      <c r="E102" s="11">
        <f>Source!BZ36</f>
        <v>74</v>
      </c>
      <c r="F102" s="47"/>
      <c r="G102" s="29"/>
      <c r="H102" s="28">
        <f>SUM(S98:S104)</f>
        <v>412.79</v>
      </c>
      <c r="I102" s="31"/>
      <c r="J102" s="25">
        <f>Source!AT36</f>
        <v>74</v>
      </c>
      <c r="K102" s="28">
        <f>SUM(T98:T104)</f>
        <v>2674.91</v>
      </c>
      <c r="L102" s="30"/>
    </row>
    <row r="103" spans="1:26" ht="14.25" x14ac:dyDescent="0.2">
      <c r="A103" s="43"/>
      <c r="B103" s="44"/>
      <c r="C103" s="44" t="s">
        <v>408</v>
      </c>
      <c r="D103" s="27" t="s">
        <v>407</v>
      </c>
      <c r="E103" s="11">
        <f>Source!CA36</f>
        <v>50</v>
      </c>
      <c r="F103" s="47"/>
      <c r="G103" s="29"/>
      <c r="H103" s="28">
        <f>SUM(U98:U104)</f>
        <v>278.92</v>
      </c>
      <c r="I103" s="31"/>
      <c r="J103" s="25">
        <f>Source!AU36</f>
        <v>50</v>
      </c>
      <c r="K103" s="28">
        <f>SUM(V98:V104)</f>
        <v>1807.37</v>
      </c>
      <c r="L103" s="30"/>
    </row>
    <row r="104" spans="1:26" ht="14.25" x14ac:dyDescent="0.2">
      <c r="A104" s="45"/>
      <c r="B104" s="46"/>
      <c r="C104" s="46" t="s">
        <v>409</v>
      </c>
      <c r="D104" s="32" t="s">
        <v>410</v>
      </c>
      <c r="E104" s="33">
        <f>Source!AQ36</f>
        <v>3.27</v>
      </c>
      <c r="F104" s="34"/>
      <c r="G104" s="35" t="str">
        <f>Source!DI36</f>
        <v/>
      </c>
      <c r="H104" s="34"/>
      <c r="I104" s="35"/>
      <c r="J104" s="35"/>
      <c r="K104" s="34"/>
      <c r="L104" s="36">
        <f>Source!U36</f>
        <v>42.51</v>
      </c>
    </row>
    <row r="105" spans="1:26" ht="15" x14ac:dyDescent="0.25">
      <c r="G105" s="68">
        <f>H99+H100+H102+H103</f>
        <v>2600.2400000000002</v>
      </c>
      <c r="H105" s="68"/>
      <c r="J105" s="68">
        <f>K99+K100+K102+K103</f>
        <v>16849.55</v>
      </c>
      <c r="K105" s="68"/>
      <c r="L105" s="37">
        <f>Source!U36</f>
        <v>42.51</v>
      </c>
      <c r="O105" s="21">
        <f>G105</f>
        <v>2600.2400000000002</v>
      </c>
      <c r="P105" s="21">
        <f>J105</f>
        <v>16849.55</v>
      </c>
      <c r="Q105" s="21">
        <f>L105</f>
        <v>42.51</v>
      </c>
      <c r="W105">
        <f>IF(Source!BI36&lt;=1,H99+H100+H102+H103, 0)</f>
        <v>2600.2400000000002</v>
      </c>
      <c r="X105">
        <f>IF(Source!BI36=2,H99+H100+H102+H103, 0)</f>
        <v>0</v>
      </c>
      <c r="Y105">
        <f>IF(Source!BI36=3,H99+H100+H102+H103, 0)</f>
        <v>0</v>
      </c>
      <c r="Z105">
        <f>IF(Source!BI36=4,H99+H100+H102+H103, 0)</f>
        <v>0</v>
      </c>
    </row>
    <row r="106" spans="1:26" ht="42.75" x14ac:dyDescent="0.2">
      <c r="A106" s="43" t="str">
        <f>Source!E37</f>
        <v>11</v>
      </c>
      <c r="B106" s="44" t="str">
        <f>Source!F37</f>
        <v>16-05-001-01</v>
      </c>
      <c r="C106" s="44" t="str">
        <f>Source!G37</f>
        <v>Демонтаж   кранов проходных на трубопроводах из стальных труб диаметром до 25 мм (стояки)</v>
      </c>
      <c r="D106" s="27" t="str">
        <f>Source!H37</f>
        <v>ШТ</v>
      </c>
      <c r="E106" s="11">
        <f>Source!I37</f>
        <v>252</v>
      </c>
      <c r="F106" s="28">
        <f>Source!AL37+Source!AM37+Source!AO37</f>
        <v>42.04</v>
      </c>
      <c r="G106" s="29"/>
      <c r="H106" s="28"/>
      <c r="I106" s="29" t="str">
        <f>Source!BO37</f>
        <v/>
      </c>
      <c r="J106" s="29"/>
      <c r="K106" s="28"/>
      <c r="L106" s="30"/>
      <c r="S106">
        <f>ROUND((Source!FX37/100)*((ROUND(Source!AF37*Source!I37, 2)+ROUND(Source!AE37*Source!I37, 2))), 2)</f>
        <v>1561.84</v>
      </c>
      <c r="T106">
        <f>Source!X37</f>
        <v>10103.129999999999</v>
      </c>
      <c r="U106">
        <f>ROUND((Source!FY37/100)*((ROUND(Source!AF37*Source!I37, 2)+ROUND(Source!AE37*Source!I37, 2))), 2)</f>
        <v>956.49</v>
      </c>
      <c r="V106">
        <f>Source!Y37</f>
        <v>6237.58</v>
      </c>
    </row>
    <row r="107" spans="1:26" ht="14.25" x14ac:dyDescent="0.2">
      <c r="A107" s="43"/>
      <c r="B107" s="44"/>
      <c r="C107" s="44" t="s">
        <v>405</v>
      </c>
      <c r="D107" s="27"/>
      <c r="E107" s="11"/>
      <c r="F107" s="28">
        <f>Source!AO37</f>
        <v>13.33</v>
      </c>
      <c r="G107" s="29" t="str">
        <f>Source!DG37</f>
        <v>)*0,4</v>
      </c>
      <c r="H107" s="28">
        <f>ROUND(Source!AF37*Source!I37, 2)</f>
        <v>1343.16</v>
      </c>
      <c r="I107" s="29"/>
      <c r="J107" s="29">
        <f>IF(Source!BA37&lt;&gt; 0, Source!BA37, 1)</f>
        <v>6.48</v>
      </c>
      <c r="K107" s="28">
        <f>Source!S37</f>
        <v>8703.68</v>
      </c>
      <c r="L107" s="30"/>
      <c r="R107">
        <f>H107</f>
        <v>1343.16</v>
      </c>
    </row>
    <row r="108" spans="1:26" ht="14.25" x14ac:dyDescent="0.2">
      <c r="A108" s="43"/>
      <c r="B108" s="44"/>
      <c r="C108" s="44" t="s">
        <v>178</v>
      </c>
      <c r="D108" s="27"/>
      <c r="E108" s="11"/>
      <c r="F108" s="28">
        <f>Source!AM37</f>
        <v>3.5</v>
      </c>
      <c r="G108" s="29" t="str">
        <f>Source!DE37</f>
        <v>)*0,4</v>
      </c>
      <c r="H108" s="28">
        <f>ROUND(Source!AD37*Source!I37, 2)</f>
        <v>352.8</v>
      </c>
      <c r="I108" s="29"/>
      <c r="J108" s="29">
        <f>IF(Source!BB37&lt;&gt; 0, Source!BB37, 1)</f>
        <v>6.48</v>
      </c>
      <c r="K108" s="28">
        <f>Source!Q37</f>
        <v>2286.14</v>
      </c>
      <c r="L108" s="30"/>
    </row>
    <row r="109" spans="1:26" ht="14.25" x14ac:dyDescent="0.2">
      <c r="A109" s="43"/>
      <c r="B109" s="44"/>
      <c r="C109" s="44" t="s">
        <v>411</v>
      </c>
      <c r="D109" s="27"/>
      <c r="E109" s="11"/>
      <c r="F109" s="28">
        <f>Source!AN37</f>
        <v>0.12</v>
      </c>
      <c r="G109" s="29" t="str">
        <f>Source!DF37</f>
        <v>)*0,4</v>
      </c>
      <c r="H109" s="38">
        <f>ROUND(Source!AE37*Source!I37, 2)</f>
        <v>12.6</v>
      </c>
      <c r="I109" s="29"/>
      <c r="J109" s="29">
        <f>IF(Source!BS37&lt;&gt; 0, Source!BS37, 1)</f>
        <v>6.48</v>
      </c>
      <c r="K109" s="38">
        <f>Source!R37</f>
        <v>81.650000000000006</v>
      </c>
      <c r="L109" s="30"/>
      <c r="R109">
        <f>H109</f>
        <v>12.6</v>
      </c>
    </row>
    <row r="110" spans="1:26" ht="14.25" x14ac:dyDescent="0.2">
      <c r="A110" s="43"/>
      <c r="B110" s="44"/>
      <c r="C110" s="44" t="s">
        <v>406</v>
      </c>
      <c r="D110" s="27" t="s">
        <v>407</v>
      </c>
      <c r="E110" s="11">
        <f>Source!BZ37</f>
        <v>128</v>
      </c>
      <c r="F110" s="66" t="str">
        <f>CONCATENATE(" )", Source!DL37, Source!FT37, "=", Source!FX37)</f>
        <v xml:space="preserve"> )*0,9=115,2</v>
      </c>
      <c r="G110" s="67"/>
      <c r="H110" s="28">
        <f>SUM(S106:S112)</f>
        <v>1561.84</v>
      </c>
      <c r="I110" s="31"/>
      <c r="J110" s="25">
        <f>Source!AT37</f>
        <v>115</v>
      </c>
      <c r="K110" s="28">
        <f>SUM(T106:T112)</f>
        <v>10103.129999999999</v>
      </c>
      <c r="L110" s="30"/>
    </row>
    <row r="111" spans="1:26" ht="14.25" x14ac:dyDescent="0.2">
      <c r="A111" s="43"/>
      <c r="B111" s="44"/>
      <c r="C111" s="44" t="s">
        <v>408</v>
      </c>
      <c r="D111" s="27" t="s">
        <v>407</v>
      </c>
      <c r="E111" s="11">
        <f>Source!CA37</f>
        <v>83</v>
      </c>
      <c r="F111" s="66" t="str">
        <f>CONCATENATE(" )", Source!DM37, Source!FU37, "=", Source!FY37)</f>
        <v xml:space="preserve"> )*0,85=70,55</v>
      </c>
      <c r="G111" s="67"/>
      <c r="H111" s="28">
        <f>SUM(U106:U112)</f>
        <v>956.49</v>
      </c>
      <c r="I111" s="31"/>
      <c r="J111" s="25">
        <f>Source!AU37</f>
        <v>71</v>
      </c>
      <c r="K111" s="28">
        <f>SUM(V106:V112)</f>
        <v>6237.58</v>
      </c>
      <c r="L111" s="30"/>
    </row>
    <row r="112" spans="1:26" ht="14.25" x14ac:dyDescent="0.2">
      <c r="A112" s="45"/>
      <c r="B112" s="46"/>
      <c r="C112" s="46" t="s">
        <v>409</v>
      </c>
      <c r="D112" s="32" t="s">
        <v>410</v>
      </c>
      <c r="E112" s="33">
        <f>Source!AQ37</f>
        <v>1.47</v>
      </c>
      <c r="F112" s="34"/>
      <c r="G112" s="35" t="str">
        <f>Source!DI37</f>
        <v>)*0,4</v>
      </c>
      <c r="H112" s="34"/>
      <c r="I112" s="35"/>
      <c r="J112" s="35"/>
      <c r="K112" s="34"/>
      <c r="L112" s="36">
        <f>Source!U37</f>
        <v>148.17599999999999</v>
      </c>
    </row>
    <row r="113" spans="1:26" ht="15" x14ac:dyDescent="0.25">
      <c r="G113" s="68">
        <f>H107+H108+H110+H111</f>
        <v>4214.29</v>
      </c>
      <c r="H113" s="68"/>
      <c r="J113" s="68">
        <f>K107+K108+K110+K111</f>
        <v>27330.53</v>
      </c>
      <c r="K113" s="68"/>
      <c r="L113" s="37">
        <f>Source!U37</f>
        <v>148.17599999999999</v>
      </c>
      <c r="O113" s="21">
        <f>G113</f>
        <v>4214.29</v>
      </c>
      <c r="P113" s="21">
        <f>J113</f>
        <v>27330.53</v>
      </c>
      <c r="Q113" s="21">
        <f>L113</f>
        <v>148.17599999999999</v>
      </c>
      <c r="W113">
        <f>IF(Source!BI37&lt;=1,H107+H108+H110+H111, 0)</f>
        <v>4214.29</v>
      </c>
      <c r="X113">
        <f>IF(Source!BI37=2,H107+H108+H110+H111, 0)</f>
        <v>0</v>
      </c>
      <c r="Y113">
        <f>IF(Source!BI37=3,H107+H108+H110+H111, 0)</f>
        <v>0</v>
      </c>
      <c r="Z113">
        <f>IF(Source!BI37=4,H107+H108+H110+H111, 0)</f>
        <v>0</v>
      </c>
    </row>
    <row r="114" spans="1:26" ht="42.75" x14ac:dyDescent="0.2">
      <c r="A114" s="43" t="str">
        <f>Source!E38</f>
        <v>12</v>
      </c>
      <c r="B114" s="44" t="str">
        <f>Source!F38</f>
        <v>16-05-001-03</v>
      </c>
      <c r="C114" s="44" t="str">
        <f>Source!G38</f>
        <v>Установка  задвижек на трубопроводах из стальных труб диаметром до 100 мм (диам.80мм)</v>
      </c>
      <c r="D114" s="27" t="str">
        <f>Source!H38</f>
        <v>ШТ</v>
      </c>
      <c r="E114" s="11">
        <f>Source!I38</f>
        <v>45</v>
      </c>
      <c r="F114" s="28">
        <f>Source!AL38+Source!AM38+Source!AO38</f>
        <v>80.2</v>
      </c>
      <c r="G114" s="29"/>
      <c r="H114" s="28"/>
      <c r="I114" s="29" t="str">
        <f>Source!BO38</f>
        <v/>
      </c>
      <c r="J114" s="29"/>
      <c r="K114" s="28"/>
      <c r="L114" s="30"/>
      <c r="S114">
        <f>ROUND((Source!FX38/100)*((ROUND(Source!AF38*Source!I38, 2)+ROUND(Source!AE38*Source!I38, 2))), 2)</f>
        <v>1606.52</v>
      </c>
      <c r="T114">
        <f>Source!X38</f>
        <v>10392.18</v>
      </c>
      <c r="U114">
        <f>ROUND((Source!FY38/100)*((ROUND(Source!AF38*Source!I38, 2)+ROUND(Source!AE38*Source!I38, 2))), 2)</f>
        <v>983.86</v>
      </c>
      <c r="V114">
        <f>Source!Y38</f>
        <v>6416.04</v>
      </c>
    </row>
    <row r="115" spans="1:26" ht="14.25" x14ac:dyDescent="0.2">
      <c r="A115" s="43"/>
      <c r="B115" s="44"/>
      <c r="C115" s="44" t="s">
        <v>405</v>
      </c>
      <c r="D115" s="27"/>
      <c r="E115" s="11"/>
      <c r="F115" s="28">
        <f>Source!AO38</f>
        <v>26.39</v>
      </c>
      <c r="G115" s="29" t="str">
        <f>Source!DG38</f>
        <v>)*1,15</v>
      </c>
      <c r="H115" s="28">
        <f>ROUND(Source!AF38*Source!I38, 2)</f>
        <v>1365.75</v>
      </c>
      <c r="I115" s="29"/>
      <c r="J115" s="29">
        <f>IF(Source!BA38&lt;&gt; 0, Source!BA38, 1)</f>
        <v>6.48</v>
      </c>
      <c r="K115" s="28">
        <f>Source!S38</f>
        <v>8850.06</v>
      </c>
      <c r="L115" s="30"/>
      <c r="R115">
        <f>H115</f>
        <v>1365.75</v>
      </c>
    </row>
    <row r="116" spans="1:26" ht="14.25" x14ac:dyDescent="0.2">
      <c r="A116" s="43"/>
      <c r="B116" s="44"/>
      <c r="C116" s="44" t="s">
        <v>178</v>
      </c>
      <c r="D116" s="27"/>
      <c r="E116" s="11"/>
      <c r="F116" s="28">
        <f>Source!AM38</f>
        <v>8.39</v>
      </c>
      <c r="G116" s="29" t="str">
        <f>Source!DE38</f>
        <v>)*1,25</v>
      </c>
      <c r="H116" s="28">
        <f>ROUND(Source!AD38*Source!I38, 2)</f>
        <v>472.05</v>
      </c>
      <c r="I116" s="29"/>
      <c r="J116" s="29">
        <f>IF(Source!BB38&lt;&gt; 0, Source!BB38, 1)</f>
        <v>6.48</v>
      </c>
      <c r="K116" s="28">
        <f>Source!Q38</f>
        <v>3058.88</v>
      </c>
      <c r="L116" s="30"/>
    </row>
    <row r="117" spans="1:26" ht="14.25" x14ac:dyDescent="0.2">
      <c r="A117" s="43"/>
      <c r="B117" s="44"/>
      <c r="C117" s="44" t="s">
        <v>411</v>
      </c>
      <c r="D117" s="27"/>
      <c r="E117" s="11"/>
      <c r="F117" s="28">
        <f>Source!AN38</f>
        <v>0.51</v>
      </c>
      <c r="G117" s="29" t="str">
        <f>Source!DF38</f>
        <v>)*1,25</v>
      </c>
      <c r="H117" s="38">
        <f>ROUND(Source!AE38*Source!I38, 2)</f>
        <v>28.8</v>
      </c>
      <c r="I117" s="29"/>
      <c r="J117" s="29">
        <f>IF(Source!BS38&lt;&gt; 0, Source!BS38, 1)</f>
        <v>6.48</v>
      </c>
      <c r="K117" s="38">
        <f>Source!R38</f>
        <v>186.62</v>
      </c>
      <c r="L117" s="30"/>
      <c r="R117">
        <f>H117</f>
        <v>28.8</v>
      </c>
    </row>
    <row r="118" spans="1:26" ht="14.25" x14ac:dyDescent="0.2">
      <c r="A118" s="43"/>
      <c r="B118" s="44"/>
      <c r="C118" s="44" t="s">
        <v>412</v>
      </c>
      <c r="D118" s="27"/>
      <c r="E118" s="11"/>
      <c r="F118" s="28">
        <f>Source!AL38</f>
        <v>45.42</v>
      </c>
      <c r="G118" s="29" t="str">
        <f>Source!DD38</f>
        <v/>
      </c>
      <c r="H118" s="28">
        <f>ROUND(Source!AC38*Source!I38, 2)</f>
        <v>2043.9</v>
      </c>
      <c r="I118" s="29"/>
      <c r="J118" s="29">
        <f>IF(Source!BC38&lt;&gt; 0, Source!BC38, 1)</f>
        <v>6.48</v>
      </c>
      <c r="K118" s="28">
        <f>Source!P38</f>
        <v>13244.47</v>
      </c>
      <c r="L118" s="30"/>
    </row>
    <row r="119" spans="1:26" ht="14.25" x14ac:dyDescent="0.2">
      <c r="A119" s="43"/>
      <c r="B119" s="44"/>
      <c r="C119" s="44" t="s">
        <v>406</v>
      </c>
      <c r="D119" s="27" t="s">
        <v>407</v>
      </c>
      <c r="E119" s="11">
        <f>Source!BZ38</f>
        <v>128</v>
      </c>
      <c r="F119" s="66" t="str">
        <f>CONCATENATE(" )", Source!DL38, Source!FT38, "=", Source!FX38)</f>
        <v xml:space="preserve"> )*0,9=115,2</v>
      </c>
      <c r="G119" s="67"/>
      <c r="H119" s="28">
        <f>SUM(S114:S122)</f>
        <v>1606.52</v>
      </c>
      <c r="I119" s="31"/>
      <c r="J119" s="25">
        <f>Source!AT38</f>
        <v>115</v>
      </c>
      <c r="K119" s="28">
        <f>SUM(T114:T122)</f>
        <v>10392.18</v>
      </c>
      <c r="L119" s="30"/>
    </row>
    <row r="120" spans="1:26" ht="14.25" x14ac:dyDescent="0.2">
      <c r="A120" s="43"/>
      <c r="B120" s="44"/>
      <c r="C120" s="44" t="s">
        <v>408</v>
      </c>
      <c r="D120" s="27" t="s">
        <v>407</v>
      </c>
      <c r="E120" s="11">
        <f>Source!CA38</f>
        <v>83</v>
      </c>
      <c r="F120" s="66" t="str">
        <f>CONCATENATE(" )", Source!DM38, Source!FU38, "=", Source!FY38)</f>
        <v xml:space="preserve"> )*0,85=70,55</v>
      </c>
      <c r="G120" s="67"/>
      <c r="H120" s="28">
        <f>SUM(U114:U122)</f>
        <v>983.86</v>
      </c>
      <c r="I120" s="31"/>
      <c r="J120" s="25">
        <f>Source!AU38</f>
        <v>71</v>
      </c>
      <c r="K120" s="28">
        <f>SUM(V114:V122)</f>
        <v>6416.04</v>
      </c>
      <c r="L120" s="30"/>
    </row>
    <row r="121" spans="1:26" ht="14.25" x14ac:dyDescent="0.2">
      <c r="A121" s="43"/>
      <c r="B121" s="44"/>
      <c r="C121" s="44" t="s">
        <v>409</v>
      </c>
      <c r="D121" s="27" t="s">
        <v>410</v>
      </c>
      <c r="E121" s="11">
        <f>Source!AQ38</f>
        <v>2.91</v>
      </c>
      <c r="F121" s="28"/>
      <c r="G121" s="29" t="str">
        <f>Source!DI38</f>
        <v>)*1,15</v>
      </c>
      <c r="H121" s="28"/>
      <c r="I121" s="29"/>
      <c r="J121" s="29"/>
      <c r="K121" s="28"/>
      <c r="L121" s="39">
        <f>Source!U38</f>
        <v>150.5925</v>
      </c>
    </row>
    <row r="122" spans="1:26" ht="85.5" x14ac:dyDescent="0.2">
      <c r="A122" s="45" t="str">
        <f>Source!E39</f>
        <v>12,1</v>
      </c>
      <c r="B122" s="46" t="str">
        <f>Source!F39</f>
        <v>18.1.02.01-0052</v>
      </c>
      <c r="C122" s="46" t="str">
        <f>Source!G39</f>
        <v>Задвижки клиновые с выдвижным шпинделем фланцевые для воды, пара и неагрессивных нефтепродуктов (жидких и газообразных) давлением 1 МПа (10 кгс/см2) 30с42нж диаметром 80 мм</v>
      </c>
      <c r="D122" s="32" t="str">
        <f>Source!H39</f>
        <v>шт.</v>
      </c>
      <c r="E122" s="33">
        <f>Source!I39</f>
        <v>45</v>
      </c>
      <c r="F122" s="34">
        <f>Source!AL39+Source!AM39+Source!AO39</f>
        <v>795.19</v>
      </c>
      <c r="G122" s="40" t="s">
        <v>3</v>
      </c>
      <c r="H122" s="34">
        <f>ROUND(Source!AC39*Source!I39, 2)+ROUND(Source!AD39*Source!I39, 2)+ROUND(Source!AF39*Source!I39, 2)</f>
        <v>35783.550000000003</v>
      </c>
      <c r="I122" s="35"/>
      <c r="J122" s="35">
        <f>IF(Source!BC39&lt;&gt; 0, Source!BC39, 1)</f>
        <v>6.48</v>
      </c>
      <c r="K122" s="34">
        <f>Source!O39</f>
        <v>231877.4</v>
      </c>
      <c r="L122" s="41"/>
      <c r="S122">
        <f>ROUND((Source!FX39/100)*((ROUND(Source!AF39*Source!I39, 2)+ROUND(Source!AE39*Source!I39, 2))), 2)</f>
        <v>0</v>
      </c>
      <c r="T122">
        <f>Source!X39</f>
        <v>0</v>
      </c>
      <c r="U122">
        <f>ROUND((Source!FY39/100)*((ROUND(Source!AF39*Source!I39, 2)+ROUND(Source!AE39*Source!I39, 2))), 2)</f>
        <v>0</v>
      </c>
      <c r="V122">
        <f>Source!Y39</f>
        <v>0</v>
      </c>
      <c r="W122">
        <f>IF(Source!BI39&lt;=1,H122, 0)</f>
        <v>35783.550000000003</v>
      </c>
      <c r="X122">
        <f>IF(Source!BI39=2,H122, 0)</f>
        <v>0</v>
      </c>
      <c r="Y122">
        <f>IF(Source!BI39=3,H122, 0)</f>
        <v>0</v>
      </c>
      <c r="Z122">
        <f>IF(Source!BI39=4,H122, 0)</f>
        <v>0</v>
      </c>
    </row>
    <row r="123" spans="1:26" ht="15" x14ac:dyDescent="0.25">
      <c r="G123" s="68">
        <f>H115+H116+H118+H119+H120+SUM(H122:H122)</f>
        <v>42255.630000000005</v>
      </c>
      <c r="H123" s="68"/>
      <c r="J123" s="68">
        <f>K115+K116+K118+K119+K120+SUM(K122:K122)</f>
        <v>273839.02999999997</v>
      </c>
      <c r="K123" s="68"/>
      <c r="L123" s="37">
        <f>Source!U38</f>
        <v>150.5925</v>
      </c>
      <c r="O123" s="21">
        <f>G123</f>
        <v>42255.630000000005</v>
      </c>
      <c r="P123" s="21">
        <f>J123</f>
        <v>273839.02999999997</v>
      </c>
      <c r="Q123" s="21">
        <f>L123</f>
        <v>150.5925</v>
      </c>
      <c r="W123">
        <f>IF(Source!BI38&lt;=1,H115+H116+H118+H119+H120, 0)</f>
        <v>6472.079999999999</v>
      </c>
      <c r="X123">
        <f>IF(Source!BI38=2,H115+H116+H118+H119+H120, 0)</f>
        <v>0</v>
      </c>
      <c r="Y123">
        <f>IF(Source!BI38=3,H115+H116+H118+H119+H120, 0)</f>
        <v>0</v>
      </c>
      <c r="Z123">
        <f>IF(Source!BI38=4,H115+H116+H118+H119+H120, 0)</f>
        <v>0</v>
      </c>
    </row>
    <row r="124" spans="1:26" ht="42.75" x14ac:dyDescent="0.2">
      <c r="A124" s="43" t="str">
        <f>Source!E40</f>
        <v>13</v>
      </c>
      <c r="B124" s="44" t="str">
        <f>Source!F40</f>
        <v>16-05-001-07</v>
      </c>
      <c r="C124" s="44" t="str">
        <f>Source!G40</f>
        <v>Установка  задвижекна трубопроводах из стальных труб диаметром до 250 мм</v>
      </c>
      <c r="D124" s="27" t="str">
        <f>Source!H40</f>
        <v>ШТ</v>
      </c>
      <c r="E124" s="11">
        <f>Source!I40</f>
        <v>1</v>
      </c>
      <c r="F124" s="28">
        <f>Source!AL40+Source!AM40+Source!AO40</f>
        <v>283.45</v>
      </c>
      <c r="G124" s="29"/>
      <c r="H124" s="28"/>
      <c r="I124" s="29" t="str">
        <f>Source!BO40</f>
        <v/>
      </c>
      <c r="J124" s="29"/>
      <c r="K124" s="28"/>
      <c r="L124" s="30"/>
      <c r="S124">
        <f>ROUND((Source!FX40/100)*((ROUND(Source!AF40*Source!I40, 2)+ROUND(Source!AE40*Source!I40, 2))), 2)</f>
        <v>136.13</v>
      </c>
      <c r="T124">
        <f>Source!X40</f>
        <v>880.61</v>
      </c>
      <c r="U124">
        <f>ROUND((Source!FY40/100)*((ROUND(Source!AF40*Source!I40, 2)+ROUND(Source!AE40*Source!I40, 2))), 2)</f>
        <v>83.37</v>
      </c>
      <c r="V124">
        <f>Source!Y40</f>
        <v>543.67999999999995</v>
      </c>
    </row>
    <row r="125" spans="1:26" ht="14.25" x14ac:dyDescent="0.2">
      <c r="A125" s="43"/>
      <c r="B125" s="44"/>
      <c r="C125" s="44" t="s">
        <v>405</v>
      </c>
      <c r="D125" s="27"/>
      <c r="E125" s="11"/>
      <c r="F125" s="28">
        <f>Source!AO40</f>
        <v>99.77</v>
      </c>
      <c r="G125" s="29" t="str">
        <f>Source!DG40</f>
        <v>)*1,15</v>
      </c>
      <c r="H125" s="28">
        <f>ROUND(Source!AF40*Source!I40, 2)</f>
        <v>114.74</v>
      </c>
      <c r="I125" s="29"/>
      <c r="J125" s="29">
        <f>IF(Source!BA40&lt;&gt; 0, Source!BA40, 1)</f>
        <v>6.48</v>
      </c>
      <c r="K125" s="28">
        <f>Source!S40</f>
        <v>743.52</v>
      </c>
      <c r="L125" s="30"/>
      <c r="R125">
        <f>H125</f>
        <v>114.74</v>
      </c>
    </row>
    <row r="126" spans="1:26" ht="14.25" x14ac:dyDescent="0.2">
      <c r="A126" s="43"/>
      <c r="B126" s="44"/>
      <c r="C126" s="44" t="s">
        <v>178</v>
      </c>
      <c r="D126" s="27"/>
      <c r="E126" s="11"/>
      <c r="F126" s="28">
        <f>Source!AM40</f>
        <v>32.049999999999997</v>
      </c>
      <c r="G126" s="29" t="str">
        <f>Source!DE40</f>
        <v>)*1,25</v>
      </c>
      <c r="H126" s="28">
        <f>ROUND(Source!AD40*Source!I40, 2)</f>
        <v>40.07</v>
      </c>
      <c r="I126" s="29"/>
      <c r="J126" s="29">
        <f>IF(Source!BB40&lt;&gt; 0, Source!BB40, 1)</f>
        <v>6.48</v>
      </c>
      <c r="K126" s="28">
        <f>Source!Q40</f>
        <v>259.64999999999998</v>
      </c>
      <c r="L126" s="30"/>
    </row>
    <row r="127" spans="1:26" ht="14.25" x14ac:dyDescent="0.2">
      <c r="A127" s="43"/>
      <c r="B127" s="44"/>
      <c r="C127" s="44" t="s">
        <v>411</v>
      </c>
      <c r="D127" s="27"/>
      <c r="E127" s="11"/>
      <c r="F127" s="28">
        <f>Source!AN40</f>
        <v>2.74</v>
      </c>
      <c r="G127" s="29" t="str">
        <f>Source!DF40</f>
        <v>)*1,25</v>
      </c>
      <c r="H127" s="38">
        <f>ROUND(Source!AE40*Source!I40, 2)</f>
        <v>3.43</v>
      </c>
      <c r="I127" s="29"/>
      <c r="J127" s="29">
        <f>IF(Source!BS40&lt;&gt; 0, Source!BS40, 1)</f>
        <v>6.48</v>
      </c>
      <c r="K127" s="38">
        <f>Source!R40</f>
        <v>22.23</v>
      </c>
      <c r="L127" s="30"/>
      <c r="R127">
        <f>H127</f>
        <v>3.43</v>
      </c>
    </row>
    <row r="128" spans="1:26" ht="14.25" x14ac:dyDescent="0.2">
      <c r="A128" s="43"/>
      <c r="B128" s="44"/>
      <c r="C128" s="44" t="s">
        <v>412</v>
      </c>
      <c r="D128" s="27"/>
      <c r="E128" s="11"/>
      <c r="F128" s="28">
        <f>Source!AL40</f>
        <v>151.63</v>
      </c>
      <c r="G128" s="29" t="str">
        <f>Source!DD40</f>
        <v/>
      </c>
      <c r="H128" s="28">
        <f>ROUND(Source!AC40*Source!I40, 2)</f>
        <v>151.63</v>
      </c>
      <c r="I128" s="29"/>
      <c r="J128" s="29">
        <f>IF(Source!BC40&lt;&gt; 0, Source!BC40, 1)</f>
        <v>6.48</v>
      </c>
      <c r="K128" s="28">
        <f>Source!P40</f>
        <v>982.56</v>
      </c>
      <c r="L128" s="30"/>
    </row>
    <row r="129" spans="1:26" ht="14.25" x14ac:dyDescent="0.2">
      <c r="A129" s="43"/>
      <c r="B129" s="44"/>
      <c r="C129" s="44" t="s">
        <v>406</v>
      </c>
      <c r="D129" s="27" t="s">
        <v>407</v>
      </c>
      <c r="E129" s="11">
        <f>Source!BZ40</f>
        <v>128</v>
      </c>
      <c r="F129" s="66" t="str">
        <f>CONCATENATE(" )", Source!DL40, Source!FT40, "=", Source!FX40)</f>
        <v xml:space="preserve"> )*0,9=115,2</v>
      </c>
      <c r="G129" s="67"/>
      <c r="H129" s="28">
        <f>SUM(S124:S132)</f>
        <v>136.13</v>
      </c>
      <c r="I129" s="31"/>
      <c r="J129" s="25">
        <f>Source!AT40</f>
        <v>115</v>
      </c>
      <c r="K129" s="28">
        <f>SUM(T124:T132)</f>
        <v>880.61</v>
      </c>
      <c r="L129" s="30"/>
    </row>
    <row r="130" spans="1:26" ht="14.25" x14ac:dyDescent="0.2">
      <c r="A130" s="43"/>
      <c r="B130" s="44"/>
      <c r="C130" s="44" t="s">
        <v>408</v>
      </c>
      <c r="D130" s="27" t="s">
        <v>407</v>
      </c>
      <c r="E130" s="11">
        <f>Source!CA40</f>
        <v>83</v>
      </c>
      <c r="F130" s="66" t="str">
        <f>CONCATENATE(" )", Source!DM40, Source!FU40, "=", Source!FY40)</f>
        <v xml:space="preserve"> )*0,85=70,55</v>
      </c>
      <c r="G130" s="67"/>
      <c r="H130" s="28">
        <f>SUM(U124:U132)</f>
        <v>83.37</v>
      </c>
      <c r="I130" s="31"/>
      <c r="J130" s="25">
        <f>Source!AU40</f>
        <v>71</v>
      </c>
      <c r="K130" s="28">
        <f>SUM(V124:V132)</f>
        <v>543.67999999999995</v>
      </c>
      <c r="L130" s="30"/>
    </row>
    <row r="131" spans="1:26" ht="14.25" x14ac:dyDescent="0.2">
      <c r="A131" s="43"/>
      <c r="B131" s="44"/>
      <c r="C131" s="44" t="s">
        <v>409</v>
      </c>
      <c r="D131" s="27" t="s">
        <v>410</v>
      </c>
      <c r="E131" s="11">
        <f>Source!AQ40</f>
        <v>10.74</v>
      </c>
      <c r="F131" s="28"/>
      <c r="G131" s="29" t="str">
        <f>Source!DI40</f>
        <v>)*1,15</v>
      </c>
      <c r="H131" s="28"/>
      <c r="I131" s="29"/>
      <c r="J131" s="29"/>
      <c r="K131" s="28"/>
      <c r="L131" s="39">
        <f>Source!U40</f>
        <v>12.350999999999999</v>
      </c>
    </row>
    <row r="132" spans="1:26" ht="71.25" x14ac:dyDescent="0.2">
      <c r="A132" s="45" t="str">
        <f>Source!E41</f>
        <v>13,1</v>
      </c>
      <c r="B132" s="46" t="str">
        <f>Source!F41</f>
        <v>18.1.02.01-0106</v>
      </c>
      <c r="C132" s="46" t="str">
        <f>Source!G41</f>
        <v>Задвижки клиновые с выдвижным шпинделем фланцевые для воды, пара и нефтепродуктов давлением 1,6 МПа (16 кгс/см2) 30с941нж диаметром 250 мм</v>
      </c>
      <c r="D132" s="32" t="str">
        <f>Source!H41</f>
        <v>шт.</v>
      </c>
      <c r="E132" s="33">
        <f>Source!I41</f>
        <v>1</v>
      </c>
      <c r="F132" s="34">
        <f>Source!AL41+Source!AM41+Source!AO41</f>
        <v>7902.22</v>
      </c>
      <c r="G132" s="40" t="s">
        <v>3</v>
      </c>
      <c r="H132" s="34">
        <f>ROUND(Source!AC41*Source!I41, 2)+ROUND(Source!AD41*Source!I41, 2)+ROUND(Source!AF41*Source!I41, 2)</f>
        <v>7902.22</v>
      </c>
      <c r="I132" s="35"/>
      <c r="J132" s="35">
        <f>IF(Source!BC41&lt;&gt; 0, Source!BC41, 1)</f>
        <v>6.48</v>
      </c>
      <c r="K132" s="34">
        <f>Source!O41</f>
        <v>51206.39</v>
      </c>
      <c r="L132" s="41"/>
      <c r="S132">
        <f>ROUND((Source!FX41/100)*((ROUND(Source!AF41*Source!I41, 2)+ROUND(Source!AE41*Source!I41, 2))), 2)</f>
        <v>0</v>
      </c>
      <c r="T132">
        <f>Source!X41</f>
        <v>0</v>
      </c>
      <c r="U132">
        <f>ROUND((Source!FY41/100)*((ROUND(Source!AF41*Source!I41, 2)+ROUND(Source!AE41*Source!I41, 2))), 2)</f>
        <v>0</v>
      </c>
      <c r="V132">
        <f>Source!Y41</f>
        <v>0</v>
      </c>
      <c r="W132">
        <f>IF(Source!BI41&lt;=1,H132, 0)</f>
        <v>7902.22</v>
      </c>
      <c r="X132">
        <f>IF(Source!BI41=2,H132, 0)</f>
        <v>0</v>
      </c>
      <c r="Y132">
        <f>IF(Source!BI41=3,H132, 0)</f>
        <v>0</v>
      </c>
      <c r="Z132">
        <f>IF(Source!BI41=4,H132, 0)</f>
        <v>0</v>
      </c>
    </row>
    <row r="133" spans="1:26" ht="15" x14ac:dyDescent="0.25">
      <c r="G133" s="68">
        <f>H125+H126+H128+H129+H130+SUM(H132:H132)</f>
        <v>8428.16</v>
      </c>
      <c r="H133" s="68"/>
      <c r="J133" s="68">
        <f>K125+K126+K128+K129+K130+SUM(K132:K132)</f>
        <v>54616.409999999996</v>
      </c>
      <c r="K133" s="68"/>
      <c r="L133" s="37">
        <f>Source!U40</f>
        <v>12.350999999999999</v>
      </c>
      <c r="O133" s="21">
        <f>G133</f>
        <v>8428.16</v>
      </c>
      <c r="P133" s="21">
        <f>J133</f>
        <v>54616.409999999996</v>
      </c>
      <c r="Q133" s="21">
        <f>L133</f>
        <v>12.350999999999999</v>
      </c>
      <c r="W133">
        <f>IF(Source!BI40&lt;=1,H125+H126+H128+H129+H130, 0)</f>
        <v>525.94000000000005</v>
      </c>
      <c r="X133">
        <f>IF(Source!BI40=2,H125+H126+H128+H129+H130, 0)</f>
        <v>0</v>
      </c>
      <c r="Y133">
        <f>IF(Source!BI40=3,H125+H126+H128+H129+H130, 0)</f>
        <v>0</v>
      </c>
      <c r="Z133">
        <f>IF(Source!BI40=4,H125+H126+H128+H129+H130, 0)</f>
        <v>0</v>
      </c>
    </row>
    <row r="134" spans="1:26" ht="42.75" x14ac:dyDescent="0.2">
      <c r="A134" s="43" t="str">
        <f>Source!E42</f>
        <v>14</v>
      </c>
      <c r="B134" s="44" t="str">
        <f>Source!F42</f>
        <v>16-05-001-06</v>
      </c>
      <c r="C134" s="44" t="str">
        <f>Source!G42</f>
        <v>Установка  задвижек на трубопроводах из стальных труб диаметром до 200 мм (тепловом узле)</v>
      </c>
      <c r="D134" s="27" t="str">
        <f>Source!H42</f>
        <v>ШТ</v>
      </c>
      <c r="E134" s="11">
        <f>Source!I42</f>
        <v>5</v>
      </c>
      <c r="F134" s="28">
        <f>Source!AL42+Source!AM42+Source!AO42</f>
        <v>198.23000000000002</v>
      </c>
      <c r="G134" s="29"/>
      <c r="H134" s="28"/>
      <c r="I134" s="29" t="str">
        <f>Source!BO42</f>
        <v/>
      </c>
      <c r="J134" s="29"/>
      <c r="K134" s="28"/>
      <c r="L134" s="30"/>
      <c r="S134">
        <f>ROUND((Source!FX42/100)*((ROUND(Source!AF42*Source!I42, 2)+ROUND(Source!AE42*Source!I42, 2))), 2)</f>
        <v>531.59</v>
      </c>
      <c r="T134">
        <f>Source!X42</f>
        <v>3438.73</v>
      </c>
      <c r="U134">
        <f>ROUND((Source!FY42/100)*((ROUND(Source!AF42*Source!I42, 2)+ROUND(Source!AE42*Source!I42, 2))), 2)</f>
        <v>325.55</v>
      </c>
      <c r="V134">
        <f>Source!Y42</f>
        <v>2123.04</v>
      </c>
    </row>
    <row r="135" spans="1:26" ht="14.25" x14ac:dyDescent="0.2">
      <c r="A135" s="43"/>
      <c r="B135" s="44"/>
      <c r="C135" s="44" t="s">
        <v>405</v>
      </c>
      <c r="D135" s="27"/>
      <c r="E135" s="11"/>
      <c r="F135" s="28">
        <f>Source!AO42</f>
        <v>78.09</v>
      </c>
      <c r="G135" s="29" t="str">
        <f>Source!DG42</f>
        <v>)*1,15</v>
      </c>
      <c r="H135" s="28">
        <f>ROUND(Source!AF42*Source!I42, 2)</f>
        <v>449</v>
      </c>
      <c r="I135" s="29"/>
      <c r="J135" s="29">
        <f>IF(Source!BA42&lt;&gt; 0, Source!BA42, 1)</f>
        <v>6.48</v>
      </c>
      <c r="K135" s="28">
        <f>Source!S42</f>
        <v>2909.52</v>
      </c>
      <c r="L135" s="30"/>
      <c r="R135">
        <f>H135</f>
        <v>449</v>
      </c>
    </row>
    <row r="136" spans="1:26" ht="14.25" x14ac:dyDescent="0.2">
      <c r="A136" s="43"/>
      <c r="B136" s="44"/>
      <c r="C136" s="44" t="s">
        <v>178</v>
      </c>
      <c r="D136" s="27"/>
      <c r="E136" s="11"/>
      <c r="F136" s="28">
        <f>Source!AM42</f>
        <v>22.86</v>
      </c>
      <c r="G136" s="29" t="str">
        <f>Source!DE42</f>
        <v>)*1,25</v>
      </c>
      <c r="H136" s="28">
        <f>ROUND(Source!AD42*Source!I42, 2)</f>
        <v>142.9</v>
      </c>
      <c r="I136" s="29"/>
      <c r="J136" s="29">
        <f>IF(Source!BB42&lt;&gt; 0, Source!BB42, 1)</f>
        <v>6.48</v>
      </c>
      <c r="K136" s="28">
        <f>Source!Q42</f>
        <v>925.99</v>
      </c>
      <c r="L136" s="30"/>
    </row>
    <row r="137" spans="1:26" ht="14.25" x14ac:dyDescent="0.2">
      <c r="A137" s="43"/>
      <c r="B137" s="44"/>
      <c r="C137" s="44" t="s">
        <v>411</v>
      </c>
      <c r="D137" s="27"/>
      <c r="E137" s="11"/>
      <c r="F137" s="28">
        <f>Source!AN42</f>
        <v>1.99</v>
      </c>
      <c r="G137" s="29" t="str">
        <f>Source!DF42</f>
        <v>)*1,25</v>
      </c>
      <c r="H137" s="38">
        <f>ROUND(Source!AE42*Source!I42, 2)</f>
        <v>12.45</v>
      </c>
      <c r="I137" s="29"/>
      <c r="J137" s="29">
        <f>IF(Source!BS42&lt;&gt; 0, Source!BS42, 1)</f>
        <v>6.48</v>
      </c>
      <c r="K137" s="38">
        <f>Source!R42</f>
        <v>80.680000000000007</v>
      </c>
      <c r="L137" s="30"/>
      <c r="R137">
        <f>H137</f>
        <v>12.45</v>
      </c>
    </row>
    <row r="138" spans="1:26" ht="14.25" x14ac:dyDescent="0.2">
      <c r="A138" s="43"/>
      <c r="B138" s="44"/>
      <c r="C138" s="44" t="s">
        <v>412</v>
      </c>
      <c r="D138" s="27"/>
      <c r="E138" s="11"/>
      <c r="F138" s="28">
        <f>Source!AL42</f>
        <v>97.28</v>
      </c>
      <c r="G138" s="29" t="str">
        <f>Source!DD42</f>
        <v/>
      </c>
      <c r="H138" s="28">
        <f>ROUND(Source!AC42*Source!I42, 2)</f>
        <v>486.4</v>
      </c>
      <c r="I138" s="29"/>
      <c r="J138" s="29">
        <f>IF(Source!BC42&lt;&gt; 0, Source!BC42, 1)</f>
        <v>6.48</v>
      </c>
      <c r="K138" s="28">
        <f>Source!P42</f>
        <v>3151.87</v>
      </c>
      <c r="L138" s="30"/>
    </row>
    <row r="139" spans="1:26" ht="14.25" x14ac:dyDescent="0.2">
      <c r="A139" s="43"/>
      <c r="B139" s="44"/>
      <c r="C139" s="44" t="s">
        <v>406</v>
      </c>
      <c r="D139" s="27" t="s">
        <v>407</v>
      </c>
      <c r="E139" s="11">
        <f>Source!BZ42</f>
        <v>128</v>
      </c>
      <c r="F139" s="66" t="str">
        <f>CONCATENATE(" )", Source!DL42, Source!FT42, "=", Source!FX42)</f>
        <v xml:space="preserve"> )*0,9=115,2</v>
      </c>
      <c r="G139" s="67"/>
      <c r="H139" s="28">
        <f>SUM(S134:S142)</f>
        <v>531.59</v>
      </c>
      <c r="I139" s="31"/>
      <c r="J139" s="25">
        <f>Source!AT42</f>
        <v>115</v>
      </c>
      <c r="K139" s="28">
        <f>SUM(T134:T142)</f>
        <v>3438.73</v>
      </c>
      <c r="L139" s="30"/>
    </row>
    <row r="140" spans="1:26" ht="14.25" x14ac:dyDescent="0.2">
      <c r="A140" s="43"/>
      <c r="B140" s="44"/>
      <c r="C140" s="44" t="s">
        <v>408</v>
      </c>
      <c r="D140" s="27" t="s">
        <v>407</v>
      </c>
      <c r="E140" s="11">
        <f>Source!CA42</f>
        <v>83</v>
      </c>
      <c r="F140" s="66" t="str">
        <f>CONCATENATE(" )", Source!DM42, Source!FU42, "=", Source!FY42)</f>
        <v xml:space="preserve"> )*0,85=70,55</v>
      </c>
      <c r="G140" s="67"/>
      <c r="H140" s="28">
        <f>SUM(U134:U142)</f>
        <v>325.55</v>
      </c>
      <c r="I140" s="31"/>
      <c r="J140" s="25">
        <f>Source!AU42</f>
        <v>71</v>
      </c>
      <c r="K140" s="28">
        <f>SUM(V134:V142)</f>
        <v>2123.04</v>
      </c>
      <c r="L140" s="30"/>
    </row>
    <row r="141" spans="1:26" ht="14.25" x14ac:dyDescent="0.2">
      <c r="A141" s="43"/>
      <c r="B141" s="44"/>
      <c r="C141" s="44" t="s">
        <v>409</v>
      </c>
      <c r="D141" s="27" t="s">
        <v>410</v>
      </c>
      <c r="E141" s="11">
        <f>Source!AQ42</f>
        <v>8.61</v>
      </c>
      <c r="F141" s="28"/>
      <c r="G141" s="29" t="str">
        <f>Source!DI42</f>
        <v>)*1,15</v>
      </c>
      <c r="H141" s="28"/>
      <c r="I141" s="29"/>
      <c r="J141" s="29"/>
      <c r="K141" s="28"/>
      <c r="L141" s="39">
        <f>Source!U42</f>
        <v>49.507499999999993</v>
      </c>
    </row>
    <row r="142" spans="1:26" ht="71.25" x14ac:dyDescent="0.2">
      <c r="A142" s="45" t="str">
        <f>Source!E43</f>
        <v>14,1</v>
      </c>
      <c r="B142" s="46" t="str">
        <f>Source!F43</f>
        <v>18.1.02.01-0105</v>
      </c>
      <c r="C142" s="46" t="str">
        <f>Source!G43</f>
        <v>Задвижки клиновые с выдвижным шпинделем фланцевые для воды, пара и нефтепродуктов давлением 1,6 МПа (16 кгс/см2) 30с941нж диаметром 200 мм</v>
      </c>
      <c r="D142" s="32" t="str">
        <f>Source!H43</f>
        <v>шт.</v>
      </c>
      <c r="E142" s="33">
        <f>Source!I43</f>
        <v>5</v>
      </c>
      <c r="F142" s="34">
        <f>Source!AL43+Source!AM43+Source!AO43</f>
        <v>4393.92</v>
      </c>
      <c r="G142" s="40" t="s">
        <v>3</v>
      </c>
      <c r="H142" s="34">
        <f>ROUND(Source!AC43*Source!I43, 2)+ROUND(Source!AD43*Source!I43, 2)+ROUND(Source!AF43*Source!I43, 2)</f>
        <v>21969.599999999999</v>
      </c>
      <c r="I142" s="35"/>
      <c r="J142" s="35">
        <f>IF(Source!BC43&lt;&gt; 0, Source!BC43, 1)</f>
        <v>6.48</v>
      </c>
      <c r="K142" s="34">
        <f>Source!O43</f>
        <v>142363.01</v>
      </c>
      <c r="L142" s="41"/>
      <c r="S142">
        <f>ROUND((Source!FX43/100)*((ROUND(Source!AF43*Source!I43, 2)+ROUND(Source!AE43*Source!I43, 2))), 2)</f>
        <v>0</v>
      </c>
      <c r="T142">
        <f>Source!X43</f>
        <v>0</v>
      </c>
      <c r="U142">
        <f>ROUND((Source!FY43/100)*((ROUND(Source!AF43*Source!I43, 2)+ROUND(Source!AE43*Source!I43, 2))), 2)</f>
        <v>0</v>
      </c>
      <c r="V142">
        <f>Source!Y43</f>
        <v>0</v>
      </c>
      <c r="W142">
        <f>IF(Source!BI43&lt;=1,H142, 0)</f>
        <v>21969.599999999999</v>
      </c>
      <c r="X142">
        <f>IF(Source!BI43=2,H142, 0)</f>
        <v>0</v>
      </c>
      <c r="Y142">
        <f>IF(Source!BI43=3,H142, 0)</f>
        <v>0</v>
      </c>
      <c r="Z142">
        <f>IF(Source!BI43=4,H142, 0)</f>
        <v>0</v>
      </c>
    </row>
    <row r="143" spans="1:26" ht="15" x14ac:dyDescent="0.25">
      <c r="G143" s="68">
        <f>H135+H136+H138+H139+H140+SUM(H142:H142)</f>
        <v>23905.039999999997</v>
      </c>
      <c r="H143" s="68"/>
      <c r="J143" s="68">
        <f>K135+K136+K138+K139+K140+SUM(K142:K142)</f>
        <v>154912.16</v>
      </c>
      <c r="K143" s="68"/>
      <c r="L143" s="37">
        <f>Source!U42</f>
        <v>49.507499999999993</v>
      </c>
      <c r="O143" s="21">
        <f>G143</f>
        <v>23905.039999999997</v>
      </c>
      <c r="P143" s="21">
        <f>J143</f>
        <v>154912.16</v>
      </c>
      <c r="Q143" s="21">
        <f>L143</f>
        <v>49.507499999999993</v>
      </c>
      <c r="W143">
        <f>IF(Source!BI42&lt;=1,H135+H136+H138+H139+H140, 0)</f>
        <v>1935.4399999999998</v>
      </c>
      <c r="X143">
        <f>IF(Source!BI42=2,H135+H136+H138+H139+H140, 0)</f>
        <v>0</v>
      </c>
      <c r="Y143">
        <f>IF(Source!BI42=3,H135+H136+H138+H139+H140, 0)</f>
        <v>0</v>
      </c>
      <c r="Z143">
        <f>IF(Source!BI42=4,H135+H136+H138+H139+H140, 0)</f>
        <v>0</v>
      </c>
    </row>
    <row r="144" spans="1:26" ht="42.75" x14ac:dyDescent="0.2">
      <c r="A144" s="43" t="str">
        <f>Source!E44</f>
        <v>15</v>
      </c>
      <c r="B144" s="44" t="str">
        <f>Source!F44</f>
        <v>16-05-001-01</v>
      </c>
      <c r="C144" s="44" t="str">
        <f>Source!G44</f>
        <v>Установка, кранов проходных на трубопроводах из стальных труб диаметром до 25 мм (Стояки)</v>
      </c>
      <c r="D144" s="27" t="str">
        <f>Source!H44</f>
        <v>ШТ</v>
      </c>
      <c r="E144" s="11">
        <f>Source!I44</f>
        <v>252</v>
      </c>
      <c r="F144" s="28">
        <f>Source!AL44+Source!AM44+Source!AO44</f>
        <v>42.04</v>
      </c>
      <c r="G144" s="29"/>
      <c r="H144" s="28"/>
      <c r="I144" s="29" t="str">
        <f>Source!BO44</f>
        <v/>
      </c>
      <c r="J144" s="29"/>
      <c r="K144" s="28"/>
      <c r="L144" s="30"/>
      <c r="S144">
        <f>ROUND((Source!FX44/100)*((ROUND(Source!AF44*Source!I44, 2)+ROUND(Source!AE44*Source!I44, 2))), 2)</f>
        <v>4493.91</v>
      </c>
      <c r="T144">
        <f>Source!X44</f>
        <v>29069.95</v>
      </c>
      <c r="U144">
        <f>ROUND((Source!FY44/100)*((ROUND(Source!AF44*Source!I44, 2)+ROUND(Source!AE44*Source!I44, 2))), 2)</f>
        <v>2752.13</v>
      </c>
      <c r="V144">
        <f>Source!Y44</f>
        <v>17947.54</v>
      </c>
    </row>
    <row r="145" spans="1:26" ht="14.25" x14ac:dyDescent="0.2">
      <c r="A145" s="43"/>
      <c r="B145" s="44"/>
      <c r="C145" s="44" t="s">
        <v>405</v>
      </c>
      <c r="D145" s="27"/>
      <c r="E145" s="11"/>
      <c r="F145" s="28">
        <f>Source!AO44</f>
        <v>13.33</v>
      </c>
      <c r="G145" s="29" t="str">
        <f>Source!DG44</f>
        <v>)*1,15</v>
      </c>
      <c r="H145" s="28">
        <f>ROUND(Source!AF44*Source!I44, 2)</f>
        <v>3863.16</v>
      </c>
      <c r="I145" s="29"/>
      <c r="J145" s="29">
        <f>IF(Source!BA44&lt;&gt; 0, Source!BA44, 1)</f>
        <v>6.48</v>
      </c>
      <c r="K145" s="28">
        <f>Source!S44</f>
        <v>25033.279999999999</v>
      </c>
      <c r="L145" s="30"/>
      <c r="R145">
        <f>H145</f>
        <v>3863.16</v>
      </c>
    </row>
    <row r="146" spans="1:26" ht="14.25" x14ac:dyDescent="0.2">
      <c r="A146" s="43"/>
      <c r="B146" s="44"/>
      <c r="C146" s="44" t="s">
        <v>178</v>
      </c>
      <c r="D146" s="27"/>
      <c r="E146" s="11"/>
      <c r="F146" s="28">
        <f>Source!AM44</f>
        <v>3.5</v>
      </c>
      <c r="G146" s="29" t="str">
        <f>Source!DE44</f>
        <v>)*1,25</v>
      </c>
      <c r="H146" s="28">
        <f>ROUND(Source!AD44*Source!I44, 2)</f>
        <v>1103.76</v>
      </c>
      <c r="I146" s="29"/>
      <c r="J146" s="29">
        <f>IF(Source!BB44&lt;&gt; 0, Source!BB44, 1)</f>
        <v>6.48</v>
      </c>
      <c r="K146" s="28">
        <f>Source!Q44</f>
        <v>7152.36</v>
      </c>
      <c r="L146" s="30"/>
    </row>
    <row r="147" spans="1:26" ht="14.25" x14ac:dyDescent="0.2">
      <c r="A147" s="43"/>
      <c r="B147" s="44"/>
      <c r="C147" s="44" t="s">
        <v>411</v>
      </c>
      <c r="D147" s="27"/>
      <c r="E147" s="11"/>
      <c r="F147" s="28">
        <f>Source!AN44</f>
        <v>0.12</v>
      </c>
      <c r="G147" s="29" t="str">
        <f>Source!DF44</f>
        <v>)*1,25</v>
      </c>
      <c r="H147" s="38">
        <f>ROUND(Source!AE44*Source!I44, 2)</f>
        <v>37.799999999999997</v>
      </c>
      <c r="I147" s="29"/>
      <c r="J147" s="29">
        <f>IF(Source!BS44&lt;&gt; 0, Source!BS44, 1)</f>
        <v>6.48</v>
      </c>
      <c r="K147" s="38">
        <f>Source!R44</f>
        <v>244.94</v>
      </c>
      <c r="L147" s="30"/>
      <c r="R147">
        <f>H147</f>
        <v>37.799999999999997</v>
      </c>
    </row>
    <row r="148" spans="1:26" ht="14.25" x14ac:dyDescent="0.2">
      <c r="A148" s="43"/>
      <c r="B148" s="44"/>
      <c r="C148" s="44" t="s">
        <v>412</v>
      </c>
      <c r="D148" s="27"/>
      <c r="E148" s="11"/>
      <c r="F148" s="28">
        <f>Source!AL44</f>
        <v>25.21</v>
      </c>
      <c r="G148" s="29" t="str">
        <f>Source!DD44</f>
        <v/>
      </c>
      <c r="H148" s="28">
        <f>ROUND(Source!AC44*Source!I44, 2)</f>
        <v>6352.92</v>
      </c>
      <c r="I148" s="29"/>
      <c r="J148" s="29">
        <f>IF(Source!BC44&lt;&gt; 0, Source!BC44, 1)</f>
        <v>6.48</v>
      </c>
      <c r="K148" s="28">
        <f>Source!P44</f>
        <v>41166.92</v>
      </c>
      <c r="L148" s="30"/>
    </row>
    <row r="149" spans="1:26" ht="14.25" x14ac:dyDescent="0.2">
      <c r="A149" s="43"/>
      <c r="B149" s="44"/>
      <c r="C149" s="44" t="s">
        <v>406</v>
      </c>
      <c r="D149" s="27" t="s">
        <v>407</v>
      </c>
      <c r="E149" s="11">
        <f>Source!BZ44</f>
        <v>128</v>
      </c>
      <c r="F149" s="66" t="str">
        <f>CONCATENATE(" )", Source!DL44, Source!FT44, "=", Source!FX44)</f>
        <v xml:space="preserve"> )*0,9=115,2</v>
      </c>
      <c r="G149" s="67"/>
      <c r="H149" s="28">
        <f>SUM(S144:S152)</f>
        <v>4493.91</v>
      </c>
      <c r="I149" s="31"/>
      <c r="J149" s="25">
        <f>Source!AT44</f>
        <v>115</v>
      </c>
      <c r="K149" s="28">
        <f>SUM(T144:T152)</f>
        <v>29069.95</v>
      </c>
      <c r="L149" s="30"/>
    </row>
    <row r="150" spans="1:26" ht="14.25" x14ac:dyDescent="0.2">
      <c r="A150" s="43"/>
      <c r="B150" s="44"/>
      <c r="C150" s="44" t="s">
        <v>408</v>
      </c>
      <c r="D150" s="27" t="s">
        <v>407</v>
      </c>
      <c r="E150" s="11">
        <f>Source!CA44</f>
        <v>83</v>
      </c>
      <c r="F150" s="66" t="str">
        <f>CONCATENATE(" )", Source!DM44, Source!FU44, "=", Source!FY44)</f>
        <v xml:space="preserve"> )*0,85=70,55</v>
      </c>
      <c r="G150" s="67"/>
      <c r="H150" s="28">
        <f>SUM(U144:U152)</f>
        <v>2752.13</v>
      </c>
      <c r="I150" s="31"/>
      <c r="J150" s="25">
        <f>Source!AU44</f>
        <v>71</v>
      </c>
      <c r="K150" s="28">
        <f>SUM(V144:V152)</f>
        <v>17947.54</v>
      </c>
      <c r="L150" s="30"/>
    </row>
    <row r="151" spans="1:26" ht="14.25" x14ac:dyDescent="0.2">
      <c r="A151" s="43"/>
      <c r="B151" s="44"/>
      <c r="C151" s="44" t="s">
        <v>409</v>
      </c>
      <c r="D151" s="27" t="s">
        <v>410</v>
      </c>
      <c r="E151" s="11">
        <f>Source!AQ44</f>
        <v>1.47</v>
      </c>
      <c r="F151" s="28"/>
      <c r="G151" s="29" t="str">
        <f>Source!DI44</f>
        <v>)*1,15</v>
      </c>
      <c r="H151" s="28"/>
      <c r="I151" s="29"/>
      <c r="J151" s="29"/>
      <c r="K151" s="28"/>
      <c r="L151" s="39">
        <f>Source!U44</f>
        <v>426.00599999999997</v>
      </c>
    </row>
    <row r="152" spans="1:26" ht="28.5" x14ac:dyDescent="0.2">
      <c r="A152" s="45" t="str">
        <f>Source!E45</f>
        <v>15,1</v>
      </c>
      <c r="B152" s="46" t="str">
        <f>Source!F45</f>
        <v>18.1.09.06-0074</v>
      </c>
      <c r="C152" s="46" t="str">
        <f>Source!G45</f>
        <v>Кран шаровый муфтовый Valtec для воды диаметром 25 мм, тип в/н</v>
      </c>
      <c r="D152" s="32" t="str">
        <f>Source!H45</f>
        <v>шт.</v>
      </c>
      <c r="E152" s="33">
        <f>Source!I45</f>
        <v>252</v>
      </c>
      <c r="F152" s="34">
        <f>Source!AL45+Source!AM45+Source!AO45</f>
        <v>77.98</v>
      </c>
      <c r="G152" s="40" t="s">
        <v>3</v>
      </c>
      <c r="H152" s="34">
        <f>ROUND(Source!AC45*Source!I45, 2)+ROUND(Source!AD45*Source!I45, 2)+ROUND(Source!AF45*Source!I45, 2)</f>
        <v>19650.96</v>
      </c>
      <c r="I152" s="35"/>
      <c r="J152" s="35">
        <f>IF(Source!BC45&lt;&gt; 0, Source!BC45, 1)</f>
        <v>6.48</v>
      </c>
      <c r="K152" s="34">
        <f>Source!O45</f>
        <v>127338.22</v>
      </c>
      <c r="L152" s="41"/>
      <c r="S152">
        <f>ROUND((Source!FX45/100)*((ROUND(Source!AF45*Source!I45, 2)+ROUND(Source!AE45*Source!I45, 2))), 2)</f>
        <v>0</v>
      </c>
      <c r="T152">
        <f>Source!X45</f>
        <v>0</v>
      </c>
      <c r="U152">
        <f>ROUND((Source!FY45/100)*((ROUND(Source!AF45*Source!I45, 2)+ROUND(Source!AE45*Source!I45, 2))), 2)</f>
        <v>0</v>
      </c>
      <c r="V152">
        <f>Source!Y45</f>
        <v>0</v>
      </c>
      <c r="W152">
        <f>IF(Source!BI45&lt;=1,H152, 0)</f>
        <v>19650.96</v>
      </c>
      <c r="X152">
        <f>IF(Source!BI45=2,H152, 0)</f>
        <v>0</v>
      </c>
      <c r="Y152">
        <f>IF(Source!BI45=3,H152, 0)</f>
        <v>0</v>
      </c>
      <c r="Z152">
        <f>IF(Source!BI45=4,H152, 0)</f>
        <v>0</v>
      </c>
    </row>
    <row r="153" spans="1:26" ht="15" x14ac:dyDescent="0.25">
      <c r="G153" s="68">
        <f>H145+H146+H148+H149+H150+SUM(H152:H152)</f>
        <v>38216.839999999997</v>
      </c>
      <c r="H153" s="68"/>
      <c r="J153" s="68">
        <f>K145+K146+K148+K149+K150+SUM(K152:K152)</f>
        <v>247708.27</v>
      </c>
      <c r="K153" s="68"/>
      <c r="L153" s="37">
        <f>Source!U44</f>
        <v>426.00599999999997</v>
      </c>
      <c r="O153" s="21">
        <f>G153</f>
        <v>38216.839999999997</v>
      </c>
      <c r="P153" s="21">
        <f>J153</f>
        <v>247708.27</v>
      </c>
      <c r="Q153" s="21">
        <f>L153</f>
        <v>426.00599999999997</v>
      </c>
      <c r="W153">
        <f>IF(Source!BI44&lt;=1,H145+H146+H148+H149+H150, 0)</f>
        <v>18565.88</v>
      </c>
      <c r="X153">
        <f>IF(Source!BI44=2,H145+H146+H148+H149+H150, 0)</f>
        <v>0</v>
      </c>
      <c r="Y153">
        <f>IF(Source!BI44=3,H145+H146+H148+H149+H150, 0)</f>
        <v>0</v>
      </c>
      <c r="Z153">
        <f>IF(Source!BI44=4,H145+H146+H148+H149+H150, 0)</f>
        <v>0</v>
      </c>
    </row>
    <row r="154" spans="1:26" ht="28.5" x14ac:dyDescent="0.2">
      <c r="A154" s="43" t="str">
        <f>Source!E46</f>
        <v>16</v>
      </c>
      <c r="B154" s="44" t="str">
        <f>Source!F46</f>
        <v>65-16-2</v>
      </c>
      <c r="C154" s="44" t="str">
        <f>Source!G46</f>
        <v>Смена сгонов у трубопроводов диаметром до 32 мм</v>
      </c>
      <c r="D154" s="27" t="str">
        <f>Source!H46</f>
        <v>100 ШТ</v>
      </c>
      <c r="E154" s="11">
        <f>Source!I46</f>
        <v>2.52</v>
      </c>
      <c r="F154" s="28">
        <f>Source!AL46+Source!AM46+Source!AO46</f>
        <v>2156.87</v>
      </c>
      <c r="G154" s="29"/>
      <c r="H154" s="28"/>
      <c r="I154" s="29" t="str">
        <f>Source!BO46</f>
        <v/>
      </c>
      <c r="J154" s="29"/>
      <c r="K154" s="28"/>
      <c r="L154" s="30"/>
      <c r="S154">
        <f>ROUND((Source!FX46/100)*((ROUND(Source!AF46*Source!I46, 2)+ROUND(Source!AE46*Source!I46, 2))), 2)</f>
        <v>739.02</v>
      </c>
      <c r="T154">
        <f>Source!X46</f>
        <v>4788.8500000000004</v>
      </c>
      <c r="U154">
        <f>ROUND((Source!FY46/100)*((ROUND(Source!AF46*Source!I46, 2)+ROUND(Source!AE46*Source!I46, 2))), 2)</f>
        <v>499.34</v>
      </c>
      <c r="V154">
        <f>Source!Y46</f>
        <v>3235.71</v>
      </c>
    </row>
    <row r="155" spans="1:26" ht="14.25" x14ac:dyDescent="0.2">
      <c r="A155" s="43"/>
      <c r="B155" s="44"/>
      <c r="C155" s="44" t="s">
        <v>405</v>
      </c>
      <c r="D155" s="27"/>
      <c r="E155" s="11"/>
      <c r="F155" s="28">
        <f>Source!AO46</f>
        <v>395.62</v>
      </c>
      <c r="G155" s="29" t="str">
        <f>Source!DG46</f>
        <v/>
      </c>
      <c r="H155" s="28">
        <f>ROUND(Source!AF46*Source!I46, 2)</f>
        <v>996.96</v>
      </c>
      <c r="I155" s="29"/>
      <c r="J155" s="29">
        <f>IF(Source!BA46&lt;&gt; 0, Source!BA46, 1)</f>
        <v>6.48</v>
      </c>
      <c r="K155" s="28">
        <f>Source!S46</f>
        <v>6460.32</v>
      </c>
      <c r="L155" s="30"/>
      <c r="R155">
        <f>H155</f>
        <v>996.96</v>
      </c>
    </row>
    <row r="156" spans="1:26" ht="14.25" x14ac:dyDescent="0.2">
      <c r="A156" s="43"/>
      <c r="B156" s="44"/>
      <c r="C156" s="44" t="s">
        <v>178</v>
      </c>
      <c r="D156" s="27"/>
      <c r="E156" s="11"/>
      <c r="F156" s="28">
        <f>Source!AM46</f>
        <v>1.56</v>
      </c>
      <c r="G156" s="29" t="str">
        <f>Source!DE46</f>
        <v/>
      </c>
      <c r="H156" s="28">
        <f>ROUND(Source!AD46*Source!I46, 2)</f>
        <v>3.93</v>
      </c>
      <c r="I156" s="29"/>
      <c r="J156" s="29">
        <f>IF(Source!BB46&lt;&gt; 0, Source!BB46, 1)</f>
        <v>6.48</v>
      </c>
      <c r="K156" s="28">
        <f>Source!Q46</f>
        <v>25.47</v>
      </c>
      <c r="L156" s="30"/>
    </row>
    <row r="157" spans="1:26" ht="14.25" x14ac:dyDescent="0.2">
      <c r="A157" s="43"/>
      <c r="B157" s="44"/>
      <c r="C157" s="44" t="s">
        <v>411</v>
      </c>
      <c r="D157" s="27"/>
      <c r="E157" s="11"/>
      <c r="F157" s="28">
        <f>Source!AN46</f>
        <v>0.68</v>
      </c>
      <c r="G157" s="29" t="str">
        <f>Source!DF46</f>
        <v/>
      </c>
      <c r="H157" s="38">
        <f>ROUND(Source!AE46*Source!I46, 2)</f>
        <v>1.71</v>
      </c>
      <c r="I157" s="29"/>
      <c r="J157" s="29">
        <f>IF(Source!BS46&lt;&gt; 0, Source!BS46, 1)</f>
        <v>6.48</v>
      </c>
      <c r="K157" s="38">
        <f>Source!R46</f>
        <v>11.1</v>
      </c>
      <c r="L157" s="30"/>
      <c r="R157">
        <f>H157</f>
        <v>1.71</v>
      </c>
    </row>
    <row r="158" spans="1:26" ht="14.25" x14ac:dyDescent="0.2">
      <c r="A158" s="43"/>
      <c r="B158" s="44"/>
      <c r="C158" s="44" t="s">
        <v>412</v>
      </c>
      <c r="D158" s="27"/>
      <c r="E158" s="11"/>
      <c r="F158" s="28">
        <f>Source!AL46</f>
        <v>1759.69</v>
      </c>
      <c r="G158" s="29" t="str">
        <f>Source!DD46</f>
        <v/>
      </c>
      <c r="H158" s="28">
        <f>ROUND(Source!AC46*Source!I46, 2)</f>
        <v>4434.42</v>
      </c>
      <c r="I158" s="29"/>
      <c r="J158" s="29">
        <f>IF(Source!BC46&lt;&gt; 0, Source!BC46, 1)</f>
        <v>6.48</v>
      </c>
      <c r="K158" s="28">
        <f>Source!P46</f>
        <v>28735.03</v>
      </c>
      <c r="L158" s="30"/>
    </row>
    <row r="159" spans="1:26" ht="14.25" x14ac:dyDescent="0.2">
      <c r="A159" s="43"/>
      <c r="B159" s="44"/>
      <c r="C159" s="44" t="s">
        <v>406</v>
      </c>
      <c r="D159" s="27" t="s">
        <v>407</v>
      </c>
      <c r="E159" s="11">
        <f>Source!BZ46</f>
        <v>74</v>
      </c>
      <c r="F159" s="47"/>
      <c r="G159" s="29"/>
      <c r="H159" s="28">
        <f>SUM(S154:S163)</f>
        <v>739.02</v>
      </c>
      <c r="I159" s="31"/>
      <c r="J159" s="25">
        <f>Source!AT46</f>
        <v>74</v>
      </c>
      <c r="K159" s="28">
        <f>SUM(T154:T163)</f>
        <v>4788.8500000000004</v>
      </c>
      <c r="L159" s="30"/>
    </row>
    <row r="160" spans="1:26" ht="14.25" x14ac:dyDescent="0.2">
      <c r="A160" s="43"/>
      <c r="B160" s="44"/>
      <c r="C160" s="44" t="s">
        <v>408</v>
      </c>
      <c r="D160" s="27" t="s">
        <v>407</v>
      </c>
      <c r="E160" s="11">
        <f>Source!CA46</f>
        <v>50</v>
      </c>
      <c r="F160" s="47"/>
      <c r="G160" s="29"/>
      <c r="H160" s="28">
        <f>SUM(U154:U163)</f>
        <v>499.34</v>
      </c>
      <c r="I160" s="31"/>
      <c r="J160" s="25">
        <f>Source!AU46</f>
        <v>50</v>
      </c>
      <c r="K160" s="28">
        <f>SUM(V154:V163)</f>
        <v>3235.71</v>
      </c>
      <c r="L160" s="30"/>
    </row>
    <row r="161" spans="1:26" ht="14.25" x14ac:dyDescent="0.2">
      <c r="A161" s="43"/>
      <c r="B161" s="44"/>
      <c r="C161" s="44" t="s">
        <v>409</v>
      </c>
      <c r="D161" s="27" t="s">
        <v>410</v>
      </c>
      <c r="E161" s="11">
        <f>Source!AQ46</f>
        <v>41.6</v>
      </c>
      <c r="F161" s="28"/>
      <c r="G161" s="29" t="str">
        <f>Source!DI46</f>
        <v/>
      </c>
      <c r="H161" s="28"/>
      <c r="I161" s="29"/>
      <c r="J161" s="29"/>
      <c r="K161" s="28"/>
      <c r="L161" s="39">
        <f>Source!U46</f>
        <v>104.83200000000001</v>
      </c>
    </row>
    <row r="162" spans="1:26" ht="28.5" x14ac:dyDescent="0.2">
      <c r="A162" s="43" t="str">
        <f>Source!E47</f>
        <v>16,1</v>
      </c>
      <c r="B162" s="44" t="str">
        <f>Source!F47</f>
        <v>23.8.03.06-0007</v>
      </c>
      <c r="C162" s="44" t="str">
        <f>Source!G47</f>
        <v>Сгоны стальные с муфтой и контргайкой, диаметром 32 мм</v>
      </c>
      <c r="D162" s="27" t="str">
        <f>Source!H47</f>
        <v>шт.</v>
      </c>
      <c r="E162" s="11">
        <f>Source!I47</f>
        <v>-252</v>
      </c>
      <c r="F162" s="28">
        <f>Source!AL47+Source!AM47+Source!AO47</f>
        <v>17.059999999999999</v>
      </c>
      <c r="G162" s="42" t="s">
        <v>3</v>
      </c>
      <c r="H162" s="28">
        <f>ROUND(Source!AC47*Source!I47, 2)+ROUND(Source!AD47*Source!I47, 2)+ROUND(Source!AF47*Source!I47, 2)</f>
        <v>-4299.12</v>
      </c>
      <c r="I162" s="29"/>
      <c r="J162" s="29">
        <f>IF(Source!BC47&lt;&gt; 0, Source!BC47, 1)</f>
        <v>6.48</v>
      </c>
      <c r="K162" s="28">
        <f>Source!O47</f>
        <v>-27858.3</v>
      </c>
      <c r="L162" s="30"/>
      <c r="S162">
        <f>ROUND((Source!FX47/100)*((ROUND(Source!AF47*Source!I47, 2)+ROUND(Source!AE47*Source!I47, 2))), 2)</f>
        <v>0</v>
      </c>
      <c r="T162">
        <f>Source!X47</f>
        <v>0</v>
      </c>
      <c r="U162">
        <f>ROUND((Source!FY47/100)*((ROUND(Source!AF47*Source!I47, 2)+ROUND(Source!AE47*Source!I47, 2))), 2)</f>
        <v>0</v>
      </c>
      <c r="V162">
        <f>Source!Y47</f>
        <v>0</v>
      </c>
      <c r="W162">
        <f>IF(Source!BI47&lt;=1,H162, 0)</f>
        <v>-4299.12</v>
      </c>
      <c r="X162">
        <f>IF(Source!BI47=2,H162, 0)</f>
        <v>0</v>
      </c>
      <c r="Y162">
        <f>IF(Source!BI47=3,H162, 0)</f>
        <v>0</v>
      </c>
      <c r="Z162">
        <f>IF(Source!BI47=4,H162, 0)</f>
        <v>0</v>
      </c>
    </row>
    <row r="163" spans="1:26" ht="28.5" x14ac:dyDescent="0.2">
      <c r="A163" s="45" t="str">
        <f>Source!E48</f>
        <v>16,2</v>
      </c>
      <c r="B163" s="46" t="str">
        <f>Source!F48</f>
        <v>23.8.03.06-0005</v>
      </c>
      <c r="C163" s="46" t="str">
        <f>Source!G48</f>
        <v>Сгоны стальные с муфтой и контргайкой, диаметром 25 мм</v>
      </c>
      <c r="D163" s="32" t="str">
        <f>Source!H48</f>
        <v>шт.</v>
      </c>
      <c r="E163" s="33">
        <f>Source!I48</f>
        <v>252</v>
      </c>
      <c r="F163" s="34">
        <f>Source!AL48+Source!AM48+Source!AO48</f>
        <v>11.84</v>
      </c>
      <c r="G163" s="40" t="s">
        <v>3</v>
      </c>
      <c r="H163" s="34">
        <f>ROUND(Source!AC48*Source!I48, 2)+ROUND(Source!AD48*Source!I48, 2)+ROUND(Source!AF48*Source!I48, 2)</f>
        <v>2983.68</v>
      </c>
      <c r="I163" s="35"/>
      <c r="J163" s="35">
        <f>IF(Source!BC48&lt;&gt; 0, Source!BC48, 1)</f>
        <v>6.48</v>
      </c>
      <c r="K163" s="34">
        <f>Source!O48</f>
        <v>19334.25</v>
      </c>
      <c r="L163" s="41"/>
      <c r="S163">
        <f>ROUND((Source!FX48/100)*((ROUND(Source!AF48*Source!I48, 2)+ROUND(Source!AE48*Source!I48, 2))), 2)</f>
        <v>0</v>
      </c>
      <c r="T163">
        <f>Source!X48</f>
        <v>0</v>
      </c>
      <c r="U163">
        <f>ROUND((Source!FY48/100)*((ROUND(Source!AF48*Source!I48, 2)+ROUND(Source!AE48*Source!I48, 2))), 2)</f>
        <v>0</v>
      </c>
      <c r="V163">
        <f>Source!Y48</f>
        <v>0</v>
      </c>
      <c r="W163">
        <f>IF(Source!BI48&lt;=1,H163, 0)</f>
        <v>2983.68</v>
      </c>
      <c r="X163">
        <f>IF(Source!BI48=2,H163, 0)</f>
        <v>0</v>
      </c>
      <c r="Y163">
        <f>IF(Source!BI48=3,H163, 0)</f>
        <v>0</v>
      </c>
      <c r="Z163">
        <f>IF(Source!BI48=4,H163, 0)</f>
        <v>0</v>
      </c>
    </row>
    <row r="164" spans="1:26" ht="15" x14ac:dyDescent="0.25">
      <c r="G164" s="68">
        <f>H155+H156+H158+H159+H160+SUM(H162:H163)</f>
        <v>5358.23</v>
      </c>
      <c r="H164" s="68"/>
      <c r="J164" s="68">
        <f>K155+K156+K158+K159+K160+SUM(K162:K163)</f>
        <v>34721.33</v>
      </c>
      <c r="K164" s="68"/>
      <c r="L164" s="37">
        <f>Source!U46</f>
        <v>104.83200000000001</v>
      </c>
      <c r="O164" s="21">
        <f>G164</f>
        <v>5358.23</v>
      </c>
      <c r="P164" s="21">
        <f>J164</f>
        <v>34721.33</v>
      </c>
      <c r="Q164" s="21">
        <f>L164</f>
        <v>104.83200000000001</v>
      </c>
      <c r="W164">
        <f>IF(Source!BI46&lt;=1,H155+H156+H158+H159+H160, 0)</f>
        <v>6673.67</v>
      </c>
      <c r="X164">
        <f>IF(Source!BI46=2,H155+H156+H158+H159+H160, 0)</f>
        <v>0</v>
      </c>
      <c r="Y164">
        <f>IF(Source!BI46=3,H155+H156+H158+H159+H160, 0)</f>
        <v>0</v>
      </c>
      <c r="Z164">
        <f>IF(Source!BI46=4,H155+H156+H158+H159+H160, 0)</f>
        <v>0</v>
      </c>
    </row>
    <row r="165" spans="1:26" ht="42.75" x14ac:dyDescent="0.2">
      <c r="A165" s="43" t="str">
        <f>Source!E49</f>
        <v>17</v>
      </c>
      <c r="B165" s="44" t="str">
        <f>Source!F49</f>
        <v>22-03-007-05</v>
      </c>
      <c r="C165" s="44" t="str">
        <f>Source!G49</f>
        <v>Установка задвижек или клапанов обратных стальных диаметром 250 мм (колодец)</v>
      </c>
      <c r="D165" s="27" t="str">
        <f>Source!H49</f>
        <v>ШТ</v>
      </c>
      <c r="E165" s="11">
        <f>Source!I49</f>
        <v>13</v>
      </c>
      <c r="F165" s="28">
        <f>Source!AL49+Source!AM49+Source!AO49</f>
        <v>199.45000000000002</v>
      </c>
      <c r="G165" s="29"/>
      <c r="H165" s="28"/>
      <c r="I165" s="29" t="str">
        <f>Source!BO49</f>
        <v/>
      </c>
      <c r="J165" s="29"/>
      <c r="K165" s="28"/>
      <c r="L165" s="30"/>
      <c r="S165">
        <f>ROUND((Source!FX49/100)*((ROUND(Source!AF49*Source!I49, 2)+ROUND(Source!AE49*Source!I49, 2))), 2)</f>
        <v>1299.24</v>
      </c>
      <c r="T165">
        <f>Source!X49</f>
        <v>8419.06</v>
      </c>
      <c r="U165">
        <f>ROUND((Source!FY49/100)*((ROUND(Source!AF49*Source!I49, 2)+ROUND(Source!AE49*Source!I49, 2))), 2)</f>
        <v>840.06</v>
      </c>
      <c r="V165">
        <f>Source!Y49</f>
        <v>5468.79</v>
      </c>
    </row>
    <row r="166" spans="1:26" ht="14.25" x14ac:dyDescent="0.2">
      <c r="A166" s="43"/>
      <c r="B166" s="44"/>
      <c r="C166" s="44" t="s">
        <v>405</v>
      </c>
      <c r="D166" s="27"/>
      <c r="E166" s="11"/>
      <c r="F166" s="28">
        <f>Source!AO49</f>
        <v>64.900000000000006</v>
      </c>
      <c r="G166" s="29" t="str">
        <f>Source!DG49</f>
        <v>)*1,15</v>
      </c>
      <c r="H166" s="28">
        <f>ROUND(Source!AF49*Source!I49, 2)</f>
        <v>970.32</v>
      </c>
      <c r="I166" s="29"/>
      <c r="J166" s="29">
        <f>IF(Source!BA49&lt;&gt; 0, Source!BA49, 1)</f>
        <v>6.48</v>
      </c>
      <c r="K166" s="28">
        <f>Source!S49</f>
        <v>6287.67</v>
      </c>
      <c r="L166" s="30"/>
      <c r="R166">
        <f>H166</f>
        <v>970.32</v>
      </c>
    </row>
    <row r="167" spans="1:26" ht="14.25" x14ac:dyDescent="0.2">
      <c r="A167" s="43"/>
      <c r="B167" s="44"/>
      <c r="C167" s="44" t="s">
        <v>178</v>
      </c>
      <c r="D167" s="27"/>
      <c r="E167" s="11"/>
      <c r="F167" s="28">
        <f>Source!AM49</f>
        <v>81.13</v>
      </c>
      <c r="G167" s="29" t="str">
        <f>Source!DE49</f>
        <v>)*1,25</v>
      </c>
      <c r="H167" s="28">
        <f>ROUND(Source!AD49*Source!I49, 2)</f>
        <v>1318.46</v>
      </c>
      <c r="I167" s="29"/>
      <c r="J167" s="29">
        <f>IF(Source!BB49&lt;&gt; 0, Source!BB49, 1)</f>
        <v>6.48</v>
      </c>
      <c r="K167" s="28">
        <f>Source!Q49</f>
        <v>8543.6200000000008</v>
      </c>
      <c r="L167" s="30"/>
    </row>
    <row r="168" spans="1:26" ht="14.25" x14ac:dyDescent="0.2">
      <c r="A168" s="43"/>
      <c r="B168" s="44"/>
      <c r="C168" s="44" t="s">
        <v>411</v>
      </c>
      <c r="D168" s="27"/>
      <c r="E168" s="11"/>
      <c r="F168" s="28">
        <f>Source!AN49</f>
        <v>8.6199999999999992</v>
      </c>
      <c r="G168" s="29" t="str">
        <f>Source!DF49</f>
        <v>)*1,25</v>
      </c>
      <c r="H168" s="38">
        <f>ROUND(Source!AE49*Source!I49, 2)</f>
        <v>140.13999999999999</v>
      </c>
      <c r="I168" s="29"/>
      <c r="J168" s="29">
        <f>IF(Source!BS49&lt;&gt; 0, Source!BS49, 1)</f>
        <v>6.48</v>
      </c>
      <c r="K168" s="38">
        <f>Source!R49</f>
        <v>908.11</v>
      </c>
      <c r="L168" s="30"/>
      <c r="R168">
        <f>H168</f>
        <v>140.13999999999999</v>
      </c>
    </row>
    <row r="169" spans="1:26" ht="14.25" x14ac:dyDescent="0.2">
      <c r="A169" s="43"/>
      <c r="B169" s="44"/>
      <c r="C169" s="44" t="s">
        <v>412</v>
      </c>
      <c r="D169" s="27"/>
      <c r="E169" s="11"/>
      <c r="F169" s="28">
        <f>Source!AL49</f>
        <v>53.42</v>
      </c>
      <c r="G169" s="29" t="str">
        <f>Source!DD49</f>
        <v/>
      </c>
      <c r="H169" s="28">
        <f>ROUND(Source!AC49*Source!I49, 2)</f>
        <v>694.46</v>
      </c>
      <c r="I169" s="29"/>
      <c r="J169" s="29">
        <f>IF(Source!BC49&lt;&gt; 0, Source!BC49, 1)</f>
        <v>6.48</v>
      </c>
      <c r="K169" s="28">
        <f>Source!P49</f>
        <v>4500.1000000000004</v>
      </c>
      <c r="L169" s="30"/>
    </row>
    <row r="170" spans="1:26" ht="14.25" x14ac:dyDescent="0.2">
      <c r="A170" s="43"/>
      <c r="B170" s="44"/>
      <c r="C170" s="44" t="s">
        <v>406</v>
      </c>
      <c r="D170" s="27" t="s">
        <v>407</v>
      </c>
      <c r="E170" s="11">
        <f>Source!BZ49</f>
        <v>130</v>
      </c>
      <c r="F170" s="66" t="str">
        <f>CONCATENATE(" )", Source!DL49, Source!FT49, "=", Source!FX49)</f>
        <v xml:space="preserve"> )*0,9=117</v>
      </c>
      <c r="G170" s="67"/>
      <c r="H170" s="28">
        <f>SUM(S165:S173)</f>
        <v>1299.24</v>
      </c>
      <c r="I170" s="31"/>
      <c r="J170" s="25">
        <f>Source!AT49</f>
        <v>117</v>
      </c>
      <c r="K170" s="28">
        <f>SUM(T165:T173)</f>
        <v>8419.06</v>
      </c>
      <c r="L170" s="30"/>
    </row>
    <row r="171" spans="1:26" ht="14.25" x14ac:dyDescent="0.2">
      <c r="A171" s="43"/>
      <c r="B171" s="44"/>
      <c r="C171" s="44" t="s">
        <v>408</v>
      </c>
      <c r="D171" s="27" t="s">
        <v>407</v>
      </c>
      <c r="E171" s="11">
        <f>Source!CA49</f>
        <v>89</v>
      </c>
      <c r="F171" s="66" t="str">
        <f>CONCATENATE(" )", Source!DM49, Source!FU49, "=", Source!FY49)</f>
        <v xml:space="preserve"> )*0,85=75,65</v>
      </c>
      <c r="G171" s="67"/>
      <c r="H171" s="28">
        <f>SUM(U165:U173)</f>
        <v>840.06</v>
      </c>
      <c r="I171" s="31"/>
      <c r="J171" s="25">
        <f>Source!AU49</f>
        <v>76</v>
      </c>
      <c r="K171" s="28">
        <f>SUM(V165:V173)</f>
        <v>5468.79</v>
      </c>
      <c r="L171" s="30"/>
    </row>
    <row r="172" spans="1:26" ht="14.25" x14ac:dyDescent="0.2">
      <c r="A172" s="43"/>
      <c r="B172" s="44"/>
      <c r="C172" s="44" t="s">
        <v>409</v>
      </c>
      <c r="D172" s="27" t="s">
        <v>410</v>
      </c>
      <c r="E172" s="11">
        <f>Source!AQ49</f>
        <v>7.07</v>
      </c>
      <c r="F172" s="28"/>
      <c r="G172" s="29" t="str">
        <f>Source!DI49</f>
        <v>)*1,15</v>
      </c>
      <c r="H172" s="28"/>
      <c r="I172" s="29"/>
      <c r="J172" s="29"/>
      <c r="K172" s="28"/>
      <c r="L172" s="39">
        <f>Source!U49</f>
        <v>105.6965</v>
      </c>
    </row>
    <row r="173" spans="1:26" ht="71.25" x14ac:dyDescent="0.2">
      <c r="A173" s="45" t="str">
        <f>Source!E50</f>
        <v>17,1</v>
      </c>
      <c r="B173" s="46" t="str">
        <f>Source!F50</f>
        <v>18.1.02.01-0106</v>
      </c>
      <c r="C173" s="46" t="str">
        <f>Source!G50</f>
        <v>Задвижки клиновые с выдвижным шпинделем фланцевые для воды, пара и нефтепродуктов давлением 1,6 МПа (16 кгс/см2) 30с941нж диаметром 250 мм</v>
      </c>
      <c r="D173" s="32" t="str">
        <f>Source!H50</f>
        <v>шт.</v>
      </c>
      <c r="E173" s="33">
        <f>Source!I50</f>
        <v>13</v>
      </c>
      <c r="F173" s="34">
        <f>Source!AL50+Source!AM50+Source!AO50</f>
        <v>7902.22</v>
      </c>
      <c r="G173" s="40" t="s">
        <v>3</v>
      </c>
      <c r="H173" s="34">
        <f>ROUND(Source!AC50*Source!I50, 2)+ROUND(Source!AD50*Source!I50, 2)+ROUND(Source!AF50*Source!I50, 2)</f>
        <v>102728.86</v>
      </c>
      <c r="I173" s="35"/>
      <c r="J173" s="35">
        <f>IF(Source!BC50&lt;&gt; 0, Source!BC50, 1)</f>
        <v>6.48</v>
      </c>
      <c r="K173" s="34">
        <f>Source!O50</f>
        <v>665683.01</v>
      </c>
      <c r="L173" s="41"/>
      <c r="S173">
        <f>ROUND((Source!FX50/100)*((ROUND(Source!AF50*Source!I50, 2)+ROUND(Source!AE50*Source!I50, 2))), 2)</f>
        <v>0</v>
      </c>
      <c r="T173">
        <f>Source!X50</f>
        <v>0</v>
      </c>
      <c r="U173">
        <f>ROUND((Source!FY50/100)*((ROUND(Source!AF50*Source!I50, 2)+ROUND(Source!AE50*Source!I50, 2))), 2)</f>
        <v>0</v>
      </c>
      <c r="V173">
        <f>Source!Y50</f>
        <v>0</v>
      </c>
      <c r="W173">
        <f>IF(Source!BI50&lt;=1,H173, 0)</f>
        <v>102728.86</v>
      </c>
      <c r="X173">
        <f>IF(Source!BI50=2,H173, 0)</f>
        <v>0</v>
      </c>
      <c r="Y173">
        <f>IF(Source!BI50=3,H173, 0)</f>
        <v>0</v>
      </c>
      <c r="Z173">
        <f>IF(Source!BI50=4,H173, 0)</f>
        <v>0</v>
      </c>
    </row>
    <row r="174" spans="1:26" ht="15" x14ac:dyDescent="0.25">
      <c r="G174" s="68">
        <f>H166+H167+H169+H170+H171+SUM(H173:H173)</f>
        <v>107851.4</v>
      </c>
      <c r="H174" s="68"/>
      <c r="J174" s="68">
        <f>K166+K167+K169+K170+K171+SUM(K173:K173)</f>
        <v>698902.25</v>
      </c>
      <c r="K174" s="68"/>
      <c r="L174" s="37">
        <f>Source!U49</f>
        <v>105.6965</v>
      </c>
      <c r="O174" s="21">
        <f>G174</f>
        <v>107851.4</v>
      </c>
      <c r="P174" s="21">
        <f>J174</f>
        <v>698902.25</v>
      </c>
      <c r="Q174" s="21">
        <f>L174</f>
        <v>105.6965</v>
      </c>
      <c r="W174">
        <f>IF(Source!BI49&lt;=1,H166+H167+H169+H170+H171, 0)</f>
        <v>5122.5400000000009</v>
      </c>
      <c r="X174">
        <f>IF(Source!BI49=2,H166+H167+H169+H170+H171, 0)</f>
        <v>0</v>
      </c>
      <c r="Y174">
        <f>IF(Source!BI49=3,H166+H167+H169+H170+H171, 0)</f>
        <v>0</v>
      </c>
      <c r="Z174">
        <f>IF(Source!BI49=4,H166+H167+H169+H170+H171, 0)</f>
        <v>0</v>
      </c>
    </row>
    <row r="175" spans="1:26" ht="57" x14ac:dyDescent="0.2">
      <c r="A175" s="43" t="str">
        <f>Source!E51</f>
        <v>18</v>
      </c>
      <c r="B175" s="44" t="str">
        <f>Source!F51</f>
        <v>15-04-030-04</v>
      </c>
      <c r="C175" s="44" t="str">
        <f>Source!G51</f>
        <v>Масляная окраска металлических поверхностей решеток, переплетов, труб диаметром менее 50 мм и т.п., количество окрасок 2</v>
      </c>
      <c r="D175" s="27" t="str">
        <f>Source!H51</f>
        <v>100 м2</v>
      </c>
      <c r="E175" s="11">
        <f>Source!I51</f>
        <v>0.15</v>
      </c>
      <c r="F175" s="28">
        <f>Source!AL51+Source!AM51+Source!AO51</f>
        <v>720.44</v>
      </c>
      <c r="G175" s="29"/>
      <c r="H175" s="28"/>
      <c r="I175" s="29" t="str">
        <f>Source!BO51</f>
        <v/>
      </c>
      <c r="J175" s="29"/>
      <c r="K175" s="28"/>
      <c r="L175" s="30"/>
      <c r="S175">
        <f>ROUND((Source!FX51/100)*((ROUND(Source!AF51*Source!I51, 2)+ROUND(Source!AE51*Source!I51, 2))), 2)</f>
        <v>102.71</v>
      </c>
      <c r="T175">
        <f>Source!X51</f>
        <v>669.13</v>
      </c>
      <c r="U175">
        <f>ROUND((Source!FY51/100)*((ROUND(Source!AF51*Source!I51, 2)+ROUND(Source!AE51*Source!I51, 2))), 2)</f>
        <v>50.81</v>
      </c>
      <c r="V175">
        <f>Source!Y51</f>
        <v>331.04</v>
      </c>
    </row>
    <row r="176" spans="1:26" ht="14.25" x14ac:dyDescent="0.2">
      <c r="A176" s="43"/>
      <c r="B176" s="44"/>
      <c r="C176" s="44" t="s">
        <v>405</v>
      </c>
      <c r="D176" s="27"/>
      <c r="E176" s="11"/>
      <c r="F176" s="28">
        <f>Source!AO51</f>
        <v>629.59</v>
      </c>
      <c r="G176" s="29" t="str">
        <f>Source!DG51</f>
        <v>)*1,15</v>
      </c>
      <c r="H176" s="28">
        <f>ROUND(Source!AF51*Source!I51, 2)</f>
        <v>108.6</v>
      </c>
      <c r="I176" s="29"/>
      <c r="J176" s="29">
        <f>IF(Source!BA51&lt;&gt; 0, Source!BA51, 1)</f>
        <v>6.48</v>
      </c>
      <c r="K176" s="28">
        <f>Source!S51</f>
        <v>703.76</v>
      </c>
      <c r="L176" s="30"/>
      <c r="R176">
        <f>H176</f>
        <v>108.6</v>
      </c>
    </row>
    <row r="177" spans="1:26" ht="14.25" x14ac:dyDescent="0.2">
      <c r="A177" s="43"/>
      <c r="B177" s="44"/>
      <c r="C177" s="44" t="s">
        <v>178</v>
      </c>
      <c r="D177" s="27"/>
      <c r="E177" s="11"/>
      <c r="F177" s="28">
        <f>Source!AM51</f>
        <v>2.2799999999999998</v>
      </c>
      <c r="G177" s="29" t="str">
        <f>Source!DE51</f>
        <v>)*1,25</v>
      </c>
      <c r="H177" s="28">
        <f>ROUND(Source!AD51*Source!I51, 2)</f>
        <v>0.43</v>
      </c>
      <c r="I177" s="29"/>
      <c r="J177" s="29">
        <f>IF(Source!BB51&lt;&gt; 0, Source!BB51, 1)</f>
        <v>6.48</v>
      </c>
      <c r="K177" s="28">
        <f>Source!Q51</f>
        <v>2.77</v>
      </c>
      <c r="L177" s="30"/>
    </row>
    <row r="178" spans="1:26" ht="14.25" x14ac:dyDescent="0.2">
      <c r="A178" s="43"/>
      <c r="B178" s="44"/>
      <c r="C178" s="44" t="s">
        <v>411</v>
      </c>
      <c r="D178" s="27"/>
      <c r="E178" s="11"/>
      <c r="F178" s="28">
        <f>Source!AN51</f>
        <v>0.49</v>
      </c>
      <c r="G178" s="29" t="str">
        <f>Source!DF51</f>
        <v>)*1,25</v>
      </c>
      <c r="H178" s="38">
        <f>ROUND(Source!AE51*Source!I51, 2)</f>
        <v>0.09</v>
      </c>
      <c r="I178" s="29"/>
      <c r="J178" s="29">
        <f>IF(Source!BS51&lt;&gt; 0, Source!BS51, 1)</f>
        <v>6.48</v>
      </c>
      <c r="K178" s="38">
        <f>Source!R51</f>
        <v>0.59</v>
      </c>
      <c r="L178" s="30"/>
      <c r="R178">
        <f>H178</f>
        <v>0.09</v>
      </c>
    </row>
    <row r="179" spans="1:26" ht="14.25" x14ac:dyDescent="0.2">
      <c r="A179" s="43"/>
      <c r="B179" s="44"/>
      <c r="C179" s="44" t="s">
        <v>412</v>
      </c>
      <c r="D179" s="27"/>
      <c r="E179" s="11"/>
      <c r="F179" s="28">
        <f>Source!AL51</f>
        <v>88.57</v>
      </c>
      <c r="G179" s="29" t="str">
        <f>Source!DD51</f>
        <v/>
      </c>
      <c r="H179" s="28">
        <f>ROUND(Source!AC51*Source!I51, 2)</f>
        <v>13.29</v>
      </c>
      <c r="I179" s="29"/>
      <c r="J179" s="29">
        <f>IF(Source!BC51&lt;&gt; 0, Source!BC51, 1)</f>
        <v>6.48</v>
      </c>
      <c r="K179" s="28">
        <f>Source!P51</f>
        <v>86.09</v>
      </c>
      <c r="L179" s="30"/>
    </row>
    <row r="180" spans="1:26" ht="14.25" x14ac:dyDescent="0.2">
      <c r="A180" s="43"/>
      <c r="B180" s="44"/>
      <c r="C180" s="44" t="s">
        <v>406</v>
      </c>
      <c r="D180" s="27" t="s">
        <v>407</v>
      </c>
      <c r="E180" s="11">
        <f>Source!BZ51</f>
        <v>105</v>
      </c>
      <c r="F180" s="66" t="str">
        <f>CONCATENATE(" )", Source!DL51, Source!FT51, "=", Source!FX51)</f>
        <v xml:space="preserve"> )*0,9=94,5</v>
      </c>
      <c r="G180" s="67"/>
      <c r="H180" s="28">
        <f>SUM(S175:S184)</f>
        <v>102.71</v>
      </c>
      <c r="I180" s="31"/>
      <c r="J180" s="25">
        <f>Source!AT51</f>
        <v>95</v>
      </c>
      <c r="K180" s="28">
        <f>SUM(T175:T184)</f>
        <v>669.13</v>
      </c>
      <c r="L180" s="30"/>
    </row>
    <row r="181" spans="1:26" ht="14.25" x14ac:dyDescent="0.2">
      <c r="A181" s="43"/>
      <c r="B181" s="44"/>
      <c r="C181" s="44" t="s">
        <v>408</v>
      </c>
      <c r="D181" s="27" t="s">
        <v>407</v>
      </c>
      <c r="E181" s="11">
        <f>Source!CA51</f>
        <v>55</v>
      </c>
      <c r="F181" s="66" t="str">
        <f>CONCATENATE(" )", Source!DM51, Source!FU51, "=", Source!FY51)</f>
        <v xml:space="preserve"> )*0,85=46,75</v>
      </c>
      <c r="G181" s="67"/>
      <c r="H181" s="28">
        <f>SUM(U175:U184)</f>
        <v>50.81</v>
      </c>
      <c r="I181" s="31"/>
      <c r="J181" s="25">
        <f>Source!AU51</f>
        <v>47</v>
      </c>
      <c r="K181" s="28">
        <f>SUM(V175:V184)</f>
        <v>331.04</v>
      </c>
      <c r="L181" s="30"/>
    </row>
    <row r="182" spans="1:26" ht="14.25" x14ac:dyDescent="0.2">
      <c r="A182" s="43"/>
      <c r="B182" s="44"/>
      <c r="C182" s="44" t="s">
        <v>409</v>
      </c>
      <c r="D182" s="27" t="s">
        <v>410</v>
      </c>
      <c r="E182" s="11">
        <f>Source!AQ51</f>
        <v>71.06</v>
      </c>
      <c r="F182" s="28"/>
      <c r="G182" s="29" t="str">
        <f>Source!DI51</f>
        <v>)*1,15</v>
      </c>
      <c r="H182" s="28"/>
      <c r="I182" s="29"/>
      <c r="J182" s="29"/>
      <c r="K182" s="28"/>
      <c r="L182" s="39">
        <f>Source!U51</f>
        <v>12.257849999999999</v>
      </c>
    </row>
    <row r="183" spans="1:26" ht="28.5" x14ac:dyDescent="0.2">
      <c r="A183" s="43" t="str">
        <f>Source!E52</f>
        <v>18,1</v>
      </c>
      <c r="B183" s="44" t="str">
        <f>Source!F52</f>
        <v>14.4.04.13-0215</v>
      </c>
      <c r="C183" s="44" t="str">
        <f>Source!G52</f>
        <v>Эмаль МС-2263, масляно-стирольная, цветная</v>
      </c>
      <c r="D183" s="27" t="str">
        <f>Source!H52</f>
        <v>т</v>
      </c>
      <c r="E183" s="11">
        <f>Source!I52</f>
        <v>3.6899999999999997E-3</v>
      </c>
      <c r="F183" s="28">
        <f>Source!AL52+Source!AM52+Source!AO52</f>
        <v>40856.160000000003</v>
      </c>
      <c r="G183" s="42" t="s">
        <v>3</v>
      </c>
      <c r="H183" s="28">
        <f>ROUND(Source!AC52*Source!I52, 2)+ROUND(Source!AD52*Source!I52, 2)+ROUND(Source!AF52*Source!I52, 2)</f>
        <v>150.76</v>
      </c>
      <c r="I183" s="29"/>
      <c r="J183" s="29">
        <f>IF(Source!BC52&lt;&gt; 0, Source!BC52, 1)</f>
        <v>6.48</v>
      </c>
      <c r="K183" s="28">
        <f>Source!O52</f>
        <v>976.92</v>
      </c>
      <c r="L183" s="30"/>
      <c r="S183">
        <f>ROUND((Source!FX52/100)*((ROUND(Source!AF52*Source!I52, 2)+ROUND(Source!AE52*Source!I52, 2))), 2)</f>
        <v>0</v>
      </c>
      <c r="T183">
        <f>Source!X52</f>
        <v>0</v>
      </c>
      <c r="U183">
        <f>ROUND((Source!FY52/100)*((ROUND(Source!AF52*Source!I52, 2)+ROUND(Source!AE52*Source!I52, 2))), 2)</f>
        <v>0</v>
      </c>
      <c r="V183">
        <f>Source!Y52</f>
        <v>0</v>
      </c>
      <c r="W183">
        <f>IF(Source!BI52&lt;=1,H183, 0)</f>
        <v>150.76</v>
      </c>
      <c r="X183">
        <f>IF(Source!BI52=2,H183, 0)</f>
        <v>0</v>
      </c>
      <c r="Y183">
        <f>IF(Source!BI52=3,H183, 0)</f>
        <v>0</v>
      </c>
      <c r="Z183">
        <f>IF(Source!BI52=4,H183, 0)</f>
        <v>0</v>
      </c>
    </row>
    <row r="184" spans="1:26" ht="28.5" x14ac:dyDescent="0.2">
      <c r="A184" s="45" t="str">
        <f>Source!E53</f>
        <v>18,2</v>
      </c>
      <c r="B184" s="46" t="str">
        <f>Source!F53</f>
        <v>14.4.02.04</v>
      </c>
      <c r="C184" s="46" t="str">
        <f>Source!G53</f>
        <v>Краски для внутренних работ масляные готовые к применению</v>
      </c>
      <c r="D184" s="32" t="str">
        <f>Source!H53</f>
        <v>т</v>
      </c>
      <c r="E184" s="33">
        <f>Source!I53</f>
        <v>3.6899999999999997E-3</v>
      </c>
      <c r="F184" s="34">
        <f>Source!AL53+Source!AM53+Source!AO53</f>
        <v>0</v>
      </c>
      <c r="G184" s="40" t="s">
        <v>3</v>
      </c>
      <c r="H184" s="34">
        <f>ROUND(Source!AC53*Source!I53, 2)+ROUND(Source!AD53*Source!I53, 2)+ROUND(Source!AF53*Source!I53, 2)</f>
        <v>0</v>
      </c>
      <c r="I184" s="35"/>
      <c r="J184" s="35">
        <f>IF(Source!BC53&lt;&gt; 0, Source!BC53, 1)</f>
        <v>6.48</v>
      </c>
      <c r="K184" s="34">
        <f>Source!O53</f>
        <v>0</v>
      </c>
      <c r="L184" s="41"/>
      <c r="S184">
        <f>ROUND((Source!FX53/100)*((ROUND(Source!AF53*Source!I53, 2)+ROUND(Source!AE53*Source!I53, 2))), 2)</f>
        <v>0</v>
      </c>
      <c r="T184">
        <f>Source!X53</f>
        <v>0</v>
      </c>
      <c r="U184">
        <f>ROUND((Source!FY53/100)*((ROUND(Source!AF53*Source!I53, 2)+ROUND(Source!AE53*Source!I53, 2))), 2)</f>
        <v>0</v>
      </c>
      <c r="V184">
        <f>Source!Y53</f>
        <v>0</v>
      </c>
      <c r="W184">
        <f>IF(Source!BI53&lt;=1,H184, 0)</f>
        <v>0</v>
      </c>
      <c r="X184">
        <f>IF(Source!BI53=2,H184, 0)</f>
        <v>0</v>
      </c>
      <c r="Y184">
        <f>IF(Source!BI53=3,H184, 0)</f>
        <v>0</v>
      </c>
      <c r="Z184">
        <f>IF(Source!BI53=4,H184, 0)</f>
        <v>0</v>
      </c>
    </row>
    <row r="185" spans="1:26" ht="15" x14ac:dyDescent="0.25">
      <c r="G185" s="68">
        <f>H176+H177+H179+H180+H181+SUM(H183:H184)</f>
        <v>426.59999999999997</v>
      </c>
      <c r="H185" s="68"/>
      <c r="J185" s="68">
        <f>K176+K177+K179+K180+K181+SUM(K183:K184)</f>
        <v>2769.71</v>
      </c>
      <c r="K185" s="68"/>
      <c r="L185" s="37">
        <f>Source!U51</f>
        <v>12.257849999999999</v>
      </c>
      <c r="O185" s="21">
        <f>G185</f>
        <v>426.59999999999997</v>
      </c>
      <c r="P185" s="21">
        <f>J185</f>
        <v>2769.71</v>
      </c>
      <c r="Q185" s="21">
        <f>L185</f>
        <v>12.257849999999999</v>
      </c>
      <c r="W185">
        <f>IF(Source!BI51&lt;=1,H176+H177+H179+H180+H181, 0)</f>
        <v>275.83999999999997</v>
      </c>
      <c r="X185">
        <f>IF(Source!BI51=2,H176+H177+H179+H180+H181, 0)</f>
        <v>0</v>
      </c>
      <c r="Y185">
        <f>IF(Source!BI51=3,H176+H177+H179+H180+H181, 0)</f>
        <v>0</v>
      </c>
      <c r="Z185">
        <f>IF(Source!BI51=4,H176+H177+H179+H180+H181, 0)</f>
        <v>0</v>
      </c>
    </row>
    <row r="186" spans="1:26" ht="15" x14ac:dyDescent="0.25">
      <c r="A186" s="70" t="str">
        <f>CONCATENATE("Итого по локальной смете: ",IF(Source!G55&lt;&gt;"Новая локальная смета", Source!G55, ""))</f>
        <v xml:space="preserve">Итого по локальной смете: </v>
      </c>
      <c r="B186" s="70"/>
      <c r="C186" s="70"/>
      <c r="D186" s="70"/>
      <c r="E186" s="70"/>
      <c r="F186" s="70"/>
      <c r="G186" s="69">
        <f>SUM(O23:O185)</f>
        <v>278105.96999999997</v>
      </c>
      <c r="H186" s="69"/>
      <c r="I186" s="23"/>
      <c r="J186" s="69">
        <f>SUM(P23:P185)</f>
        <v>1802278.9000000001</v>
      </c>
      <c r="K186" s="69"/>
      <c r="L186" s="37">
        <f>SUM(Q23:Q185)</f>
        <v>1262.3331999999998</v>
      </c>
    </row>
    <row r="187" spans="1:26" ht="15" x14ac:dyDescent="0.25">
      <c r="C187" s="70" t="str">
        <f>Source!H83</f>
        <v>Итого</v>
      </c>
      <c r="D187" s="70"/>
      <c r="E187" s="70"/>
      <c r="F187" s="70"/>
      <c r="G187" s="70"/>
      <c r="H187" s="70"/>
      <c r="I187" s="70"/>
      <c r="J187" s="69">
        <f>IF(Source!F83=0, "", Source!F83)</f>
        <v>1802278.9</v>
      </c>
      <c r="K187" s="69"/>
    </row>
    <row r="188" spans="1:26" ht="14.25" x14ac:dyDescent="0.2">
      <c r="C188" s="75" t="str">
        <f>Source!H84</f>
        <v>НДС 18%</v>
      </c>
      <c r="D188" s="75"/>
      <c r="E188" s="75"/>
      <c r="F188" s="75"/>
      <c r="G188" s="75"/>
      <c r="H188" s="75"/>
      <c r="I188" s="75"/>
      <c r="J188" s="72">
        <f>IF(Source!F84=0, "", Source!F84)</f>
        <v>324410.2</v>
      </c>
      <c r="K188" s="72"/>
    </row>
    <row r="189" spans="1:26" ht="15" x14ac:dyDescent="0.25">
      <c r="C189" s="70" t="str">
        <f>Source!H85</f>
        <v>Всего</v>
      </c>
      <c r="D189" s="70"/>
      <c r="E189" s="70"/>
      <c r="F189" s="70"/>
      <c r="G189" s="70"/>
      <c r="H189" s="70"/>
      <c r="I189" s="70"/>
      <c r="J189" s="69">
        <f>IF(Source!F85=0, "", Source!F85)</f>
        <v>2126689.1</v>
      </c>
      <c r="K189" s="69"/>
    </row>
  </sheetData>
  <mergeCells count="97">
    <mergeCell ref="C13:F13"/>
    <mergeCell ref="G13:H13"/>
    <mergeCell ref="I13:J13"/>
    <mergeCell ref="K13:L13"/>
    <mergeCell ref="B5:K5"/>
    <mergeCell ref="B6:K6"/>
    <mergeCell ref="B8:K8"/>
    <mergeCell ref="G11:H11"/>
    <mergeCell ref="I11:J11"/>
    <mergeCell ref="C12:F12"/>
    <mergeCell ref="G12:H12"/>
    <mergeCell ref="I12:J12"/>
    <mergeCell ref="K12:L12"/>
    <mergeCell ref="C14:F14"/>
    <mergeCell ref="G14:H14"/>
    <mergeCell ref="I14:J14"/>
    <mergeCell ref="K14:L14"/>
    <mergeCell ref="C15:F15"/>
    <mergeCell ref="G15:H15"/>
    <mergeCell ref="I15:J15"/>
    <mergeCell ref="K15:L15"/>
    <mergeCell ref="C16:F16"/>
    <mergeCell ref="G16:H16"/>
    <mergeCell ref="I16:J16"/>
    <mergeCell ref="K16:L16"/>
    <mergeCell ref="C17:F17"/>
    <mergeCell ref="G17:H17"/>
    <mergeCell ref="I17:J17"/>
    <mergeCell ref="K17:L17"/>
    <mergeCell ref="C188:I188"/>
    <mergeCell ref="J188:K188"/>
    <mergeCell ref="C189:I189"/>
    <mergeCell ref="J189:K189"/>
    <mergeCell ref="J123:K123"/>
    <mergeCell ref="G123:H123"/>
    <mergeCell ref="F95:G95"/>
    <mergeCell ref="F94:G94"/>
    <mergeCell ref="J89:K89"/>
    <mergeCell ref="G89:H89"/>
    <mergeCell ref="J81:K81"/>
    <mergeCell ref="G81:H81"/>
    <mergeCell ref="C187:I187"/>
    <mergeCell ref="J187:K187"/>
    <mergeCell ref="G105:H105"/>
    <mergeCell ref="J97:K97"/>
    <mergeCell ref="G97:H97"/>
    <mergeCell ref="C18:F18"/>
    <mergeCell ref="G18:H18"/>
    <mergeCell ref="I18:J18"/>
    <mergeCell ref="K18:L18"/>
    <mergeCell ref="A20:L20"/>
    <mergeCell ref="J73:K73"/>
    <mergeCell ref="G73:H73"/>
    <mergeCell ref="J63:K63"/>
    <mergeCell ref="G63:H63"/>
    <mergeCell ref="J53:K53"/>
    <mergeCell ref="G53:H53"/>
    <mergeCell ref="J28:K28"/>
    <mergeCell ref="G28:H28"/>
    <mergeCell ref="J153:K153"/>
    <mergeCell ref="G153:H153"/>
    <mergeCell ref="F150:G150"/>
    <mergeCell ref="F149:G149"/>
    <mergeCell ref="J143:K143"/>
    <mergeCell ref="G143:H143"/>
    <mergeCell ref="F140:G140"/>
    <mergeCell ref="F139:G139"/>
    <mergeCell ref="J43:K43"/>
    <mergeCell ref="G43:H43"/>
    <mergeCell ref="F41:G41"/>
    <mergeCell ref="F40:G40"/>
    <mergeCell ref="J34:K34"/>
    <mergeCell ref="G34:H34"/>
    <mergeCell ref="F181:G181"/>
    <mergeCell ref="F180:G180"/>
    <mergeCell ref="J174:K174"/>
    <mergeCell ref="G174:H174"/>
    <mergeCell ref="F120:G120"/>
    <mergeCell ref="J133:K133"/>
    <mergeCell ref="G133:H133"/>
    <mergeCell ref="F130:G130"/>
    <mergeCell ref="F129:G129"/>
    <mergeCell ref="G186:H186"/>
    <mergeCell ref="J186:K186"/>
    <mergeCell ref="A186:F186"/>
    <mergeCell ref="J185:K185"/>
    <mergeCell ref="G185:H185"/>
    <mergeCell ref="F171:G171"/>
    <mergeCell ref="F170:G170"/>
    <mergeCell ref="J164:K164"/>
    <mergeCell ref="G164:H164"/>
    <mergeCell ref="J105:K105"/>
    <mergeCell ref="F119:G119"/>
    <mergeCell ref="J113:K113"/>
    <mergeCell ref="G113:H113"/>
    <mergeCell ref="F111:G111"/>
    <mergeCell ref="F110:G110"/>
  </mergeCells>
  <pageMargins left="0.4" right="0.2" top="0.2" bottom="0.4" header="0.2" footer="0.2"/>
  <pageSetup paperSize="9" scale="56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39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23"/>
      <c r="B2" s="23"/>
      <c r="C2" s="23"/>
      <c r="D2" s="23"/>
      <c r="E2" s="104" t="s">
        <v>413</v>
      </c>
      <c r="F2" s="104"/>
      <c r="G2" s="104"/>
      <c r="H2" s="104"/>
    </row>
    <row r="3" spans="1:31" ht="14.25" x14ac:dyDescent="0.2">
      <c r="A3" s="12"/>
      <c r="B3" s="12"/>
      <c r="C3" s="12"/>
      <c r="D3" s="12"/>
      <c r="E3" s="104" t="s">
        <v>414</v>
      </c>
      <c r="F3" s="104"/>
      <c r="G3" s="104"/>
      <c r="H3" s="104"/>
    </row>
    <row r="4" spans="1:31" ht="14.25" x14ac:dyDescent="0.2">
      <c r="A4" s="12"/>
      <c r="B4" s="12"/>
      <c r="C4" s="12"/>
      <c r="D4" s="12"/>
      <c r="E4" s="104" t="s">
        <v>415</v>
      </c>
      <c r="F4" s="104"/>
      <c r="G4" s="104"/>
      <c r="H4" s="104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88" t="s">
        <v>416</v>
      </c>
      <c r="H6" s="89"/>
    </row>
    <row r="7" spans="1:31" ht="14.25" x14ac:dyDescent="0.2">
      <c r="A7" s="12"/>
      <c r="B7" s="12"/>
      <c r="C7" s="12"/>
      <c r="D7" s="12"/>
      <c r="E7" s="12"/>
      <c r="F7" s="11" t="s">
        <v>417</v>
      </c>
      <c r="G7" s="105" t="s">
        <v>418</v>
      </c>
      <c r="H7" s="89"/>
    </row>
    <row r="8" spans="1:31" ht="14.25" x14ac:dyDescent="0.2">
      <c r="A8" s="12"/>
      <c r="B8" s="12"/>
      <c r="C8" s="12"/>
      <c r="D8" s="12"/>
      <c r="E8" s="12"/>
      <c r="F8" s="12"/>
      <c r="G8" s="88" t="str">
        <f>IF(Source!AT15 &lt;&gt; "", Source!AT15, "")</f>
        <v/>
      </c>
      <c r="H8" s="89"/>
    </row>
    <row r="9" spans="1:31" ht="14.25" x14ac:dyDescent="0.2">
      <c r="A9" s="12" t="s">
        <v>419</v>
      </c>
      <c r="B9" s="12"/>
      <c r="C9" s="101" t="str">
        <f>IF(Source!BA15 &lt;&gt; "", Source!BA15, IF(Source!AU15 &lt;&gt; "", Source!AU15, ""))</f>
        <v/>
      </c>
      <c r="D9" s="101"/>
      <c r="E9" s="101"/>
      <c r="F9" s="11" t="s">
        <v>420</v>
      </c>
      <c r="G9" s="99"/>
      <c r="H9" s="100"/>
    </row>
    <row r="10" spans="1:31" ht="14.25" x14ac:dyDescent="0.2">
      <c r="A10" s="12"/>
      <c r="B10" s="12"/>
      <c r="C10" s="86" t="s">
        <v>421</v>
      </c>
      <c r="D10" s="86"/>
      <c r="E10" s="86"/>
      <c r="F10" s="12"/>
      <c r="G10" s="88" t="str">
        <f>IF(Source!AK15 &lt;&gt; "", Source!AK15, "")</f>
        <v/>
      </c>
      <c r="H10" s="89"/>
    </row>
    <row r="11" spans="1:31" ht="14.25" x14ac:dyDescent="0.2">
      <c r="A11" s="12" t="s">
        <v>422</v>
      </c>
      <c r="B11" s="12"/>
      <c r="C11" s="101" t="str">
        <f>IF(Source!AX12&lt;&gt; "", Source!AX12, IF(Source!AJ12 &lt;&gt; "", Source!AJ12, ""))</f>
        <v/>
      </c>
      <c r="D11" s="101"/>
      <c r="E11" s="101"/>
      <c r="F11" s="11" t="s">
        <v>420</v>
      </c>
      <c r="G11" s="99"/>
      <c r="H11" s="100"/>
    </row>
    <row r="12" spans="1:31" ht="14.25" x14ac:dyDescent="0.2">
      <c r="A12" s="12"/>
      <c r="B12" s="12"/>
      <c r="C12" s="86" t="s">
        <v>421</v>
      </c>
      <c r="D12" s="86"/>
      <c r="E12" s="86"/>
      <c r="F12" s="12"/>
      <c r="G12" s="88" t="str">
        <f>IF(Source!AO15 &lt;&gt; "", Source!AO15, "")</f>
        <v/>
      </c>
      <c r="H12" s="89"/>
    </row>
    <row r="13" spans="1:31" ht="14.25" x14ac:dyDescent="0.2">
      <c r="A13" s="12" t="s">
        <v>423</v>
      </c>
      <c r="B13" s="12"/>
      <c r="C13" s="101" t="str">
        <f>IF(Source!AY12&lt;&gt; "", Source!AY12, IF(Source!AN12 &lt;&gt; "", Source!AN12, ""))</f>
        <v/>
      </c>
      <c r="D13" s="101"/>
      <c r="E13" s="101"/>
      <c r="F13" s="11" t="s">
        <v>420</v>
      </c>
      <c r="G13" s="99"/>
      <c r="H13" s="100"/>
    </row>
    <row r="14" spans="1:31" ht="14.25" x14ac:dyDescent="0.2">
      <c r="A14" s="12"/>
      <c r="B14" s="12"/>
      <c r="C14" s="86" t="s">
        <v>421</v>
      </c>
      <c r="D14" s="86"/>
      <c r="E14" s="86"/>
      <c r="F14" s="12"/>
      <c r="G14" s="88" t="str">
        <f>IF(Source!CO15 &lt;&gt; "", Source!CO15, "")</f>
        <v/>
      </c>
      <c r="H14" s="89"/>
    </row>
    <row r="15" spans="1:31" ht="71.25" x14ac:dyDescent="0.2">
      <c r="A15" s="12" t="s">
        <v>424</v>
      </c>
      <c r="B15" s="12"/>
      <c r="C15" s="101" t="s">
        <v>5</v>
      </c>
      <c r="D15" s="101"/>
      <c r="E15" s="101"/>
      <c r="F15" s="12"/>
      <c r="G15" s="99"/>
      <c r="H15" s="100"/>
      <c r="AE15" s="26" t="s">
        <v>5</v>
      </c>
    </row>
    <row r="16" spans="1:31" ht="14.25" x14ac:dyDescent="0.2">
      <c r="A16" s="12"/>
      <c r="B16" s="12"/>
      <c r="C16" s="86" t="s">
        <v>425</v>
      </c>
      <c r="D16" s="86"/>
      <c r="E16" s="86"/>
      <c r="F16" s="12"/>
      <c r="G16" s="88" t="str">
        <f>IF(Source!CP15 &lt;&gt; "", Source!CP15, "")</f>
        <v/>
      </c>
      <c r="H16" s="89"/>
    </row>
    <row r="17" spans="1:31" ht="85.5" x14ac:dyDescent="0.2">
      <c r="A17" s="12" t="s">
        <v>426</v>
      </c>
      <c r="B17" s="12"/>
      <c r="C17" s="101" t="str">
        <f>IF(Source!G12&lt;&gt;"Новый объект", Source!G12, "")</f>
        <v>на капитальный ремонт внутренней  системы отопления и холодного водоснабжения в корпусах В,А,Б,Д,Э и Главном корпусе, наружной системы отопления  и холодного водоснабжения с заменой задвижек в колодцах и тепловых пунктах   НИЯУ МИФИ по адресу: г.Москва,Каширское шоссе,д.31</v>
      </c>
      <c r="D17" s="101"/>
      <c r="E17" s="101"/>
      <c r="F17" s="12"/>
      <c r="G17" s="102"/>
      <c r="H17" s="103"/>
      <c r="AE17" s="26" t="str">
        <f>IF(Source!G12&lt;&gt;"Новый объект", Source!G12, "")</f>
        <v>на капитальный ремонт внутренней  системы отопления и холодного водоснабжения в корпусах В,А,Б,Д,Э и Главном корпусе, наружной системы отопления  и холодного водоснабжения с заменой задвижек в колодцах и тепловых пунктах   НИЯУ МИФИ по адресу: г.Москва,Каширское шоссе,д.31</v>
      </c>
    </row>
    <row r="18" spans="1:31" ht="14.25" x14ac:dyDescent="0.2">
      <c r="A18" s="12"/>
      <c r="B18" s="12"/>
      <c r="C18" s="86" t="s">
        <v>427</v>
      </c>
      <c r="D18" s="86"/>
      <c r="E18" s="86"/>
      <c r="F18" s="12"/>
      <c r="G18" s="12"/>
      <c r="H18" s="12"/>
    </row>
    <row r="19" spans="1:31" ht="14.25" x14ac:dyDescent="0.2">
      <c r="A19" s="12"/>
      <c r="B19" s="12"/>
      <c r="C19" s="12"/>
      <c r="D19" s="76" t="s">
        <v>428</v>
      </c>
      <c r="E19" s="76"/>
      <c r="F19" s="87"/>
      <c r="G19" s="88" t="str">
        <f>IF(Source!CQ15 &lt;&gt; "", Source!CQ15, "")</f>
        <v/>
      </c>
      <c r="H19" s="89"/>
    </row>
    <row r="20" spans="1:31" ht="14.25" x14ac:dyDescent="0.2">
      <c r="A20" s="12"/>
      <c r="B20" s="12"/>
      <c r="C20" s="12"/>
      <c r="D20" s="76" t="s">
        <v>429</v>
      </c>
      <c r="E20" s="87"/>
      <c r="F20" s="49" t="s">
        <v>430</v>
      </c>
      <c r="G20" s="88" t="str">
        <f>IF(Source!CR15 &lt;&gt; "", Source!CR15, "")</f>
        <v/>
      </c>
      <c r="H20" s="89"/>
    </row>
    <row r="21" spans="1:31" ht="14.25" x14ac:dyDescent="0.2">
      <c r="A21" s="12"/>
      <c r="B21" s="12"/>
      <c r="C21" s="12"/>
      <c r="D21" s="12"/>
      <c r="E21" s="12"/>
      <c r="F21" s="18" t="s">
        <v>431</v>
      </c>
      <c r="G21" s="90" t="str">
        <f>IF(Source!CS15 &lt;&gt; 0, Source!CS15, "")</f>
        <v/>
      </c>
      <c r="H21" s="91"/>
    </row>
    <row r="22" spans="1:31" ht="14.25" x14ac:dyDescent="0.2">
      <c r="A22" s="12"/>
      <c r="B22" s="12"/>
      <c r="C22" s="12"/>
      <c r="D22" s="12"/>
      <c r="E22" s="12"/>
      <c r="F22" s="11" t="s">
        <v>432</v>
      </c>
      <c r="G22" s="92" t="str">
        <f>IF(Source!CT15 &lt;&gt; "", Source!CT15, "")</f>
        <v/>
      </c>
      <c r="H22" s="93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94" t="s">
        <v>433</v>
      </c>
      <c r="E24" s="96" t="s">
        <v>434</v>
      </c>
      <c r="F24" s="96" t="s">
        <v>435</v>
      </c>
      <c r="G24" s="98"/>
      <c r="H24" s="12"/>
    </row>
    <row r="25" spans="1:31" ht="14.25" x14ac:dyDescent="0.2">
      <c r="A25" s="12"/>
      <c r="B25" s="12"/>
      <c r="C25" s="12"/>
      <c r="D25" s="95"/>
      <c r="E25" s="97"/>
      <c r="F25" s="50" t="s">
        <v>436</v>
      </c>
      <c r="G25" s="51" t="s">
        <v>437</v>
      </c>
      <c r="H25" s="12"/>
    </row>
    <row r="26" spans="1:31" ht="14.25" x14ac:dyDescent="0.2">
      <c r="A26" s="12"/>
      <c r="B26" s="12"/>
      <c r="C26" s="12"/>
      <c r="D26" s="52" t="str">
        <f>IF(Source!CN15 &lt;&gt; "", Source!CN15, "")</f>
        <v/>
      </c>
      <c r="E26" s="53">
        <v>43164.702824074076</v>
      </c>
      <c r="F26" s="52"/>
      <c r="G26" s="54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85" t="s">
        <v>438</v>
      </c>
      <c r="B28" s="85"/>
      <c r="C28" s="85"/>
      <c r="D28" s="85"/>
      <c r="E28" s="85"/>
      <c r="F28" s="85"/>
      <c r="G28" s="85"/>
      <c r="H28" s="85"/>
    </row>
    <row r="29" spans="1:31" ht="18" x14ac:dyDescent="0.25">
      <c r="A29" s="85" t="s">
        <v>439</v>
      </c>
      <c r="B29" s="85"/>
      <c r="C29" s="85"/>
      <c r="D29" s="85"/>
      <c r="E29" s="85"/>
      <c r="F29" s="85"/>
      <c r="G29" s="85"/>
      <c r="H29" s="85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440</v>
      </c>
      <c r="B31" s="12"/>
      <c r="C31" s="12"/>
      <c r="D31" s="12"/>
      <c r="E31" s="12"/>
      <c r="F31" s="83">
        <f>(Source!F85/1000)</f>
        <v>2126.6891000000001</v>
      </c>
      <c r="G31" s="83"/>
      <c r="H31" s="12" t="s">
        <v>441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84" t="s">
        <v>442</v>
      </c>
      <c r="B33" s="84"/>
      <c r="C33" s="84" t="s">
        <v>443</v>
      </c>
      <c r="D33" s="84" t="s">
        <v>444</v>
      </c>
      <c r="E33" s="84" t="s">
        <v>445</v>
      </c>
      <c r="F33" s="84" t="s">
        <v>446</v>
      </c>
      <c r="G33" s="84"/>
      <c r="H33" s="84"/>
    </row>
    <row r="34" spans="1:28" ht="57" x14ac:dyDescent="0.2">
      <c r="A34" s="17" t="s">
        <v>447</v>
      </c>
      <c r="B34" s="17" t="s">
        <v>448</v>
      </c>
      <c r="C34" s="84"/>
      <c r="D34" s="84"/>
      <c r="E34" s="84"/>
      <c r="F34" s="17" t="s">
        <v>449</v>
      </c>
      <c r="G34" s="17" t="s">
        <v>450</v>
      </c>
      <c r="H34" s="17" t="s">
        <v>451</v>
      </c>
    </row>
    <row r="35" spans="1:28" ht="14.25" x14ac:dyDescent="0.2">
      <c r="A35" s="17">
        <v>1</v>
      </c>
      <c r="B35" s="17">
        <v>2</v>
      </c>
      <c r="C35" s="17">
        <v>3</v>
      </c>
      <c r="D35" s="17">
        <v>4</v>
      </c>
      <c r="E35" s="17">
        <v>5</v>
      </c>
      <c r="F35" s="17">
        <v>6</v>
      </c>
      <c r="G35" s="17">
        <v>7</v>
      </c>
      <c r="H35" s="17">
        <v>8</v>
      </c>
    </row>
    <row r="36" spans="1:28" ht="28.5" x14ac:dyDescent="0.2">
      <c r="A36" s="44">
        <v>1</v>
      </c>
      <c r="B36" s="44" t="str">
        <f>Source!E24</f>
        <v>1</v>
      </c>
      <c r="C36" s="44" t="str">
        <f>Source!G24</f>
        <v>Слив и наполнение водой системы отопления с осмотром системы</v>
      </c>
      <c r="D36" s="44" t="str">
        <f>Source!F24</f>
        <v>65-23-2</v>
      </c>
      <c r="E36" s="29" t="str">
        <f>Source!H24</f>
        <v>1000 м3</v>
      </c>
      <c r="F36" s="12">
        <f>Source!I24</f>
        <v>0.105</v>
      </c>
      <c r="G36" s="20">
        <f>Source!AB24</f>
        <v>10.83</v>
      </c>
      <c r="H36" s="20">
        <f>Source!O24</f>
        <v>7.37</v>
      </c>
      <c r="T36">
        <f>Source!O24+Source!X24+Source!Y24</f>
        <v>16.510000000000002</v>
      </c>
      <c r="U36">
        <f>Source!P24</f>
        <v>0</v>
      </c>
      <c r="V36">
        <f>Source!S24</f>
        <v>7.37</v>
      </c>
      <c r="W36">
        <f>Source!Q24</f>
        <v>0</v>
      </c>
      <c r="X36">
        <f>Source!R24</f>
        <v>0</v>
      </c>
      <c r="Y36">
        <f>Source!U24</f>
        <v>0.13335</v>
      </c>
      <c r="Z36">
        <f>Source!V24</f>
        <v>0</v>
      </c>
      <c r="AA36">
        <f>Source!X24</f>
        <v>5.45</v>
      </c>
      <c r="AB36">
        <f>Source!Y24</f>
        <v>3.69</v>
      </c>
    </row>
    <row r="37" spans="1:28" ht="14.25" x14ac:dyDescent="0.2">
      <c r="C37" s="24" t="s">
        <v>452</v>
      </c>
      <c r="D37" s="24">
        <f>Source!BA24</f>
        <v>6.48</v>
      </c>
      <c r="F37" s="12"/>
      <c r="G37" s="12"/>
      <c r="H37" s="12"/>
    </row>
    <row r="38" spans="1:28" x14ac:dyDescent="0.2">
      <c r="C38" s="24" t="s">
        <v>453</v>
      </c>
      <c r="D38" s="24">
        <f>Source!BB24</f>
        <v>6.48</v>
      </c>
    </row>
    <row r="39" spans="1:28" x14ac:dyDescent="0.2">
      <c r="C39" s="24" t="s">
        <v>454</v>
      </c>
      <c r="D39" s="24">
        <f>Source!BC24</f>
        <v>6.48</v>
      </c>
    </row>
    <row r="40" spans="1:28" x14ac:dyDescent="0.2">
      <c r="C40" s="24" t="s">
        <v>455</v>
      </c>
      <c r="D40" s="24">
        <f>Source!BS24</f>
        <v>6.48</v>
      </c>
    </row>
    <row r="41" spans="1:28" x14ac:dyDescent="0.2">
      <c r="C41" s="9" t="s">
        <v>456</v>
      </c>
      <c r="D41" s="31"/>
      <c r="E41" s="31"/>
      <c r="F41" s="31">
        <f>Source!BZ24</f>
        <v>74</v>
      </c>
      <c r="G41" s="55">
        <f>(Source!AF24+Source!AE24)*Source!FX24/100</f>
        <v>8.0141999999999989</v>
      </c>
      <c r="H41" s="55">
        <f>Source!X24</f>
        <v>5.45</v>
      </c>
    </row>
    <row r="42" spans="1:28" x14ac:dyDescent="0.2">
      <c r="C42" s="9" t="s">
        <v>457</v>
      </c>
      <c r="D42" s="31"/>
      <c r="E42" s="31"/>
      <c r="F42" s="31">
        <f>Source!CA24</f>
        <v>50</v>
      </c>
      <c r="G42" s="55">
        <f>(Source!AF24+Source!AE24)*Source!FY24/100</f>
        <v>5.415</v>
      </c>
      <c r="H42" s="55">
        <f>Source!Y24</f>
        <v>3.69</v>
      </c>
    </row>
    <row r="43" spans="1:28" x14ac:dyDescent="0.2">
      <c r="C43" s="9" t="s">
        <v>458</v>
      </c>
      <c r="D43" s="31"/>
      <c r="E43" s="31"/>
      <c r="F43" s="31"/>
      <c r="G43" s="55">
        <f>((Source!AF24+Source!AE24)*Source!FX24/100)+((Source!AF24+Source!AE24)*Source!FY24/100)+Source!AB24</f>
        <v>24.2592</v>
      </c>
      <c r="H43" s="55">
        <f>Source!O24+Source!X24+Source!Y24</f>
        <v>16.510000000000002</v>
      </c>
    </row>
    <row r="44" spans="1:28" ht="14.25" x14ac:dyDescent="0.2">
      <c r="A44" s="44">
        <v>2</v>
      </c>
      <c r="B44" s="44" t="str">
        <f>Source!E25</f>
        <v>2</v>
      </c>
      <c r="C44" s="44" t="str">
        <f>Source!G25</f>
        <v>Демонтаж чугунных люков</v>
      </c>
      <c r="D44" s="44" t="str">
        <f>Source!F25</f>
        <v>66-8-1</v>
      </c>
      <c r="E44" s="29" t="str">
        <f>Source!H25</f>
        <v>ШТ</v>
      </c>
      <c r="F44" s="12">
        <f>Source!I25</f>
        <v>13</v>
      </c>
      <c r="G44" s="20">
        <f>Source!AB25</f>
        <v>17.86</v>
      </c>
      <c r="H44" s="20">
        <f>Source!O25</f>
        <v>1504.53</v>
      </c>
      <c r="T44">
        <f>Source!O25+Source!X25+Source!Y25</f>
        <v>3370.15</v>
      </c>
      <c r="U44">
        <f>Source!P25</f>
        <v>0</v>
      </c>
      <c r="V44">
        <f>Source!S25</f>
        <v>1504.53</v>
      </c>
      <c r="W44">
        <f>Source!Q25</f>
        <v>0</v>
      </c>
      <c r="X44">
        <f>Source!R25</f>
        <v>0</v>
      </c>
      <c r="Y44">
        <f>Source!U25</f>
        <v>29.51</v>
      </c>
      <c r="Z44">
        <f>Source!V25</f>
        <v>0</v>
      </c>
      <c r="AA44">
        <f>Source!X25</f>
        <v>1113.3499999999999</v>
      </c>
      <c r="AB44">
        <f>Source!Y25</f>
        <v>752.27</v>
      </c>
    </row>
    <row r="45" spans="1:28" ht="14.25" x14ac:dyDescent="0.2">
      <c r="C45" s="24" t="s">
        <v>452</v>
      </c>
      <c r="D45" s="24">
        <f>Source!BA25</f>
        <v>6.48</v>
      </c>
      <c r="F45" s="12"/>
      <c r="G45" s="12"/>
      <c r="H45" s="12"/>
    </row>
    <row r="46" spans="1:28" x14ac:dyDescent="0.2">
      <c r="C46" s="24" t="s">
        <v>453</v>
      </c>
      <c r="D46" s="24">
        <f>Source!BB25</f>
        <v>6.48</v>
      </c>
    </row>
    <row r="47" spans="1:28" x14ac:dyDescent="0.2">
      <c r="C47" s="24" t="s">
        <v>454</v>
      </c>
      <c r="D47" s="24">
        <f>Source!BC25</f>
        <v>6.48</v>
      </c>
    </row>
    <row r="48" spans="1:28" x14ac:dyDescent="0.2">
      <c r="C48" s="24" t="s">
        <v>455</v>
      </c>
      <c r="D48" s="24">
        <f>Source!BS25</f>
        <v>6.48</v>
      </c>
    </row>
    <row r="49" spans="1:28" x14ac:dyDescent="0.2">
      <c r="C49" s="9" t="s">
        <v>456</v>
      </c>
      <c r="D49" s="31"/>
      <c r="E49" s="31"/>
      <c r="F49" s="31">
        <f>Source!BZ25</f>
        <v>74</v>
      </c>
      <c r="G49" s="55">
        <f>(Source!AF25+Source!AE25)*Source!FX25/100</f>
        <v>13.216399999999998</v>
      </c>
      <c r="H49" s="55">
        <f>Source!X25</f>
        <v>1113.3499999999999</v>
      </c>
    </row>
    <row r="50" spans="1:28" x14ac:dyDescent="0.2">
      <c r="C50" s="9" t="s">
        <v>457</v>
      </c>
      <c r="D50" s="31"/>
      <c r="E50" s="31"/>
      <c r="F50" s="31">
        <f>Source!CA25</f>
        <v>50</v>
      </c>
      <c r="G50" s="55">
        <f>(Source!AF25+Source!AE25)*Source!FY25/100</f>
        <v>8.93</v>
      </c>
      <c r="H50" s="55">
        <f>Source!Y25</f>
        <v>752.27</v>
      </c>
    </row>
    <row r="51" spans="1:28" x14ac:dyDescent="0.2">
      <c r="C51" s="9" t="s">
        <v>458</v>
      </c>
      <c r="D51" s="31"/>
      <c r="E51" s="31"/>
      <c r="F51" s="31"/>
      <c r="G51" s="55">
        <f>((Source!AF25+Source!AE25)*Source!FX25/100)+((Source!AF25+Source!AE25)*Source!FY25/100)+Source!AB25</f>
        <v>40.006399999999999</v>
      </c>
      <c r="H51" s="55">
        <f>Source!O25+Source!X25+Source!Y25</f>
        <v>3370.15</v>
      </c>
    </row>
    <row r="52" spans="1:28" ht="28.5" x14ac:dyDescent="0.2">
      <c r="A52" s="44">
        <v>3</v>
      </c>
      <c r="B52" s="44" t="str">
        <f>Source!E26</f>
        <v>3</v>
      </c>
      <c r="C52" s="44" t="str">
        <f>Source!G26</f>
        <v>Установка люка (без стоимости материала)</v>
      </c>
      <c r="D52" s="44" t="str">
        <f>Source!F26</f>
        <v>23-04-011-01</v>
      </c>
      <c r="E52" s="29" t="str">
        <f>Source!H26</f>
        <v>ШТ</v>
      </c>
      <c r="F52" s="12">
        <f>Source!I26</f>
        <v>13</v>
      </c>
      <c r="G52" s="20">
        <f>Source!AB26</f>
        <v>19.3</v>
      </c>
      <c r="H52" s="20">
        <f>Source!O26</f>
        <v>1625.83</v>
      </c>
      <c r="T52">
        <f>Source!O26+Source!X26+Source!Y26</f>
        <v>3906.86</v>
      </c>
      <c r="U52">
        <f>Source!P26</f>
        <v>44.65</v>
      </c>
      <c r="V52">
        <f>Source!S26</f>
        <v>1096.8</v>
      </c>
      <c r="W52">
        <f>Source!Q26</f>
        <v>484.38</v>
      </c>
      <c r="X52">
        <f>Source!R26</f>
        <v>85.08</v>
      </c>
      <c r="Y52">
        <f>Source!U26</f>
        <v>19.584499999999998</v>
      </c>
      <c r="Z52">
        <f>Source!V26</f>
        <v>1.1375000000000002</v>
      </c>
      <c r="AA52">
        <f>Source!X26</f>
        <v>1382.8</v>
      </c>
      <c r="AB52">
        <f>Source!Y26</f>
        <v>898.23</v>
      </c>
    </row>
    <row r="53" spans="1:28" ht="14.25" x14ac:dyDescent="0.2">
      <c r="C53" s="24" t="s">
        <v>452</v>
      </c>
      <c r="D53" s="24">
        <f>Source!BA26</f>
        <v>6.48</v>
      </c>
      <c r="F53" s="12"/>
      <c r="G53" s="12"/>
      <c r="H53" s="12"/>
    </row>
    <row r="54" spans="1:28" x14ac:dyDescent="0.2">
      <c r="C54" s="24" t="s">
        <v>453</v>
      </c>
      <c r="D54" s="24">
        <f>Source!BB26</f>
        <v>6.48</v>
      </c>
    </row>
    <row r="55" spans="1:28" x14ac:dyDescent="0.2">
      <c r="C55" s="24" t="s">
        <v>454</v>
      </c>
      <c r="D55" s="24">
        <f>Source!BC26</f>
        <v>6.48</v>
      </c>
    </row>
    <row r="56" spans="1:28" x14ac:dyDescent="0.2">
      <c r="C56" s="24" t="s">
        <v>455</v>
      </c>
      <c r="D56" s="24">
        <f>Source!BS26</f>
        <v>6.48</v>
      </c>
    </row>
    <row r="57" spans="1:28" x14ac:dyDescent="0.2">
      <c r="C57" s="9" t="s">
        <v>456</v>
      </c>
      <c r="D57" s="31"/>
      <c r="E57" s="31"/>
      <c r="F57" s="31">
        <f>Source!BZ26</f>
        <v>130</v>
      </c>
      <c r="G57" s="55">
        <f>(Source!AF26+Source!AE26)*Source!FX26/100</f>
        <v>16.415099999999999</v>
      </c>
      <c r="H57" s="55">
        <f>Source!X26</f>
        <v>1382.8</v>
      </c>
    </row>
    <row r="58" spans="1:28" x14ac:dyDescent="0.2">
      <c r="C58" s="9" t="s">
        <v>459</v>
      </c>
      <c r="D58" s="31"/>
      <c r="E58" s="31"/>
      <c r="F58" s="31"/>
      <c r="G58" s="31" t="str">
        <f>CONCATENATE(Source!DL26,Source!FT26, "=", Source!FX26, "%")</f>
        <v>*0,9=117%</v>
      </c>
      <c r="H58" s="31" t="str">
        <f>CONCATENATE(Source!AT26)</f>
        <v>117</v>
      </c>
    </row>
    <row r="59" spans="1:28" x14ac:dyDescent="0.2">
      <c r="C59" s="9" t="s">
        <v>457</v>
      </c>
      <c r="D59" s="31"/>
      <c r="E59" s="31"/>
      <c r="F59" s="31">
        <f>Source!CA26</f>
        <v>89</v>
      </c>
      <c r="G59" s="55">
        <f>(Source!AF26+Source!AE26)*Source!FY26/100</f>
        <v>10.613695</v>
      </c>
      <c r="H59" s="55">
        <f>Source!Y26</f>
        <v>898.23</v>
      </c>
    </row>
    <row r="60" spans="1:28" x14ac:dyDescent="0.2">
      <c r="C60" s="9" t="s">
        <v>460</v>
      </c>
      <c r="D60" s="31"/>
      <c r="E60" s="31"/>
      <c r="F60" s="31"/>
      <c r="G60" s="31" t="str">
        <f>CONCATENATE(Source!DM26,Source!FU26, "=", Source!FY26, "%")</f>
        <v>*0,85=75,65%</v>
      </c>
      <c r="H60" s="31" t="str">
        <f>CONCATENATE(Source!AU26)</f>
        <v>76</v>
      </c>
    </row>
    <row r="61" spans="1:28" x14ac:dyDescent="0.2">
      <c r="C61" s="9" t="s">
        <v>458</v>
      </c>
      <c r="D61" s="31"/>
      <c r="E61" s="31"/>
      <c r="F61" s="31"/>
      <c r="G61" s="55">
        <f>((Source!AF26+Source!AE26)*Source!FX26/100)+((Source!AF26+Source!AE26)*Source!FY26/100)+Source!AB26</f>
        <v>46.328795</v>
      </c>
      <c r="H61" s="55">
        <f>Source!O26+Source!X26+Source!Y26</f>
        <v>3906.86</v>
      </c>
    </row>
    <row r="62" spans="1:28" ht="14.25" x14ac:dyDescent="0.2">
      <c r="A62" s="44">
        <v>4</v>
      </c>
      <c r="B62" s="44" t="str">
        <f>Source!E27</f>
        <v>4</v>
      </c>
      <c r="C62" s="44" t="str">
        <f>Source!G27</f>
        <v>Смена задвижек диаметром 50 мм</v>
      </c>
      <c r="D62" s="44" t="str">
        <f>Source!F27</f>
        <v>65-5-8</v>
      </c>
      <c r="E62" s="29" t="str">
        <f>Source!H27</f>
        <v>100 ШТ</v>
      </c>
      <c r="F62" s="12">
        <f>Source!I27</f>
        <v>0.04</v>
      </c>
      <c r="G62" s="20">
        <f>Source!AB27</f>
        <v>5080.3</v>
      </c>
      <c r="H62" s="20">
        <f>Source!O27</f>
        <v>1316.81</v>
      </c>
      <c r="T62">
        <f>Source!O27+Source!X27+Source!Y27</f>
        <v>2504.92</v>
      </c>
      <c r="U62">
        <f>Source!P27</f>
        <v>565.47</v>
      </c>
      <c r="V62">
        <f>Source!S27</f>
        <v>724.09</v>
      </c>
      <c r="W62">
        <f>Source!Q27</f>
        <v>27.25</v>
      </c>
      <c r="X62">
        <f>Source!R27</f>
        <v>4.8099999999999996</v>
      </c>
      <c r="Y62">
        <f>Source!U27</f>
        <v>12.32</v>
      </c>
      <c r="Z62">
        <f>Source!V27</f>
        <v>6.4000000000000001E-2</v>
      </c>
      <c r="AA62">
        <f>Source!X27</f>
        <v>750.77</v>
      </c>
      <c r="AB62">
        <f>Source!Y27</f>
        <v>437.34</v>
      </c>
    </row>
    <row r="63" spans="1:28" ht="14.25" x14ac:dyDescent="0.2">
      <c r="C63" s="24" t="s">
        <v>452</v>
      </c>
      <c r="D63" s="24">
        <f>Source!BA27</f>
        <v>6.48</v>
      </c>
      <c r="F63" s="12"/>
      <c r="G63" s="12"/>
      <c r="H63" s="12"/>
    </row>
    <row r="64" spans="1:28" x14ac:dyDescent="0.2">
      <c r="C64" s="24" t="s">
        <v>453</v>
      </c>
      <c r="D64" s="24">
        <f>Source!BB27</f>
        <v>6.48</v>
      </c>
    </row>
    <row r="65" spans="1:28" x14ac:dyDescent="0.2">
      <c r="C65" s="24" t="s">
        <v>454</v>
      </c>
      <c r="D65" s="24">
        <f>Source!BC27</f>
        <v>6.48</v>
      </c>
    </row>
    <row r="66" spans="1:28" x14ac:dyDescent="0.2">
      <c r="C66" s="24" t="s">
        <v>455</v>
      </c>
      <c r="D66" s="24">
        <f>Source!BS27</f>
        <v>6.48</v>
      </c>
    </row>
    <row r="67" spans="1:28" x14ac:dyDescent="0.2">
      <c r="C67" s="9" t="s">
        <v>456</v>
      </c>
      <c r="D67" s="31"/>
      <c r="E67" s="31"/>
      <c r="F67" s="31">
        <f>Source!BZ27</f>
        <v>103</v>
      </c>
      <c r="G67" s="55">
        <f>(Source!AF27+Source!AE27)*Source!FX27/100</f>
        <v>2896.4836</v>
      </c>
      <c r="H67" s="55">
        <f>Source!X27</f>
        <v>750.77</v>
      </c>
    </row>
    <row r="68" spans="1:28" x14ac:dyDescent="0.2">
      <c r="C68" s="9" t="s">
        <v>457</v>
      </c>
      <c r="D68" s="31"/>
      <c r="E68" s="31"/>
      <c r="F68" s="31">
        <f>Source!CA27</f>
        <v>60</v>
      </c>
      <c r="G68" s="55">
        <f>(Source!AF27+Source!AE27)*Source!FY27/100</f>
        <v>1687.2719999999999</v>
      </c>
      <c r="H68" s="55">
        <f>Source!Y27</f>
        <v>437.34</v>
      </c>
    </row>
    <row r="69" spans="1:28" x14ac:dyDescent="0.2">
      <c r="C69" s="9" t="s">
        <v>458</v>
      </c>
      <c r="D69" s="31"/>
      <c r="E69" s="31"/>
      <c r="F69" s="31"/>
      <c r="G69" s="55">
        <f>((Source!AF27+Source!AE27)*Source!FX27/100)+((Source!AF27+Source!AE27)*Source!FY27/100)+Source!AB27</f>
        <v>9664.0555999999997</v>
      </c>
      <c r="H69" s="55">
        <f>Source!O27+Source!X27+Source!Y27</f>
        <v>2504.92</v>
      </c>
    </row>
    <row r="70" spans="1:28" ht="85.5" x14ac:dyDescent="0.2">
      <c r="A70" s="44">
        <v>5</v>
      </c>
      <c r="B70" s="44" t="str">
        <f>Source!E28</f>
        <v>4,1</v>
      </c>
      <c r="C70" s="44" t="str">
        <f>Source!G28</f>
        <v>Задвижки клиновые с выдвижным шпинделем фланцевые для воды, пара и неагрессивных нефтепродуктов (жидких и газообразных) давлением 1 МПа (10 кгс/см2) 30с42нж диаметром 50 мм</v>
      </c>
      <c r="D70" s="44" t="str">
        <f>Source!F28</f>
        <v>18.1.02.01-0051</v>
      </c>
      <c r="E70" s="29" t="str">
        <f>Source!H28</f>
        <v>шт.</v>
      </c>
      <c r="F70" s="12">
        <f>Source!I28</f>
        <v>4</v>
      </c>
      <c r="G70" s="20">
        <f>Source!AB28</f>
        <v>594.34</v>
      </c>
      <c r="H70" s="20">
        <f>Source!O28</f>
        <v>15405.29</v>
      </c>
      <c r="T70">
        <f>Source!O28+Source!X28+Source!Y28</f>
        <v>15405.29</v>
      </c>
      <c r="U70">
        <f>Source!P28</f>
        <v>15405.29</v>
      </c>
      <c r="V70">
        <f>Source!S28</f>
        <v>0</v>
      </c>
      <c r="W70">
        <f>Source!Q28</f>
        <v>0</v>
      </c>
      <c r="X70">
        <f>Source!R28</f>
        <v>0</v>
      </c>
      <c r="Y70">
        <f>Source!U28</f>
        <v>0</v>
      </c>
      <c r="Z70">
        <f>Source!V28</f>
        <v>0</v>
      </c>
      <c r="AA70">
        <f>Source!X28</f>
        <v>0</v>
      </c>
      <c r="AB70">
        <f>Source!Y28</f>
        <v>0</v>
      </c>
    </row>
    <row r="71" spans="1:28" ht="14.25" x14ac:dyDescent="0.2">
      <c r="C71" s="24" t="s">
        <v>454</v>
      </c>
      <c r="D71" s="24">
        <f>Source!BC28</f>
        <v>6.48</v>
      </c>
      <c r="F71" s="12"/>
      <c r="G71" s="12"/>
      <c r="H71" s="12"/>
    </row>
    <row r="72" spans="1:28" ht="14.25" x14ac:dyDescent="0.2">
      <c r="A72" s="44">
        <v>6</v>
      </c>
      <c r="B72" s="44" t="str">
        <f>Source!E29</f>
        <v>5</v>
      </c>
      <c r="C72" s="44" t="str">
        <f>Source!G29</f>
        <v>Смена задвижек диаметром 100 мм</v>
      </c>
      <c r="D72" s="44" t="str">
        <f>Source!F29</f>
        <v>65-5-9</v>
      </c>
      <c r="E72" s="29" t="str">
        <f>Source!H29</f>
        <v>100 ШТ</v>
      </c>
      <c r="F72" s="12">
        <f>Source!I29</f>
        <v>0.11</v>
      </c>
      <c r="G72" s="20">
        <f>Source!AB29</f>
        <v>8081.12</v>
      </c>
      <c r="H72" s="20">
        <f>Source!O29</f>
        <v>5760.22</v>
      </c>
      <c r="T72">
        <f>Source!O29+Source!X29+Source!Y29</f>
        <v>10263.91</v>
      </c>
      <c r="U72">
        <f>Source!P29</f>
        <v>2835.23</v>
      </c>
      <c r="V72">
        <f>Source!S29</f>
        <v>2728.27</v>
      </c>
      <c r="W72">
        <f>Source!Q29</f>
        <v>196.72</v>
      </c>
      <c r="X72">
        <f>Source!R29</f>
        <v>34.729999999999997</v>
      </c>
      <c r="Y72">
        <f>Source!U29</f>
        <v>46.42</v>
      </c>
      <c r="Z72">
        <f>Source!V29</f>
        <v>0.46200000000000002</v>
      </c>
      <c r="AA72">
        <f>Source!X29</f>
        <v>2845.89</v>
      </c>
      <c r="AB72">
        <f>Source!Y29</f>
        <v>1657.8</v>
      </c>
    </row>
    <row r="73" spans="1:28" ht="14.25" x14ac:dyDescent="0.2">
      <c r="C73" s="24" t="s">
        <v>452</v>
      </c>
      <c r="D73" s="24">
        <f>Source!BA29</f>
        <v>6.48</v>
      </c>
      <c r="F73" s="12"/>
      <c r="G73" s="12"/>
      <c r="H73" s="12"/>
    </row>
    <row r="74" spans="1:28" x14ac:dyDescent="0.2">
      <c r="C74" s="24" t="s">
        <v>453</v>
      </c>
      <c r="D74" s="24">
        <f>Source!BB29</f>
        <v>6.48</v>
      </c>
    </row>
    <row r="75" spans="1:28" x14ac:dyDescent="0.2">
      <c r="C75" s="24" t="s">
        <v>454</v>
      </c>
      <c r="D75" s="24">
        <f>Source!BC29</f>
        <v>6.48</v>
      </c>
    </row>
    <row r="76" spans="1:28" x14ac:dyDescent="0.2">
      <c r="C76" s="24" t="s">
        <v>455</v>
      </c>
      <c r="D76" s="24">
        <f>Source!BS29</f>
        <v>6.48</v>
      </c>
    </row>
    <row r="77" spans="1:28" x14ac:dyDescent="0.2">
      <c r="C77" s="9" t="s">
        <v>456</v>
      </c>
      <c r="D77" s="31"/>
      <c r="E77" s="31"/>
      <c r="F77" s="31">
        <f>Source!BZ29</f>
        <v>103</v>
      </c>
      <c r="G77" s="55">
        <f>(Source!AF29+Source!AE29)*Source!FX29/100</f>
        <v>3992.5477999999998</v>
      </c>
      <c r="H77" s="55">
        <f>Source!X29</f>
        <v>2845.89</v>
      </c>
    </row>
    <row r="78" spans="1:28" x14ac:dyDescent="0.2">
      <c r="C78" s="9" t="s">
        <v>457</v>
      </c>
      <c r="D78" s="31"/>
      <c r="E78" s="31"/>
      <c r="F78" s="31">
        <f>Source!CA29</f>
        <v>60</v>
      </c>
      <c r="G78" s="55">
        <f>(Source!AF29+Source!AE29)*Source!FY29/100</f>
        <v>2325.7559999999999</v>
      </c>
      <c r="H78" s="55">
        <f>Source!Y29</f>
        <v>1657.8</v>
      </c>
    </row>
    <row r="79" spans="1:28" x14ac:dyDescent="0.2">
      <c r="C79" s="9" t="s">
        <v>458</v>
      </c>
      <c r="D79" s="31"/>
      <c r="E79" s="31"/>
      <c r="F79" s="31"/>
      <c r="G79" s="55">
        <f>((Source!AF29+Source!AE29)*Source!FX29/100)+((Source!AF29+Source!AE29)*Source!FY29/100)+Source!AB29</f>
        <v>14399.4238</v>
      </c>
      <c r="H79" s="55">
        <f>Source!O29+Source!X29+Source!Y29</f>
        <v>10263.91</v>
      </c>
    </row>
    <row r="80" spans="1:28" ht="85.5" x14ac:dyDescent="0.2">
      <c r="A80" s="44">
        <v>7</v>
      </c>
      <c r="B80" s="44" t="str">
        <f>Source!E30</f>
        <v>5,1</v>
      </c>
      <c r="C80" s="44" t="str">
        <f>Source!G30</f>
        <v>Задвижки клиновые с выдвижным шпинделем фланцевые для воды, пара и неагрессивных нефтепродуктов (жидких и газообразных) давлением 1 МПа (10 кгс/см2) 30с42нж диаметром 100 мм</v>
      </c>
      <c r="D80" s="44" t="str">
        <f>Source!F30</f>
        <v>18.1.02.01-0053</v>
      </c>
      <c r="E80" s="29" t="str">
        <f>Source!H30</f>
        <v>шт.</v>
      </c>
      <c r="F80" s="12">
        <f>Source!I30</f>
        <v>11</v>
      </c>
      <c r="G80" s="20">
        <f>Source!AB30</f>
        <v>1061.33</v>
      </c>
      <c r="H80" s="20">
        <f>Source!O30</f>
        <v>75651.600000000006</v>
      </c>
      <c r="T80">
        <f>Source!O30+Source!X30+Source!Y30</f>
        <v>75651.600000000006</v>
      </c>
      <c r="U80">
        <f>Source!P30</f>
        <v>75651.600000000006</v>
      </c>
      <c r="V80">
        <f>Source!S30</f>
        <v>0</v>
      </c>
      <c r="W80">
        <f>Source!Q30</f>
        <v>0</v>
      </c>
      <c r="X80">
        <f>Source!R30</f>
        <v>0</v>
      </c>
      <c r="Y80">
        <f>Source!U30</f>
        <v>0</v>
      </c>
      <c r="Z80">
        <f>Source!V30</f>
        <v>0</v>
      </c>
      <c r="AA80">
        <f>Source!X30</f>
        <v>0</v>
      </c>
      <c r="AB80">
        <f>Source!Y30</f>
        <v>0</v>
      </c>
    </row>
    <row r="81" spans="1:28" ht="14.25" x14ac:dyDescent="0.2">
      <c r="C81" s="24" t="s">
        <v>454</v>
      </c>
      <c r="D81" s="24">
        <f>Source!BC30</f>
        <v>6.48</v>
      </c>
      <c r="F81" s="12"/>
      <c r="G81" s="12"/>
      <c r="H81" s="12"/>
    </row>
    <row r="82" spans="1:28" ht="14.25" x14ac:dyDescent="0.2">
      <c r="A82" s="44">
        <v>8</v>
      </c>
      <c r="B82" s="44" t="str">
        <f>Source!E31</f>
        <v>6</v>
      </c>
      <c r="C82" s="44" t="str">
        <f>Source!G31</f>
        <v>Смена задвижек диаметром 150 мм</v>
      </c>
      <c r="D82" s="44" t="str">
        <f>Source!F31</f>
        <v>65-5-10</v>
      </c>
      <c r="E82" s="29" t="str">
        <f>Source!H31</f>
        <v>100 ШТ</v>
      </c>
      <c r="F82" s="12">
        <f>Source!I31</f>
        <v>0.08</v>
      </c>
      <c r="G82" s="20">
        <f>Source!AB31</f>
        <v>14313.15</v>
      </c>
      <c r="H82" s="20">
        <f>Source!O31</f>
        <v>7419.93</v>
      </c>
      <c r="T82">
        <f>Source!O31+Source!X31+Source!Y31</f>
        <v>12034.13</v>
      </c>
      <c r="U82">
        <f>Source!P31</f>
        <v>4412.41</v>
      </c>
      <c r="V82">
        <f>Source!S31</f>
        <v>2792.92</v>
      </c>
      <c r="W82">
        <f>Source!Q31</f>
        <v>214.6</v>
      </c>
      <c r="X82">
        <f>Source!R31</f>
        <v>37.880000000000003</v>
      </c>
      <c r="Y82">
        <f>Source!U31</f>
        <v>47.52</v>
      </c>
      <c r="Z82">
        <f>Source!V31</f>
        <v>0.504</v>
      </c>
      <c r="AA82">
        <f>Source!X31</f>
        <v>2915.72</v>
      </c>
      <c r="AB82">
        <f>Source!Y31</f>
        <v>1698.48</v>
      </c>
    </row>
    <row r="83" spans="1:28" ht="14.25" x14ac:dyDescent="0.2">
      <c r="C83" s="24" t="s">
        <v>452</v>
      </c>
      <c r="D83" s="24">
        <f>Source!BA31</f>
        <v>6.48</v>
      </c>
      <c r="F83" s="12"/>
      <c r="G83" s="12"/>
      <c r="H83" s="12"/>
    </row>
    <row r="84" spans="1:28" x14ac:dyDescent="0.2">
      <c r="C84" s="24" t="s">
        <v>453</v>
      </c>
      <c r="D84" s="24">
        <f>Source!BB31</f>
        <v>6.48</v>
      </c>
    </row>
    <row r="85" spans="1:28" x14ac:dyDescent="0.2">
      <c r="C85" s="24" t="s">
        <v>454</v>
      </c>
      <c r="D85" s="24">
        <f>Source!BC31</f>
        <v>6.48</v>
      </c>
    </row>
    <row r="86" spans="1:28" x14ac:dyDescent="0.2">
      <c r="C86" s="24" t="s">
        <v>455</v>
      </c>
      <c r="D86" s="24">
        <f>Source!BS31</f>
        <v>6.48</v>
      </c>
    </row>
    <row r="87" spans="1:28" x14ac:dyDescent="0.2">
      <c r="C87" s="9" t="s">
        <v>456</v>
      </c>
      <c r="D87" s="31"/>
      <c r="E87" s="31"/>
      <c r="F87" s="31">
        <f>Source!BZ31</f>
        <v>103</v>
      </c>
      <c r="G87" s="55">
        <f>(Source!AF31+Source!AE31)*Source!FX31/100</f>
        <v>5624.4798000000001</v>
      </c>
      <c r="H87" s="55">
        <f>Source!X31</f>
        <v>2915.72</v>
      </c>
    </row>
    <row r="88" spans="1:28" x14ac:dyDescent="0.2">
      <c r="C88" s="9" t="s">
        <v>457</v>
      </c>
      <c r="D88" s="31"/>
      <c r="E88" s="31"/>
      <c r="F88" s="31">
        <f>Source!CA31</f>
        <v>60</v>
      </c>
      <c r="G88" s="55">
        <f>(Source!AF31+Source!AE31)*Source!FY31/100</f>
        <v>3276.3959999999997</v>
      </c>
      <c r="H88" s="55">
        <f>Source!Y31</f>
        <v>1698.48</v>
      </c>
    </row>
    <row r="89" spans="1:28" x14ac:dyDescent="0.2">
      <c r="C89" s="9" t="s">
        <v>458</v>
      </c>
      <c r="D89" s="31"/>
      <c r="E89" s="31"/>
      <c r="F89" s="31"/>
      <c r="G89" s="55">
        <f>((Source!AF31+Source!AE31)*Source!FX31/100)+((Source!AF31+Source!AE31)*Source!FY31/100)+Source!AB31</f>
        <v>23214.025799999999</v>
      </c>
      <c r="H89" s="55">
        <f>Source!O31+Source!X31+Source!Y31</f>
        <v>12034.13</v>
      </c>
    </row>
    <row r="90" spans="1:28" ht="71.25" x14ac:dyDescent="0.2">
      <c r="A90" s="44">
        <v>9</v>
      </c>
      <c r="B90" s="44" t="str">
        <f>Source!E32</f>
        <v>6,1</v>
      </c>
      <c r="C90" s="44" t="str">
        <f>Source!G32</f>
        <v>Задвижки клиновые с выдвижным шпинделем фланцевые для воды, пара и нефтепродуктов давлением 1,6 МПа (16 кгс/см2) 30с941нж диаметром 150 мм</v>
      </c>
      <c r="D90" s="44" t="str">
        <f>Source!F32</f>
        <v>18.1.02.01-0104</v>
      </c>
      <c r="E90" s="29" t="str">
        <f>Source!H32</f>
        <v>шт.</v>
      </c>
      <c r="F90" s="12">
        <f>Source!I32</f>
        <v>8</v>
      </c>
      <c r="G90" s="20">
        <f>Source!AB32</f>
        <v>3092.71</v>
      </c>
      <c r="H90" s="20">
        <f>Source!O32</f>
        <v>160326.09</v>
      </c>
      <c r="T90">
        <f>Source!O32+Source!X32+Source!Y32</f>
        <v>160326.09</v>
      </c>
      <c r="U90">
        <f>Source!P32</f>
        <v>160326.09</v>
      </c>
      <c r="V90">
        <f>Source!S32</f>
        <v>0</v>
      </c>
      <c r="W90">
        <f>Source!Q32</f>
        <v>0</v>
      </c>
      <c r="X90">
        <f>Source!R32</f>
        <v>0</v>
      </c>
      <c r="Y90">
        <f>Source!U32</f>
        <v>0</v>
      </c>
      <c r="Z90">
        <f>Source!V32</f>
        <v>0</v>
      </c>
      <c r="AA90">
        <f>Source!X32</f>
        <v>0</v>
      </c>
      <c r="AB90">
        <f>Source!Y32</f>
        <v>0</v>
      </c>
    </row>
    <row r="91" spans="1:28" ht="14.25" x14ac:dyDescent="0.2">
      <c r="C91" s="24" t="s">
        <v>454</v>
      </c>
      <c r="D91" s="24">
        <f>Source!BC32</f>
        <v>6.48</v>
      </c>
      <c r="F91" s="12"/>
      <c r="G91" s="12"/>
      <c r="H91" s="12"/>
    </row>
    <row r="92" spans="1:28" ht="28.5" x14ac:dyDescent="0.2">
      <c r="A92" s="44">
        <v>10</v>
      </c>
      <c r="B92" s="44" t="str">
        <f>Source!E33</f>
        <v>7</v>
      </c>
      <c r="C92" s="44" t="str">
        <f>Source!G33</f>
        <v>Снятие задвижек диаметром до 200 мм (тепловой узел диам.200мм)</v>
      </c>
      <c r="D92" s="44" t="str">
        <f>Source!F33</f>
        <v>65-3-14</v>
      </c>
      <c r="E92" s="29" t="str">
        <f>Source!H33</f>
        <v>100 ШТ</v>
      </c>
      <c r="F92" s="12">
        <f>Source!I33</f>
        <v>0.05</v>
      </c>
      <c r="G92" s="20">
        <f>Source!AB33</f>
        <v>1343.04</v>
      </c>
      <c r="H92" s="20">
        <f>Source!O33</f>
        <v>435.15</v>
      </c>
      <c r="T92">
        <f>Source!O33+Source!X33+Source!Y33</f>
        <v>969.38</v>
      </c>
      <c r="U92">
        <f>Source!P33</f>
        <v>0</v>
      </c>
      <c r="V92">
        <f>Source!S33</f>
        <v>427.55</v>
      </c>
      <c r="W92">
        <f>Source!Q33</f>
        <v>7.6</v>
      </c>
      <c r="X92">
        <f>Source!R33</f>
        <v>3.28</v>
      </c>
      <c r="Y92">
        <f>Source!U33</f>
        <v>7.7349999999999994</v>
      </c>
      <c r="Z92">
        <f>Source!V33</f>
        <v>3.7500000000000006E-2</v>
      </c>
      <c r="AA92">
        <f>Source!X33</f>
        <v>318.81</v>
      </c>
      <c r="AB92">
        <f>Source!Y33</f>
        <v>215.42</v>
      </c>
    </row>
    <row r="93" spans="1:28" ht="14.25" x14ac:dyDescent="0.2">
      <c r="C93" s="24" t="s">
        <v>452</v>
      </c>
      <c r="D93" s="24">
        <f>Source!BA33</f>
        <v>6.48</v>
      </c>
      <c r="F93" s="12"/>
      <c r="G93" s="12"/>
      <c r="H93" s="12"/>
    </row>
    <row r="94" spans="1:28" x14ac:dyDescent="0.2">
      <c r="C94" s="24" t="s">
        <v>453</v>
      </c>
      <c r="D94" s="24">
        <f>Source!BB33</f>
        <v>6.48</v>
      </c>
    </row>
    <row r="95" spans="1:28" x14ac:dyDescent="0.2">
      <c r="C95" s="24" t="s">
        <v>454</v>
      </c>
      <c r="D95" s="24">
        <f>Source!BC33</f>
        <v>6.48</v>
      </c>
    </row>
    <row r="96" spans="1:28" x14ac:dyDescent="0.2">
      <c r="C96" s="24" t="s">
        <v>455</v>
      </c>
      <c r="D96" s="24">
        <f>Source!BS33</f>
        <v>6.48</v>
      </c>
    </row>
    <row r="97" spans="1:28" x14ac:dyDescent="0.2">
      <c r="C97" s="9" t="s">
        <v>456</v>
      </c>
      <c r="D97" s="31"/>
      <c r="E97" s="31"/>
      <c r="F97" s="31">
        <f>Source!BZ33</f>
        <v>74</v>
      </c>
      <c r="G97" s="55">
        <f>(Source!AF33+Source!AE33)*Source!FX33/100</f>
        <v>983.99279999999999</v>
      </c>
      <c r="H97" s="55">
        <f>Source!X33</f>
        <v>318.81</v>
      </c>
    </row>
    <row r="98" spans="1:28" x14ac:dyDescent="0.2">
      <c r="C98" s="9" t="s">
        <v>457</v>
      </c>
      <c r="D98" s="31"/>
      <c r="E98" s="31"/>
      <c r="F98" s="31">
        <f>Source!CA33</f>
        <v>50</v>
      </c>
      <c r="G98" s="55">
        <f>(Source!AF33+Source!AE33)*Source!FY33/100</f>
        <v>664.86</v>
      </c>
      <c r="H98" s="55">
        <f>Source!Y33</f>
        <v>215.42</v>
      </c>
    </row>
    <row r="99" spans="1:28" x14ac:dyDescent="0.2">
      <c r="C99" s="9" t="s">
        <v>458</v>
      </c>
      <c r="D99" s="31"/>
      <c r="E99" s="31"/>
      <c r="F99" s="31"/>
      <c r="G99" s="55">
        <f>((Source!AF33+Source!AE33)*Source!FX33/100)+((Source!AF33+Source!AE33)*Source!FY33/100)+Source!AB33</f>
        <v>2991.8928000000001</v>
      </c>
      <c r="H99" s="55">
        <f>Source!O33+Source!X33+Source!Y33</f>
        <v>969.38</v>
      </c>
    </row>
    <row r="100" spans="1:28" ht="28.5" x14ac:dyDescent="0.2">
      <c r="A100" s="44">
        <v>11</v>
      </c>
      <c r="B100" s="44" t="str">
        <f>Source!E34</f>
        <v>8</v>
      </c>
      <c r="C100" s="44" t="str">
        <f>Source!G34</f>
        <v>Снятие задвижек диаметром до 100 мм (диам.80мм Тепловой узел)</v>
      </c>
      <c r="D100" s="44" t="str">
        <f>Source!F34</f>
        <v>65-3-13</v>
      </c>
      <c r="E100" s="29" t="str">
        <f>Source!H34</f>
        <v>100 ШТ</v>
      </c>
      <c r="F100" s="12">
        <f>Source!I34</f>
        <v>0.45</v>
      </c>
      <c r="G100" s="20">
        <f>Source!AB34</f>
        <v>820.73</v>
      </c>
      <c r="H100" s="20">
        <f>Source!O34</f>
        <v>2393.25</v>
      </c>
      <c r="T100">
        <f>Source!O34+Source!X34+Source!Y34</f>
        <v>5344.84</v>
      </c>
      <c r="U100">
        <f>Source!P34</f>
        <v>0</v>
      </c>
      <c r="V100">
        <f>Source!S34</f>
        <v>2370.4499999999998</v>
      </c>
      <c r="W100">
        <f>Source!Q34</f>
        <v>22.8</v>
      </c>
      <c r="X100">
        <f>Source!R34</f>
        <v>9.86</v>
      </c>
      <c r="Y100">
        <f>Source!U34</f>
        <v>42.884999999999998</v>
      </c>
      <c r="Z100">
        <f>Source!V34</f>
        <v>0.1125</v>
      </c>
      <c r="AA100">
        <f>Source!X34</f>
        <v>1761.43</v>
      </c>
      <c r="AB100">
        <f>Source!Y34</f>
        <v>1190.1600000000001</v>
      </c>
    </row>
    <row r="101" spans="1:28" ht="14.25" x14ac:dyDescent="0.2">
      <c r="C101" s="24" t="s">
        <v>452</v>
      </c>
      <c r="D101" s="24">
        <f>Source!BA34</f>
        <v>6.48</v>
      </c>
      <c r="F101" s="12"/>
      <c r="G101" s="12"/>
      <c r="H101" s="12"/>
    </row>
    <row r="102" spans="1:28" x14ac:dyDescent="0.2">
      <c r="C102" s="24" t="s">
        <v>453</v>
      </c>
      <c r="D102" s="24">
        <f>Source!BB34</f>
        <v>6.48</v>
      </c>
    </row>
    <row r="103" spans="1:28" x14ac:dyDescent="0.2">
      <c r="C103" s="24" t="s">
        <v>454</v>
      </c>
      <c r="D103" s="24">
        <f>Source!BC34</f>
        <v>6.48</v>
      </c>
    </row>
    <row r="104" spans="1:28" x14ac:dyDescent="0.2">
      <c r="C104" s="24" t="s">
        <v>455</v>
      </c>
      <c r="D104" s="24">
        <f>Source!BS34</f>
        <v>6.48</v>
      </c>
    </row>
    <row r="105" spans="1:28" x14ac:dyDescent="0.2">
      <c r="C105" s="9" t="s">
        <v>456</v>
      </c>
      <c r="D105" s="31"/>
      <c r="E105" s="31"/>
      <c r="F105" s="31">
        <f>Source!BZ34</f>
        <v>74</v>
      </c>
      <c r="G105" s="55">
        <f>(Source!AF34+Source!AE34)*Source!FX34/100</f>
        <v>604.05459999999994</v>
      </c>
      <c r="H105" s="55">
        <f>Source!X34</f>
        <v>1761.43</v>
      </c>
    </row>
    <row r="106" spans="1:28" x14ac:dyDescent="0.2">
      <c r="C106" s="9" t="s">
        <v>457</v>
      </c>
      <c r="D106" s="31"/>
      <c r="E106" s="31"/>
      <c r="F106" s="31">
        <f>Source!CA34</f>
        <v>50</v>
      </c>
      <c r="G106" s="55">
        <f>(Source!AF34+Source!AE34)*Source!FY34/100</f>
        <v>408.14499999999998</v>
      </c>
      <c r="H106" s="55">
        <f>Source!Y34</f>
        <v>1190.1600000000001</v>
      </c>
    </row>
    <row r="107" spans="1:28" x14ac:dyDescent="0.2">
      <c r="C107" s="9" t="s">
        <v>458</v>
      </c>
      <c r="D107" s="31"/>
      <c r="E107" s="31"/>
      <c r="F107" s="31"/>
      <c r="G107" s="55">
        <f>((Source!AF34+Source!AE34)*Source!FX34/100)+((Source!AF34+Source!AE34)*Source!FY34/100)+Source!AB34</f>
        <v>1832.9295999999999</v>
      </c>
      <c r="H107" s="55">
        <f>Source!O34+Source!X34+Source!Y34</f>
        <v>5344.84</v>
      </c>
    </row>
    <row r="108" spans="1:28" ht="42.75" x14ac:dyDescent="0.2">
      <c r="A108" s="44">
        <v>12</v>
      </c>
      <c r="B108" s="44" t="str">
        <f>Source!E35</f>
        <v>9</v>
      </c>
      <c r="C108" s="44" t="str">
        <f>Source!G35</f>
        <v>Демонтаж  задвижек  на трубопроводах из стальных труб диаметром до 250 мм (диам.250мм Тепловой узел)</v>
      </c>
      <c r="D108" s="44" t="str">
        <f>Source!F35</f>
        <v>16-05-001-07</v>
      </c>
      <c r="E108" s="29" t="str">
        <f>Source!H35</f>
        <v>ШТ</v>
      </c>
      <c r="F108" s="12">
        <f>Source!I35</f>
        <v>1</v>
      </c>
      <c r="G108" s="20">
        <f>Source!AB35</f>
        <v>52.73</v>
      </c>
      <c r="H108" s="20">
        <f>Source!O35</f>
        <v>341.69</v>
      </c>
      <c r="T108">
        <f>Source!O35+Source!X35+Source!Y35</f>
        <v>835.98</v>
      </c>
      <c r="U108">
        <f>Source!P35</f>
        <v>0</v>
      </c>
      <c r="V108">
        <f>Source!S35</f>
        <v>258.62</v>
      </c>
      <c r="W108">
        <f>Source!Q35</f>
        <v>83.07</v>
      </c>
      <c r="X108">
        <f>Source!R35</f>
        <v>7.13</v>
      </c>
      <c r="Y108">
        <f>Source!U35</f>
        <v>4.2960000000000003</v>
      </c>
      <c r="Z108">
        <f>Source!V35</f>
        <v>8.8000000000000009E-2</v>
      </c>
      <c r="AA108">
        <f>Source!X35</f>
        <v>305.61</v>
      </c>
      <c r="AB108">
        <f>Source!Y35</f>
        <v>188.68</v>
      </c>
    </row>
    <row r="109" spans="1:28" ht="14.25" x14ac:dyDescent="0.2">
      <c r="C109" s="24" t="s">
        <v>452</v>
      </c>
      <c r="D109" s="24">
        <f>Source!BA35</f>
        <v>6.48</v>
      </c>
      <c r="F109" s="12"/>
      <c r="G109" s="12"/>
      <c r="H109" s="12"/>
    </row>
    <row r="110" spans="1:28" x14ac:dyDescent="0.2">
      <c r="C110" s="24" t="s">
        <v>453</v>
      </c>
      <c r="D110" s="24">
        <f>Source!BB35</f>
        <v>6.48</v>
      </c>
    </row>
    <row r="111" spans="1:28" x14ac:dyDescent="0.2">
      <c r="C111" s="24" t="s">
        <v>454</v>
      </c>
      <c r="D111" s="24">
        <f>Source!BC35</f>
        <v>6.48</v>
      </c>
    </row>
    <row r="112" spans="1:28" x14ac:dyDescent="0.2">
      <c r="C112" s="24" t="s">
        <v>455</v>
      </c>
      <c r="D112" s="24">
        <f>Source!BS35</f>
        <v>6.48</v>
      </c>
    </row>
    <row r="113" spans="1:28" x14ac:dyDescent="0.2">
      <c r="C113" s="9" t="s">
        <v>456</v>
      </c>
      <c r="D113" s="31"/>
      <c r="E113" s="31"/>
      <c r="F113" s="31">
        <f>Source!BZ35</f>
        <v>128</v>
      </c>
      <c r="G113" s="55">
        <f>(Source!AF35+Source!AE35)*Source!FX35/100</f>
        <v>47.243519999999997</v>
      </c>
      <c r="H113" s="55">
        <f>Source!X35</f>
        <v>305.61</v>
      </c>
    </row>
    <row r="114" spans="1:28" x14ac:dyDescent="0.2">
      <c r="C114" s="9" t="s">
        <v>459</v>
      </c>
      <c r="D114" s="31"/>
      <c r="E114" s="31"/>
      <c r="F114" s="31"/>
      <c r="G114" s="31" t="str">
        <f>CONCATENATE(Source!DL35,Source!FT35, "=", Source!FX35, "%")</f>
        <v>*0,9=115,2%</v>
      </c>
      <c r="H114" s="31" t="str">
        <f>CONCATENATE(Source!AT35)</f>
        <v>115</v>
      </c>
    </row>
    <row r="115" spans="1:28" x14ac:dyDescent="0.2">
      <c r="C115" s="9" t="s">
        <v>457</v>
      </c>
      <c r="D115" s="31"/>
      <c r="E115" s="31"/>
      <c r="F115" s="31">
        <f>Source!CA35</f>
        <v>83</v>
      </c>
      <c r="G115" s="55">
        <f>(Source!AF35+Source!AE35)*Source!FY35/100</f>
        <v>28.932554999999997</v>
      </c>
      <c r="H115" s="55">
        <f>Source!Y35</f>
        <v>188.68</v>
      </c>
    </row>
    <row r="116" spans="1:28" x14ac:dyDescent="0.2">
      <c r="C116" s="9" t="s">
        <v>460</v>
      </c>
      <c r="D116" s="31"/>
      <c r="E116" s="31"/>
      <c r="F116" s="31"/>
      <c r="G116" s="31" t="str">
        <f>CONCATENATE(Source!DM35,Source!FU35, "=", Source!FY35, "%")</f>
        <v>*0,85=70,55%</v>
      </c>
      <c r="H116" s="31" t="str">
        <f>CONCATENATE(Source!AU35)</f>
        <v>71</v>
      </c>
    </row>
    <row r="117" spans="1:28" x14ac:dyDescent="0.2">
      <c r="C117" s="9" t="s">
        <v>458</v>
      </c>
      <c r="D117" s="31"/>
      <c r="E117" s="31"/>
      <c r="F117" s="31"/>
      <c r="G117" s="55">
        <f>((Source!AF35+Source!AE35)*Source!FX35/100)+((Source!AF35+Source!AE35)*Source!FY35/100)+Source!AB35</f>
        <v>128.90607499999999</v>
      </c>
      <c r="H117" s="55">
        <f>Source!O35+Source!X35+Source!Y35</f>
        <v>835.98</v>
      </c>
    </row>
    <row r="118" spans="1:28" ht="28.5" x14ac:dyDescent="0.2">
      <c r="A118" s="44">
        <v>13</v>
      </c>
      <c r="B118" s="44" t="str">
        <f>Source!E36</f>
        <v>10</v>
      </c>
      <c r="C118" s="44" t="str">
        <f>Source!G36</f>
        <v>Демонтаж задвижек диаметром до 300 мм (диам.250мм) (колодец)</v>
      </c>
      <c r="D118" s="44" t="str">
        <f>Source!F36</f>
        <v>66-26-5</v>
      </c>
      <c r="E118" s="29" t="str">
        <f>Source!H36</f>
        <v>ШТ</v>
      </c>
      <c r="F118" s="12">
        <f>Source!I36</f>
        <v>13</v>
      </c>
      <c r="G118" s="20">
        <f>Source!AB36</f>
        <v>146.81</v>
      </c>
      <c r="H118" s="20">
        <f>Source!O36</f>
        <v>12367.27</v>
      </c>
      <c r="T118">
        <f>Source!O36+Source!X36+Source!Y36</f>
        <v>16849.55</v>
      </c>
      <c r="U118">
        <f>Source!P36</f>
        <v>0</v>
      </c>
      <c r="V118">
        <f>Source!S36</f>
        <v>2379.7800000000002</v>
      </c>
      <c r="W118">
        <f>Source!Q36</f>
        <v>9987.49</v>
      </c>
      <c r="X118">
        <f>Source!R36</f>
        <v>1234.96</v>
      </c>
      <c r="Y118">
        <f>Source!U36</f>
        <v>42.51</v>
      </c>
      <c r="Z118">
        <f>Source!V36</f>
        <v>14.3</v>
      </c>
      <c r="AA118">
        <f>Source!X36</f>
        <v>2674.91</v>
      </c>
      <c r="AB118">
        <f>Source!Y36</f>
        <v>1807.37</v>
      </c>
    </row>
    <row r="119" spans="1:28" ht="14.25" x14ac:dyDescent="0.2">
      <c r="C119" s="24" t="s">
        <v>452</v>
      </c>
      <c r="D119" s="24">
        <f>Source!BA36</f>
        <v>6.48</v>
      </c>
      <c r="F119" s="12"/>
      <c r="G119" s="12"/>
      <c r="H119" s="12"/>
    </row>
    <row r="120" spans="1:28" x14ac:dyDescent="0.2">
      <c r="C120" s="24" t="s">
        <v>453</v>
      </c>
      <c r="D120" s="24">
        <f>Source!BB36</f>
        <v>6.48</v>
      </c>
    </row>
    <row r="121" spans="1:28" x14ac:dyDescent="0.2">
      <c r="C121" s="24" t="s">
        <v>454</v>
      </c>
      <c r="D121" s="24">
        <f>Source!BC36</f>
        <v>6.48</v>
      </c>
    </row>
    <row r="122" spans="1:28" x14ac:dyDescent="0.2">
      <c r="C122" s="24" t="s">
        <v>455</v>
      </c>
      <c r="D122" s="24">
        <f>Source!BS36</f>
        <v>6.48</v>
      </c>
    </row>
    <row r="123" spans="1:28" x14ac:dyDescent="0.2">
      <c r="C123" s="9" t="s">
        <v>456</v>
      </c>
      <c r="D123" s="31"/>
      <c r="E123" s="31"/>
      <c r="F123" s="31">
        <f>Source!BZ36</f>
        <v>74</v>
      </c>
      <c r="G123" s="55">
        <f>(Source!AF36+Source!AE36)*Source!FX36/100</f>
        <v>31.753399999999996</v>
      </c>
      <c r="H123" s="55">
        <f>Source!X36</f>
        <v>2674.91</v>
      </c>
    </row>
    <row r="124" spans="1:28" x14ac:dyDescent="0.2">
      <c r="C124" s="9" t="s">
        <v>457</v>
      </c>
      <c r="D124" s="31"/>
      <c r="E124" s="31"/>
      <c r="F124" s="31">
        <f>Source!CA36</f>
        <v>50</v>
      </c>
      <c r="G124" s="55">
        <f>(Source!AF36+Source!AE36)*Source!FY36/100</f>
        <v>21.454999999999998</v>
      </c>
      <c r="H124" s="55">
        <f>Source!Y36</f>
        <v>1807.37</v>
      </c>
    </row>
    <row r="125" spans="1:28" x14ac:dyDescent="0.2">
      <c r="C125" s="9" t="s">
        <v>458</v>
      </c>
      <c r="D125" s="31"/>
      <c r="E125" s="31"/>
      <c r="F125" s="31"/>
      <c r="G125" s="55">
        <f>((Source!AF36+Source!AE36)*Source!FX36/100)+((Source!AF36+Source!AE36)*Source!FY36/100)+Source!AB36</f>
        <v>200.01839999999999</v>
      </c>
      <c r="H125" s="55">
        <f>Source!O36+Source!X36+Source!Y36</f>
        <v>16849.55</v>
      </c>
    </row>
    <row r="126" spans="1:28" ht="42.75" x14ac:dyDescent="0.2">
      <c r="A126" s="44">
        <v>14</v>
      </c>
      <c r="B126" s="44" t="str">
        <f>Source!E37</f>
        <v>11</v>
      </c>
      <c r="C126" s="44" t="str">
        <f>Source!G37</f>
        <v>Демонтаж   кранов проходных на трубопроводах из стальных труб диаметром до 25 мм (стояки)</v>
      </c>
      <c r="D126" s="44" t="str">
        <f>Source!F37</f>
        <v>16-05-001-01</v>
      </c>
      <c r="E126" s="29" t="str">
        <f>Source!H37</f>
        <v>ШТ</v>
      </c>
      <c r="F126" s="12">
        <f>Source!I37</f>
        <v>252</v>
      </c>
      <c r="G126" s="20">
        <f>Source!AB37</f>
        <v>6.73</v>
      </c>
      <c r="H126" s="20">
        <f>Source!O37</f>
        <v>10989.82</v>
      </c>
      <c r="T126">
        <f>Source!O37+Source!X37+Source!Y37</f>
        <v>27330.53</v>
      </c>
      <c r="U126">
        <f>Source!P37</f>
        <v>0</v>
      </c>
      <c r="V126">
        <f>Source!S37</f>
        <v>8703.68</v>
      </c>
      <c r="W126">
        <f>Source!Q37</f>
        <v>2286.14</v>
      </c>
      <c r="X126">
        <f>Source!R37</f>
        <v>81.650000000000006</v>
      </c>
      <c r="Y126">
        <f>Source!U37</f>
        <v>148.17599999999999</v>
      </c>
      <c r="Z126">
        <f>Source!V37</f>
        <v>1.008</v>
      </c>
      <c r="AA126">
        <f>Source!X37</f>
        <v>10103.129999999999</v>
      </c>
      <c r="AB126">
        <f>Source!Y37</f>
        <v>6237.58</v>
      </c>
    </row>
    <row r="127" spans="1:28" ht="14.25" x14ac:dyDescent="0.2">
      <c r="C127" s="24" t="s">
        <v>452</v>
      </c>
      <c r="D127" s="24">
        <f>Source!BA37</f>
        <v>6.48</v>
      </c>
      <c r="F127" s="12"/>
      <c r="G127" s="12"/>
      <c r="H127" s="12"/>
    </row>
    <row r="128" spans="1:28" x14ac:dyDescent="0.2">
      <c r="C128" s="24" t="s">
        <v>453</v>
      </c>
      <c r="D128" s="24">
        <f>Source!BB37</f>
        <v>6.48</v>
      </c>
    </row>
    <row r="129" spans="1:28" x14ac:dyDescent="0.2">
      <c r="C129" s="24" t="s">
        <v>454</v>
      </c>
      <c r="D129" s="24">
        <f>Source!BC37</f>
        <v>6.48</v>
      </c>
    </row>
    <row r="130" spans="1:28" x14ac:dyDescent="0.2">
      <c r="C130" s="24" t="s">
        <v>455</v>
      </c>
      <c r="D130" s="24">
        <f>Source!BS37</f>
        <v>6.48</v>
      </c>
    </row>
    <row r="131" spans="1:28" x14ac:dyDescent="0.2">
      <c r="C131" s="9" t="s">
        <v>456</v>
      </c>
      <c r="D131" s="31"/>
      <c r="E131" s="31"/>
      <c r="F131" s="31">
        <f>Source!BZ37</f>
        <v>128</v>
      </c>
      <c r="G131" s="55">
        <f>(Source!AF37+Source!AE37)*Source!FX37/100</f>
        <v>6.1977599999999997</v>
      </c>
      <c r="H131" s="55">
        <f>Source!X37</f>
        <v>10103.129999999999</v>
      </c>
    </row>
    <row r="132" spans="1:28" x14ac:dyDescent="0.2">
      <c r="C132" s="9" t="s">
        <v>459</v>
      </c>
      <c r="D132" s="31"/>
      <c r="E132" s="31"/>
      <c r="F132" s="31"/>
      <c r="G132" s="31" t="str">
        <f>CONCATENATE(Source!DL37,Source!FT37, "=", Source!FX37, "%")</f>
        <v>*0,9=115,2%</v>
      </c>
      <c r="H132" s="31" t="str">
        <f>CONCATENATE(Source!AT37)</f>
        <v>115</v>
      </c>
    </row>
    <row r="133" spans="1:28" x14ac:dyDescent="0.2">
      <c r="C133" s="9" t="s">
        <v>457</v>
      </c>
      <c r="D133" s="31"/>
      <c r="E133" s="31"/>
      <c r="F133" s="31">
        <f>Source!CA37</f>
        <v>83</v>
      </c>
      <c r="G133" s="55">
        <f>(Source!AF37+Source!AE37)*Source!FY37/100</f>
        <v>3.7955899999999998</v>
      </c>
      <c r="H133" s="55">
        <f>Source!Y37</f>
        <v>6237.58</v>
      </c>
    </row>
    <row r="134" spans="1:28" x14ac:dyDescent="0.2">
      <c r="C134" s="9" t="s">
        <v>460</v>
      </c>
      <c r="D134" s="31"/>
      <c r="E134" s="31"/>
      <c r="F134" s="31"/>
      <c r="G134" s="31" t="str">
        <f>CONCATENATE(Source!DM37,Source!FU37, "=", Source!FY37, "%")</f>
        <v>*0,85=70,55%</v>
      </c>
      <c r="H134" s="31" t="str">
        <f>CONCATENATE(Source!AU37)</f>
        <v>71</v>
      </c>
    </row>
    <row r="135" spans="1:28" x14ac:dyDescent="0.2">
      <c r="C135" s="9" t="s">
        <v>458</v>
      </c>
      <c r="D135" s="31"/>
      <c r="E135" s="31"/>
      <c r="F135" s="31"/>
      <c r="G135" s="55">
        <f>((Source!AF37+Source!AE37)*Source!FX37/100)+((Source!AF37+Source!AE37)*Source!FY37/100)+Source!AB37</f>
        <v>16.72335</v>
      </c>
      <c r="H135" s="55">
        <f>Source!O37+Source!X37+Source!Y37</f>
        <v>27330.53</v>
      </c>
    </row>
    <row r="136" spans="1:28" ht="42.75" x14ac:dyDescent="0.2">
      <c r="A136" s="44">
        <v>15</v>
      </c>
      <c r="B136" s="44" t="str">
        <f>Source!E38</f>
        <v>12</v>
      </c>
      <c r="C136" s="44" t="str">
        <f>Source!G38</f>
        <v>Установка  задвижек на трубопроводах из стальных труб диаметром до 100 мм (диам.80мм)</v>
      </c>
      <c r="D136" s="44" t="str">
        <f>Source!F38</f>
        <v>16-05-001-03</v>
      </c>
      <c r="E136" s="29" t="str">
        <f>Source!H38</f>
        <v>ШТ</v>
      </c>
      <c r="F136" s="12">
        <f>Source!I38</f>
        <v>45</v>
      </c>
      <c r="G136" s="20">
        <f>Source!AB38</f>
        <v>86.26</v>
      </c>
      <c r="H136" s="20">
        <f>Source!O38</f>
        <v>25153.41</v>
      </c>
      <c r="T136">
        <f>Source!O38+Source!X38+Source!Y38</f>
        <v>41961.63</v>
      </c>
      <c r="U136">
        <f>Source!P38</f>
        <v>13244.47</v>
      </c>
      <c r="V136">
        <f>Source!S38</f>
        <v>8850.06</v>
      </c>
      <c r="W136">
        <f>Source!Q38</f>
        <v>3058.88</v>
      </c>
      <c r="X136">
        <f>Source!R38</f>
        <v>186.62</v>
      </c>
      <c r="Y136">
        <f>Source!U38</f>
        <v>150.5925</v>
      </c>
      <c r="Z136">
        <f>Source!V38</f>
        <v>2.25</v>
      </c>
      <c r="AA136">
        <f>Source!X38</f>
        <v>10392.18</v>
      </c>
      <c r="AB136">
        <f>Source!Y38</f>
        <v>6416.04</v>
      </c>
    </row>
    <row r="137" spans="1:28" ht="14.25" x14ac:dyDescent="0.2">
      <c r="C137" s="24" t="s">
        <v>452</v>
      </c>
      <c r="D137" s="24">
        <f>Source!BA38</f>
        <v>6.48</v>
      </c>
      <c r="F137" s="12"/>
      <c r="G137" s="12"/>
      <c r="H137" s="12"/>
    </row>
    <row r="138" spans="1:28" x14ac:dyDescent="0.2">
      <c r="C138" s="24" t="s">
        <v>453</v>
      </c>
      <c r="D138" s="24">
        <f>Source!BB38</f>
        <v>6.48</v>
      </c>
    </row>
    <row r="139" spans="1:28" x14ac:dyDescent="0.2">
      <c r="C139" s="24" t="s">
        <v>454</v>
      </c>
      <c r="D139" s="24">
        <f>Source!BC38</f>
        <v>6.48</v>
      </c>
    </row>
    <row r="140" spans="1:28" x14ac:dyDescent="0.2">
      <c r="C140" s="24" t="s">
        <v>455</v>
      </c>
      <c r="D140" s="24">
        <f>Source!BS38</f>
        <v>6.48</v>
      </c>
    </row>
    <row r="141" spans="1:28" x14ac:dyDescent="0.2">
      <c r="C141" s="9" t="s">
        <v>456</v>
      </c>
      <c r="D141" s="31"/>
      <c r="E141" s="31"/>
      <c r="F141" s="31">
        <f>Source!BZ38</f>
        <v>128</v>
      </c>
      <c r="G141" s="55">
        <f>(Source!AF38+Source!AE38)*Source!FX38/100</f>
        <v>35.700479999999999</v>
      </c>
      <c r="H141" s="55">
        <f>Source!X38</f>
        <v>10392.18</v>
      </c>
    </row>
    <row r="142" spans="1:28" x14ac:dyDescent="0.2">
      <c r="C142" s="9" t="s">
        <v>459</v>
      </c>
      <c r="D142" s="31"/>
      <c r="E142" s="31"/>
      <c r="F142" s="31"/>
      <c r="G142" s="31" t="str">
        <f>CONCATENATE(Source!DL38,Source!FT38, "=", Source!FX38, "%")</f>
        <v>*0,9=115,2%</v>
      </c>
      <c r="H142" s="31" t="str">
        <f>CONCATENATE(Source!AT38)</f>
        <v>115</v>
      </c>
    </row>
    <row r="143" spans="1:28" x14ac:dyDescent="0.2">
      <c r="C143" s="9" t="s">
        <v>457</v>
      </c>
      <c r="D143" s="31"/>
      <c r="E143" s="31"/>
      <c r="F143" s="31">
        <f>Source!CA38</f>
        <v>83</v>
      </c>
      <c r="G143" s="55">
        <f>(Source!AF38+Source!AE38)*Source!FY38/100</f>
        <v>21.863445000000002</v>
      </c>
      <c r="H143" s="55">
        <f>Source!Y38</f>
        <v>6416.04</v>
      </c>
    </row>
    <row r="144" spans="1:28" x14ac:dyDescent="0.2">
      <c r="C144" s="9" t="s">
        <v>460</v>
      </c>
      <c r="D144" s="31"/>
      <c r="E144" s="31"/>
      <c r="F144" s="31"/>
      <c r="G144" s="31" t="str">
        <f>CONCATENATE(Source!DM38,Source!FU38, "=", Source!FY38, "%")</f>
        <v>*0,85=70,55%</v>
      </c>
      <c r="H144" s="31" t="str">
        <f>CONCATENATE(Source!AU38)</f>
        <v>71</v>
      </c>
    </row>
    <row r="145" spans="1:28" x14ac:dyDescent="0.2">
      <c r="C145" s="9" t="s">
        <v>458</v>
      </c>
      <c r="D145" s="31"/>
      <c r="E145" s="31"/>
      <c r="F145" s="31"/>
      <c r="G145" s="55">
        <f>((Source!AF38+Source!AE38)*Source!FX38/100)+((Source!AF38+Source!AE38)*Source!FY38/100)+Source!AB38</f>
        <v>143.823925</v>
      </c>
      <c r="H145" s="55">
        <f>Source!O38+Source!X38+Source!Y38</f>
        <v>41961.63</v>
      </c>
    </row>
    <row r="146" spans="1:28" ht="85.5" x14ac:dyDescent="0.2">
      <c r="A146" s="44">
        <v>16</v>
      </c>
      <c r="B146" s="44" t="str">
        <f>Source!E39</f>
        <v>12,1</v>
      </c>
      <c r="C146" s="44" t="str">
        <f>Source!G39</f>
        <v>Задвижки клиновые с выдвижным шпинделем фланцевые для воды, пара и неагрессивных нефтепродуктов (жидких и газообразных) давлением 1 МПа (10 кгс/см2) 30с42нж диаметром 80 мм</v>
      </c>
      <c r="D146" s="44" t="str">
        <f>Source!F39</f>
        <v>18.1.02.01-0052</v>
      </c>
      <c r="E146" s="29" t="str">
        <f>Source!H39</f>
        <v>шт.</v>
      </c>
      <c r="F146" s="12">
        <f>Source!I39</f>
        <v>45</v>
      </c>
      <c r="G146" s="20">
        <f>Source!AB39</f>
        <v>795.19</v>
      </c>
      <c r="H146" s="20">
        <f>Source!O39</f>
        <v>231877.4</v>
      </c>
      <c r="T146">
        <f>Source!O39+Source!X39+Source!Y39</f>
        <v>231877.4</v>
      </c>
      <c r="U146">
        <f>Source!P39</f>
        <v>231877.4</v>
      </c>
      <c r="V146">
        <f>Source!S39</f>
        <v>0</v>
      </c>
      <c r="W146">
        <f>Source!Q39</f>
        <v>0</v>
      </c>
      <c r="X146">
        <f>Source!R39</f>
        <v>0</v>
      </c>
      <c r="Y146">
        <f>Source!U39</f>
        <v>0</v>
      </c>
      <c r="Z146">
        <f>Source!V39</f>
        <v>0</v>
      </c>
      <c r="AA146">
        <f>Source!X39</f>
        <v>0</v>
      </c>
      <c r="AB146">
        <f>Source!Y39</f>
        <v>0</v>
      </c>
    </row>
    <row r="147" spans="1:28" ht="14.25" x14ac:dyDescent="0.2">
      <c r="C147" s="24" t="s">
        <v>454</v>
      </c>
      <c r="D147" s="24">
        <f>Source!BC39</f>
        <v>6.48</v>
      </c>
      <c r="F147" s="12"/>
      <c r="G147" s="12"/>
      <c r="H147" s="12"/>
    </row>
    <row r="148" spans="1:28" ht="42.75" x14ac:dyDescent="0.2">
      <c r="A148" s="44">
        <v>17</v>
      </c>
      <c r="B148" s="44" t="str">
        <f>Source!E40</f>
        <v>13</v>
      </c>
      <c r="C148" s="44" t="str">
        <f>Source!G40</f>
        <v>Установка  задвижекна трубопроводах из стальных труб диаметром до 250 мм</v>
      </c>
      <c r="D148" s="44" t="str">
        <f>Source!F40</f>
        <v>16-05-001-07</v>
      </c>
      <c r="E148" s="29" t="str">
        <f>Source!H40</f>
        <v>ШТ</v>
      </c>
      <c r="F148" s="12">
        <f>Source!I40</f>
        <v>1</v>
      </c>
      <c r="G148" s="20">
        <f>Source!AB40</f>
        <v>306.44</v>
      </c>
      <c r="H148" s="20">
        <f>Source!O40</f>
        <v>1985.73</v>
      </c>
      <c r="T148">
        <f>Source!O40+Source!X40+Source!Y40</f>
        <v>3410.02</v>
      </c>
      <c r="U148">
        <f>Source!P40</f>
        <v>982.56</v>
      </c>
      <c r="V148">
        <f>Source!S40</f>
        <v>743.52</v>
      </c>
      <c r="W148">
        <f>Source!Q40</f>
        <v>259.64999999999998</v>
      </c>
      <c r="X148">
        <f>Source!R40</f>
        <v>22.23</v>
      </c>
      <c r="Y148">
        <f>Source!U40</f>
        <v>12.350999999999999</v>
      </c>
      <c r="Z148">
        <f>Source!V40</f>
        <v>0.27500000000000002</v>
      </c>
      <c r="AA148">
        <f>Source!X40</f>
        <v>880.61</v>
      </c>
      <c r="AB148">
        <f>Source!Y40</f>
        <v>543.67999999999995</v>
      </c>
    </row>
    <row r="149" spans="1:28" ht="14.25" x14ac:dyDescent="0.2">
      <c r="C149" s="24" t="s">
        <v>452</v>
      </c>
      <c r="D149" s="24">
        <f>Source!BA40</f>
        <v>6.48</v>
      </c>
      <c r="F149" s="12"/>
      <c r="G149" s="12"/>
      <c r="H149" s="12"/>
    </row>
    <row r="150" spans="1:28" x14ac:dyDescent="0.2">
      <c r="C150" s="24" t="s">
        <v>453</v>
      </c>
      <c r="D150" s="24">
        <f>Source!BB40</f>
        <v>6.48</v>
      </c>
    </row>
    <row r="151" spans="1:28" x14ac:dyDescent="0.2">
      <c r="C151" s="24" t="s">
        <v>454</v>
      </c>
      <c r="D151" s="24">
        <f>Source!BC40</f>
        <v>6.48</v>
      </c>
    </row>
    <row r="152" spans="1:28" x14ac:dyDescent="0.2">
      <c r="C152" s="24" t="s">
        <v>455</v>
      </c>
      <c r="D152" s="24">
        <f>Source!BS40</f>
        <v>6.48</v>
      </c>
    </row>
    <row r="153" spans="1:28" x14ac:dyDescent="0.2">
      <c r="C153" s="9" t="s">
        <v>456</v>
      </c>
      <c r="D153" s="31"/>
      <c r="E153" s="31"/>
      <c r="F153" s="31">
        <f>Source!BZ40</f>
        <v>128</v>
      </c>
      <c r="G153" s="55">
        <f>(Source!AF40+Source!AE40)*Source!FX40/100</f>
        <v>136.13184000000001</v>
      </c>
      <c r="H153" s="55">
        <f>Source!X40</f>
        <v>880.61</v>
      </c>
    </row>
    <row r="154" spans="1:28" x14ac:dyDescent="0.2">
      <c r="C154" s="9" t="s">
        <v>459</v>
      </c>
      <c r="D154" s="31"/>
      <c r="E154" s="31"/>
      <c r="F154" s="31"/>
      <c r="G154" s="31" t="str">
        <f>CONCATENATE(Source!DL40,Source!FT40, "=", Source!FX40, "%")</f>
        <v>*0,9=115,2%</v>
      </c>
      <c r="H154" s="31" t="str">
        <f>CONCATENATE(Source!AT40)</f>
        <v>115</v>
      </c>
    </row>
    <row r="155" spans="1:28" x14ac:dyDescent="0.2">
      <c r="C155" s="9" t="s">
        <v>457</v>
      </c>
      <c r="D155" s="31"/>
      <c r="E155" s="31"/>
      <c r="F155" s="31">
        <f>Source!CA40</f>
        <v>83</v>
      </c>
      <c r="G155" s="55">
        <f>(Source!AF40+Source!AE40)*Source!FY40/100</f>
        <v>83.368935000000008</v>
      </c>
      <c r="H155" s="55">
        <f>Source!Y40</f>
        <v>543.67999999999995</v>
      </c>
    </row>
    <row r="156" spans="1:28" x14ac:dyDescent="0.2">
      <c r="C156" s="9" t="s">
        <v>460</v>
      </c>
      <c r="D156" s="31"/>
      <c r="E156" s="31"/>
      <c r="F156" s="31"/>
      <c r="G156" s="31" t="str">
        <f>CONCATENATE(Source!DM40,Source!FU40, "=", Source!FY40, "%")</f>
        <v>*0,85=70,55%</v>
      </c>
      <c r="H156" s="31" t="str">
        <f>CONCATENATE(Source!AU40)</f>
        <v>71</v>
      </c>
    </row>
    <row r="157" spans="1:28" x14ac:dyDescent="0.2">
      <c r="C157" s="9" t="s">
        <v>458</v>
      </c>
      <c r="D157" s="31"/>
      <c r="E157" s="31"/>
      <c r="F157" s="31"/>
      <c r="G157" s="55">
        <f>((Source!AF40+Source!AE40)*Source!FX40/100)+((Source!AF40+Source!AE40)*Source!FY40/100)+Source!AB40</f>
        <v>525.94077500000003</v>
      </c>
      <c r="H157" s="55">
        <f>Source!O40+Source!X40+Source!Y40</f>
        <v>3410.02</v>
      </c>
    </row>
    <row r="158" spans="1:28" ht="71.25" x14ac:dyDescent="0.2">
      <c r="A158" s="44">
        <v>18</v>
      </c>
      <c r="B158" s="44" t="str">
        <f>Source!E41</f>
        <v>13,1</v>
      </c>
      <c r="C158" s="44" t="str">
        <f>Source!G41</f>
        <v>Задвижки клиновые с выдвижным шпинделем фланцевые для воды, пара и нефтепродуктов давлением 1,6 МПа (16 кгс/см2) 30с941нж диаметром 250 мм</v>
      </c>
      <c r="D158" s="44" t="str">
        <f>Source!F41</f>
        <v>18.1.02.01-0106</v>
      </c>
      <c r="E158" s="29" t="str">
        <f>Source!H41</f>
        <v>шт.</v>
      </c>
      <c r="F158" s="12">
        <f>Source!I41</f>
        <v>1</v>
      </c>
      <c r="G158" s="20">
        <f>Source!AB41</f>
        <v>7902.22</v>
      </c>
      <c r="H158" s="20">
        <f>Source!O41</f>
        <v>51206.39</v>
      </c>
      <c r="T158">
        <f>Source!O41+Source!X41+Source!Y41</f>
        <v>51206.39</v>
      </c>
      <c r="U158">
        <f>Source!P41</f>
        <v>51206.39</v>
      </c>
      <c r="V158">
        <f>Source!S41</f>
        <v>0</v>
      </c>
      <c r="W158">
        <f>Source!Q41</f>
        <v>0</v>
      </c>
      <c r="X158">
        <f>Source!R41</f>
        <v>0</v>
      </c>
      <c r="Y158">
        <f>Source!U41</f>
        <v>0</v>
      </c>
      <c r="Z158">
        <f>Source!V41</f>
        <v>0</v>
      </c>
      <c r="AA158">
        <f>Source!X41</f>
        <v>0</v>
      </c>
      <c r="AB158">
        <f>Source!Y41</f>
        <v>0</v>
      </c>
    </row>
    <row r="159" spans="1:28" ht="14.25" x14ac:dyDescent="0.2">
      <c r="C159" s="24" t="s">
        <v>454</v>
      </c>
      <c r="D159" s="24">
        <f>Source!BC41</f>
        <v>6.48</v>
      </c>
      <c r="F159" s="12"/>
      <c r="G159" s="12"/>
      <c r="H159" s="12"/>
    </row>
    <row r="160" spans="1:28" ht="42.75" x14ac:dyDescent="0.2">
      <c r="A160" s="44">
        <v>19</v>
      </c>
      <c r="B160" s="44" t="str">
        <f>Source!E42</f>
        <v>14</v>
      </c>
      <c r="C160" s="44" t="str">
        <f>Source!G42</f>
        <v>Установка  задвижек на трубопроводах из стальных труб диаметром до 200 мм (тепловом узле)</v>
      </c>
      <c r="D160" s="44" t="str">
        <f>Source!F42</f>
        <v>16-05-001-06</v>
      </c>
      <c r="E160" s="29" t="str">
        <f>Source!H42</f>
        <v>ШТ</v>
      </c>
      <c r="F160" s="12">
        <f>Source!I42</f>
        <v>5</v>
      </c>
      <c r="G160" s="20">
        <f>Source!AB42</f>
        <v>215.66</v>
      </c>
      <c r="H160" s="20">
        <f>Source!O42</f>
        <v>6987.38</v>
      </c>
      <c r="T160">
        <f>Source!O42+Source!X42+Source!Y42</f>
        <v>12549.150000000001</v>
      </c>
      <c r="U160">
        <f>Source!P42</f>
        <v>3151.87</v>
      </c>
      <c r="V160">
        <f>Source!S42</f>
        <v>2909.52</v>
      </c>
      <c r="W160">
        <f>Source!Q42</f>
        <v>925.99</v>
      </c>
      <c r="X160">
        <f>Source!R42</f>
        <v>80.680000000000007</v>
      </c>
      <c r="Y160">
        <f>Source!U42</f>
        <v>49.507499999999993</v>
      </c>
      <c r="Z160">
        <f>Source!V42</f>
        <v>1</v>
      </c>
      <c r="AA160">
        <f>Source!X42</f>
        <v>3438.73</v>
      </c>
      <c r="AB160">
        <f>Source!Y42</f>
        <v>2123.04</v>
      </c>
    </row>
    <row r="161" spans="1:28" ht="14.25" x14ac:dyDescent="0.2">
      <c r="C161" s="24" t="s">
        <v>452</v>
      </c>
      <c r="D161" s="24">
        <f>Source!BA42</f>
        <v>6.48</v>
      </c>
      <c r="F161" s="12"/>
      <c r="G161" s="12"/>
      <c r="H161" s="12"/>
    </row>
    <row r="162" spans="1:28" x14ac:dyDescent="0.2">
      <c r="C162" s="24" t="s">
        <v>453</v>
      </c>
      <c r="D162" s="24">
        <f>Source!BB42</f>
        <v>6.48</v>
      </c>
    </row>
    <row r="163" spans="1:28" x14ac:dyDescent="0.2">
      <c r="C163" s="24" t="s">
        <v>454</v>
      </c>
      <c r="D163" s="24">
        <f>Source!BC42</f>
        <v>6.48</v>
      </c>
    </row>
    <row r="164" spans="1:28" x14ac:dyDescent="0.2">
      <c r="C164" s="24" t="s">
        <v>455</v>
      </c>
      <c r="D164" s="24">
        <f>Source!BS42</f>
        <v>6.48</v>
      </c>
    </row>
    <row r="165" spans="1:28" x14ac:dyDescent="0.2">
      <c r="C165" s="9" t="s">
        <v>456</v>
      </c>
      <c r="D165" s="31"/>
      <c r="E165" s="31"/>
      <c r="F165" s="31">
        <f>Source!BZ42</f>
        <v>128</v>
      </c>
      <c r="G165" s="55">
        <f>(Source!AF42+Source!AE42)*Source!FX42/100</f>
        <v>106.31807999999999</v>
      </c>
      <c r="H165" s="55">
        <f>Source!X42</f>
        <v>3438.73</v>
      </c>
    </row>
    <row r="166" spans="1:28" x14ac:dyDescent="0.2">
      <c r="C166" s="9" t="s">
        <v>459</v>
      </c>
      <c r="D166" s="31"/>
      <c r="E166" s="31"/>
      <c r="F166" s="31"/>
      <c r="G166" s="31" t="str">
        <f>CONCATENATE(Source!DL42,Source!FT42, "=", Source!FX42, "%")</f>
        <v>*0,9=115,2%</v>
      </c>
      <c r="H166" s="31" t="str">
        <f>CONCATENATE(Source!AT42)</f>
        <v>115</v>
      </c>
    </row>
    <row r="167" spans="1:28" x14ac:dyDescent="0.2">
      <c r="C167" s="9" t="s">
        <v>457</v>
      </c>
      <c r="D167" s="31"/>
      <c r="E167" s="31"/>
      <c r="F167" s="31">
        <f>Source!CA42</f>
        <v>83</v>
      </c>
      <c r="G167" s="55">
        <f>(Source!AF42+Source!AE42)*Source!FY42/100</f>
        <v>65.110594999999989</v>
      </c>
      <c r="H167" s="55">
        <f>Source!Y42</f>
        <v>2123.04</v>
      </c>
    </row>
    <row r="168" spans="1:28" x14ac:dyDescent="0.2">
      <c r="C168" s="9" t="s">
        <v>460</v>
      </c>
      <c r="D168" s="31"/>
      <c r="E168" s="31"/>
      <c r="F168" s="31"/>
      <c r="G168" s="31" t="str">
        <f>CONCATENATE(Source!DM42,Source!FU42, "=", Source!FY42, "%")</f>
        <v>*0,85=70,55%</v>
      </c>
      <c r="H168" s="31" t="str">
        <f>CONCATENATE(Source!AU42)</f>
        <v>71</v>
      </c>
    </row>
    <row r="169" spans="1:28" x14ac:dyDescent="0.2">
      <c r="C169" s="9" t="s">
        <v>458</v>
      </c>
      <c r="D169" s="31"/>
      <c r="E169" s="31"/>
      <c r="F169" s="31"/>
      <c r="G169" s="55">
        <f>((Source!AF42+Source!AE42)*Source!FX42/100)+((Source!AF42+Source!AE42)*Source!FY42/100)+Source!AB42</f>
        <v>387.08867499999997</v>
      </c>
      <c r="H169" s="55">
        <f>Source!O42+Source!X42+Source!Y42</f>
        <v>12549.150000000001</v>
      </c>
    </row>
    <row r="170" spans="1:28" ht="71.25" x14ac:dyDescent="0.2">
      <c r="A170" s="44">
        <v>20</v>
      </c>
      <c r="B170" s="44" t="str">
        <f>Source!E43</f>
        <v>14,1</v>
      </c>
      <c r="C170" s="44" t="str">
        <f>Source!G43</f>
        <v>Задвижки клиновые с выдвижным шпинделем фланцевые для воды, пара и нефтепродуктов давлением 1,6 МПа (16 кгс/см2) 30с941нж диаметром 200 мм</v>
      </c>
      <c r="D170" s="44" t="str">
        <f>Source!F43</f>
        <v>18.1.02.01-0105</v>
      </c>
      <c r="E170" s="29" t="str">
        <f>Source!H43</f>
        <v>шт.</v>
      </c>
      <c r="F170" s="12">
        <f>Source!I43</f>
        <v>5</v>
      </c>
      <c r="G170" s="20">
        <f>Source!AB43</f>
        <v>4393.92</v>
      </c>
      <c r="H170" s="20">
        <f>Source!O43</f>
        <v>142363.01</v>
      </c>
      <c r="T170">
        <f>Source!O43+Source!X43+Source!Y43</f>
        <v>142363.01</v>
      </c>
      <c r="U170">
        <f>Source!P43</f>
        <v>142363.01</v>
      </c>
      <c r="V170">
        <f>Source!S43</f>
        <v>0</v>
      </c>
      <c r="W170">
        <f>Source!Q43</f>
        <v>0</v>
      </c>
      <c r="X170">
        <f>Source!R43</f>
        <v>0</v>
      </c>
      <c r="Y170">
        <f>Source!U43</f>
        <v>0</v>
      </c>
      <c r="Z170">
        <f>Source!V43</f>
        <v>0</v>
      </c>
      <c r="AA170">
        <f>Source!X43</f>
        <v>0</v>
      </c>
      <c r="AB170">
        <f>Source!Y43</f>
        <v>0</v>
      </c>
    </row>
    <row r="171" spans="1:28" ht="14.25" x14ac:dyDescent="0.2">
      <c r="C171" s="24" t="s">
        <v>454</v>
      </c>
      <c r="D171" s="24">
        <f>Source!BC43</f>
        <v>6.48</v>
      </c>
      <c r="F171" s="12"/>
      <c r="G171" s="12"/>
      <c r="H171" s="12"/>
    </row>
    <row r="172" spans="1:28" ht="42.75" x14ac:dyDescent="0.2">
      <c r="A172" s="44">
        <v>21</v>
      </c>
      <c r="B172" s="44" t="str">
        <f>Source!E44</f>
        <v>15</v>
      </c>
      <c r="C172" s="44" t="str">
        <f>Source!G44</f>
        <v>Установка, кранов проходных на трубопроводах из стальных труб диаметром до 25 мм (Стояки)</v>
      </c>
      <c r="D172" s="44" t="str">
        <f>Source!F44</f>
        <v>16-05-001-01</v>
      </c>
      <c r="E172" s="29" t="str">
        <f>Source!H44</f>
        <v>ШТ</v>
      </c>
      <c r="F172" s="12">
        <f>Source!I44</f>
        <v>252</v>
      </c>
      <c r="G172" s="20">
        <f>Source!AB44</f>
        <v>44.92</v>
      </c>
      <c r="H172" s="20">
        <f>Source!O44</f>
        <v>73352.56</v>
      </c>
      <c r="T172">
        <f>Source!O44+Source!X44+Source!Y44</f>
        <v>120370.04999999999</v>
      </c>
      <c r="U172">
        <f>Source!P44</f>
        <v>41166.92</v>
      </c>
      <c r="V172">
        <f>Source!S44</f>
        <v>25033.279999999999</v>
      </c>
      <c r="W172">
        <f>Source!Q44</f>
        <v>7152.36</v>
      </c>
      <c r="X172">
        <f>Source!R44</f>
        <v>244.94</v>
      </c>
      <c r="Y172">
        <f>Source!U44</f>
        <v>426.00599999999997</v>
      </c>
      <c r="Z172">
        <f>Source!V44</f>
        <v>3.1500000000000004</v>
      </c>
      <c r="AA172">
        <f>Source!X44</f>
        <v>29069.95</v>
      </c>
      <c r="AB172">
        <f>Source!Y44</f>
        <v>17947.54</v>
      </c>
    </row>
    <row r="173" spans="1:28" ht="14.25" x14ac:dyDescent="0.2">
      <c r="C173" s="24" t="s">
        <v>452</v>
      </c>
      <c r="D173" s="24">
        <f>Source!BA44</f>
        <v>6.48</v>
      </c>
      <c r="F173" s="12"/>
      <c r="G173" s="12"/>
      <c r="H173" s="12"/>
    </row>
    <row r="174" spans="1:28" x14ac:dyDescent="0.2">
      <c r="C174" s="24" t="s">
        <v>453</v>
      </c>
      <c r="D174" s="24">
        <f>Source!BB44</f>
        <v>6.48</v>
      </c>
    </row>
    <row r="175" spans="1:28" x14ac:dyDescent="0.2">
      <c r="C175" s="24" t="s">
        <v>454</v>
      </c>
      <c r="D175" s="24">
        <f>Source!BC44</f>
        <v>6.48</v>
      </c>
    </row>
    <row r="176" spans="1:28" x14ac:dyDescent="0.2">
      <c r="C176" s="24" t="s">
        <v>455</v>
      </c>
      <c r="D176" s="24">
        <f>Source!BS44</f>
        <v>6.48</v>
      </c>
    </row>
    <row r="177" spans="1:28" x14ac:dyDescent="0.2">
      <c r="C177" s="9" t="s">
        <v>456</v>
      </c>
      <c r="D177" s="31"/>
      <c r="E177" s="31"/>
      <c r="F177" s="31">
        <f>Source!BZ44</f>
        <v>128</v>
      </c>
      <c r="G177" s="55">
        <f>(Source!AF44+Source!AE44)*Source!FX44/100</f>
        <v>17.83296</v>
      </c>
      <c r="H177" s="55">
        <f>Source!X44</f>
        <v>29069.95</v>
      </c>
    </row>
    <row r="178" spans="1:28" x14ac:dyDescent="0.2">
      <c r="C178" s="9" t="s">
        <v>459</v>
      </c>
      <c r="D178" s="31"/>
      <c r="E178" s="31"/>
      <c r="F178" s="31"/>
      <c r="G178" s="31" t="str">
        <f>CONCATENATE(Source!DL44,Source!FT44, "=", Source!FX44, "%")</f>
        <v>*0,9=115,2%</v>
      </c>
      <c r="H178" s="31" t="str">
        <f>CONCATENATE(Source!AT44)</f>
        <v>115</v>
      </c>
    </row>
    <row r="179" spans="1:28" x14ac:dyDescent="0.2">
      <c r="C179" s="9" t="s">
        <v>457</v>
      </c>
      <c r="D179" s="31"/>
      <c r="E179" s="31"/>
      <c r="F179" s="31">
        <f>Source!CA44</f>
        <v>83</v>
      </c>
      <c r="G179" s="55">
        <f>(Source!AF44+Source!AE44)*Source!FY44/100</f>
        <v>10.921140000000001</v>
      </c>
      <c r="H179" s="55">
        <f>Source!Y44</f>
        <v>17947.54</v>
      </c>
    </row>
    <row r="180" spans="1:28" x14ac:dyDescent="0.2">
      <c r="C180" s="9" t="s">
        <v>460</v>
      </c>
      <c r="D180" s="31"/>
      <c r="E180" s="31"/>
      <c r="F180" s="31"/>
      <c r="G180" s="31" t="str">
        <f>CONCATENATE(Source!DM44,Source!FU44, "=", Source!FY44, "%")</f>
        <v>*0,85=70,55%</v>
      </c>
      <c r="H180" s="31" t="str">
        <f>CONCATENATE(Source!AU44)</f>
        <v>71</v>
      </c>
    </row>
    <row r="181" spans="1:28" x14ac:dyDescent="0.2">
      <c r="C181" s="9" t="s">
        <v>458</v>
      </c>
      <c r="D181" s="31"/>
      <c r="E181" s="31"/>
      <c r="F181" s="31"/>
      <c r="G181" s="55">
        <f>((Source!AF44+Source!AE44)*Source!FX44/100)+((Source!AF44+Source!AE44)*Source!FY44/100)+Source!AB44</f>
        <v>73.67410000000001</v>
      </c>
      <c r="H181" s="55">
        <f>Source!O44+Source!X44+Source!Y44</f>
        <v>120370.04999999999</v>
      </c>
    </row>
    <row r="182" spans="1:28" ht="28.5" x14ac:dyDescent="0.2">
      <c r="A182" s="44">
        <v>22</v>
      </c>
      <c r="B182" s="44" t="str">
        <f>Source!E45</f>
        <v>15,1</v>
      </c>
      <c r="C182" s="44" t="str">
        <f>Source!G45</f>
        <v>Кран шаровый муфтовый Valtec для воды диаметром 25 мм, тип в/н</v>
      </c>
      <c r="D182" s="44" t="str">
        <f>Source!F45</f>
        <v>18.1.09.06-0074</v>
      </c>
      <c r="E182" s="29" t="str">
        <f>Source!H45</f>
        <v>шт.</v>
      </c>
      <c r="F182" s="12">
        <f>Source!I45</f>
        <v>252</v>
      </c>
      <c r="G182" s="20">
        <f>Source!AB45</f>
        <v>77.98</v>
      </c>
      <c r="H182" s="20">
        <f>Source!O45</f>
        <v>127338.22</v>
      </c>
      <c r="T182">
        <f>Source!O45+Source!X45+Source!Y45</f>
        <v>127338.22</v>
      </c>
      <c r="U182">
        <f>Source!P45</f>
        <v>127338.22</v>
      </c>
      <c r="V182">
        <f>Source!S45</f>
        <v>0</v>
      </c>
      <c r="W182">
        <f>Source!Q45</f>
        <v>0</v>
      </c>
      <c r="X182">
        <f>Source!R45</f>
        <v>0</v>
      </c>
      <c r="Y182">
        <f>Source!U45</f>
        <v>0</v>
      </c>
      <c r="Z182">
        <f>Source!V45</f>
        <v>0</v>
      </c>
      <c r="AA182">
        <f>Source!X45</f>
        <v>0</v>
      </c>
      <c r="AB182">
        <f>Source!Y45</f>
        <v>0</v>
      </c>
    </row>
    <row r="183" spans="1:28" ht="14.25" x14ac:dyDescent="0.2">
      <c r="C183" s="24" t="s">
        <v>454</v>
      </c>
      <c r="D183" s="24">
        <f>Source!BC45</f>
        <v>6.48</v>
      </c>
      <c r="F183" s="12"/>
      <c r="G183" s="12"/>
      <c r="H183" s="12"/>
    </row>
    <row r="184" spans="1:28" ht="28.5" x14ac:dyDescent="0.2">
      <c r="A184" s="44">
        <v>23</v>
      </c>
      <c r="B184" s="44" t="str">
        <f>Source!E46</f>
        <v>16</v>
      </c>
      <c r="C184" s="44" t="str">
        <f>Source!G46</f>
        <v>Смена сгонов у трубопроводов диаметром до 32 мм</v>
      </c>
      <c r="D184" s="44" t="str">
        <f>Source!F46</f>
        <v>65-16-2</v>
      </c>
      <c r="E184" s="29" t="str">
        <f>Source!H46</f>
        <v>100 ШТ</v>
      </c>
      <c r="F184" s="12">
        <f>Source!I46</f>
        <v>2.52</v>
      </c>
      <c r="G184" s="20">
        <f>Source!AB46</f>
        <v>2156.87</v>
      </c>
      <c r="H184" s="20">
        <f>Source!O46</f>
        <v>35220.82</v>
      </c>
      <c r="T184">
        <f>Source!O46+Source!X46+Source!Y46</f>
        <v>43245.38</v>
      </c>
      <c r="U184">
        <f>Source!P46</f>
        <v>28735.03</v>
      </c>
      <c r="V184">
        <f>Source!S46</f>
        <v>6460.32</v>
      </c>
      <c r="W184">
        <f>Source!Q46</f>
        <v>25.47</v>
      </c>
      <c r="X184">
        <f>Source!R46</f>
        <v>11.1</v>
      </c>
      <c r="Y184">
        <f>Source!U46</f>
        <v>104.83200000000001</v>
      </c>
      <c r="Z184">
        <f>Source!V46</f>
        <v>0.126</v>
      </c>
      <c r="AA184">
        <f>Source!X46</f>
        <v>4788.8500000000004</v>
      </c>
      <c r="AB184">
        <f>Source!Y46</f>
        <v>3235.71</v>
      </c>
    </row>
    <row r="185" spans="1:28" ht="14.25" x14ac:dyDescent="0.2">
      <c r="C185" s="24" t="s">
        <v>452</v>
      </c>
      <c r="D185" s="24">
        <f>Source!BA46</f>
        <v>6.48</v>
      </c>
      <c r="F185" s="12"/>
      <c r="G185" s="12"/>
      <c r="H185" s="12"/>
    </row>
    <row r="186" spans="1:28" x14ac:dyDescent="0.2">
      <c r="C186" s="24" t="s">
        <v>453</v>
      </c>
      <c r="D186" s="24">
        <f>Source!BB46</f>
        <v>6.48</v>
      </c>
    </row>
    <row r="187" spans="1:28" x14ac:dyDescent="0.2">
      <c r="C187" s="24" t="s">
        <v>454</v>
      </c>
      <c r="D187" s="24">
        <f>Source!BC46</f>
        <v>6.48</v>
      </c>
    </row>
    <row r="188" spans="1:28" x14ac:dyDescent="0.2">
      <c r="C188" s="24" t="s">
        <v>455</v>
      </c>
      <c r="D188" s="24">
        <f>Source!BS46</f>
        <v>6.48</v>
      </c>
    </row>
    <row r="189" spans="1:28" x14ac:dyDescent="0.2">
      <c r="C189" s="9" t="s">
        <v>456</v>
      </c>
      <c r="D189" s="31"/>
      <c r="E189" s="31"/>
      <c r="F189" s="31">
        <f>Source!BZ46</f>
        <v>74</v>
      </c>
      <c r="G189" s="55">
        <f>(Source!AF46+Source!AE46)*Source!FX46/100</f>
        <v>293.262</v>
      </c>
      <c r="H189" s="55">
        <f>Source!X46</f>
        <v>4788.8500000000004</v>
      </c>
    </row>
    <row r="190" spans="1:28" x14ac:dyDescent="0.2">
      <c r="C190" s="9" t="s">
        <v>457</v>
      </c>
      <c r="D190" s="31"/>
      <c r="E190" s="31"/>
      <c r="F190" s="31">
        <f>Source!CA46</f>
        <v>50</v>
      </c>
      <c r="G190" s="55">
        <f>(Source!AF46+Source!AE46)*Source!FY46/100</f>
        <v>198.15</v>
      </c>
      <c r="H190" s="55">
        <f>Source!Y46</f>
        <v>3235.71</v>
      </c>
    </row>
    <row r="191" spans="1:28" x14ac:dyDescent="0.2">
      <c r="C191" s="9" t="s">
        <v>458</v>
      </c>
      <c r="D191" s="31"/>
      <c r="E191" s="31"/>
      <c r="F191" s="31"/>
      <c r="G191" s="55">
        <f>((Source!AF46+Source!AE46)*Source!FX46/100)+((Source!AF46+Source!AE46)*Source!FY46/100)+Source!AB46</f>
        <v>2648.2820000000002</v>
      </c>
      <c r="H191" s="55">
        <f>Source!O46+Source!X46+Source!Y46</f>
        <v>43245.38</v>
      </c>
    </row>
    <row r="192" spans="1:28" ht="28.5" x14ac:dyDescent="0.2">
      <c r="A192" s="44">
        <v>24</v>
      </c>
      <c r="B192" s="44" t="str">
        <f>Source!E47</f>
        <v>16,1</v>
      </c>
      <c r="C192" s="44" t="str">
        <f>Source!G47</f>
        <v>Сгоны стальные с муфтой и контргайкой, диаметром 32 мм</v>
      </c>
      <c r="D192" s="44" t="str">
        <f>Source!F47</f>
        <v>23.8.03.06-0007</v>
      </c>
      <c r="E192" s="29" t="str">
        <f>Source!H47</f>
        <v>шт.</v>
      </c>
      <c r="F192" s="12">
        <f>Source!I47</f>
        <v>-252</v>
      </c>
      <c r="G192" s="20">
        <f>Source!AB47</f>
        <v>17.059999999999999</v>
      </c>
      <c r="H192" s="20">
        <f>Source!O47</f>
        <v>-27858.3</v>
      </c>
      <c r="T192">
        <f>Source!O47+Source!X47+Source!Y47</f>
        <v>-27858.3</v>
      </c>
      <c r="U192">
        <f>Source!P47</f>
        <v>-27858.3</v>
      </c>
      <c r="V192">
        <f>Source!S47</f>
        <v>0</v>
      </c>
      <c r="W192">
        <f>Source!Q47</f>
        <v>0</v>
      </c>
      <c r="X192">
        <f>Source!R47</f>
        <v>0</v>
      </c>
      <c r="Y192">
        <f>Source!U47</f>
        <v>0</v>
      </c>
      <c r="Z192">
        <f>Source!V47</f>
        <v>0</v>
      </c>
      <c r="AA192">
        <f>Source!X47</f>
        <v>0</v>
      </c>
      <c r="AB192">
        <f>Source!Y47</f>
        <v>0</v>
      </c>
    </row>
    <row r="193" spans="1:28" ht="14.25" x14ac:dyDescent="0.2">
      <c r="C193" s="24" t="s">
        <v>454</v>
      </c>
      <c r="D193" s="24">
        <f>Source!BC47</f>
        <v>6.48</v>
      </c>
      <c r="F193" s="12"/>
      <c r="G193" s="12"/>
      <c r="H193" s="12"/>
    </row>
    <row r="194" spans="1:28" ht="28.5" x14ac:dyDescent="0.2">
      <c r="A194" s="44">
        <v>25</v>
      </c>
      <c r="B194" s="44" t="str">
        <f>Source!E48</f>
        <v>16,2</v>
      </c>
      <c r="C194" s="44" t="str">
        <f>Source!G48</f>
        <v>Сгоны стальные с муфтой и контргайкой, диаметром 25 мм</v>
      </c>
      <c r="D194" s="44" t="str">
        <f>Source!F48</f>
        <v>23.8.03.06-0005</v>
      </c>
      <c r="E194" s="29" t="str">
        <f>Source!H48</f>
        <v>шт.</v>
      </c>
      <c r="F194" s="12">
        <f>Source!I48</f>
        <v>252</v>
      </c>
      <c r="G194" s="20">
        <f>Source!AB48</f>
        <v>11.84</v>
      </c>
      <c r="H194" s="20">
        <f>Source!O48</f>
        <v>19334.25</v>
      </c>
      <c r="T194">
        <f>Source!O48+Source!X48+Source!Y48</f>
        <v>19334.25</v>
      </c>
      <c r="U194">
        <f>Source!P48</f>
        <v>19334.25</v>
      </c>
      <c r="V194">
        <f>Source!S48</f>
        <v>0</v>
      </c>
      <c r="W194">
        <f>Source!Q48</f>
        <v>0</v>
      </c>
      <c r="X194">
        <f>Source!R48</f>
        <v>0</v>
      </c>
      <c r="Y194">
        <f>Source!U48</f>
        <v>0</v>
      </c>
      <c r="Z194">
        <f>Source!V48</f>
        <v>0</v>
      </c>
      <c r="AA194">
        <f>Source!X48</f>
        <v>0</v>
      </c>
      <c r="AB194">
        <f>Source!Y48</f>
        <v>0</v>
      </c>
    </row>
    <row r="195" spans="1:28" ht="14.25" x14ac:dyDescent="0.2">
      <c r="C195" s="24" t="s">
        <v>454</v>
      </c>
      <c r="D195" s="24">
        <f>Source!BC48</f>
        <v>6.48</v>
      </c>
      <c r="F195" s="12"/>
      <c r="G195" s="12"/>
      <c r="H195" s="12"/>
    </row>
    <row r="196" spans="1:28" ht="42.75" x14ac:dyDescent="0.2">
      <c r="A196" s="44">
        <v>26</v>
      </c>
      <c r="B196" s="44" t="str">
        <f>Source!E49</f>
        <v>17</v>
      </c>
      <c r="C196" s="44" t="str">
        <f>Source!G49</f>
        <v>Установка задвижек или клапанов обратных стальных диаметром 250 мм (колодец)</v>
      </c>
      <c r="D196" s="44" t="str">
        <f>Source!F49</f>
        <v>22-03-007-05</v>
      </c>
      <c r="E196" s="29" t="str">
        <f>Source!H49</f>
        <v>ШТ</v>
      </c>
      <c r="F196" s="12">
        <f>Source!I49</f>
        <v>13</v>
      </c>
      <c r="G196" s="20">
        <f>Source!AB49</f>
        <v>229.48</v>
      </c>
      <c r="H196" s="20">
        <f>Source!O49</f>
        <v>19331.39</v>
      </c>
      <c r="T196">
        <f>Source!O49+Source!X49+Source!Y49</f>
        <v>33219.24</v>
      </c>
      <c r="U196">
        <f>Source!P49</f>
        <v>4500.1000000000004</v>
      </c>
      <c r="V196">
        <f>Source!S49</f>
        <v>6287.67</v>
      </c>
      <c r="W196">
        <f>Source!Q49</f>
        <v>8543.6200000000008</v>
      </c>
      <c r="X196">
        <f>Source!R49</f>
        <v>908.11</v>
      </c>
      <c r="Y196">
        <f>Source!U49</f>
        <v>105.6965</v>
      </c>
      <c r="Z196">
        <f>Source!V49</f>
        <v>10.4</v>
      </c>
      <c r="AA196">
        <f>Source!X49</f>
        <v>8419.06</v>
      </c>
      <c r="AB196">
        <f>Source!Y49</f>
        <v>5468.79</v>
      </c>
    </row>
    <row r="197" spans="1:28" ht="14.25" x14ac:dyDescent="0.2">
      <c r="C197" s="24" t="s">
        <v>452</v>
      </c>
      <c r="D197" s="24">
        <f>Source!BA49</f>
        <v>6.48</v>
      </c>
      <c r="F197" s="12"/>
      <c r="G197" s="12"/>
      <c r="H197" s="12"/>
    </row>
    <row r="198" spans="1:28" x14ac:dyDescent="0.2">
      <c r="C198" s="24" t="s">
        <v>453</v>
      </c>
      <c r="D198" s="24">
        <f>Source!BB49</f>
        <v>6.48</v>
      </c>
    </row>
    <row r="199" spans="1:28" x14ac:dyDescent="0.2">
      <c r="C199" s="24" t="s">
        <v>454</v>
      </c>
      <c r="D199" s="24">
        <f>Source!BC49</f>
        <v>6.48</v>
      </c>
    </row>
    <row r="200" spans="1:28" x14ac:dyDescent="0.2">
      <c r="C200" s="24" t="s">
        <v>455</v>
      </c>
      <c r="D200" s="24">
        <f>Source!BS49</f>
        <v>6.48</v>
      </c>
    </row>
    <row r="201" spans="1:28" x14ac:dyDescent="0.2">
      <c r="C201" s="9" t="s">
        <v>456</v>
      </c>
      <c r="D201" s="31"/>
      <c r="E201" s="31"/>
      <c r="F201" s="31">
        <f>Source!BZ49</f>
        <v>130</v>
      </c>
      <c r="G201" s="55">
        <f>(Source!AF49+Source!AE49)*Source!FX49/100</f>
        <v>99.941399999999987</v>
      </c>
      <c r="H201" s="55">
        <f>Source!X49</f>
        <v>8419.06</v>
      </c>
    </row>
    <row r="202" spans="1:28" x14ac:dyDescent="0.2">
      <c r="C202" s="9" t="s">
        <v>459</v>
      </c>
      <c r="D202" s="31"/>
      <c r="E202" s="31"/>
      <c r="F202" s="31"/>
      <c r="G202" s="31" t="str">
        <f>CONCATENATE(Source!DL49,Source!FT49, "=", Source!FX49, "%")</f>
        <v>*0,9=117%</v>
      </c>
      <c r="H202" s="31" t="str">
        <f>CONCATENATE(Source!AT49)</f>
        <v>117</v>
      </c>
    </row>
    <row r="203" spans="1:28" x14ac:dyDescent="0.2">
      <c r="C203" s="9" t="s">
        <v>457</v>
      </c>
      <c r="D203" s="31"/>
      <c r="E203" s="31"/>
      <c r="F203" s="31">
        <f>Source!CA49</f>
        <v>89</v>
      </c>
      <c r="G203" s="55">
        <f>(Source!AF49+Source!AE49)*Source!FY49/100</f>
        <v>64.620230000000006</v>
      </c>
      <c r="H203" s="55">
        <f>Source!Y49</f>
        <v>5468.79</v>
      </c>
    </row>
    <row r="204" spans="1:28" x14ac:dyDescent="0.2">
      <c r="C204" s="9" t="s">
        <v>460</v>
      </c>
      <c r="D204" s="31"/>
      <c r="E204" s="31"/>
      <c r="F204" s="31"/>
      <c r="G204" s="31" t="str">
        <f>CONCATENATE(Source!DM49,Source!FU49, "=", Source!FY49, "%")</f>
        <v>*0,85=75,65%</v>
      </c>
      <c r="H204" s="31" t="str">
        <f>CONCATENATE(Source!AU49)</f>
        <v>76</v>
      </c>
    </row>
    <row r="205" spans="1:28" x14ac:dyDescent="0.2">
      <c r="C205" s="9" t="s">
        <v>458</v>
      </c>
      <c r="D205" s="31"/>
      <c r="E205" s="31"/>
      <c r="F205" s="31"/>
      <c r="G205" s="55">
        <f>((Source!AF49+Source!AE49)*Source!FX49/100)+((Source!AF49+Source!AE49)*Source!FY49/100)+Source!AB49</f>
        <v>394.04162999999994</v>
      </c>
      <c r="H205" s="55">
        <f>Source!O49+Source!X49+Source!Y49</f>
        <v>33219.24</v>
      </c>
    </row>
    <row r="206" spans="1:28" ht="71.25" x14ac:dyDescent="0.2">
      <c r="A206" s="44">
        <v>27</v>
      </c>
      <c r="B206" s="44" t="str">
        <f>Source!E50</f>
        <v>17,1</v>
      </c>
      <c r="C206" s="44" t="str">
        <f>Source!G50</f>
        <v>Задвижки клиновые с выдвижным шпинделем фланцевые для воды, пара и нефтепродуктов давлением 1,6 МПа (16 кгс/см2) 30с941нж диаметром 250 мм</v>
      </c>
      <c r="D206" s="44" t="str">
        <f>Source!F50</f>
        <v>18.1.02.01-0106</v>
      </c>
      <c r="E206" s="29" t="str">
        <f>Source!H50</f>
        <v>шт.</v>
      </c>
      <c r="F206" s="12">
        <f>Source!I50</f>
        <v>13</v>
      </c>
      <c r="G206" s="20">
        <f>Source!AB50</f>
        <v>7902.22</v>
      </c>
      <c r="H206" s="20">
        <f>Source!O50</f>
        <v>665683.01</v>
      </c>
      <c r="T206">
        <f>Source!O50+Source!X50+Source!Y50</f>
        <v>665683.01</v>
      </c>
      <c r="U206">
        <f>Source!P50</f>
        <v>665683.01</v>
      </c>
      <c r="V206">
        <f>Source!S50</f>
        <v>0</v>
      </c>
      <c r="W206">
        <f>Source!Q50</f>
        <v>0</v>
      </c>
      <c r="X206">
        <f>Source!R50</f>
        <v>0</v>
      </c>
      <c r="Y206">
        <f>Source!U50</f>
        <v>0</v>
      </c>
      <c r="Z206">
        <f>Source!V50</f>
        <v>0</v>
      </c>
      <c r="AA206">
        <f>Source!X50</f>
        <v>0</v>
      </c>
      <c r="AB206">
        <f>Source!Y50</f>
        <v>0</v>
      </c>
    </row>
    <row r="207" spans="1:28" ht="14.25" x14ac:dyDescent="0.2">
      <c r="C207" s="24" t="s">
        <v>454</v>
      </c>
      <c r="D207" s="24">
        <f>Source!BC50</f>
        <v>6.48</v>
      </c>
      <c r="F207" s="12"/>
      <c r="G207" s="12"/>
      <c r="H207" s="12"/>
    </row>
    <row r="208" spans="1:28" ht="57" x14ac:dyDescent="0.2">
      <c r="A208" s="44">
        <v>28</v>
      </c>
      <c r="B208" s="44" t="str">
        <f>Source!E51</f>
        <v>18</v>
      </c>
      <c r="C208" s="44" t="str">
        <f>Source!G51</f>
        <v>Масляная окраска металлических поверхностей решеток, переплетов, труб диаметром менее 50 мм и т.п., количество окрасок 2</v>
      </c>
      <c r="D208" s="44" t="str">
        <f>Source!F51</f>
        <v>15-04-030-04</v>
      </c>
      <c r="E208" s="29" t="str">
        <f>Source!H51</f>
        <v>100 м2</v>
      </c>
      <c r="F208" s="12">
        <f>Source!I51</f>
        <v>0.15</v>
      </c>
      <c r="G208" s="20">
        <f>Source!AB51</f>
        <v>815.45</v>
      </c>
      <c r="H208" s="20">
        <f>Source!O51</f>
        <v>792.62</v>
      </c>
      <c r="T208">
        <f>Source!O51+Source!X51+Source!Y51</f>
        <v>1792.79</v>
      </c>
      <c r="U208">
        <f>Source!P51</f>
        <v>86.09</v>
      </c>
      <c r="V208">
        <f>Source!S51</f>
        <v>703.76</v>
      </c>
      <c r="W208">
        <f>Source!Q51</f>
        <v>2.77</v>
      </c>
      <c r="X208">
        <f>Source!R51</f>
        <v>0.59</v>
      </c>
      <c r="Y208">
        <f>Source!U51</f>
        <v>12.257849999999999</v>
      </c>
      <c r="Z208">
        <f>Source!V51</f>
        <v>7.4999999999999997E-3</v>
      </c>
      <c r="AA208">
        <f>Source!X51</f>
        <v>669.13</v>
      </c>
      <c r="AB208">
        <f>Source!Y51</f>
        <v>331.04</v>
      </c>
    </row>
    <row r="209" spans="1:28" ht="14.25" x14ac:dyDescent="0.2">
      <c r="C209" s="24" t="s">
        <v>452</v>
      </c>
      <c r="D209" s="24">
        <f>Source!BA51</f>
        <v>6.48</v>
      </c>
      <c r="F209" s="12"/>
      <c r="G209" s="12"/>
      <c r="H209" s="12"/>
    </row>
    <row r="210" spans="1:28" x14ac:dyDescent="0.2">
      <c r="C210" s="24" t="s">
        <v>453</v>
      </c>
      <c r="D210" s="24">
        <f>Source!BB51</f>
        <v>6.48</v>
      </c>
    </row>
    <row r="211" spans="1:28" x14ac:dyDescent="0.2">
      <c r="C211" s="24" t="s">
        <v>454</v>
      </c>
      <c r="D211" s="24">
        <f>Source!BC51</f>
        <v>6.48</v>
      </c>
    </row>
    <row r="212" spans="1:28" x14ac:dyDescent="0.2">
      <c r="C212" s="24" t="s">
        <v>455</v>
      </c>
      <c r="D212" s="24">
        <f>Source!BS51</f>
        <v>6.48</v>
      </c>
    </row>
    <row r="213" spans="1:28" x14ac:dyDescent="0.2">
      <c r="C213" s="9" t="s">
        <v>456</v>
      </c>
      <c r="D213" s="31"/>
      <c r="E213" s="31"/>
      <c r="F213" s="31">
        <f>Source!BZ51</f>
        <v>105</v>
      </c>
      <c r="G213" s="55">
        <f>(Source!AF51+Source!AE51)*Source!FX51/100</f>
        <v>684.7847999999999</v>
      </c>
      <c r="H213" s="55">
        <f>Source!X51</f>
        <v>669.13</v>
      </c>
    </row>
    <row r="214" spans="1:28" x14ac:dyDescent="0.2">
      <c r="C214" s="9" t="s">
        <v>459</v>
      </c>
      <c r="D214" s="31"/>
      <c r="E214" s="31"/>
      <c r="F214" s="31"/>
      <c r="G214" s="31" t="str">
        <f>CONCATENATE(Source!DL51,Source!FT51, "=", Source!FX51, "%")</f>
        <v>*0,9=94,5%</v>
      </c>
      <c r="H214" s="31" t="str">
        <f>CONCATENATE(Source!AT51)</f>
        <v>95</v>
      </c>
    </row>
    <row r="215" spans="1:28" x14ac:dyDescent="0.2">
      <c r="C215" s="9" t="s">
        <v>457</v>
      </c>
      <c r="D215" s="31"/>
      <c r="E215" s="31"/>
      <c r="F215" s="31">
        <f>Source!CA51</f>
        <v>55</v>
      </c>
      <c r="G215" s="55">
        <f>(Source!AF51+Source!AE51)*Source!FY51/100</f>
        <v>338.76919999999996</v>
      </c>
      <c r="H215" s="55">
        <f>Source!Y51</f>
        <v>331.04</v>
      </c>
    </row>
    <row r="216" spans="1:28" x14ac:dyDescent="0.2">
      <c r="C216" s="9" t="s">
        <v>460</v>
      </c>
      <c r="D216" s="31"/>
      <c r="E216" s="31"/>
      <c r="F216" s="31"/>
      <c r="G216" s="31" t="str">
        <f>CONCATENATE(Source!DM51,Source!FU51, "=", Source!FY51, "%")</f>
        <v>*0,85=46,75%</v>
      </c>
      <c r="H216" s="31" t="str">
        <f>CONCATENATE(Source!AU51)</f>
        <v>47</v>
      </c>
    </row>
    <row r="217" spans="1:28" x14ac:dyDescent="0.2">
      <c r="C217" s="9" t="s">
        <v>458</v>
      </c>
      <c r="D217" s="31"/>
      <c r="E217" s="31"/>
      <c r="F217" s="31"/>
      <c r="G217" s="55">
        <f>((Source!AF51+Source!AE51)*Source!FX51/100)+((Source!AF51+Source!AE51)*Source!FY51/100)+Source!AB51</f>
        <v>1839.0039999999999</v>
      </c>
      <c r="H217" s="55">
        <f>Source!O51+Source!X51+Source!Y51</f>
        <v>1792.79</v>
      </c>
    </row>
    <row r="218" spans="1:28" ht="28.5" x14ac:dyDescent="0.2">
      <c r="A218" s="44">
        <v>29</v>
      </c>
      <c r="B218" s="44" t="str">
        <f>Source!E52</f>
        <v>18,1</v>
      </c>
      <c r="C218" s="44" t="str">
        <f>Source!G52</f>
        <v>Эмаль МС-2263, масляно-стирольная, цветная</v>
      </c>
      <c r="D218" s="44" t="str">
        <f>Source!F52</f>
        <v>14.4.04.13-0215</v>
      </c>
      <c r="E218" s="29" t="str">
        <f>Source!H52</f>
        <v>т</v>
      </c>
      <c r="F218" s="12">
        <f>Source!I52</f>
        <v>3.6899999999999997E-3</v>
      </c>
      <c r="G218" s="20">
        <f>Source!AB52</f>
        <v>40856.160000000003</v>
      </c>
      <c r="H218" s="20">
        <f>Source!O52</f>
        <v>976.92</v>
      </c>
      <c r="T218">
        <f>Source!O52+Source!X52+Source!Y52</f>
        <v>976.92</v>
      </c>
      <c r="U218">
        <f>Source!P52</f>
        <v>976.92</v>
      </c>
      <c r="V218">
        <f>Source!S52</f>
        <v>0</v>
      </c>
      <c r="W218">
        <f>Source!Q52</f>
        <v>0</v>
      </c>
      <c r="X218">
        <f>Source!R52</f>
        <v>0</v>
      </c>
      <c r="Y218">
        <f>Source!U52</f>
        <v>0</v>
      </c>
      <c r="Z218">
        <f>Source!V52</f>
        <v>0</v>
      </c>
      <c r="AA218">
        <f>Source!X52</f>
        <v>0</v>
      </c>
      <c r="AB218">
        <f>Source!Y52</f>
        <v>0</v>
      </c>
    </row>
    <row r="219" spans="1:28" ht="14.25" x14ac:dyDescent="0.2">
      <c r="C219" s="24" t="s">
        <v>454</v>
      </c>
      <c r="D219" s="24">
        <f>Source!BC52</f>
        <v>6.48</v>
      </c>
      <c r="F219" s="12"/>
      <c r="G219" s="12"/>
      <c r="H219" s="12"/>
    </row>
    <row r="220" spans="1:28" ht="28.5" x14ac:dyDescent="0.2">
      <c r="A220" s="44">
        <v>30</v>
      </c>
      <c r="B220" s="44" t="str">
        <f>Source!E53</f>
        <v>18,2</v>
      </c>
      <c r="C220" s="44" t="str">
        <f>Source!G53</f>
        <v>Краски для внутренних работ масляные готовые к применению</v>
      </c>
      <c r="D220" s="44" t="str">
        <f>Source!F53</f>
        <v>14.4.02.04</v>
      </c>
      <c r="E220" s="29" t="str">
        <f>Source!H53</f>
        <v>т</v>
      </c>
      <c r="F220" s="12">
        <f>Source!I53</f>
        <v>3.6899999999999997E-3</v>
      </c>
      <c r="G220" s="20">
        <f>Source!AB53</f>
        <v>0</v>
      </c>
      <c r="H220" s="20">
        <f>Source!O53</f>
        <v>0</v>
      </c>
      <c r="T220">
        <f>Source!O53+Source!X53+Source!Y53</f>
        <v>0</v>
      </c>
      <c r="U220">
        <f>Source!P53</f>
        <v>0</v>
      </c>
      <c r="V220">
        <f>Source!S53</f>
        <v>0</v>
      </c>
      <c r="W220">
        <f>Source!Q53</f>
        <v>0</v>
      </c>
      <c r="X220">
        <f>Source!R53</f>
        <v>0</v>
      </c>
      <c r="Y220">
        <f>Source!U53</f>
        <v>0</v>
      </c>
      <c r="Z220">
        <f>Source!V53</f>
        <v>0</v>
      </c>
      <c r="AA220">
        <f>Source!X53</f>
        <v>0</v>
      </c>
      <c r="AB220">
        <f>Source!Y53</f>
        <v>0</v>
      </c>
    </row>
    <row r="221" spans="1:28" ht="14.25" x14ac:dyDescent="0.2">
      <c r="C221" s="24" t="s">
        <v>454</v>
      </c>
      <c r="D221" s="24">
        <f>Source!BC53</f>
        <v>6.48</v>
      </c>
      <c r="F221" s="12"/>
      <c r="G221" s="12"/>
      <c r="H221" s="12"/>
    </row>
    <row r="223" spans="1:28" ht="15" x14ac:dyDescent="0.25">
      <c r="A223" s="56"/>
      <c r="B223" s="56"/>
      <c r="C223" s="70" t="str">
        <f>CONCATENATE("Итого по локальной смете: ",IF(Source!G55&lt;&gt;"Новая локальная смета", Source!G55, ""))</f>
        <v xml:space="preserve">Итого по локальной смете: </v>
      </c>
      <c r="D223" s="70"/>
      <c r="E223" s="70"/>
      <c r="F223" s="70"/>
      <c r="G223" s="56"/>
      <c r="H223" s="57">
        <f>IF(SUM(T36:T222)=0, "-", SUM(T36:T222))</f>
        <v>1802278.9</v>
      </c>
    </row>
    <row r="224" spans="1:28" ht="15" x14ac:dyDescent="0.25">
      <c r="A224" s="56"/>
      <c r="B224" s="56"/>
      <c r="C224" s="56"/>
      <c r="D224" s="56"/>
      <c r="E224" s="56"/>
      <c r="F224" s="56"/>
      <c r="G224" s="56"/>
      <c r="H224" s="56"/>
    </row>
    <row r="226" spans="1:12" ht="14.25" x14ac:dyDescent="0.2">
      <c r="C226" s="75" t="str">
        <f>Source!H83</f>
        <v>Итого</v>
      </c>
      <c r="D226" s="75"/>
      <c r="E226" s="75"/>
      <c r="F226" s="75"/>
      <c r="G226" s="72">
        <f>IF(Source!F83=0, "", Source!F83)</f>
        <v>1802278.9</v>
      </c>
      <c r="H226" s="72"/>
    </row>
    <row r="227" spans="1:12" ht="14.25" x14ac:dyDescent="0.2">
      <c r="C227" s="75" t="str">
        <f>Source!H84</f>
        <v>НДС 18%</v>
      </c>
      <c r="D227" s="75"/>
      <c r="E227" s="75"/>
      <c r="F227" s="75"/>
      <c r="G227" s="72">
        <f>IF(Source!F84=0, "", Source!F84)</f>
        <v>324410.2</v>
      </c>
      <c r="H227" s="72"/>
    </row>
    <row r="228" spans="1:12" ht="14.25" x14ac:dyDescent="0.2">
      <c r="C228" s="75" t="str">
        <f>Source!H85</f>
        <v>Всего</v>
      </c>
      <c r="D228" s="75"/>
      <c r="E228" s="75"/>
      <c r="F228" s="75"/>
      <c r="G228" s="72">
        <f>IF(Source!F85=0, "", Source!F85)</f>
        <v>2126689.1</v>
      </c>
      <c r="H228" s="72"/>
    </row>
    <row r="231" spans="1:12" ht="15" thickBot="1" x14ac:dyDescent="0.25">
      <c r="A231" s="80" t="s">
        <v>461</v>
      </c>
      <c r="B231" s="80"/>
      <c r="C231" s="58" t="str">
        <f>IF(Source!AC12&lt;&gt;"", Source!AC12," ")</f>
        <v xml:space="preserve"> </v>
      </c>
      <c r="D231" s="12"/>
      <c r="E231" s="59"/>
      <c r="F231" s="12"/>
      <c r="G231" s="81" t="str">
        <f>IF(Source!AB12&lt;&gt;"", Source!AB12," ")</f>
        <v xml:space="preserve"> </v>
      </c>
      <c r="H231" s="81"/>
      <c r="I231" s="12"/>
      <c r="J231" s="12"/>
      <c r="K231" s="12"/>
      <c r="L231" s="12"/>
    </row>
    <row r="232" spans="1:12" ht="14.25" x14ac:dyDescent="0.2">
      <c r="A232" s="12"/>
      <c r="B232" s="12"/>
      <c r="C232" s="60" t="s">
        <v>462</v>
      </c>
      <c r="D232" s="12"/>
      <c r="E232" s="60" t="s">
        <v>463</v>
      </c>
      <c r="F232" s="12"/>
      <c r="G232" s="82" t="s">
        <v>464</v>
      </c>
      <c r="H232" s="82"/>
      <c r="I232" s="12"/>
      <c r="J232" s="12"/>
      <c r="K232" s="12"/>
      <c r="L232" s="12"/>
    </row>
    <row r="233" spans="1:12" ht="14.25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</row>
    <row r="234" spans="1:12" ht="14.25" x14ac:dyDescent="0.2">
      <c r="A234" s="12"/>
      <c r="B234" s="12"/>
      <c r="C234" s="13" t="s">
        <v>465</v>
      </c>
      <c r="D234" s="12"/>
      <c r="E234" s="12"/>
      <c r="F234" s="12"/>
      <c r="G234" s="12"/>
      <c r="H234" s="12"/>
      <c r="I234" s="12"/>
      <c r="J234" s="12"/>
      <c r="K234" s="12"/>
      <c r="L234" s="12"/>
    </row>
    <row r="235" spans="1:12" ht="14.25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</row>
    <row r="236" spans="1:12" ht="15" thickBot="1" x14ac:dyDescent="0.25">
      <c r="A236" s="80" t="s">
        <v>466</v>
      </c>
      <c r="B236" s="80"/>
      <c r="C236" s="58" t="str">
        <f>IF(Source!AG12&lt;&gt;"", Source!AG12," ")</f>
        <v xml:space="preserve"> </v>
      </c>
      <c r="D236" s="12"/>
      <c r="E236" s="59"/>
      <c r="F236" s="12"/>
      <c r="G236" s="81" t="str">
        <f>IF(Source!AF12&lt;&gt;"", Source!AF12," ")</f>
        <v xml:space="preserve"> </v>
      </c>
      <c r="H236" s="81"/>
      <c r="I236" s="12"/>
      <c r="J236" s="12"/>
      <c r="K236" s="12"/>
      <c r="L236" s="12"/>
    </row>
    <row r="237" spans="1:12" ht="14.25" x14ac:dyDescent="0.2">
      <c r="A237" s="12"/>
      <c r="B237" s="12"/>
      <c r="C237" s="60" t="s">
        <v>462</v>
      </c>
      <c r="D237" s="12"/>
      <c r="E237" s="60" t="s">
        <v>463</v>
      </c>
      <c r="F237" s="12"/>
      <c r="G237" s="82" t="s">
        <v>464</v>
      </c>
      <c r="H237" s="82"/>
      <c r="I237" s="12"/>
      <c r="J237" s="12"/>
      <c r="K237" s="12"/>
      <c r="L237" s="12"/>
    </row>
    <row r="238" spans="1:12" ht="14.25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</row>
    <row r="239" spans="1:12" ht="14.25" x14ac:dyDescent="0.2">
      <c r="A239" s="12"/>
      <c r="B239" s="12"/>
      <c r="C239" s="13" t="s">
        <v>465</v>
      </c>
      <c r="D239" s="12"/>
      <c r="E239" s="12"/>
      <c r="F239" s="12"/>
      <c r="G239" s="12"/>
      <c r="H239" s="12"/>
      <c r="I239" s="12"/>
      <c r="J239" s="12"/>
      <c r="K239" s="12"/>
      <c r="L239" s="12"/>
    </row>
  </sheetData>
  <mergeCells count="50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F31:G31"/>
    <mergeCell ref="A33:B33"/>
    <mergeCell ref="C33:C34"/>
    <mergeCell ref="D33:D34"/>
    <mergeCell ref="E33:E34"/>
    <mergeCell ref="F33:H33"/>
    <mergeCell ref="G237:H237"/>
    <mergeCell ref="C223:F223"/>
    <mergeCell ref="C226:F226"/>
    <mergeCell ref="G226:H226"/>
    <mergeCell ref="C227:F227"/>
    <mergeCell ref="G227:H227"/>
    <mergeCell ref="C228:F228"/>
    <mergeCell ref="G228:H228"/>
    <mergeCell ref="A231:B231"/>
    <mergeCell ref="G231:H231"/>
    <mergeCell ref="G232:H232"/>
    <mergeCell ref="A236:B236"/>
    <mergeCell ref="G236:H236"/>
  </mergeCells>
  <pageMargins left="0.4" right="0.2" top="0.2" bottom="0.4" header="0.2" footer="0.2"/>
  <pageSetup paperSize="9" scale="85" fitToHeight="0" orientation="portrait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50" t="str">
        <f>Source!B1</f>
        <v>Smeta.RU  (495) 974-1589</v>
      </c>
      <c r="B1" s="150"/>
      <c r="C1" s="150"/>
      <c r="D1" s="150"/>
      <c r="E1" s="12"/>
      <c r="F1" s="12"/>
      <c r="G1" s="12"/>
      <c r="H1" s="104" t="s">
        <v>467</v>
      </c>
      <c r="I1" s="104"/>
      <c r="J1" s="104"/>
      <c r="K1" s="104"/>
      <c r="L1" s="104"/>
    </row>
    <row r="2" spans="1:12" ht="14.25" x14ac:dyDescent="0.2">
      <c r="A2" s="12"/>
      <c r="B2" s="12"/>
      <c r="C2" s="12"/>
      <c r="D2" s="12"/>
      <c r="E2" s="12"/>
      <c r="F2" s="12"/>
      <c r="G2" s="12"/>
      <c r="H2" s="104" t="s">
        <v>414</v>
      </c>
      <c r="I2" s="104"/>
      <c r="J2" s="104"/>
      <c r="K2" s="104"/>
      <c r="L2" s="104"/>
    </row>
    <row r="3" spans="1:12" ht="14.25" x14ac:dyDescent="0.2">
      <c r="A3" s="12"/>
      <c r="B3" s="12"/>
      <c r="C3" s="12"/>
      <c r="D3" s="12"/>
      <c r="E3" s="12"/>
      <c r="F3" s="12"/>
      <c r="G3" s="12"/>
      <c r="H3" s="104" t="s">
        <v>415</v>
      </c>
      <c r="I3" s="104"/>
      <c r="J3" s="104"/>
      <c r="K3" s="104"/>
      <c r="L3" s="104"/>
    </row>
    <row r="4" spans="1:12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88" t="s">
        <v>468</v>
      </c>
      <c r="L4" s="89"/>
    </row>
    <row r="5" spans="1:12" ht="14.25" x14ac:dyDescent="0.2">
      <c r="A5" s="12"/>
      <c r="B5" s="12"/>
      <c r="C5" s="12"/>
      <c r="D5" s="12"/>
      <c r="E5" s="12"/>
      <c r="F5" s="12"/>
      <c r="G5" s="12"/>
      <c r="H5" s="12"/>
      <c r="I5" s="76" t="s">
        <v>417</v>
      </c>
      <c r="J5" s="76"/>
      <c r="K5" s="88">
        <v>322001</v>
      </c>
      <c r="L5" s="89"/>
    </row>
    <row r="6" spans="1:12" ht="14.25" x14ac:dyDescent="0.2">
      <c r="A6" s="76" t="s">
        <v>469</v>
      </c>
      <c r="B6" s="76"/>
      <c r="C6" s="149"/>
      <c r="D6" s="149"/>
      <c r="E6" s="149"/>
      <c r="F6" s="149"/>
      <c r="G6" s="149"/>
      <c r="H6" s="149"/>
      <c r="I6" s="149"/>
      <c r="J6" s="11" t="s">
        <v>420</v>
      </c>
      <c r="K6" s="88"/>
      <c r="L6" s="89"/>
    </row>
    <row r="7" spans="1:12" ht="14.25" x14ac:dyDescent="0.2">
      <c r="A7" s="12"/>
      <c r="B7" s="12"/>
      <c r="C7" s="86" t="s">
        <v>421</v>
      </c>
      <c r="D7" s="86"/>
      <c r="E7" s="86"/>
      <c r="F7" s="86"/>
      <c r="G7" s="86"/>
      <c r="H7" s="86"/>
      <c r="I7" s="86"/>
      <c r="J7" s="12"/>
      <c r="K7" s="49"/>
      <c r="L7" s="61"/>
    </row>
    <row r="8" spans="1:12" ht="14.25" x14ac:dyDescent="0.2">
      <c r="A8" s="76" t="s">
        <v>470</v>
      </c>
      <c r="B8" s="76"/>
      <c r="C8" s="149"/>
      <c r="D8" s="149"/>
      <c r="E8" s="149"/>
      <c r="F8" s="149"/>
      <c r="G8" s="149"/>
      <c r="H8" s="149"/>
      <c r="I8" s="22"/>
      <c r="J8" s="11" t="s">
        <v>420</v>
      </c>
      <c r="K8" s="99"/>
      <c r="L8" s="100"/>
    </row>
    <row r="9" spans="1:12" ht="14.25" x14ac:dyDescent="0.2">
      <c r="A9" s="12"/>
      <c r="B9" s="12"/>
      <c r="C9" s="86" t="s">
        <v>421</v>
      </c>
      <c r="D9" s="86"/>
      <c r="E9" s="86"/>
      <c r="F9" s="86"/>
      <c r="G9" s="86"/>
      <c r="H9" s="86"/>
      <c r="I9" s="86"/>
      <c r="J9" s="12"/>
      <c r="K9" s="49"/>
      <c r="L9" s="61"/>
    </row>
    <row r="10" spans="1:12" ht="14.25" x14ac:dyDescent="0.2">
      <c r="A10" s="76" t="s">
        <v>471</v>
      </c>
      <c r="B10" s="76"/>
      <c r="C10" s="149"/>
      <c r="D10" s="149"/>
      <c r="E10" s="149"/>
      <c r="F10" s="149"/>
      <c r="G10" s="149"/>
      <c r="H10" s="149"/>
      <c r="I10" s="149"/>
      <c r="J10" s="11" t="s">
        <v>420</v>
      </c>
      <c r="K10" s="99"/>
      <c r="L10" s="100"/>
    </row>
    <row r="11" spans="1:12" ht="14.25" x14ac:dyDescent="0.2">
      <c r="A11" s="12"/>
      <c r="B11" s="12"/>
      <c r="C11" s="86" t="s">
        <v>421</v>
      </c>
      <c r="D11" s="86"/>
      <c r="E11" s="86"/>
      <c r="F11" s="86"/>
      <c r="G11" s="86"/>
      <c r="H11" s="86"/>
      <c r="I11" s="86"/>
      <c r="J11" s="12"/>
      <c r="K11" s="49"/>
      <c r="L11" s="61"/>
    </row>
    <row r="12" spans="1:12" ht="14.25" x14ac:dyDescent="0.2">
      <c r="A12" s="76" t="s">
        <v>472</v>
      </c>
      <c r="B12" s="76"/>
      <c r="C12" s="149"/>
      <c r="D12" s="149"/>
      <c r="E12" s="149"/>
      <c r="F12" s="149"/>
      <c r="G12" s="149"/>
      <c r="H12" s="149"/>
      <c r="I12" s="149"/>
      <c r="J12" s="11" t="s">
        <v>420</v>
      </c>
      <c r="K12" s="99"/>
      <c r="L12" s="100"/>
    </row>
    <row r="13" spans="1:12" ht="14.25" x14ac:dyDescent="0.2">
      <c r="A13" s="12"/>
      <c r="B13" s="12"/>
      <c r="C13" s="86" t="s">
        <v>425</v>
      </c>
      <c r="D13" s="86"/>
      <c r="E13" s="86"/>
      <c r="F13" s="86"/>
      <c r="G13" s="86"/>
      <c r="H13" s="76" t="s">
        <v>473</v>
      </c>
      <c r="I13" s="76"/>
      <c r="J13" s="87"/>
      <c r="K13" s="88"/>
      <c r="L13" s="89"/>
    </row>
    <row r="14" spans="1:12" ht="14.25" x14ac:dyDescent="0.2">
      <c r="A14" s="12"/>
      <c r="B14" s="12"/>
      <c r="C14" s="12"/>
      <c r="D14" s="12"/>
      <c r="E14" s="76" t="s">
        <v>474</v>
      </c>
      <c r="F14" s="76"/>
      <c r="G14" s="76"/>
      <c r="H14" s="76"/>
      <c r="I14" s="148" t="s">
        <v>430</v>
      </c>
      <c r="J14" s="120"/>
      <c r="K14" s="88"/>
      <c r="L14" s="89"/>
    </row>
    <row r="15" spans="1:12" ht="14.25" x14ac:dyDescent="0.2">
      <c r="A15" s="12"/>
      <c r="B15" s="12"/>
      <c r="C15" s="12"/>
      <c r="D15" s="12"/>
      <c r="E15" s="12"/>
      <c r="F15" s="12"/>
      <c r="G15" s="12"/>
      <c r="H15" s="12"/>
      <c r="I15" s="131" t="s">
        <v>431</v>
      </c>
      <c r="J15" s="132"/>
      <c r="K15" s="90"/>
      <c r="L15" s="91"/>
    </row>
    <row r="16" spans="1:12" ht="14.25" x14ac:dyDescent="0.2">
      <c r="A16" s="12"/>
      <c r="B16" s="12"/>
      <c r="C16" s="12"/>
      <c r="D16" s="12"/>
      <c r="E16" s="12"/>
      <c r="F16" s="12"/>
      <c r="G16" s="12"/>
      <c r="H16" s="12"/>
      <c r="I16" s="120" t="s">
        <v>475</v>
      </c>
      <c r="J16" s="120"/>
      <c r="K16" s="133"/>
      <c r="L16" s="134"/>
    </row>
    <row r="17" spans="1:12" ht="14.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4.25" x14ac:dyDescent="0.2">
      <c r="A19" s="12"/>
      <c r="B19" s="12"/>
      <c r="C19" s="135" t="s">
        <v>433</v>
      </c>
      <c r="D19" s="136"/>
      <c r="E19" s="135" t="s">
        <v>434</v>
      </c>
      <c r="F19" s="139"/>
      <c r="G19" s="12"/>
      <c r="H19" s="12"/>
      <c r="I19" s="135" t="s">
        <v>435</v>
      </c>
      <c r="J19" s="136"/>
      <c r="K19" s="136"/>
      <c r="L19" s="139"/>
    </row>
    <row r="20" spans="1:12" ht="14.25" x14ac:dyDescent="0.2">
      <c r="A20" s="12"/>
      <c r="B20" s="12"/>
      <c r="C20" s="137"/>
      <c r="D20" s="138"/>
      <c r="E20" s="137"/>
      <c r="F20" s="140"/>
      <c r="G20" s="12"/>
      <c r="H20" s="12"/>
      <c r="I20" s="141" t="s">
        <v>436</v>
      </c>
      <c r="J20" s="142"/>
      <c r="K20" s="141" t="s">
        <v>437</v>
      </c>
      <c r="L20" s="143"/>
    </row>
    <row r="21" spans="1:12" ht="14.25" x14ac:dyDescent="0.2">
      <c r="A21" s="12"/>
      <c r="B21" s="12"/>
      <c r="C21" s="92"/>
      <c r="D21" s="144"/>
      <c r="E21" s="145"/>
      <c r="F21" s="146"/>
      <c r="G21" s="62"/>
      <c r="H21" s="62"/>
      <c r="I21" s="145"/>
      <c r="J21" s="147"/>
      <c r="K21" s="145"/>
      <c r="L21" s="146"/>
    </row>
    <row r="22" spans="1:12" ht="14.2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x14ac:dyDescent="0.25">
      <c r="A24" s="85" t="s">
        <v>476</v>
      </c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</row>
    <row r="25" spans="1:12" ht="18" x14ac:dyDescent="0.25">
      <c r="A25" s="85" t="s">
        <v>477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</row>
    <row r="26" spans="1:12" ht="14.25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14.25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14.25" x14ac:dyDescent="0.2">
      <c r="A28" s="125" t="s">
        <v>392</v>
      </c>
      <c r="B28" s="125" t="s">
        <v>478</v>
      </c>
      <c r="C28" s="127"/>
      <c r="D28" s="127"/>
      <c r="E28" s="127"/>
      <c r="F28" s="125" t="s">
        <v>416</v>
      </c>
      <c r="G28" s="125" t="s">
        <v>479</v>
      </c>
      <c r="H28" s="127"/>
      <c r="I28" s="127"/>
      <c r="J28" s="127"/>
      <c r="K28" s="127"/>
      <c r="L28" s="129"/>
    </row>
    <row r="29" spans="1:12" x14ac:dyDescent="0.2">
      <c r="A29" s="126"/>
      <c r="B29" s="126"/>
      <c r="C29" s="128"/>
      <c r="D29" s="128"/>
      <c r="E29" s="128"/>
      <c r="F29" s="126"/>
      <c r="G29" s="125" t="s">
        <v>480</v>
      </c>
      <c r="H29" s="127"/>
      <c r="I29" s="125" t="s">
        <v>481</v>
      </c>
      <c r="J29" s="127"/>
      <c r="K29" s="125" t="s">
        <v>482</v>
      </c>
      <c r="L29" s="129"/>
    </row>
    <row r="30" spans="1:12" x14ac:dyDescent="0.2">
      <c r="A30" s="126"/>
      <c r="B30" s="126"/>
      <c r="C30" s="128"/>
      <c r="D30" s="128"/>
      <c r="E30" s="128"/>
      <c r="F30" s="126"/>
      <c r="G30" s="126"/>
      <c r="H30" s="128"/>
      <c r="I30" s="126"/>
      <c r="J30" s="128"/>
      <c r="K30" s="126"/>
      <c r="L30" s="130"/>
    </row>
    <row r="31" spans="1:12" x14ac:dyDescent="0.2">
      <c r="A31" s="126"/>
      <c r="B31" s="126"/>
      <c r="C31" s="128"/>
      <c r="D31" s="128"/>
      <c r="E31" s="128"/>
      <c r="F31" s="126"/>
      <c r="G31" s="126"/>
      <c r="H31" s="128"/>
      <c r="I31" s="126"/>
      <c r="J31" s="128"/>
      <c r="K31" s="126"/>
      <c r="L31" s="130"/>
    </row>
    <row r="32" spans="1:12" x14ac:dyDescent="0.2">
      <c r="A32" s="126"/>
      <c r="B32" s="126"/>
      <c r="C32" s="128"/>
      <c r="D32" s="128"/>
      <c r="E32" s="128"/>
      <c r="F32" s="126"/>
      <c r="G32" s="126"/>
      <c r="H32" s="128"/>
      <c r="I32" s="126"/>
      <c r="J32" s="128"/>
      <c r="K32" s="126"/>
      <c r="L32" s="130"/>
    </row>
    <row r="33" spans="1:12" ht="14.25" x14ac:dyDescent="0.2">
      <c r="A33" s="49">
        <v>1</v>
      </c>
      <c r="B33" s="88">
        <v>2</v>
      </c>
      <c r="C33" s="111"/>
      <c r="D33" s="111"/>
      <c r="E33" s="111"/>
      <c r="F33" s="49">
        <v>3</v>
      </c>
      <c r="G33" s="88">
        <v>4</v>
      </c>
      <c r="H33" s="111"/>
      <c r="I33" s="88">
        <v>5</v>
      </c>
      <c r="J33" s="111"/>
      <c r="K33" s="88">
        <v>6</v>
      </c>
      <c r="L33" s="89"/>
    </row>
    <row r="34" spans="1:12" ht="14.25" x14ac:dyDescent="0.2">
      <c r="A34" s="63"/>
      <c r="B34" s="112" t="s">
        <v>483</v>
      </c>
      <c r="C34" s="113"/>
      <c r="D34" s="113"/>
      <c r="E34" s="113"/>
      <c r="F34" s="64"/>
      <c r="G34" s="114"/>
      <c r="H34" s="115"/>
      <c r="I34" s="114"/>
      <c r="J34" s="115"/>
      <c r="K34" s="114"/>
      <c r="L34" s="116"/>
    </row>
    <row r="35" spans="1:12" ht="14.25" x14ac:dyDescent="0.2">
      <c r="A35" s="65"/>
      <c r="B35" s="117" t="s">
        <v>484</v>
      </c>
      <c r="C35" s="118"/>
      <c r="D35" s="118"/>
      <c r="E35" s="118"/>
      <c r="F35" s="118"/>
      <c r="G35" s="118"/>
      <c r="H35" s="118"/>
      <c r="I35" s="118"/>
      <c r="J35" s="118"/>
      <c r="K35" s="113"/>
      <c r="L35" s="119"/>
    </row>
    <row r="36" spans="1:12" ht="14.25" x14ac:dyDescent="0.2">
      <c r="A36" s="120" t="s">
        <v>210</v>
      </c>
      <c r="B36" s="120"/>
      <c r="C36" s="120"/>
      <c r="D36" s="120"/>
      <c r="E36" s="120"/>
      <c r="F36" s="120"/>
      <c r="G36" s="120"/>
      <c r="H36" s="120"/>
      <c r="I36" s="120"/>
      <c r="J36" s="121"/>
      <c r="K36" s="122"/>
      <c r="L36" s="121"/>
    </row>
    <row r="37" spans="1:12" ht="14.25" x14ac:dyDescent="0.2">
      <c r="A37" s="108" t="s">
        <v>485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23"/>
      <c r="L37" s="124"/>
    </row>
    <row r="38" spans="1:12" ht="14.25" x14ac:dyDescent="0.2">
      <c r="A38" s="108" t="s">
        <v>486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9"/>
      <c r="L38" s="110"/>
    </row>
    <row r="39" spans="1:12" ht="14.25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2" spans="1:12" ht="14.25" x14ac:dyDescent="0.2">
      <c r="A42" s="80" t="s">
        <v>470</v>
      </c>
      <c r="B42" s="80"/>
      <c r="C42" s="106"/>
      <c r="D42" s="106"/>
      <c r="E42" s="106"/>
      <c r="F42" s="12"/>
      <c r="G42" s="106"/>
      <c r="H42" s="106"/>
      <c r="I42" s="12"/>
      <c r="J42" s="106"/>
      <c r="K42" s="106"/>
      <c r="L42" s="106"/>
    </row>
    <row r="43" spans="1:12" ht="14.25" x14ac:dyDescent="0.2">
      <c r="A43" s="12"/>
      <c r="B43" s="12"/>
      <c r="C43" s="107" t="s">
        <v>462</v>
      </c>
      <c r="D43" s="107"/>
      <c r="E43" s="107"/>
      <c r="F43" s="12"/>
      <c r="G43" s="107" t="s">
        <v>463</v>
      </c>
      <c r="H43" s="107"/>
      <c r="I43" s="12"/>
      <c r="J43" s="107" t="s">
        <v>464</v>
      </c>
      <c r="K43" s="107"/>
      <c r="L43" s="107"/>
    </row>
    <row r="44" spans="1:12" ht="14.25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 ht="14.25" x14ac:dyDescent="0.2">
      <c r="A45" s="11" t="s">
        <v>487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 ht="14.25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14.25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4.25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 ht="14.25" x14ac:dyDescent="0.2">
      <c r="A49" s="80" t="s">
        <v>471</v>
      </c>
      <c r="B49" s="80"/>
      <c r="C49" s="106"/>
      <c r="D49" s="106"/>
      <c r="E49" s="106"/>
      <c r="F49" s="12"/>
      <c r="G49" s="106"/>
      <c r="H49" s="106"/>
      <c r="I49" s="12"/>
      <c r="J49" s="106"/>
      <c r="K49" s="106"/>
      <c r="L49" s="106"/>
    </row>
    <row r="50" spans="1:12" ht="14.25" x14ac:dyDescent="0.2">
      <c r="A50" s="12"/>
      <c r="B50" s="12"/>
      <c r="C50" s="107" t="s">
        <v>462</v>
      </c>
      <c r="D50" s="107"/>
      <c r="E50" s="107"/>
      <c r="F50" s="12"/>
      <c r="G50" s="107" t="s">
        <v>463</v>
      </c>
      <c r="H50" s="107"/>
      <c r="I50" s="12"/>
      <c r="J50" s="107" t="s">
        <v>464</v>
      </c>
      <c r="K50" s="107"/>
      <c r="L50" s="107"/>
    </row>
    <row r="51" spans="1:12" ht="14.25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 ht="14.25" x14ac:dyDescent="0.2">
      <c r="A52" s="11" t="s">
        <v>487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2" bottom="0.4" header="0.2" footer="0.2"/>
  <pageSetup paperSize="9" scale="80" fitToHeight="0" orientation="portrait" r:id="rId1"/>
  <headerFooter>
    <oddHeader>&amp;L&amp;8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50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145</v>
      </c>
      <c r="C12" s="1">
        <v>0</v>
      </c>
      <c r="D12" s="1">
        <f>ROW(A87)</f>
        <v>87</v>
      </c>
      <c r="E12" s="1">
        <v>0</v>
      </c>
      <c r="F12" s="1" t="s">
        <v>4</v>
      </c>
      <c r="G12" s="1" t="s">
        <v>489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B87</f>
        <v>145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внутренней  системы отопления и холодного водоснабжения в корпусах В,А,Б,Д,Э и Главном корпусе, наружной системы отопления  и холодного водоснабжения с заменой задвижек в колодцах и тепловых пунктах   НИЯУ МИФИ по адресу: г.Москва,Каширское шоссе,д.31</v>
      </c>
      <c r="H18" s="2"/>
      <c r="I18" s="2"/>
      <c r="J18" s="2"/>
      <c r="K18" s="2"/>
      <c r="L18" s="2"/>
      <c r="M18" s="2"/>
      <c r="N18" s="2"/>
      <c r="O18" s="2">
        <f t="shared" ref="O18:AT18" si="1">O87</f>
        <v>1669289.66</v>
      </c>
      <c r="P18" s="2">
        <f t="shared" si="1"/>
        <v>1562028.68</v>
      </c>
      <c r="Q18" s="2">
        <f t="shared" si="1"/>
        <v>33278.79</v>
      </c>
      <c r="R18" s="2">
        <f t="shared" si="1"/>
        <v>2953.65</v>
      </c>
      <c r="S18" s="2">
        <f t="shared" si="1"/>
        <v>73982.19</v>
      </c>
      <c r="T18" s="2">
        <f t="shared" si="1"/>
        <v>0</v>
      </c>
      <c r="U18" s="2">
        <f t="shared" si="1"/>
        <v>1262.3331999999998</v>
      </c>
      <c r="V18" s="2">
        <f t="shared" si="1"/>
        <v>34.922000000000004</v>
      </c>
      <c r="W18" s="2">
        <f t="shared" si="1"/>
        <v>0</v>
      </c>
      <c r="X18" s="2">
        <f t="shared" si="1"/>
        <v>81836.38</v>
      </c>
      <c r="Y18" s="2">
        <f t="shared" si="1"/>
        <v>51152.86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1802278.9</v>
      </c>
      <c r="AS18" s="2">
        <f t="shared" si="1"/>
        <v>1802278.9</v>
      </c>
      <c r="AT18" s="2">
        <f t="shared" si="1"/>
        <v>0</v>
      </c>
      <c r="AU18" s="2">
        <f t="shared" ref="AU18:BZ18" si="2">AU87</f>
        <v>0</v>
      </c>
      <c r="AV18" s="2">
        <f t="shared" si="2"/>
        <v>1562028.68</v>
      </c>
      <c r="AW18" s="2">
        <f t="shared" si="2"/>
        <v>1562028.68</v>
      </c>
      <c r="AX18" s="2">
        <f t="shared" si="2"/>
        <v>0</v>
      </c>
      <c r="AY18" s="2">
        <f t="shared" si="2"/>
        <v>1562028.68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CA87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DG87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EM87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FS87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ROW(A55)</f>
        <v>55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B55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O55</f>
        <v>1669289.66</v>
      </c>
      <c r="P22" s="2">
        <f t="shared" si="8"/>
        <v>1562028.68</v>
      </c>
      <c r="Q22" s="2">
        <f t="shared" si="8"/>
        <v>33278.79</v>
      </c>
      <c r="R22" s="2">
        <f t="shared" si="8"/>
        <v>2953.65</v>
      </c>
      <c r="S22" s="2">
        <f t="shared" si="8"/>
        <v>73982.19</v>
      </c>
      <c r="T22" s="2">
        <f t="shared" si="8"/>
        <v>0</v>
      </c>
      <c r="U22" s="2">
        <f t="shared" si="8"/>
        <v>1262.3331999999998</v>
      </c>
      <c r="V22" s="2">
        <f t="shared" si="8"/>
        <v>34.922000000000004</v>
      </c>
      <c r="W22" s="2">
        <f t="shared" si="8"/>
        <v>0</v>
      </c>
      <c r="X22" s="2">
        <f t="shared" si="8"/>
        <v>81836.38</v>
      </c>
      <c r="Y22" s="2">
        <f t="shared" si="8"/>
        <v>51152.86</v>
      </c>
      <c r="Z22" s="2">
        <f t="shared" si="8"/>
        <v>0</v>
      </c>
      <c r="AA22" s="2">
        <f t="shared" si="8"/>
        <v>0</v>
      </c>
      <c r="AB22" s="2">
        <f t="shared" si="8"/>
        <v>1669289.66</v>
      </c>
      <c r="AC22" s="2">
        <f t="shared" si="8"/>
        <v>1562028.68</v>
      </c>
      <c r="AD22" s="2">
        <f t="shared" si="8"/>
        <v>33278.79</v>
      </c>
      <c r="AE22" s="2">
        <f t="shared" si="8"/>
        <v>2953.65</v>
      </c>
      <c r="AF22" s="2">
        <f t="shared" si="8"/>
        <v>73982.19</v>
      </c>
      <c r="AG22" s="2">
        <f t="shared" si="8"/>
        <v>0</v>
      </c>
      <c r="AH22" s="2">
        <f t="shared" si="8"/>
        <v>1262.3331999999998</v>
      </c>
      <c r="AI22" s="2">
        <f t="shared" si="8"/>
        <v>34.922000000000004</v>
      </c>
      <c r="AJ22" s="2">
        <f t="shared" si="8"/>
        <v>0</v>
      </c>
      <c r="AK22" s="2">
        <f t="shared" si="8"/>
        <v>81836.38</v>
      </c>
      <c r="AL22" s="2">
        <f t="shared" si="8"/>
        <v>51152.86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1802278.9</v>
      </c>
      <c r="AS22" s="2">
        <f t="shared" si="8"/>
        <v>1802278.9</v>
      </c>
      <c r="AT22" s="2">
        <f t="shared" si="8"/>
        <v>0</v>
      </c>
      <c r="AU22" s="2">
        <f t="shared" ref="AU22:BZ22" si="9">AU55</f>
        <v>0</v>
      </c>
      <c r="AV22" s="2">
        <f t="shared" si="9"/>
        <v>1562028.68</v>
      </c>
      <c r="AW22" s="2">
        <f t="shared" si="9"/>
        <v>1562028.68</v>
      </c>
      <c r="AX22" s="2">
        <f t="shared" si="9"/>
        <v>0</v>
      </c>
      <c r="AY22" s="2">
        <f t="shared" si="9"/>
        <v>1562028.68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CA55</f>
        <v>1802278.9</v>
      </c>
      <c r="CB22" s="2">
        <f t="shared" si="10"/>
        <v>1802278.9</v>
      </c>
      <c r="CC22" s="2">
        <f t="shared" si="10"/>
        <v>0</v>
      </c>
      <c r="CD22" s="2">
        <f t="shared" si="10"/>
        <v>0</v>
      </c>
      <c r="CE22" s="2">
        <f t="shared" si="10"/>
        <v>1562028.68</v>
      </c>
      <c r="CF22" s="2">
        <f t="shared" si="10"/>
        <v>1562028.68</v>
      </c>
      <c r="CG22" s="2">
        <f t="shared" si="10"/>
        <v>0</v>
      </c>
      <c r="CH22" s="2">
        <f t="shared" si="10"/>
        <v>1562028.68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DG55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EM55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FS55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ROW(SmtRes!A1)</f>
        <v>1</v>
      </c>
      <c r="D24">
        <f>ROW(EtalonRes!A1)</f>
        <v>1</v>
      </c>
      <c r="E24" t="s">
        <v>12</v>
      </c>
      <c r="F24" t="s">
        <v>13</v>
      </c>
      <c r="G24" t="s">
        <v>14</v>
      </c>
      <c r="H24" t="s">
        <v>15</v>
      </c>
      <c r="I24">
        <v>0.105</v>
      </c>
      <c r="J24">
        <v>0</v>
      </c>
      <c r="O24">
        <f t="shared" ref="O24:O53" si="14">ROUND(CP24,2)</f>
        <v>7.37</v>
      </c>
      <c r="P24">
        <f t="shared" ref="P24:P53" si="15">ROUND(CQ24*I24,2)</f>
        <v>0</v>
      </c>
      <c r="Q24">
        <f t="shared" ref="Q24:Q53" si="16">ROUND(CR24*I24,2)</f>
        <v>0</v>
      </c>
      <c r="R24">
        <f t="shared" ref="R24:R53" si="17">ROUND(CS24*I24,2)</f>
        <v>0</v>
      </c>
      <c r="S24">
        <f t="shared" ref="S24:S53" si="18">ROUND(CT24*I24,2)</f>
        <v>7.37</v>
      </c>
      <c r="T24">
        <f t="shared" ref="T24:T53" si="19">ROUND(CU24*I24,2)</f>
        <v>0</v>
      </c>
      <c r="U24">
        <f t="shared" ref="U24:U53" si="20">CV24*I24</f>
        <v>0.13335</v>
      </c>
      <c r="V24">
        <f t="shared" ref="V24:V53" si="21">CW24*I24</f>
        <v>0</v>
      </c>
      <c r="W24">
        <f t="shared" ref="W24:W53" si="22">ROUND(CX24*I24,2)</f>
        <v>0</v>
      </c>
      <c r="X24">
        <f t="shared" ref="X24:X53" si="23">ROUND(CY24,2)</f>
        <v>5.45</v>
      </c>
      <c r="Y24">
        <f t="shared" ref="Y24:Y53" si="24">ROUND(CZ24,2)</f>
        <v>3.69</v>
      </c>
      <c r="AA24">
        <v>39088907</v>
      </c>
      <c r="AB24">
        <f t="shared" ref="AB24:AB53" si="25">ROUND((AC24+AD24+AF24),2)</f>
        <v>10.83</v>
      </c>
      <c r="AC24">
        <f t="shared" ref="AC24:AC34" si="26">ROUND((ES24),2)</f>
        <v>0</v>
      </c>
      <c r="AD24">
        <f>ROUND((((ET24)-(EU24))+AE24),2)</f>
        <v>0</v>
      </c>
      <c r="AE24">
        <f>ROUND((EU24),2)</f>
        <v>0</v>
      </c>
      <c r="AF24">
        <f>ROUND((EV24),2)</f>
        <v>10.83</v>
      </c>
      <c r="AG24">
        <f t="shared" ref="AG24:AG53" si="27">ROUND((AP24),2)</f>
        <v>0</v>
      </c>
      <c r="AH24">
        <f>(EW24)</f>
        <v>1.27</v>
      </c>
      <c r="AI24">
        <f>(EX24)</f>
        <v>0</v>
      </c>
      <c r="AJ24">
        <f t="shared" ref="AJ24:AJ53" si="28">ROUND((AS24),2)</f>
        <v>0</v>
      </c>
      <c r="AK24">
        <v>10.83</v>
      </c>
      <c r="AL24">
        <v>0</v>
      </c>
      <c r="AM24">
        <v>0</v>
      </c>
      <c r="AN24">
        <v>0</v>
      </c>
      <c r="AO24">
        <v>10.83</v>
      </c>
      <c r="AP24">
        <v>0</v>
      </c>
      <c r="AQ24">
        <v>1.27</v>
      </c>
      <c r="AR24">
        <v>0</v>
      </c>
      <c r="AS24">
        <v>0</v>
      </c>
      <c r="AT24">
        <v>74</v>
      </c>
      <c r="AU24">
        <v>50</v>
      </c>
      <c r="AV24">
        <v>1</v>
      </c>
      <c r="AW24">
        <v>1</v>
      </c>
      <c r="AZ24">
        <v>6.48</v>
      </c>
      <c r="BA24">
        <v>6.48</v>
      </c>
      <c r="BB24">
        <v>6.48</v>
      </c>
      <c r="BC24">
        <v>6.48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16</v>
      </c>
      <c r="BM24">
        <v>65004</v>
      </c>
      <c r="BN24">
        <v>0</v>
      </c>
      <c r="BO24" t="s">
        <v>3</v>
      </c>
      <c r="BP24">
        <v>0</v>
      </c>
      <c r="BQ24">
        <v>6</v>
      </c>
      <c r="BR24">
        <v>0</v>
      </c>
      <c r="BS24">
        <v>6.48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74</v>
      </c>
      <c r="CA24">
        <v>50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3" si="29">(P24+Q24+S24)</f>
        <v>7.37</v>
      </c>
      <c r="CQ24">
        <f t="shared" ref="CQ24:CQ53" si="30">AC24*BC24</f>
        <v>0</v>
      </c>
      <c r="CR24">
        <f t="shared" ref="CR24:CR53" si="31">AD24*BB24</f>
        <v>0</v>
      </c>
      <c r="CS24">
        <f t="shared" ref="CS24:CS53" si="32">AE24*BS24</f>
        <v>0</v>
      </c>
      <c r="CT24">
        <f t="shared" ref="CT24:CT53" si="33">AF24*BA24</f>
        <v>70.178400000000011</v>
      </c>
      <c r="CU24">
        <f t="shared" ref="CU24:CU53" si="34">AG24</f>
        <v>0</v>
      </c>
      <c r="CV24">
        <f t="shared" ref="CV24:CV53" si="35">AH24</f>
        <v>1.27</v>
      </c>
      <c r="CW24">
        <f t="shared" ref="CW24:CW53" si="36">AI24</f>
        <v>0</v>
      </c>
      <c r="CX24">
        <f t="shared" ref="CX24:CX53" si="37">AJ24</f>
        <v>0</v>
      </c>
      <c r="CY24">
        <f t="shared" ref="CY24:CY53" si="38">(((S24+R24)*AT24)/100)</f>
        <v>5.4538000000000002</v>
      </c>
      <c r="CZ24">
        <f t="shared" ref="CZ24:CZ53" si="39">(((S24+R24)*AU24)/100)</f>
        <v>3.6850000000000001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1007</v>
      </c>
      <c r="DV24" t="s">
        <v>15</v>
      </c>
      <c r="DW24" t="s">
        <v>15</v>
      </c>
      <c r="DX24">
        <v>1000</v>
      </c>
      <c r="EE24">
        <v>39174595</v>
      </c>
      <c r="EF24">
        <v>6</v>
      </c>
      <c r="EG24" t="s">
        <v>17</v>
      </c>
      <c r="EH24">
        <v>0</v>
      </c>
      <c r="EI24" t="s">
        <v>3</v>
      </c>
      <c r="EJ24">
        <v>1</v>
      </c>
      <c r="EK24">
        <v>65004</v>
      </c>
      <c r="EL24" t="s">
        <v>18</v>
      </c>
      <c r="EM24" t="s">
        <v>19</v>
      </c>
      <c r="EO24" t="s">
        <v>3</v>
      </c>
      <c r="EQ24">
        <v>0</v>
      </c>
      <c r="ER24">
        <v>10.83</v>
      </c>
      <c r="ES24">
        <v>0</v>
      </c>
      <c r="ET24">
        <v>0</v>
      </c>
      <c r="EU24">
        <v>0</v>
      </c>
      <c r="EV24">
        <v>10.83</v>
      </c>
      <c r="EW24">
        <v>1.27</v>
      </c>
      <c r="EX24">
        <v>0</v>
      </c>
      <c r="EY24">
        <v>0</v>
      </c>
      <c r="FQ24">
        <v>0</v>
      </c>
      <c r="FR24">
        <f t="shared" ref="FR24:FR53" si="40">ROUND(IF(AND(BH24=3,BI24=3),P24,0),2)</f>
        <v>0</v>
      </c>
      <c r="FS24">
        <v>0</v>
      </c>
      <c r="FX24">
        <v>74</v>
      </c>
      <c r="FY24">
        <v>50</v>
      </c>
      <c r="GA24" t="s">
        <v>3</v>
      </c>
      <c r="GD24">
        <v>0</v>
      </c>
      <c r="GF24">
        <v>922374533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3" si="41">ROUND(IF(AND(BH24=3,BI24=3,FS24&lt;&gt;0),P24,0),2)</f>
        <v>0</v>
      </c>
      <c r="GM24">
        <f t="shared" ref="GM24:GM53" si="42">ROUND(O24+X24+Y24+GK24,2)+GX24</f>
        <v>16.510000000000002</v>
      </c>
      <c r="GN24">
        <f t="shared" ref="GN24:GN53" si="43">IF(OR(BI24=0,BI24=1),ROUND(O24+X24+Y24+GK24,2),0)</f>
        <v>16.510000000000002</v>
      </c>
      <c r="GO24">
        <f t="shared" ref="GO24:GO53" si="44">IF(BI24=2,ROUND(O24+X24+Y24+GK24,2),0)</f>
        <v>0</v>
      </c>
      <c r="GP24">
        <f t="shared" ref="GP24:GP53" si="45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3" si="46">ROUND(GT24,2)</f>
        <v>0</v>
      </c>
      <c r="GW24">
        <v>1</v>
      </c>
      <c r="GX24">
        <f t="shared" ref="GX24:GX53" si="47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ROW(SmtRes!A2)</f>
        <v>2</v>
      </c>
      <c r="D25">
        <f>ROW(EtalonRes!A2)</f>
        <v>2</v>
      </c>
      <c r="E25" t="s">
        <v>20</v>
      </c>
      <c r="F25" t="s">
        <v>21</v>
      </c>
      <c r="G25" t="s">
        <v>22</v>
      </c>
      <c r="H25" t="s">
        <v>23</v>
      </c>
      <c r="I25">
        <v>13</v>
      </c>
      <c r="J25">
        <v>0</v>
      </c>
      <c r="O25">
        <f t="shared" si="14"/>
        <v>1504.53</v>
      </c>
      <c r="P25">
        <f t="shared" si="15"/>
        <v>0</v>
      </c>
      <c r="Q25">
        <f t="shared" si="16"/>
        <v>0</v>
      </c>
      <c r="R25">
        <f t="shared" si="17"/>
        <v>0</v>
      </c>
      <c r="S25">
        <f t="shared" si="18"/>
        <v>1504.53</v>
      </c>
      <c r="T25">
        <f t="shared" si="19"/>
        <v>0</v>
      </c>
      <c r="U25">
        <f t="shared" si="20"/>
        <v>29.51</v>
      </c>
      <c r="V25">
        <f t="shared" si="21"/>
        <v>0</v>
      </c>
      <c r="W25">
        <f t="shared" si="22"/>
        <v>0</v>
      </c>
      <c r="X25">
        <f t="shared" si="23"/>
        <v>1113.3499999999999</v>
      </c>
      <c r="Y25">
        <f t="shared" si="24"/>
        <v>752.27</v>
      </c>
      <c r="AA25">
        <v>39088907</v>
      </c>
      <c r="AB25">
        <f t="shared" si="25"/>
        <v>17.86</v>
      </c>
      <c r="AC25">
        <f t="shared" si="26"/>
        <v>0</v>
      </c>
      <c r="AD25">
        <f>ROUND((((ET25)-(EU25))+AE25),2)</f>
        <v>0</v>
      </c>
      <c r="AE25">
        <f>ROUND((EU25),2)</f>
        <v>0</v>
      </c>
      <c r="AF25">
        <f>ROUND((EV25),2)</f>
        <v>17.86</v>
      </c>
      <c r="AG25">
        <f t="shared" si="27"/>
        <v>0</v>
      </c>
      <c r="AH25">
        <f>(EW25)</f>
        <v>2.27</v>
      </c>
      <c r="AI25">
        <f>(EX25)</f>
        <v>0</v>
      </c>
      <c r="AJ25">
        <f t="shared" si="28"/>
        <v>0</v>
      </c>
      <c r="AK25">
        <v>17.86</v>
      </c>
      <c r="AL25">
        <v>0</v>
      </c>
      <c r="AM25">
        <v>0</v>
      </c>
      <c r="AN25">
        <v>0</v>
      </c>
      <c r="AO25">
        <v>17.86</v>
      </c>
      <c r="AP25">
        <v>0</v>
      </c>
      <c r="AQ25">
        <v>2.27</v>
      </c>
      <c r="AR25">
        <v>0</v>
      </c>
      <c r="AS25">
        <v>0</v>
      </c>
      <c r="AT25">
        <v>74</v>
      </c>
      <c r="AU25">
        <v>50</v>
      </c>
      <c r="AV25">
        <v>1</v>
      </c>
      <c r="AW25">
        <v>1</v>
      </c>
      <c r="AZ25">
        <v>6.48</v>
      </c>
      <c r="BA25">
        <v>6.48</v>
      </c>
      <c r="BB25">
        <v>6.48</v>
      </c>
      <c r="BC25">
        <v>6.48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24</v>
      </c>
      <c r="BM25">
        <v>66002</v>
      </c>
      <c r="BN25">
        <v>0</v>
      </c>
      <c r="BO25" t="s">
        <v>3</v>
      </c>
      <c r="BP25">
        <v>0</v>
      </c>
      <c r="BQ25">
        <v>6</v>
      </c>
      <c r="BR25">
        <v>0</v>
      </c>
      <c r="BS25">
        <v>6.48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74</v>
      </c>
      <c r="CA25">
        <v>50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29"/>
        <v>1504.53</v>
      </c>
      <c r="CQ25">
        <f t="shared" si="30"/>
        <v>0</v>
      </c>
      <c r="CR25">
        <f t="shared" si="31"/>
        <v>0</v>
      </c>
      <c r="CS25">
        <f t="shared" si="32"/>
        <v>0</v>
      </c>
      <c r="CT25">
        <f t="shared" si="33"/>
        <v>115.7328</v>
      </c>
      <c r="CU25">
        <f t="shared" si="34"/>
        <v>0</v>
      </c>
      <c r="CV25">
        <f t="shared" si="35"/>
        <v>2.27</v>
      </c>
      <c r="CW25">
        <f t="shared" si="36"/>
        <v>0</v>
      </c>
      <c r="CX25">
        <f t="shared" si="37"/>
        <v>0</v>
      </c>
      <c r="CY25">
        <f t="shared" si="38"/>
        <v>1113.3522</v>
      </c>
      <c r="CZ25">
        <f t="shared" si="39"/>
        <v>752.26499999999999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23</v>
      </c>
      <c r="DW25" t="s">
        <v>23</v>
      </c>
      <c r="DX25">
        <v>1</v>
      </c>
      <c r="EE25">
        <v>39174608</v>
      </c>
      <c r="EF25">
        <v>6</v>
      </c>
      <c r="EG25" t="s">
        <v>17</v>
      </c>
      <c r="EH25">
        <v>0</v>
      </c>
      <c r="EI25" t="s">
        <v>3</v>
      </c>
      <c r="EJ25">
        <v>1</v>
      </c>
      <c r="EK25">
        <v>66002</v>
      </c>
      <c r="EL25" t="s">
        <v>25</v>
      </c>
      <c r="EM25" t="s">
        <v>26</v>
      </c>
      <c r="EO25" t="s">
        <v>3</v>
      </c>
      <c r="EQ25">
        <v>0</v>
      </c>
      <c r="ER25">
        <v>17.86</v>
      </c>
      <c r="ES25">
        <v>0</v>
      </c>
      <c r="ET25">
        <v>0</v>
      </c>
      <c r="EU25">
        <v>0</v>
      </c>
      <c r="EV25">
        <v>17.86</v>
      </c>
      <c r="EW25">
        <v>2.27</v>
      </c>
      <c r="EX25">
        <v>0</v>
      </c>
      <c r="EY25">
        <v>0</v>
      </c>
      <c r="FQ25">
        <v>0</v>
      </c>
      <c r="FR25">
        <f t="shared" si="40"/>
        <v>0</v>
      </c>
      <c r="FS25">
        <v>0</v>
      </c>
      <c r="FX25">
        <v>74</v>
      </c>
      <c r="FY25">
        <v>50</v>
      </c>
      <c r="GA25" t="s">
        <v>3</v>
      </c>
      <c r="GD25">
        <v>0</v>
      </c>
      <c r="GF25">
        <v>529205035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1"/>
        <v>0</v>
      </c>
      <c r="GM25">
        <f t="shared" si="42"/>
        <v>3370.15</v>
      </c>
      <c r="GN25">
        <f t="shared" si="43"/>
        <v>3370.15</v>
      </c>
      <c r="GO25">
        <f t="shared" si="44"/>
        <v>0</v>
      </c>
      <c r="GP25">
        <f t="shared" si="45"/>
        <v>0</v>
      </c>
      <c r="GR25">
        <v>0</v>
      </c>
      <c r="GS25">
        <v>3</v>
      </c>
      <c r="GT25">
        <v>0</v>
      </c>
      <c r="GU25" t="s">
        <v>3</v>
      </c>
      <c r="GV25">
        <f t="shared" si="46"/>
        <v>0</v>
      </c>
      <c r="GW25">
        <v>1</v>
      </c>
      <c r="GX25">
        <f t="shared" si="47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ROW(SmtRes!A6)</f>
        <v>6</v>
      </c>
      <c r="D26">
        <f>ROW(EtalonRes!A7)</f>
        <v>7</v>
      </c>
      <c r="E26" t="s">
        <v>27</v>
      </c>
      <c r="F26" t="s">
        <v>28</v>
      </c>
      <c r="G26" t="s">
        <v>29</v>
      </c>
      <c r="H26" t="s">
        <v>23</v>
      </c>
      <c r="I26">
        <v>13</v>
      </c>
      <c r="J26">
        <v>0</v>
      </c>
      <c r="O26">
        <f t="shared" si="14"/>
        <v>1625.83</v>
      </c>
      <c r="P26">
        <f t="shared" si="15"/>
        <v>44.65</v>
      </c>
      <c r="Q26">
        <f t="shared" si="16"/>
        <v>484.38</v>
      </c>
      <c r="R26">
        <f t="shared" si="17"/>
        <v>85.08</v>
      </c>
      <c r="S26">
        <f t="shared" si="18"/>
        <v>1096.8</v>
      </c>
      <c r="T26">
        <f t="shared" si="19"/>
        <v>0</v>
      </c>
      <c r="U26">
        <f t="shared" si="20"/>
        <v>19.584499999999998</v>
      </c>
      <c r="V26">
        <f t="shared" si="21"/>
        <v>1.1375000000000002</v>
      </c>
      <c r="W26">
        <f t="shared" si="22"/>
        <v>0</v>
      </c>
      <c r="X26">
        <f t="shared" si="23"/>
        <v>1382.8</v>
      </c>
      <c r="Y26">
        <f t="shared" si="24"/>
        <v>898.23</v>
      </c>
      <c r="AA26">
        <v>39088907</v>
      </c>
      <c r="AB26">
        <f t="shared" si="25"/>
        <v>19.3</v>
      </c>
      <c r="AC26">
        <f t="shared" si="26"/>
        <v>0.53</v>
      </c>
      <c r="AD26">
        <f>ROUND(((((ET26*1.25))-((EU26*1.25)))+AE26),2)</f>
        <v>5.75</v>
      </c>
      <c r="AE26">
        <f>ROUND(((EU26*1.25)),2)</f>
        <v>1.01</v>
      </c>
      <c r="AF26">
        <f>ROUND(((EV26*1.15)),2)</f>
        <v>13.02</v>
      </c>
      <c r="AG26">
        <f t="shared" si="27"/>
        <v>0</v>
      </c>
      <c r="AH26">
        <f>((EW26*1.15))</f>
        <v>1.5065</v>
      </c>
      <c r="AI26">
        <f>((EX26*1.25))</f>
        <v>8.7500000000000008E-2</v>
      </c>
      <c r="AJ26">
        <f t="shared" si="28"/>
        <v>0</v>
      </c>
      <c r="AK26">
        <v>16.45</v>
      </c>
      <c r="AL26">
        <v>0.53</v>
      </c>
      <c r="AM26">
        <v>4.5999999999999996</v>
      </c>
      <c r="AN26">
        <v>0.81</v>
      </c>
      <c r="AO26">
        <v>11.32</v>
      </c>
      <c r="AP26">
        <v>0</v>
      </c>
      <c r="AQ26">
        <v>1.31</v>
      </c>
      <c r="AR26">
        <v>7.0000000000000007E-2</v>
      </c>
      <c r="AS26">
        <v>0</v>
      </c>
      <c r="AT26">
        <v>117</v>
      </c>
      <c r="AU26">
        <v>76</v>
      </c>
      <c r="AV26">
        <v>1</v>
      </c>
      <c r="AW26">
        <v>1</v>
      </c>
      <c r="AZ26">
        <v>6.48</v>
      </c>
      <c r="BA26">
        <v>6.48</v>
      </c>
      <c r="BB26">
        <v>6.48</v>
      </c>
      <c r="BC26">
        <v>6.48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1</v>
      </c>
      <c r="BJ26" t="s">
        <v>30</v>
      </c>
      <c r="BM26">
        <v>23001</v>
      </c>
      <c r="BN26">
        <v>0</v>
      </c>
      <c r="BO26" t="s">
        <v>3</v>
      </c>
      <c r="BP26">
        <v>0</v>
      </c>
      <c r="BQ26">
        <v>2</v>
      </c>
      <c r="BR26">
        <v>0</v>
      </c>
      <c r="BS26">
        <v>6.48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130</v>
      </c>
      <c r="CA26">
        <v>89</v>
      </c>
      <c r="CF26">
        <v>0</v>
      </c>
      <c r="CG26">
        <v>0</v>
      </c>
      <c r="CM26">
        <v>0</v>
      </c>
      <c r="CN26" t="s">
        <v>380</v>
      </c>
      <c r="CO26">
        <v>0</v>
      </c>
      <c r="CP26">
        <f t="shared" si="29"/>
        <v>1625.83</v>
      </c>
      <c r="CQ26">
        <f t="shared" si="30"/>
        <v>3.4344000000000006</v>
      </c>
      <c r="CR26">
        <f t="shared" si="31"/>
        <v>37.260000000000005</v>
      </c>
      <c r="CS26">
        <f t="shared" si="32"/>
        <v>6.5448000000000004</v>
      </c>
      <c r="CT26">
        <f t="shared" si="33"/>
        <v>84.369600000000005</v>
      </c>
      <c r="CU26">
        <f t="shared" si="34"/>
        <v>0</v>
      </c>
      <c r="CV26">
        <f t="shared" si="35"/>
        <v>1.5065</v>
      </c>
      <c r="CW26">
        <f t="shared" si="36"/>
        <v>8.7500000000000008E-2</v>
      </c>
      <c r="CX26">
        <f t="shared" si="37"/>
        <v>0</v>
      </c>
      <c r="CY26">
        <f t="shared" si="38"/>
        <v>1382.7995999999998</v>
      </c>
      <c r="CZ26">
        <f t="shared" si="39"/>
        <v>898.22879999999986</v>
      </c>
      <c r="DC26" t="s">
        <v>3</v>
      </c>
      <c r="DD26" t="s">
        <v>3</v>
      </c>
      <c r="DE26" t="s">
        <v>31</v>
      </c>
      <c r="DF26" t="s">
        <v>31</v>
      </c>
      <c r="DG26" t="s">
        <v>32</v>
      </c>
      <c r="DH26" t="s">
        <v>3</v>
      </c>
      <c r="DI26" t="s">
        <v>32</v>
      </c>
      <c r="DJ26" t="s">
        <v>31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1013</v>
      </c>
      <c r="DV26" t="s">
        <v>23</v>
      </c>
      <c r="DW26" t="s">
        <v>23</v>
      </c>
      <c r="DX26">
        <v>1</v>
      </c>
      <c r="EE26">
        <v>39174537</v>
      </c>
      <c r="EF26">
        <v>2</v>
      </c>
      <c r="EG26" t="s">
        <v>33</v>
      </c>
      <c r="EH26">
        <v>0</v>
      </c>
      <c r="EI26" t="s">
        <v>3</v>
      </c>
      <c r="EJ26">
        <v>1</v>
      </c>
      <c r="EK26">
        <v>23001</v>
      </c>
      <c r="EL26" t="s">
        <v>34</v>
      </c>
      <c r="EM26" t="s">
        <v>35</v>
      </c>
      <c r="EO26" t="s">
        <v>36</v>
      </c>
      <c r="EQ26">
        <v>0</v>
      </c>
      <c r="ER26">
        <v>16.45</v>
      </c>
      <c r="ES26">
        <v>0.53</v>
      </c>
      <c r="ET26">
        <v>4.5999999999999996</v>
      </c>
      <c r="EU26">
        <v>0.81</v>
      </c>
      <c r="EV26">
        <v>11.32</v>
      </c>
      <c r="EW26">
        <v>1.31</v>
      </c>
      <c r="EX26">
        <v>7.0000000000000007E-2</v>
      </c>
      <c r="EY26">
        <v>0</v>
      </c>
      <c r="FQ26">
        <v>0</v>
      </c>
      <c r="FR26">
        <f t="shared" si="40"/>
        <v>0</v>
      </c>
      <c r="FS26">
        <v>0</v>
      </c>
      <c r="FT26" t="s">
        <v>37</v>
      </c>
      <c r="FU26" t="s">
        <v>38</v>
      </c>
      <c r="FX26">
        <v>117</v>
      </c>
      <c r="FY26">
        <v>75.650000000000006</v>
      </c>
      <c r="GA26" t="s">
        <v>3</v>
      </c>
      <c r="GD26">
        <v>0</v>
      </c>
      <c r="GF26">
        <v>1464710543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1"/>
        <v>0</v>
      </c>
      <c r="GM26">
        <f t="shared" si="42"/>
        <v>3906.86</v>
      </c>
      <c r="GN26">
        <f t="shared" si="43"/>
        <v>3906.86</v>
      </c>
      <c r="GO26">
        <f t="shared" si="44"/>
        <v>0</v>
      </c>
      <c r="GP26">
        <f t="shared" si="45"/>
        <v>0</v>
      </c>
      <c r="GR26">
        <v>0</v>
      </c>
      <c r="GS26">
        <v>3</v>
      </c>
      <c r="GT26">
        <v>0</v>
      </c>
      <c r="GU26" t="s">
        <v>3</v>
      </c>
      <c r="GV26">
        <f t="shared" si="46"/>
        <v>0</v>
      </c>
      <c r="GW26">
        <v>1</v>
      </c>
      <c r="GX26">
        <f t="shared" si="47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ROW(SmtRes!A12)</f>
        <v>12</v>
      </c>
      <c r="D27">
        <f>ROW(EtalonRes!A14)</f>
        <v>14</v>
      </c>
      <c r="E27" t="s">
        <v>39</v>
      </c>
      <c r="F27" t="s">
        <v>40</v>
      </c>
      <c r="G27" t="s">
        <v>41</v>
      </c>
      <c r="H27" t="s">
        <v>42</v>
      </c>
      <c r="I27">
        <v>0.04</v>
      </c>
      <c r="J27">
        <v>0</v>
      </c>
      <c r="O27">
        <f t="shared" si="14"/>
        <v>1316.81</v>
      </c>
      <c r="P27">
        <f t="shared" si="15"/>
        <v>565.47</v>
      </c>
      <c r="Q27">
        <f t="shared" si="16"/>
        <v>27.25</v>
      </c>
      <c r="R27">
        <f t="shared" si="17"/>
        <v>4.8099999999999996</v>
      </c>
      <c r="S27">
        <f t="shared" si="18"/>
        <v>724.09</v>
      </c>
      <c r="T27">
        <f t="shared" si="19"/>
        <v>0</v>
      </c>
      <c r="U27">
        <f t="shared" si="20"/>
        <v>12.32</v>
      </c>
      <c r="V27">
        <f t="shared" si="21"/>
        <v>6.4000000000000001E-2</v>
      </c>
      <c r="W27">
        <f t="shared" si="22"/>
        <v>0</v>
      </c>
      <c r="X27">
        <f t="shared" si="23"/>
        <v>750.77</v>
      </c>
      <c r="Y27">
        <f t="shared" si="24"/>
        <v>437.34</v>
      </c>
      <c r="AA27">
        <v>39088907</v>
      </c>
      <c r="AB27">
        <f t="shared" si="25"/>
        <v>5080.3</v>
      </c>
      <c r="AC27">
        <f t="shared" si="26"/>
        <v>2181.6</v>
      </c>
      <c r="AD27">
        <f t="shared" ref="AD27:AD34" si="48">ROUND((((ET27)-(EU27))+AE27),2)</f>
        <v>105.14</v>
      </c>
      <c r="AE27">
        <f t="shared" ref="AE27:AF34" si="49">ROUND((EU27),2)</f>
        <v>18.559999999999999</v>
      </c>
      <c r="AF27">
        <f t="shared" si="49"/>
        <v>2793.56</v>
      </c>
      <c r="AG27">
        <f t="shared" si="27"/>
        <v>0</v>
      </c>
      <c r="AH27">
        <f t="shared" ref="AH27:AI34" si="50">(EW27)</f>
        <v>308</v>
      </c>
      <c r="AI27">
        <f t="shared" si="50"/>
        <v>1.6</v>
      </c>
      <c r="AJ27">
        <f t="shared" si="28"/>
        <v>0</v>
      </c>
      <c r="AK27">
        <v>5080.3</v>
      </c>
      <c r="AL27">
        <v>2181.6</v>
      </c>
      <c r="AM27">
        <v>105.14</v>
      </c>
      <c r="AN27">
        <v>18.559999999999999</v>
      </c>
      <c r="AO27">
        <v>2793.56</v>
      </c>
      <c r="AP27">
        <v>0</v>
      </c>
      <c r="AQ27">
        <v>308</v>
      </c>
      <c r="AR27">
        <v>1.6</v>
      </c>
      <c r="AS27">
        <v>0</v>
      </c>
      <c r="AT27">
        <v>103</v>
      </c>
      <c r="AU27">
        <v>60</v>
      </c>
      <c r="AV27">
        <v>1</v>
      </c>
      <c r="AW27">
        <v>1</v>
      </c>
      <c r="AZ27">
        <v>6.48</v>
      </c>
      <c r="BA27">
        <v>6.48</v>
      </c>
      <c r="BB27">
        <v>6.48</v>
      </c>
      <c r="BC27">
        <v>6.48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43</v>
      </c>
      <c r="BM27">
        <v>65007</v>
      </c>
      <c r="BN27">
        <v>0</v>
      </c>
      <c r="BO27" t="s">
        <v>3</v>
      </c>
      <c r="BP27">
        <v>0</v>
      </c>
      <c r="BQ27">
        <v>6</v>
      </c>
      <c r="BR27">
        <v>0</v>
      </c>
      <c r="BS27">
        <v>6.48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103</v>
      </c>
      <c r="CA27">
        <v>60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29"/>
        <v>1316.81</v>
      </c>
      <c r="CQ27">
        <f t="shared" si="30"/>
        <v>14136.768</v>
      </c>
      <c r="CR27">
        <f t="shared" si="31"/>
        <v>681.30720000000008</v>
      </c>
      <c r="CS27">
        <f t="shared" si="32"/>
        <v>120.2688</v>
      </c>
      <c r="CT27">
        <f t="shared" si="33"/>
        <v>18102.268800000002</v>
      </c>
      <c r="CU27">
        <f t="shared" si="34"/>
        <v>0</v>
      </c>
      <c r="CV27">
        <f t="shared" si="35"/>
        <v>308</v>
      </c>
      <c r="CW27">
        <f t="shared" si="36"/>
        <v>1.6</v>
      </c>
      <c r="CX27">
        <f t="shared" si="37"/>
        <v>0</v>
      </c>
      <c r="CY27">
        <f t="shared" si="38"/>
        <v>750.76699999999994</v>
      </c>
      <c r="CZ27">
        <f t="shared" si="39"/>
        <v>437.34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1013</v>
      </c>
      <c r="DV27" t="s">
        <v>42</v>
      </c>
      <c r="DW27" t="s">
        <v>42</v>
      </c>
      <c r="DX27">
        <v>1</v>
      </c>
      <c r="EE27">
        <v>39174602</v>
      </c>
      <c r="EF27">
        <v>6</v>
      </c>
      <c r="EG27" t="s">
        <v>17</v>
      </c>
      <c r="EH27">
        <v>0</v>
      </c>
      <c r="EI27" t="s">
        <v>3</v>
      </c>
      <c r="EJ27">
        <v>1</v>
      </c>
      <c r="EK27">
        <v>65007</v>
      </c>
      <c r="EL27" t="s">
        <v>44</v>
      </c>
      <c r="EM27" t="s">
        <v>19</v>
      </c>
      <c r="EO27" t="s">
        <v>3</v>
      </c>
      <c r="EQ27">
        <v>0</v>
      </c>
      <c r="ER27">
        <v>5080.3</v>
      </c>
      <c r="ES27">
        <v>2181.6</v>
      </c>
      <c r="ET27">
        <v>105.14</v>
      </c>
      <c r="EU27">
        <v>18.559999999999999</v>
      </c>
      <c r="EV27">
        <v>2793.56</v>
      </c>
      <c r="EW27">
        <v>308</v>
      </c>
      <c r="EX27">
        <v>1.6</v>
      </c>
      <c r="EY27">
        <v>0</v>
      </c>
      <c r="FQ27">
        <v>0</v>
      </c>
      <c r="FR27">
        <f t="shared" si="40"/>
        <v>0</v>
      </c>
      <c r="FS27">
        <v>0</v>
      </c>
      <c r="FX27">
        <v>103</v>
      </c>
      <c r="FY27">
        <v>60</v>
      </c>
      <c r="GA27" t="s">
        <v>3</v>
      </c>
      <c r="GD27">
        <v>0</v>
      </c>
      <c r="GF27">
        <v>311815651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1"/>
        <v>0</v>
      </c>
      <c r="GM27">
        <f t="shared" si="42"/>
        <v>2504.92</v>
      </c>
      <c r="GN27">
        <f t="shared" si="43"/>
        <v>2504.92</v>
      </c>
      <c r="GO27">
        <f t="shared" si="44"/>
        <v>0</v>
      </c>
      <c r="GP27">
        <f t="shared" si="45"/>
        <v>0</v>
      </c>
      <c r="GR27">
        <v>0</v>
      </c>
      <c r="GS27">
        <v>3</v>
      </c>
      <c r="GT27">
        <v>0</v>
      </c>
      <c r="GU27" t="s">
        <v>3</v>
      </c>
      <c r="GV27">
        <f t="shared" si="46"/>
        <v>0</v>
      </c>
      <c r="GW27">
        <v>1</v>
      </c>
      <c r="GX27">
        <f t="shared" si="47"/>
        <v>0</v>
      </c>
      <c r="HA27">
        <v>0</v>
      </c>
      <c r="HB27">
        <v>0</v>
      </c>
      <c r="IK27">
        <v>0</v>
      </c>
    </row>
    <row r="28" spans="1:245" x14ac:dyDescent="0.2">
      <c r="A28">
        <v>18</v>
      </c>
      <c r="B28">
        <v>1</v>
      </c>
      <c r="C28">
        <v>12</v>
      </c>
      <c r="E28" t="s">
        <v>45</v>
      </c>
      <c r="F28" t="s">
        <v>46</v>
      </c>
      <c r="G28" t="s">
        <v>47</v>
      </c>
      <c r="H28" t="s">
        <v>48</v>
      </c>
      <c r="I28">
        <f>I27*J28</f>
        <v>4</v>
      </c>
      <c r="J28">
        <v>100</v>
      </c>
      <c r="O28">
        <f t="shared" si="14"/>
        <v>15405.29</v>
      </c>
      <c r="P28">
        <f t="shared" si="15"/>
        <v>15405.29</v>
      </c>
      <c r="Q28">
        <f t="shared" si="16"/>
        <v>0</v>
      </c>
      <c r="R28">
        <f t="shared" si="17"/>
        <v>0</v>
      </c>
      <c r="S28">
        <f t="shared" si="18"/>
        <v>0</v>
      </c>
      <c r="T28">
        <f t="shared" si="19"/>
        <v>0</v>
      </c>
      <c r="U28">
        <f t="shared" si="20"/>
        <v>0</v>
      </c>
      <c r="V28">
        <f t="shared" si="21"/>
        <v>0</v>
      </c>
      <c r="W28">
        <f t="shared" si="22"/>
        <v>0</v>
      </c>
      <c r="X28">
        <f t="shared" si="23"/>
        <v>0</v>
      </c>
      <c r="Y28">
        <f t="shared" si="24"/>
        <v>0</v>
      </c>
      <c r="AA28">
        <v>39088907</v>
      </c>
      <c r="AB28">
        <f t="shared" si="25"/>
        <v>594.34</v>
      </c>
      <c r="AC28">
        <f t="shared" si="26"/>
        <v>594.34</v>
      </c>
      <c r="AD28">
        <f t="shared" si="48"/>
        <v>0</v>
      </c>
      <c r="AE28">
        <f t="shared" si="49"/>
        <v>0</v>
      </c>
      <c r="AF28">
        <f t="shared" si="49"/>
        <v>0</v>
      </c>
      <c r="AG28">
        <f t="shared" si="27"/>
        <v>0</v>
      </c>
      <c r="AH28">
        <f t="shared" si="50"/>
        <v>0</v>
      </c>
      <c r="AI28">
        <f t="shared" si="50"/>
        <v>0</v>
      </c>
      <c r="AJ28">
        <f t="shared" si="28"/>
        <v>0</v>
      </c>
      <c r="AK28">
        <v>594.34</v>
      </c>
      <c r="AL28">
        <v>594.34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115</v>
      </c>
      <c r="AU28">
        <v>71</v>
      </c>
      <c r="AV28">
        <v>1</v>
      </c>
      <c r="AW28">
        <v>1</v>
      </c>
      <c r="AZ28">
        <v>6.48</v>
      </c>
      <c r="BA28">
        <v>1</v>
      </c>
      <c r="BB28">
        <v>1</v>
      </c>
      <c r="BC28">
        <v>6.48</v>
      </c>
      <c r="BD28" t="s">
        <v>3</v>
      </c>
      <c r="BE28" t="s">
        <v>3</v>
      </c>
      <c r="BF28" t="s">
        <v>3</v>
      </c>
      <c r="BG28" t="s">
        <v>3</v>
      </c>
      <c r="BH28">
        <v>3</v>
      </c>
      <c r="BI28">
        <v>1</v>
      </c>
      <c r="BJ28" t="s">
        <v>49</v>
      </c>
      <c r="BM28">
        <v>16001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128</v>
      </c>
      <c r="CA28">
        <v>83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si="29"/>
        <v>15405.29</v>
      </c>
      <c r="CQ28">
        <f t="shared" si="30"/>
        <v>3851.3232000000003</v>
      </c>
      <c r="CR28">
        <f t="shared" si="31"/>
        <v>0</v>
      </c>
      <c r="CS28">
        <f t="shared" si="32"/>
        <v>0</v>
      </c>
      <c r="CT28">
        <f t="shared" si="33"/>
        <v>0</v>
      </c>
      <c r="CU28">
        <f t="shared" si="34"/>
        <v>0</v>
      </c>
      <c r="CV28">
        <f t="shared" si="35"/>
        <v>0</v>
      </c>
      <c r="CW28">
        <f t="shared" si="36"/>
        <v>0</v>
      </c>
      <c r="CX28">
        <f t="shared" si="37"/>
        <v>0</v>
      </c>
      <c r="CY28">
        <f t="shared" si="38"/>
        <v>0</v>
      </c>
      <c r="CZ28">
        <f t="shared" si="39"/>
        <v>0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1010</v>
      </c>
      <c r="DV28" t="s">
        <v>48</v>
      </c>
      <c r="DW28" t="s">
        <v>48</v>
      </c>
      <c r="DX28">
        <v>1</v>
      </c>
      <c r="EE28">
        <v>39174530</v>
      </c>
      <c r="EF28">
        <v>2</v>
      </c>
      <c r="EG28" t="s">
        <v>33</v>
      </c>
      <c r="EH28">
        <v>0</v>
      </c>
      <c r="EI28" t="s">
        <v>3</v>
      </c>
      <c r="EJ28">
        <v>1</v>
      </c>
      <c r="EK28">
        <v>16001</v>
      </c>
      <c r="EL28" t="s">
        <v>50</v>
      </c>
      <c r="EM28" t="s">
        <v>51</v>
      </c>
      <c r="EO28" t="s">
        <v>3</v>
      </c>
      <c r="EQ28">
        <v>0</v>
      </c>
      <c r="ER28">
        <v>594.34</v>
      </c>
      <c r="ES28">
        <v>594.34</v>
      </c>
      <c r="ET28">
        <v>0</v>
      </c>
      <c r="EU28">
        <v>0</v>
      </c>
      <c r="EV28">
        <v>0</v>
      </c>
      <c r="EW28">
        <v>0</v>
      </c>
      <c r="EX28">
        <v>0</v>
      </c>
      <c r="FQ28">
        <v>0</v>
      </c>
      <c r="FR28">
        <f t="shared" si="40"/>
        <v>0</v>
      </c>
      <c r="FS28">
        <v>0</v>
      </c>
      <c r="FT28" t="s">
        <v>37</v>
      </c>
      <c r="FU28" t="s">
        <v>38</v>
      </c>
      <c r="FX28">
        <v>115.2</v>
      </c>
      <c r="FY28">
        <v>70.55</v>
      </c>
      <c r="GA28" t="s">
        <v>3</v>
      </c>
      <c r="GD28">
        <v>0</v>
      </c>
      <c r="GF28">
        <v>-661447167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1"/>
        <v>0</v>
      </c>
      <c r="GM28">
        <f t="shared" si="42"/>
        <v>15405.29</v>
      </c>
      <c r="GN28">
        <f t="shared" si="43"/>
        <v>15405.29</v>
      </c>
      <c r="GO28">
        <f t="shared" si="44"/>
        <v>0</v>
      </c>
      <c r="GP28">
        <f t="shared" si="45"/>
        <v>0</v>
      </c>
      <c r="GR28">
        <v>0</v>
      </c>
      <c r="GS28">
        <v>3</v>
      </c>
      <c r="GT28">
        <v>0</v>
      </c>
      <c r="GU28" t="s">
        <v>3</v>
      </c>
      <c r="GV28">
        <f t="shared" si="46"/>
        <v>0</v>
      </c>
      <c r="GW28">
        <v>1</v>
      </c>
      <c r="GX28">
        <f t="shared" si="47"/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ROW(SmtRes!A18)</f>
        <v>18</v>
      </c>
      <c r="D29">
        <f>ROW(EtalonRes!A21)</f>
        <v>21</v>
      </c>
      <c r="E29" t="s">
        <v>52</v>
      </c>
      <c r="F29" t="s">
        <v>53</v>
      </c>
      <c r="G29" t="s">
        <v>54</v>
      </c>
      <c r="H29" t="s">
        <v>42</v>
      </c>
      <c r="I29">
        <v>0.11</v>
      </c>
      <c r="J29">
        <v>0</v>
      </c>
      <c r="O29">
        <f t="shared" si="14"/>
        <v>5760.22</v>
      </c>
      <c r="P29">
        <f t="shared" si="15"/>
        <v>2835.23</v>
      </c>
      <c r="Q29">
        <f t="shared" si="16"/>
        <v>196.72</v>
      </c>
      <c r="R29">
        <f t="shared" si="17"/>
        <v>34.729999999999997</v>
      </c>
      <c r="S29">
        <f t="shared" si="18"/>
        <v>2728.27</v>
      </c>
      <c r="T29">
        <f t="shared" si="19"/>
        <v>0</v>
      </c>
      <c r="U29">
        <f t="shared" si="20"/>
        <v>46.42</v>
      </c>
      <c r="V29">
        <f t="shared" si="21"/>
        <v>0.46200000000000002</v>
      </c>
      <c r="W29">
        <f t="shared" si="22"/>
        <v>0</v>
      </c>
      <c r="X29">
        <f t="shared" si="23"/>
        <v>2845.89</v>
      </c>
      <c r="Y29">
        <f t="shared" si="24"/>
        <v>1657.8</v>
      </c>
      <c r="AA29">
        <v>39088907</v>
      </c>
      <c r="AB29">
        <f t="shared" si="25"/>
        <v>8081.12</v>
      </c>
      <c r="AC29">
        <f t="shared" si="26"/>
        <v>3977.6</v>
      </c>
      <c r="AD29">
        <f t="shared" si="48"/>
        <v>275.98</v>
      </c>
      <c r="AE29">
        <f t="shared" si="49"/>
        <v>48.72</v>
      </c>
      <c r="AF29">
        <f t="shared" si="49"/>
        <v>3827.54</v>
      </c>
      <c r="AG29">
        <f t="shared" si="27"/>
        <v>0</v>
      </c>
      <c r="AH29">
        <f t="shared" si="50"/>
        <v>422</v>
      </c>
      <c r="AI29">
        <f t="shared" si="50"/>
        <v>4.2</v>
      </c>
      <c r="AJ29">
        <f t="shared" si="28"/>
        <v>0</v>
      </c>
      <c r="AK29">
        <v>8081.12</v>
      </c>
      <c r="AL29">
        <v>3977.6</v>
      </c>
      <c r="AM29">
        <v>275.98</v>
      </c>
      <c r="AN29">
        <v>48.72</v>
      </c>
      <c r="AO29">
        <v>3827.54</v>
      </c>
      <c r="AP29">
        <v>0</v>
      </c>
      <c r="AQ29">
        <v>422</v>
      </c>
      <c r="AR29">
        <v>4.2</v>
      </c>
      <c r="AS29">
        <v>0</v>
      </c>
      <c r="AT29">
        <v>103</v>
      </c>
      <c r="AU29">
        <v>60</v>
      </c>
      <c r="AV29">
        <v>1</v>
      </c>
      <c r="AW29">
        <v>1</v>
      </c>
      <c r="AZ29">
        <v>6.48</v>
      </c>
      <c r="BA29">
        <v>6.48</v>
      </c>
      <c r="BB29">
        <v>6.48</v>
      </c>
      <c r="BC29">
        <v>6.48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55</v>
      </c>
      <c r="BM29">
        <v>65007</v>
      </c>
      <c r="BN29">
        <v>0</v>
      </c>
      <c r="BO29" t="s">
        <v>3</v>
      </c>
      <c r="BP29">
        <v>0</v>
      </c>
      <c r="BQ29">
        <v>6</v>
      </c>
      <c r="BR29">
        <v>0</v>
      </c>
      <c r="BS29">
        <v>6.48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103</v>
      </c>
      <c r="CA29">
        <v>60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29"/>
        <v>5760.2199999999993</v>
      </c>
      <c r="CQ29">
        <f t="shared" si="30"/>
        <v>25774.848000000002</v>
      </c>
      <c r="CR29">
        <f t="shared" si="31"/>
        <v>1788.3504000000003</v>
      </c>
      <c r="CS29">
        <f t="shared" si="32"/>
        <v>315.7056</v>
      </c>
      <c r="CT29">
        <f t="shared" si="33"/>
        <v>24802.459200000001</v>
      </c>
      <c r="CU29">
        <f t="shared" si="34"/>
        <v>0</v>
      </c>
      <c r="CV29">
        <f t="shared" si="35"/>
        <v>422</v>
      </c>
      <c r="CW29">
        <f t="shared" si="36"/>
        <v>4.2</v>
      </c>
      <c r="CX29">
        <f t="shared" si="37"/>
        <v>0</v>
      </c>
      <c r="CY29">
        <f t="shared" si="38"/>
        <v>2845.89</v>
      </c>
      <c r="CZ29">
        <f t="shared" si="39"/>
        <v>1657.8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42</v>
      </c>
      <c r="DW29" t="s">
        <v>42</v>
      </c>
      <c r="DX29">
        <v>1</v>
      </c>
      <c r="EE29">
        <v>39174602</v>
      </c>
      <c r="EF29">
        <v>6</v>
      </c>
      <c r="EG29" t="s">
        <v>17</v>
      </c>
      <c r="EH29">
        <v>0</v>
      </c>
      <c r="EI29" t="s">
        <v>3</v>
      </c>
      <c r="EJ29">
        <v>1</v>
      </c>
      <c r="EK29">
        <v>65007</v>
      </c>
      <c r="EL29" t="s">
        <v>44</v>
      </c>
      <c r="EM29" t="s">
        <v>19</v>
      </c>
      <c r="EO29" t="s">
        <v>3</v>
      </c>
      <c r="EQ29">
        <v>0</v>
      </c>
      <c r="ER29">
        <v>8081.12</v>
      </c>
      <c r="ES29">
        <v>3977.6</v>
      </c>
      <c r="ET29">
        <v>275.98</v>
      </c>
      <c r="EU29">
        <v>48.72</v>
      </c>
      <c r="EV29">
        <v>3827.54</v>
      </c>
      <c r="EW29">
        <v>422</v>
      </c>
      <c r="EX29">
        <v>4.2</v>
      </c>
      <c r="EY29">
        <v>0</v>
      </c>
      <c r="FQ29">
        <v>0</v>
      </c>
      <c r="FR29">
        <f t="shared" si="40"/>
        <v>0</v>
      </c>
      <c r="FS29">
        <v>0</v>
      </c>
      <c r="FX29">
        <v>103</v>
      </c>
      <c r="FY29">
        <v>60</v>
      </c>
      <c r="GA29" t="s">
        <v>3</v>
      </c>
      <c r="GD29">
        <v>0</v>
      </c>
      <c r="GF29">
        <v>634860623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1"/>
        <v>0</v>
      </c>
      <c r="GM29">
        <f t="shared" si="42"/>
        <v>10263.91</v>
      </c>
      <c r="GN29">
        <f t="shared" si="43"/>
        <v>10263.91</v>
      </c>
      <c r="GO29">
        <f t="shared" si="44"/>
        <v>0</v>
      </c>
      <c r="GP29">
        <f t="shared" si="45"/>
        <v>0</v>
      </c>
      <c r="GR29">
        <v>0</v>
      </c>
      <c r="GS29">
        <v>3</v>
      </c>
      <c r="GT29">
        <v>0</v>
      </c>
      <c r="GU29" t="s">
        <v>3</v>
      </c>
      <c r="GV29">
        <f t="shared" si="46"/>
        <v>0</v>
      </c>
      <c r="GW29">
        <v>1</v>
      </c>
      <c r="GX29">
        <f t="shared" si="47"/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18</v>
      </c>
      <c r="E30" t="s">
        <v>56</v>
      </c>
      <c r="F30" t="s">
        <v>57</v>
      </c>
      <c r="G30" t="s">
        <v>58</v>
      </c>
      <c r="H30" t="s">
        <v>48</v>
      </c>
      <c r="I30">
        <f>I29*J30</f>
        <v>11</v>
      </c>
      <c r="J30">
        <v>100</v>
      </c>
      <c r="O30">
        <f t="shared" si="14"/>
        <v>75651.600000000006</v>
      </c>
      <c r="P30">
        <f t="shared" si="15"/>
        <v>75651.600000000006</v>
      </c>
      <c r="Q30">
        <f t="shared" si="16"/>
        <v>0</v>
      </c>
      <c r="R30">
        <f t="shared" si="17"/>
        <v>0</v>
      </c>
      <c r="S30">
        <f t="shared" si="18"/>
        <v>0</v>
      </c>
      <c r="T30">
        <f t="shared" si="19"/>
        <v>0</v>
      </c>
      <c r="U30">
        <f t="shared" si="20"/>
        <v>0</v>
      </c>
      <c r="V30">
        <f t="shared" si="21"/>
        <v>0</v>
      </c>
      <c r="W30">
        <f t="shared" si="22"/>
        <v>0</v>
      </c>
      <c r="X30">
        <f t="shared" si="23"/>
        <v>0</v>
      </c>
      <c r="Y30">
        <f t="shared" si="24"/>
        <v>0</v>
      </c>
      <c r="AA30">
        <v>39088907</v>
      </c>
      <c r="AB30">
        <f t="shared" si="25"/>
        <v>1061.33</v>
      </c>
      <c r="AC30">
        <f t="shared" si="26"/>
        <v>1061.33</v>
      </c>
      <c r="AD30">
        <f t="shared" si="48"/>
        <v>0</v>
      </c>
      <c r="AE30">
        <f t="shared" si="49"/>
        <v>0</v>
      </c>
      <c r="AF30">
        <f t="shared" si="49"/>
        <v>0</v>
      </c>
      <c r="AG30">
        <f t="shared" si="27"/>
        <v>0</v>
      </c>
      <c r="AH30">
        <f t="shared" si="50"/>
        <v>0</v>
      </c>
      <c r="AI30">
        <f t="shared" si="50"/>
        <v>0</v>
      </c>
      <c r="AJ30">
        <f t="shared" si="28"/>
        <v>0</v>
      </c>
      <c r="AK30">
        <v>1061.33</v>
      </c>
      <c r="AL30">
        <v>1061.33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115</v>
      </c>
      <c r="AU30">
        <v>71</v>
      </c>
      <c r="AV30">
        <v>1</v>
      </c>
      <c r="AW30">
        <v>1</v>
      </c>
      <c r="AZ30">
        <v>6.48</v>
      </c>
      <c r="BA30">
        <v>1</v>
      </c>
      <c r="BB30">
        <v>1</v>
      </c>
      <c r="BC30">
        <v>6.48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1</v>
      </c>
      <c r="BJ30" t="s">
        <v>59</v>
      </c>
      <c r="BM30">
        <v>16001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128</v>
      </c>
      <c r="CA30">
        <v>83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29"/>
        <v>75651.600000000006</v>
      </c>
      <c r="CQ30">
        <f t="shared" si="30"/>
        <v>6877.4183999999996</v>
      </c>
      <c r="CR30">
        <f t="shared" si="31"/>
        <v>0</v>
      </c>
      <c r="CS30">
        <f t="shared" si="32"/>
        <v>0</v>
      </c>
      <c r="CT30">
        <f t="shared" si="33"/>
        <v>0</v>
      </c>
      <c r="CU30">
        <f t="shared" si="34"/>
        <v>0</v>
      </c>
      <c r="CV30">
        <f t="shared" si="35"/>
        <v>0</v>
      </c>
      <c r="CW30">
        <f t="shared" si="36"/>
        <v>0</v>
      </c>
      <c r="CX30">
        <f t="shared" si="37"/>
        <v>0</v>
      </c>
      <c r="CY30">
        <f t="shared" si="38"/>
        <v>0</v>
      </c>
      <c r="CZ30">
        <f t="shared" si="39"/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1010</v>
      </c>
      <c r="DV30" t="s">
        <v>48</v>
      </c>
      <c r="DW30" t="s">
        <v>48</v>
      </c>
      <c r="DX30">
        <v>1</v>
      </c>
      <c r="EE30">
        <v>39174530</v>
      </c>
      <c r="EF30">
        <v>2</v>
      </c>
      <c r="EG30" t="s">
        <v>33</v>
      </c>
      <c r="EH30">
        <v>0</v>
      </c>
      <c r="EI30" t="s">
        <v>3</v>
      </c>
      <c r="EJ30">
        <v>1</v>
      </c>
      <c r="EK30">
        <v>16001</v>
      </c>
      <c r="EL30" t="s">
        <v>50</v>
      </c>
      <c r="EM30" t="s">
        <v>51</v>
      </c>
      <c r="EO30" t="s">
        <v>3</v>
      </c>
      <c r="EQ30">
        <v>0</v>
      </c>
      <c r="ER30">
        <v>1061.33</v>
      </c>
      <c r="ES30">
        <v>1061.33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 t="shared" si="40"/>
        <v>0</v>
      </c>
      <c r="FS30">
        <v>0</v>
      </c>
      <c r="FT30" t="s">
        <v>37</v>
      </c>
      <c r="FU30" t="s">
        <v>38</v>
      </c>
      <c r="FX30">
        <v>115.2</v>
      </c>
      <c r="FY30">
        <v>70.55</v>
      </c>
      <c r="GA30" t="s">
        <v>3</v>
      </c>
      <c r="GD30">
        <v>0</v>
      </c>
      <c r="GF30">
        <v>-1709495380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1"/>
        <v>0</v>
      </c>
      <c r="GM30">
        <f t="shared" si="42"/>
        <v>75651.600000000006</v>
      </c>
      <c r="GN30">
        <f t="shared" si="43"/>
        <v>75651.600000000006</v>
      </c>
      <c r="GO30">
        <f t="shared" si="44"/>
        <v>0</v>
      </c>
      <c r="GP30">
        <f t="shared" si="45"/>
        <v>0</v>
      </c>
      <c r="GR30">
        <v>0</v>
      </c>
      <c r="GS30">
        <v>3</v>
      </c>
      <c r="GT30">
        <v>0</v>
      </c>
      <c r="GU30" t="s">
        <v>3</v>
      </c>
      <c r="GV30">
        <f t="shared" si="46"/>
        <v>0</v>
      </c>
      <c r="GW30">
        <v>1</v>
      </c>
      <c r="GX30">
        <f t="shared" si="47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ROW(SmtRes!A24)</f>
        <v>24</v>
      </c>
      <c r="D31">
        <f>ROW(EtalonRes!A28)</f>
        <v>28</v>
      </c>
      <c r="E31" t="s">
        <v>60</v>
      </c>
      <c r="F31" t="s">
        <v>61</v>
      </c>
      <c r="G31" t="s">
        <v>62</v>
      </c>
      <c r="H31" t="s">
        <v>42</v>
      </c>
      <c r="I31">
        <v>0.08</v>
      </c>
      <c r="J31">
        <v>0</v>
      </c>
      <c r="O31">
        <f t="shared" si="14"/>
        <v>7419.93</v>
      </c>
      <c r="P31">
        <f t="shared" si="15"/>
        <v>4412.41</v>
      </c>
      <c r="Q31">
        <f t="shared" si="16"/>
        <v>214.6</v>
      </c>
      <c r="R31">
        <f t="shared" si="17"/>
        <v>37.880000000000003</v>
      </c>
      <c r="S31">
        <f t="shared" si="18"/>
        <v>2792.92</v>
      </c>
      <c r="T31">
        <f t="shared" si="19"/>
        <v>0</v>
      </c>
      <c r="U31">
        <f t="shared" si="20"/>
        <v>47.52</v>
      </c>
      <c r="V31">
        <f t="shared" si="21"/>
        <v>0.504</v>
      </c>
      <c r="W31">
        <f t="shared" si="22"/>
        <v>0</v>
      </c>
      <c r="X31">
        <f t="shared" si="23"/>
        <v>2915.72</v>
      </c>
      <c r="Y31">
        <f t="shared" si="24"/>
        <v>1698.48</v>
      </c>
      <c r="AA31">
        <v>39088907</v>
      </c>
      <c r="AB31">
        <f t="shared" si="25"/>
        <v>14313.15</v>
      </c>
      <c r="AC31">
        <f t="shared" si="26"/>
        <v>8511.6</v>
      </c>
      <c r="AD31">
        <f t="shared" si="48"/>
        <v>413.97</v>
      </c>
      <c r="AE31">
        <f t="shared" si="49"/>
        <v>73.08</v>
      </c>
      <c r="AF31">
        <f t="shared" si="49"/>
        <v>5387.58</v>
      </c>
      <c r="AG31">
        <f t="shared" si="27"/>
        <v>0</v>
      </c>
      <c r="AH31">
        <f t="shared" si="50"/>
        <v>594</v>
      </c>
      <c r="AI31">
        <f t="shared" si="50"/>
        <v>6.3</v>
      </c>
      <c r="AJ31">
        <f t="shared" si="28"/>
        <v>0</v>
      </c>
      <c r="AK31">
        <v>14313.15</v>
      </c>
      <c r="AL31">
        <v>8511.6</v>
      </c>
      <c r="AM31">
        <v>413.97</v>
      </c>
      <c r="AN31">
        <v>73.08</v>
      </c>
      <c r="AO31">
        <v>5387.58</v>
      </c>
      <c r="AP31">
        <v>0</v>
      </c>
      <c r="AQ31">
        <v>594</v>
      </c>
      <c r="AR31">
        <v>6.3</v>
      </c>
      <c r="AS31">
        <v>0</v>
      </c>
      <c r="AT31">
        <v>103</v>
      </c>
      <c r="AU31">
        <v>60</v>
      </c>
      <c r="AV31">
        <v>1</v>
      </c>
      <c r="AW31">
        <v>1</v>
      </c>
      <c r="AZ31">
        <v>6.48</v>
      </c>
      <c r="BA31">
        <v>6.48</v>
      </c>
      <c r="BB31">
        <v>6.48</v>
      </c>
      <c r="BC31">
        <v>6.48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63</v>
      </c>
      <c r="BM31">
        <v>65007</v>
      </c>
      <c r="BN31">
        <v>0</v>
      </c>
      <c r="BO31" t="s">
        <v>3</v>
      </c>
      <c r="BP31">
        <v>0</v>
      </c>
      <c r="BQ31">
        <v>6</v>
      </c>
      <c r="BR31">
        <v>0</v>
      </c>
      <c r="BS31">
        <v>6.48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103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29"/>
        <v>7419.93</v>
      </c>
      <c r="CQ31">
        <f t="shared" si="30"/>
        <v>55155.168000000005</v>
      </c>
      <c r="CR31">
        <f t="shared" si="31"/>
        <v>2682.5256000000004</v>
      </c>
      <c r="CS31">
        <f t="shared" si="32"/>
        <v>473.55840000000001</v>
      </c>
      <c r="CT31">
        <f t="shared" si="33"/>
        <v>34911.518400000001</v>
      </c>
      <c r="CU31">
        <f t="shared" si="34"/>
        <v>0</v>
      </c>
      <c r="CV31">
        <f t="shared" si="35"/>
        <v>594</v>
      </c>
      <c r="CW31">
        <f t="shared" si="36"/>
        <v>6.3</v>
      </c>
      <c r="CX31">
        <f t="shared" si="37"/>
        <v>0</v>
      </c>
      <c r="CY31">
        <f t="shared" si="38"/>
        <v>2915.7240000000002</v>
      </c>
      <c r="CZ31">
        <f t="shared" si="39"/>
        <v>1698.48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42</v>
      </c>
      <c r="DW31" t="s">
        <v>42</v>
      </c>
      <c r="DX31">
        <v>1</v>
      </c>
      <c r="EE31">
        <v>39174602</v>
      </c>
      <c r="EF31">
        <v>6</v>
      </c>
      <c r="EG31" t="s">
        <v>17</v>
      </c>
      <c r="EH31">
        <v>0</v>
      </c>
      <c r="EI31" t="s">
        <v>3</v>
      </c>
      <c r="EJ31">
        <v>1</v>
      </c>
      <c r="EK31">
        <v>65007</v>
      </c>
      <c r="EL31" t="s">
        <v>44</v>
      </c>
      <c r="EM31" t="s">
        <v>19</v>
      </c>
      <c r="EO31" t="s">
        <v>3</v>
      </c>
      <c r="EQ31">
        <v>0</v>
      </c>
      <c r="ER31">
        <v>14313.15</v>
      </c>
      <c r="ES31">
        <v>8511.6</v>
      </c>
      <c r="ET31">
        <v>413.97</v>
      </c>
      <c r="EU31">
        <v>73.08</v>
      </c>
      <c r="EV31">
        <v>5387.58</v>
      </c>
      <c r="EW31">
        <v>594</v>
      </c>
      <c r="EX31">
        <v>6.3</v>
      </c>
      <c r="EY31">
        <v>0</v>
      </c>
      <c r="FQ31">
        <v>0</v>
      </c>
      <c r="FR31">
        <f t="shared" si="40"/>
        <v>0</v>
      </c>
      <c r="FS31">
        <v>0</v>
      </c>
      <c r="FX31">
        <v>103</v>
      </c>
      <c r="FY31">
        <v>60</v>
      </c>
      <c r="GA31" t="s">
        <v>3</v>
      </c>
      <c r="GD31">
        <v>0</v>
      </c>
      <c r="GF31">
        <v>1216967737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1"/>
        <v>0</v>
      </c>
      <c r="GM31">
        <f t="shared" si="42"/>
        <v>12034.13</v>
      </c>
      <c r="GN31">
        <f t="shared" si="43"/>
        <v>12034.13</v>
      </c>
      <c r="GO31">
        <f t="shared" si="44"/>
        <v>0</v>
      </c>
      <c r="GP31">
        <f t="shared" si="45"/>
        <v>0</v>
      </c>
      <c r="GR31">
        <v>0</v>
      </c>
      <c r="GS31">
        <v>3</v>
      </c>
      <c r="GT31">
        <v>0</v>
      </c>
      <c r="GU31" t="s">
        <v>3</v>
      </c>
      <c r="GV31">
        <f t="shared" si="46"/>
        <v>0</v>
      </c>
      <c r="GW31">
        <v>1</v>
      </c>
      <c r="GX31">
        <f t="shared" si="47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24</v>
      </c>
      <c r="E32" t="s">
        <v>64</v>
      </c>
      <c r="F32" t="s">
        <v>65</v>
      </c>
      <c r="G32" t="s">
        <v>66</v>
      </c>
      <c r="H32" t="s">
        <v>48</v>
      </c>
      <c r="I32">
        <f>I31*J32</f>
        <v>8</v>
      </c>
      <c r="J32">
        <v>100</v>
      </c>
      <c r="O32">
        <f t="shared" si="14"/>
        <v>160326.09</v>
      </c>
      <c r="P32">
        <f t="shared" si="15"/>
        <v>160326.09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39088907</v>
      </c>
      <c r="AB32">
        <f t="shared" si="25"/>
        <v>3092.71</v>
      </c>
      <c r="AC32">
        <f t="shared" si="26"/>
        <v>3092.71</v>
      </c>
      <c r="AD32">
        <f t="shared" si="48"/>
        <v>0</v>
      </c>
      <c r="AE32">
        <f t="shared" si="49"/>
        <v>0</v>
      </c>
      <c r="AF32">
        <f t="shared" si="49"/>
        <v>0</v>
      </c>
      <c r="AG32">
        <f t="shared" si="27"/>
        <v>0</v>
      </c>
      <c r="AH32">
        <f t="shared" si="50"/>
        <v>0</v>
      </c>
      <c r="AI32">
        <f t="shared" si="50"/>
        <v>0</v>
      </c>
      <c r="AJ32">
        <f t="shared" si="28"/>
        <v>0</v>
      </c>
      <c r="AK32">
        <v>3092.71</v>
      </c>
      <c r="AL32">
        <v>3092.71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117</v>
      </c>
      <c r="AU32">
        <v>76</v>
      </c>
      <c r="AV32">
        <v>1</v>
      </c>
      <c r="AW32">
        <v>1</v>
      </c>
      <c r="AZ32">
        <v>6.48</v>
      </c>
      <c r="BA32">
        <v>1</v>
      </c>
      <c r="BB32">
        <v>1</v>
      </c>
      <c r="BC32">
        <v>6.48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67</v>
      </c>
      <c r="BM32">
        <v>24001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130</v>
      </c>
      <c r="CA32">
        <v>89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29"/>
        <v>160326.09</v>
      </c>
      <c r="CQ32">
        <f t="shared" si="30"/>
        <v>20040.7608</v>
      </c>
      <c r="CR32">
        <f t="shared" si="31"/>
        <v>0</v>
      </c>
      <c r="CS32">
        <f t="shared" si="32"/>
        <v>0</v>
      </c>
      <c r="CT32">
        <f t="shared" si="33"/>
        <v>0</v>
      </c>
      <c r="CU32">
        <f t="shared" si="34"/>
        <v>0</v>
      </c>
      <c r="CV32">
        <f t="shared" si="35"/>
        <v>0</v>
      </c>
      <c r="CW32">
        <f t="shared" si="36"/>
        <v>0</v>
      </c>
      <c r="CX32">
        <f t="shared" si="37"/>
        <v>0</v>
      </c>
      <c r="CY32">
        <f t="shared" si="38"/>
        <v>0</v>
      </c>
      <c r="CZ32">
        <f t="shared" si="39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48</v>
      </c>
      <c r="DW32" t="s">
        <v>48</v>
      </c>
      <c r="DX32">
        <v>1</v>
      </c>
      <c r="EE32">
        <v>39174538</v>
      </c>
      <c r="EF32">
        <v>2</v>
      </c>
      <c r="EG32" t="s">
        <v>33</v>
      </c>
      <c r="EH32">
        <v>0</v>
      </c>
      <c r="EI32" t="s">
        <v>3</v>
      </c>
      <c r="EJ32">
        <v>1</v>
      </c>
      <c r="EK32">
        <v>24001</v>
      </c>
      <c r="EL32" t="s">
        <v>68</v>
      </c>
      <c r="EM32" t="s">
        <v>69</v>
      </c>
      <c r="EO32" t="s">
        <v>3</v>
      </c>
      <c r="EQ32">
        <v>0</v>
      </c>
      <c r="ER32">
        <v>3092.71</v>
      </c>
      <c r="ES32">
        <v>3092.71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0"/>
        <v>0</v>
      </c>
      <c r="FS32">
        <v>0</v>
      </c>
      <c r="FT32" t="s">
        <v>37</v>
      </c>
      <c r="FU32" t="s">
        <v>38</v>
      </c>
      <c r="FX32">
        <v>117</v>
      </c>
      <c r="FY32">
        <v>75.650000000000006</v>
      </c>
      <c r="GA32" t="s">
        <v>3</v>
      </c>
      <c r="GD32">
        <v>0</v>
      </c>
      <c r="GF32">
        <v>942371770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1"/>
        <v>0</v>
      </c>
      <c r="GM32">
        <f t="shared" si="42"/>
        <v>160326.09</v>
      </c>
      <c r="GN32">
        <f t="shared" si="43"/>
        <v>160326.09</v>
      </c>
      <c r="GO32">
        <f t="shared" si="44"/>
        <v>0</v>
      </c>
      <c r="GP32">
        <f t="shared" si="45"/>
        <v>0</v>
      </c>
      <c r="GR32">
        <v>0</v>
      </c>
      <c r="GS32">
        <v>3</v>
      </c>
      <c r="GT32">
        <v>0</v>
      </c>
      <c r="GU32" t="s">
        <v>3</v>
      </c>
      <c r="GV32">
        <f t="shared" si="46"/>
        <v>0</v>
      </c>
      <c r="GW32">
        <v>1</v>
      </c>
      <c r="GX32">
        <f t="shared" si="47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ROW(SmtRes!A27)</f>
        <v>27</v>
      </c>
      <c r="D33">
        <f>ROW(EtalonRes!A32)</f>
        <v>32</v>
      </c>
      <c r="E33" t="s">
        <v>70</v>
      </c>
      <c r="F33" t="s">
        <v>71</v>
      </c>
      <c r="G33" t="s">
        <v>72</v>
      </c>
      <c r="H33" t="s">
        <v>42</v>
      </c>
      <c r="I33">
        <v>0.05</v>
      </c>
      <c r="J33">
        <v>0</v>
      </c>
      <c r="O33">
        <f t="shared" si="14"/>
        <v>435.15</v>
      </c>
      <c r="P33">
        <f t="shared" si="15"/>
        <v>0</v>
      </c>
      <c r="Q33">
        <f t="shared" si="16"/>
        <v>7.6</v>
      </c>
      <c r="R33">
        <f t="shared" si="17"/>
        <v>3.28</v>
      </c>
      <c r="S33">
        <f t="shared" si="18"/>
        <v>427.55</v>
      </c>
      <c r="T33">
        <f t="shared" si="19"/>
        <v>0</v>
      </c>
      <c r="U33">
        <f t="shared" si="20"/>
        <v>7.7349999999999994</v>
      </c>
      <c r="V33">
        <f t="shared" si="21"/>
        <v>3.7500000000000006E-2</v>
      </c>
      <c r="W33">
        <f t="shared" si="22"/>
        <v>0</v>
      </c>
      <c r="X33">
        <f t="shared" si="23"/>
        <v>318.81</v>
      </c>
      <c r="Y33">
        <f t="shared" si="24"/>
        <v>215.42</v>
      </c>
      <c r="AA33">
        <v>39088907</v>
      </c>
      <c r="AB33">
        <f t="shared" si="25"/>
        <v>1343.04</v>
      </c>
      <c r="AC33">
        <f t="shared" si="26"/>
        <v>0</v>
      </c>
      <c r="AD33">
        <f t="shared" si="48"/>
        <v>23.45</v>
      </c>
      <c r="AE33">
        <f t="shared" si="49"/>
        <v>10.130000000000001</v>
      </c>
      <c r="AF33">
        <f t="shared" si="49"/>
        <v>1319.59</v>
      </c>
      <c r="AG33">
        <f t="shared" si="27"/>
        <v>0</v>
      </c>
      <c r="AH33">
        <f t="shared" si="50"/>
        <v>154.69999999999999</v>
      </c>
      <c r="AI33">
        <f t="shared" si="50"/>
        <v>0.75</v>
      </c>
      <c r="AJ33">
        <f t="shared" si="28"/>
        <v>0</v>
      </c>
      <c r="AK33">
        <v>1343.04</v>
      </c>
      <c r="AL33">
        <v>0</v>
      </c>
      <c r="AM33">
        <v>23.45</v>
      </c>
      <c r="AN33">
        <v>10.130000000000001</v>
      </c>
      <c r="AO33">
        <v>1319.59</v>
      </c>
      <c r="AP33">
        <v>0</v>
      </c>
      <c r="AQ33">
        <v>154.69999999999999</v>
      </c>
      <c r="AR33">
        <v>0.75</v>
      </c>
      <c r="AS33">
        <v>0</v>
      </c>
      <c r="AT33">
        <v>74</v>
      </c>
      <c r="AU33">
        <v>50</v>
      </c>
      <c r="AV33">
        <v>1</v>
      </c>
      <c r="AW33">
        <v>1</v>
      </c>
      <c r="AZ33">
        <v>6.48</v>
      </c>
      <c r="BA33">
        <v>6.48</v>
      </c>
      <c r="BB33">
        <v>6.48</v>
      </c>
      <c r="BC33">
        <v>6.48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73</v>
      </c>
      <c r="BM33">
        <v>65001</v>
      </c>
      <c r="BN33">
        <v>0</v>
      </c>
      <c r="BO33" t="s">
        <v>3</v>
      </c>
      <c r="BP33">
        <v>0</v>
      </c>
      <c r="BQ33">
        <v>6</v>
      </c>
      <c r="BR33">
        <v>0</v>
      </c>
      <c r="BS33">
        <v>6.48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74</v>
      </c>
      <c r="CA33">
        <v>50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29"/>
        <v>435.15000000000003</v>
      </c>
      <c r="CQ33">
        <f t="shared" si="30"/>
        <v>0</v>
      </c>
      <c r="CR33">
        <f t="shared" si="31"/>
        <v>151.95600000000002</v>
      </c>
      <c r="CS33">
        <f t="shared" si="32"/>
        <v>65.642400000000009</v>
      </c>
      <c r="CT33">
        <f t="shared" si="33"/>
        <v>8550.9431999999997</v>
      </c>
      <c r="CU33">
        <f t="shared" si="34"/>
        <v>0</v>
      </c>
      <c r="CV33">
        <f t="shared" si="35"/>
        <v>154.69999999999999</v>
      </c>
      <c r="CW33">
        <f t="shared" si="36"/>
        <v>0.75</v>
      </c>
      <c r="CX33">
        <f t="shared" si="37"/>
        <v>0</v>
      </c>
      <c r="CY33">
        <f t="shared" si="38"/>
        <v>318.81419999999997</v>
      </c>
      <c r="CZ33">
        <f t="shared" si="39"/>
        <v>215.41499999999999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42</v>
      </c>
      <c r="DW33" t="s">
        <v>42</v>
      </c>
      <c r="DX33">
        <v>1</v>
      </c>
      <c r="EE33">
        <v>39174590</v>
      </c>
      <c r="EF33">
        <v>6</v>
      </c>
      <c r="EG33" t="s">
        <v>17</v>
      </c>
      <c r="EH33">
        <v>0</v>
      </c>
      <c r="EI33" t="s">
        <v>3</v>
      </c>
      <c r="EJ33">
        <v>1</v>
      </c>
      <c r="EK33">
        <v>65001</v>
      </c>
      <c r="EL33" t="s">
        <v>18</v>
      </c>
      <c r="EM33" t="s">
        <v>19</v>
      </c>
      <c r="EO33" t="s">
        <v>3</v>
      </c>
      <c r="EQ33">
        <v>0</v>
      </c>
      <c r="ER33">
        <v>1343.04</v>
      </c>
      <c r="ES33">
        <v>0</v>
      </c>
      <c r="ET33">
        <v>23.45</v>
      </c>
      <c r="EU33">
        <v>10.130000000000001</v>
      </c>
      <c r="EV33">
        <v>1319.59</v>
      </c>
      <c r="EW33">
        <v>154.69999999999999</v>
      </c>
      <c r="EX33">
        <v>0.75</v>
      </c>
      <c r="EY33">
        <v>0</v>
      </c>
      <c r="FQ33">
        <v>0</v>
      </c>
      <c r="FR33">
        <f t="shared" si="40"/>
        <v>0</v>
      </c>
      <c r="FS33">
        <v>0</v>
      </c>
      <c r="FX33">
        <v>74</v>
      </c>
      <c r="FY33">
        <v>50</v>
      </c>
      <c r="GA33" t="s">
        <v>3</v>
      </c>
      <c r="GD33">
        <v>0</v>
      </c>
      <c r="GF33">
        <v>-1757122234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1"/>
        <v>0</v>
      </c>
      <c r="GM33">
        <f t="shared" si="42"/>
        <v>969.38</v>
      </c>
      <c r="GN33">
        <f t="shared" si="43"/>
        <v>969.38</v>
      </c>
      <c r="GO33">
        <f t="shared" si="44"/>
        <v>0</v>
      </c>
      <c r="GP33">
        <f t="shared" si="45"/>
        <v>0</v>
      </c>
      <c r="GR33">
        <v>0</v>
      </c>
      <c r="GS33">
        <v>3</v>
      </c>
      <c r="GT33">
        <v>0</v>
      </c>
      <c r="GU33" t="s">
        <v>3</v>
      </c>
      <c r="GV33">
        <f t="shared" si="46"/>
        <v>0</v>
      </c>
      <c r="GW33">
        <v>1</v>
      </c>
      <c r="GX33">
        <f t="shared" si="47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ROW(SmtRes!A30)</f>
        <v>30</v>
      </c>
      <c r="D34">
        <f>ROW(EtalonRes!A36)</f>
        <v>36</v>
      </c>
      <c r="E34" t="s">
        <v>74</v>
      </c>
      <c r="F34" t="s">
        <v>75</v>
      </c>
      <c r="G34" t="s">
        <v>76</v>
      </c>
      <c r="H34" t="s">
        <v>42</v>
      </c>
      <c r="I34">
        <v>0.45</v>
      </c>
      <c r="J34">
        <v>0</v>
      </c>
      <c r="O34">
        <f t="shared" si="14"/>
        <v>2393.25</v>
      </c>
      <c r="P34">
        <f t="shared" si="15"/>
        <v>0</v>
      </c>
      <c r="Q34">
        <f t="shared" si="16"/>
        <v>22.8</v>
      </c>
      <c r="R34">
        <f t="shared" si="17"/>
        <v>9.86</v>
      </c>
      <c r="S34">
        <f t="shared" si="18"/>
        <v>2370.4499999999998</v>
      </c>
      <c r="T34">
        <f t="shared" si="19"/>
        <v>0</v>
      </c>
      <c r="U34">
        <f t="shared" si="20"/>
        <v>42.884999999999998</v>
      </c>
      <c r="V34">
        <f t="shared" si="21"/>
        <v>0.1125</v>
      </c>
      <c r="W34">
        <f t="shared" si="22"/>
        <v>0</v>
      </c>
      <c r="X34">
        <f t="shared" si="23"/>
        <v>1761.43</v>
      </c>
      <c r="Y34">
        <f t="shared" si="24"/>
        <v>1190.1600000000001</v>
      </c>
      <c r="AA34">
        <v>39088907</v>
      </c>
      <c r="AB34">
        <f t="shared" si="25"/>
        <v>820.73</v>
      </c>
      <c r="AC34">
        <f t="shared" si="26"/>
        <v>0</v>
      </c>
      <c r="AD34">
        <f t="shared" si="48"/>
        <v>7.82</v>
      </c>
      <c r="AE34">
        <f t="shared" si="49"/>
        <v>3.38</v>
      </c>
      <c r="AF34">
        <f t="shared" si="49"/>
        <v>812.91</v>
      </c>
      <c r="AG34">
        <f t="shared" si="27"/>
        <v>0</v>
      </c>
      <c r="AH34">
        <f t="shared" si="50"/>
        <v>95.3</v>
      </c>
      <c r="AI34">
        <f t="shared" si="50"/>
        <v>0.25</v>
      </c>
      <c r="AJ34">
        <f t="shared" si="28"/>
        <v>0</v>
      </c>
      <c r="AK34">
        <v>820.73</v>
      </c>
      <c r="AL34">
        <v>0</v>
      </c>
      <c r="AM34">
        <v>7.82</v>
      </c>
      <c r="AN34">
        <v>3.38</v>
      </c>
      <c r="AO34">
        <v>812.91</v>
      </c>
      <c r="AP34">
        <v>0</v>
      </c>
      <c r="AQ34">
        <v>95.3</v>
      </c>
      <c r="AR34">
        <v>0.25</v>
      </c>
      <c r="AS34">
        <v>0</v>
      </c>
      <c r="AT34">
        <v>74</v>
      </c>
      <c r="AU34">
        <v>50</v>
      </c>
      <c r="AV34">
        <v>1</v>
      </c>
      <c r="AW34">
        <v>1</v>
      </c>
      <c r="AZ34">
        <v>6.48</v>
      </c>
      <c r="BA34">
        <v>6.48</v>
      </c>
      <c r="BB34">
        <v>6.48</v>
      </c>
      <c r="BC34">
        <v>6.48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77</v>
      </c>
      <c r="BM34">
        <v>65001</v>
      </c>
      <c r="BN34">
        <v>0</v>
      </c>
      <c r="BO34" t="s">
        <v>3</v>
      </c>
      <c r="BP34">
        <v>0</v>
      </c>
      <c r="BQ34">
        <v>6</v>
      </c>
      <c r="BR34">
        <v>0</v>
      </c>
      <c r="BS34">
        <v>6.48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74</v>
      </c>
      <c r="CA34">
        <v>50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29"/>
        <v>2393.25</v>
      </c>
      <c r="CQ34">
        <f t="shared" si="30"/>
        <v>0</v>
      </c>
      <c r="CR34">
        <f t="shared" si="31"/>
        <v>50.673600000000008</v>
      </c>
      <c r="CS34">
        <f t="shared" si="32"/>
        <v>21.9024</v>
      </c>
      <c r="CT34">
        <f t="shared" si="33"/>
        <v>5267.6567999999997</v>
      </c>
      <c r="CU34">
        <f t="shared" si="34"/>
        <v>0</v>
      </c>
      <c r="CV34">
        <f t="shared" si="35"/>
        <v>95.3</v>
      </c>
      <c r="CW34">
        <f t="shared" si="36"/>
        <v>0.25</v>
      </c>
      <c r="CX34">
        <f t="shared" si="37"/>
        <v>0</v>
      </c>
      <c r="CY34">
        <f t="shared" si="38"/>
        <v>1761.4294</v>
      </c>
      <c r="CZ34">
        <f t="shared" si="39"/>
        <v>1190.155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42</v>
      </c>
      <c r="DW34" t="s">
        <v>42</v>
      </c>
      <c r="DX34">
        <v>1</v>
      </c>
      <c r="EE34">
        <v>39174590</v>
      </c>
      <c r="EF34">
        <v>6</v>
      </c>
      <c r="EG34" t="s">
        <v>17</v>
      </c>
      <c r="EH34">
        <v>0</v>
      </c>
      <c r="EI34" t="s">
        <v>3</v>
      </c>
      <c r="EJ34">
        <v>1</v>
      </c>
      <c r="EK34">
        <v>65001</v>
      </c>
      <c r="EL34" t="s">
        <v>18</v>
      </c>
      <c r="EM34" t="s">
        <v>19</v>
      </c>
      <c r="EO34" t="s">
        <v>3</v>
      </c>
      <c r="EQ34">
        <v>0</v>
      </c>
      <c r="ER34">
        <v>820.73</v>
      </c>
      <c r="ES34">
        <v>0</v>
      </c>
      <c r="ET34">
        <v>7.82</v>
      </c>
      <c r="EU34">
        <v>3.38</v>
      </c>
      <c r="EV34">
        <v>812.91</v>
      </c>
      <c r="EW34">
        <v>95.3</v>
      </c>
      <c r="EX34">
        <v>0.25</v>
      </c>
      <c r="EY34">
        <v>0</v>
      </c>
      <c r="FQ34">
        <v>0</v>
      </c>
      <c r="FR34">
        <f t="shared" si="40"/>
        <v>0</v>
      </c>
      <c r="FS34">
        <v>0</v>
      </c>
      <c r="FX34">
        <v>74</v>
      </c>
      <c r="FY34">
        <v>50</v>
      </c>
      <c r="GA34" t="s">
        <v>3</v>
      </c>
      <c r="GD34">
        <v>0</v>
      </c>
      <c r="GF34">
        <v>-503942145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1"/>
        <v>0</v>
      </c>
      <c r="GM34">
        <f t="shared" si="42"/>
        <v>5344.84</v>
      </c>
      <c r="GN34">
        <f t="shared" si="43"/>
        <v>5344.84</v>
      </c>
      <c r="GO34">
        <f t="shared" si="44"/>
        <v>0</v>
      </c>
      <c r="GP34">
        <f t="shared" si="45"/>
        <v>0</v>
      </c>
      <c r="GR34">
        <v>0</v>
      </c>
      <c r="GS34">
        <v>3</v>
      </c>
      <c r="GT34">
        <v>0</v>
      </c>
      <c r="GU34" t="s">
        <v>3</v>
      </c>
      <c r="GV34">
        <f t="shared" si="46"/>
        <v>0</v>
      </c>
      <c r="GW34">
        <v>1</v>
      </c>
      <c r="GX34">
        <f t="shared" si="47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ROW(SmtRes!A39)</f>
        <v>39</v>
      </c>
      <c r="D35">
        <f>ROW(EtalonRes!A47)</f>
        <v>47</v>
      </c>
      <c r="E35" t="s">
        <v>78</v>
      </c>
      <c r="F35" t="s">
        <v>79</v>
      </c>
      <c r="G35" t="s">
        <v>80</v>
      </c>
      <c r="H35" t="s">
        <v>23</v>
      </c>
      <c r="I35">
        <v>1</v>
      </c>
      <c r="J35">
        <v>0</v>
      </c>
      <c r="O35">
        <f t="shared" si="14"/>
        <v>341.69</v>
      </c>
      <c r="P35">
        <f t="shared" si="15"/>
        <v>0</v>
      </c>
      <c r="Q35">
        <f t="shared" si="16"/>
        <v>83.07</v>
      </c>
      <c r="R35">
        <f t="shared" si="17"/>
        <v>7.13</v>
      </c>
      <c r="S35">
        <f t="shared" si="18"/>
        <v>258.62</v>
      </c>
      <c r="T35">
        <f t="shared" si="19"/>
        <v>0</v>
      </c>
      <c r="U35">
        <f t="shared" si="20"/>
        <v>4.2960000000000003</v>
      </c>
      <c r="V35">
        <f t="shared" si="21"/>
        <v>8.8000000000000009E-2</v>
      </c>
      <c r="W35">
        <f t="shared" si="22"/>
        <v>0</v>
      </c>
      <c r="X35">
        <f t="shared" si="23"/>
        <v>305.61</v>
      </c>
      <c r="Y35">
        <f t="shared" si="24"/>
        <v>188.68</v>
      </c>
      <c r="AA35">
        <v>39088907</v>
      </c>
      <c r="AB35">
        <f t="shared" si="25"/>
        <v>52.73</v>
      </c>
      <c r="AC35">
        <f>ROUND(((ES35*0)),2)</f>
        <v>0</v>
      </c>
      <c r="AD35">
        <f>ROUND(((((ET35*0.4))-((EU35*0.4)))+AE35),2)</f>
        <v>12.82</v>
      </c>
      <c r="AE35">
        <f>ROUND(((EU35*0.4)),2)</f>
        <v>1.1000000000000001</v>
      </c>
      <c r="AF35">
        <f>ROUND(((EV35*0.4)),2)</f>
        <v>39.909999999999997</v>
      </c>
      <c r="AG35">
        <f t="shared" si="27"/>
        <v>0</v>
      </c>
      <c r="AH35">
        <f>((EW35*0.4))</f>
        <v>4.2960000000000003</v>
      </c>
      <c r="AI35">
        <f>((EX35*0.4))</f>
        <v>8.8000000000000009E-2</v>
      </c>
      <c r="AJ35">
        <f t="shared" si="28"/>
        <v>0</v>
      </c>
      <c r="AK35">
        <v>283.45</v>
      </c>
      <c r="AL35">
        <v>151.63</v>
      </c>
      <c r="AM35">
        <v>32.049999999999997</v>
      </c>
      <c r="AN35">
        <v>2.74</v>
      </c>
      <c r="AO35">
        <v>99.77</v>
      </c>
      <c r="AP35">
        <v>0</v>
      </c>
      <c r="AQ35">
        <v>10.74</v>
      </c>
      <c r="AR35">
        <v>0.22</v>
      </c>
      <c r="AS35">
        <v>0</v>
      </c>
      <c r="AT35">
        <v>115</v>
      </c>
      <c r="AU35">
        <v>71</v>
      </c>
      <c r="AV35">
        <v>1</v>
      </c>
      <c r="AW35">
        <v>1</v>
      </c>
      <c r="AZ35">
        <v>6.48</v>
      </c>
      <c r="BA35">
        <v>6.48</v>
      </c>
      <c r="BB35">
        <v>6.48</v>
      </c>
      <c r="BC35">
        <v>6.48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81</v>
      </c>
      <c r="BM35">
        <v>16001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6.48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128</v>
      </c>
      <c r="CA35">
        <v>83</v>
      </c>
      <c r="CF35">
        <v>0</v>
      </c>
      <c r="CG35">
        <v>0</v>
      </c>
      <c r="CM35">
        <v>0</v>
      </c>
      <c r="CN35" t="s">
        <v>82</v>
      </c>
      <c r="CO35">
        <v>0</v>
      </c>
      <c r="CP35">
        <f t="shared" si="29"/>
        <v>341.69</v>
      </c>
      <c r="CQ35">
        <f t="shared" si="30"/>
        <v>0</v>
      </c>
      <c r="CR35">
        <f t="shared" si="31"/>
        <v>83.073600000000013</v>
      </c>
      <c r="CS35">
        <f t="shared" si="32"/>
        <v>7.128000000000001</v>
      </c>
      <c r="CT35">
        <f t="shared" si="33"/>
        <v>258.61680000000001</v>
      </c>
      <c r="CU35">
        <f t="shared" si="34"/>
        <v>0</v>
      </c>
      <c r="CV35">
        <f t="shared" si="35"/>
        <v>4.2960000000000003</v>
      </c>
      <c r="CW35">
        <f t="shared" si="36"/>
        <v>8.8000000000000009E-2</v>
      </c>
      <c r="CX35">
        <f t="shared" si="37"/>
        <v>0</v>
      </c>
      <c r="CY35">
        <f t="shared" si="38"/>
        <v>305.61250000000001</v>
      </c>
      <c r="CZ35">
        <f t="shared" si="39"/>
        <v>188.6825</v>
      </c>
      <c r="DC35" t="s">
        <v>3</v>
      </c>
      <c r="DD35" t="s">
        <v>83</v>
      </c>
      <c r="DE35" t="s">
        <v>84</v>
      </c>
      <c r="DF35" t="s">
        <v>84</v>
      </c>
      <c r="DG35" t="s">
        <v>84</v>
      </c>
      <c r="DH35" t="s">
        <v>3</v>
      </c>
      <c r="DI35" t="s">
        <v>84</v>
      </c>
      <c r="DJ35" t="s">
        <v>84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23</v>
      </c>
      <c r="DW35" t="s">
        <v>23</v>
      </c>
      <c r="DX35">
        <v>1</v>
      </c>
      <c r="EE35">
        <v>39174530</v>
      </c>
      <c r="EF35">
        <v>2</v>
      </c>
      <c r="EG35" t="s">
        <v>33</v>
      </c>
      <c r="EH35">
        <v>0</v>
      </c>
      <c r="EI35" t="s">
        <v>3</v>
      </c>
      <c r="EJ35">
        <v>1</v>
      </c>
      <c r="EK35">
        <v>16001</v>
      </c>
      <c r="EL35" t="s">
        <v>50</v>
      </c>
      <c r="EM35" t="s">
        <v>51</v>
      </c>
      <c r="EO35" t="s">
        <v>85</v>
      </c>
      <c r="EQ35">
        <v>0</v>
      </c>
      <c r="ER35">
        <v>283.45</v>
      </c>
      <c r="ES35">
        <v>151.63</v>
      </c>
      <c r="ET35">
        <v>32.049999999999997</v>
      </c>
      <c r="EU35">
        <v>2.74</v>
      </c>
      <c r="EV35">
        <v>99.77</v>
      </c>
      <c r="EW35">
        <v>10.74</v>
      </c>
      <c r="EX35">
        <v>0.22</v>
      </c>
      <c r="EY35">
        <v>0</v>
      </c>
      <c r="FQ35">
        <v>0</v>
      </c>
      <c r="FR35">
        <f t="shared" si="40"/>
        <v>0</v>
      </c>
      <c r="FS35">
        <v>0</v>
      </c>
      <c r="FT35" t="s">
        <v>37</v>
      </c>
      <c r="FU35" t="s">
        <v>38</v>
      </c>
      <c r="FX35">
        <v>115.2</v>
      </c>
      <c r="FY35">
        <v>70.55</v>
      </c>
      <c r="GA35" t="s">
        <v>3</v>
      </c>
      <c r="GD35">
        <v>0</v>
      </c>
      <c r="GF35">
        <v>1319736101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1"/>
        <v>0</v>
      </c>
      <c r="GM35">
        <f t="shared" si="42"/>
        <v>835.98</v>
      </c>
      <c r="GN35">
        <f t="shared" si="43"/>
        <v>835.98</v>
      </c>
      <c r="GO35">
        <f t="shared" si="44"/>
        <v>0</v>
      </c>
      <c r="GP35">
        <f t="shared" si="45"/>
        <v>0</v>
      </c>
      <c r="GR35">
        <v>0</v>
      </c>
      <c r="GS35">
        <v>3</v>
      </c>
      <c r="GT35">
        <v>0</v>
      </c>
      <c r="GU35" t="s">
        <v>3</v>
      </c>
      <c r="GV35">
        <f t="shared" si="46"/>
        <v>0</v>
      </c>
      <c r="GW35">
        <v>1</v>
      </c>
      <c r="GX35">
        <f t="shared" si="47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ROW(SmtRes!A43)</f>
        <v>43</v>
      </c>
      <c r="D36">
        <f>ROW(EtalonRes!A51)</f>
        <v>51</v>
      </c>
      <c r="E36" t="s">
        <v>86</v>
      </c>
      <c r="F36" t="s">
        <v>87</v>
      </c>
      <c r="G36" t="s">
        <v>88</v>
      </c>
      <c r="H36" t="s">
        <v>23</v>
      </c>
      <c r="I36">
        <v>13</v>
      </c>
      <c r="J36">
        <v>0</v>
      </c>
      <c r="O36">
        <f t="shared" si="14"/>
        <v>12367.27</v>
      </c>
      <c r="P36">
        <f t="shared" si="15"/>
        <v>0</v>
      </c>
      <c r="Q36">
        <f t="shared" si="16"/>
        <v>9987.49</v>
      </c>
      <c r="R36">
        <f t="shared" si="17"/>
        <v>1234.96</v>
      </c>
      <c r="S36">
        <f t="shared" si="18"/>
        <v>2379.7800000000002</v>
      </c>
      <c r="T36">
        <f t="shared" si="19"/>
        <v>0</v>
      </c>
      <c r="U36">
        <f t="shared" si="20"/>
        <v>42.51</v>
      </c>
      <c r="V36">
        <f t="shared" si="21"/>
        <v>14.3</v>
      </c>
      <c r="W36">
        <f t="shared" si="22"/>
        <v>0</v>
      </c>
      <c r="X36">
        <f t="shared" si="23"/>
        <v>2674.91</v>
      </c>
      <c r="Y36">
        <f t="shared" si="24"/>
        <v>1807.37</v>
      </c>
      <c r="AA36">
        <v>39088907</v>
      </c>
      <c r="AB36">
        <f t="shared" si="25"/>
        <v>146.81</v>
      </c>
      <c r="AC36">
        <f>ROUND((ES36),2)</f>
        <v>0</v>
      </c>
      <c r="AD36">
        <f>ROUND((((ET36)-(EU36))+AE36),2)</f>
        <v>118.56</v>
      </c>
      <c r="AE36">
        <f>ROUND((EU36),2)</f>
        <v>14.66</v>
      </c>
      <c r="AF36">
        <f>ROUND((EV36),2)</f>
        <v>28.25</v>
      </c>
      <c r="AG36">
        <f t="shared" si="27"/>
        <v>0</v>
      </c>
      <c r="AH36">
        <f>(EW36)</f>
        <v>3.27</v>
      </c>
      <c r="AI36">
        <f>(EX36)</f>
        <v>1.1000000000000001</v>
      </c>
      <c r="AJ36">
        <f t="shared" si="28"/>
        <v>0</v>
      </c>
      <c r="AK36">
        <v>146.81</v>
      </c>
      <c r="AL36">
        <v>0</v>
      </c>
      <c r="AM36">
        <v>118.56</v>
      </c>
      <c r="AN36">
        <v>14.66</v>
      </c>
      <c r="AO36">
        <v>28.25</v>
      </c>
      <c r="AP36">
        <v>0</v>
      </c>
      <c r="AQ36">
        <v>3.27</v>
      </c>
      <c r="AR36">
        <v>1.1000000000000001</v>
      </c>
      <c r="AS36">
        <v>0</v>
      </c>
      <c r="AT36">
        <v>74</v>
      </c>
      <c r="AU36">
        <v>50</v>
      </c>
      <c r="AV36">
        <v>1</v>
      </c>
      <c r="AW36">
        <v>1</v>
      </c>
      <c r="AZ36">
        <v>6.48</v>
      </c>
      <c r="BA36">
        <v>6.48</v>
      </c>
      <c r="BB36">
        <v>6.48</v>
      </c>
      <c r="BC36">
        <v>6.48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89</v>
      </c>
      <c r="BM36">
        <v>66004</v>
      </c>
      <c r="BN36">
        <v>0</v>
      </c>
      <c r="BO36" t="s">
        <v>3</v>
      </c>
      <c r="BP36">
        <v>0</v>
      </c>
      <c r="BQ36">
        <v>6</v>
      </c>
      <c r="BR36">
        <v>0</v>
      </c>
      <c r="BS36">
        <v>6.48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74</v>
      </c>
      <c r="CA36">
        <v>50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29"/>
        <v>12367.27</v>
      </c>
      <c r="CQ36">
        <f t="shared" si="30"/>
        <v>0</v>
      </c>
      <c r="CR36">
        <f t="shared" si="31"/>
        <v>768.26880000000006</v>
      </c>
      <c r="CS36">
        <f t="shared" si="32"/>
        <v>94.996800000000007</v>
      </c>
      <c r="CT36">
        <f t="shared" si="33"/>
        <v>183.06</v>
      </c>
      <c r="CU36">
        <f t="shared" si="34"/>
        <v>0</v>
      </c>
      <c r="CV36">
        <f t="shared" si="35"/>
        <v>3.27</v>
      </c>
      <c r="CW36">
        <f t="shared" si="36"/>
        <v>1.1000000000000001</v>
      </c>
      <c r="CX36">
        <f t="shared" si="37"/>
        <v>0</v>
      </c>
      <c r="CY36">
        <f t="shared" si="38"/>
        <v>2674.9076</v>
      </c>
      <c r="CZ36">
        <f t="shared" si="39"/>
        <v>1807.37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23</v>
      </c>
      <c r="DW36" t="s">
        <v>23</v>
      </c>
      <c r="DX36">
        <v>1</v>
      </c>
      <c r="EE36">
        <v>39174610</v>
      </c>
      <c r="EF36">
        <v>6</v>
      </c>
      <c r="EG36" t="s">
        <v>17</v>
      </c>
      <c r="EH36">
        <v>0</v>
      </c>
      <c r="EI36" t="s">
        <v>3</v>
      </c>
      <c r="EJ36">
        <v>1</v>
      </c>
      <c r="EK36">
        <v>66004</v>
      </c>
      <c r="EL36" t="s">
        <v>25</v>
      </c>
      <c r="EM36" t="s">
        <v>26</v>
      </c>
      <c r="EO36" t="s">
        <v>3</v>
      </c>
      <c r="EQ36">
        <v>0</v>
      </c>
      <c r="ER36">
        <v>146.81</v>
      </c>
      <c r="ES36">
        <v>0</v>
      </c>
      <c r="ET36">
        <v>118.56</v>
      </c>
      <c r="EU36">
        <v>14.66</v>
      </c>
      <c r="EV36">
        <v>28.25</v>
      </c>
      <c r="EW36">
        <v>3.27</v>
      </c>
      <c r="EX36">
        <v>1.1000000000000001</v>
      </c>
      <c r="EY36">
        <v>0</v>
      </c>
      <c r="FQ36">
        <v>0</v>
      </c>
      <c r="FR36">
        <f t="shared" si="40"/>
        <v>0</v>
      </c>
      <c r="FS36">
        <v>0</v>
      </c>
      <c r="FX36">
        <v>74</v>
      </c>
      <c r="FY36">
        <v>50</v>
      </c>
      <c r="GA36" t="s">
        <v>3</v>
      </c>
      <c r="GD36">
        <v>0</v>
      </c>
      <c r="GF36">
        <v>542176606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1"/>
        <v>0</v>
      </c>
      <c r="GM36">
        <f t="shared" si="42"/>
        <v>16849.55</v>
      </c>
      <c r="GN36">
        <f t="shared" si="43"/>
        <v>16849.55</v>
      </c>
      <c r="GO36">
        <f t="shared" si="44"/>
        <v>0</v>
      </c>
      <c r="GP36">
        <f t="shared" si="45"/>
        <v>0</v>
      </c>
      <c r="GR36">
        <v>0</v>
      </c>
      <c r="GS36">
        <v>3</v>
      </c>
      <c r="GT36">
        <v>0</v>
      </c>
      <c r="GU36" t="s">
        <v>3</v>
      </c>
      <c r="GV36">
        <f t="shared" si="46"/>
        <v>0</v>
      </c>
      <c r="GW36">
        <v>1</v>
      </c>
      <c r="GX36">
        <f t="shared" si="47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ROW(SmtRes!A50)</f>
        <v>50</v>
      </c>
      <c r="D37">
        <f>ROW(EtalonRes!A60)</f>
        <v>60</v>
      </c>
      <c r="E37" t="s">
        <v>90</v>
      </c>
      <c r="F37" t="s">
        <v>91</v>
      </c>
      <c r="G37" t="s">
        <v>92</v>
      </c>
      <c r="H37" t="s">
        <v>23</v>
      </c>
      <c r="I37">
        <v>252</v>
      </c>
      <c r="J37">
        <v>0</v>
      </c>
      <c r="O37">
        <f t="shared" si="14"/>
        <v>10989.82</v>
      </c>
      <c r="P37">
        <f t="shared" si="15"/>
        <v>0</v>
      </c>
      <c r="Q37">
        <f t="shared" si="16"/>
        <v>2286.14</v>
      </c>
      <c r="R37">
        <f t="shared" si="17"/>
        <v>81.650000000000006</v>
      </c>
      <c r="S37">
        <f t="shared" si="18"/>
        <v>8703.68</v>
      </c>
      <c r="T37">
        <f t="shared" si="19"/>
        <v>0</v>
      </c>
      <c r="U37">
        <f t="shared" si="20"/>
        <v>148.17599999999999</v>
      </c>
      <c r="V37">
        <f t="shared" si="21"/>
        <v>1.008</v>
      </c>
      <c r="W37">
        <f t="shared" si="22"/>
        <v>0</v>
      </c>
      <c r="X37">
        <f t="shared" si="23"/>
        <v>10103.129999999999</v>
      </c>
      <c r="Y37">
        <f t="shared" si="24"/>
        <v>6237.58</v>
      </c>
      <c r="AA37">
        <v>39088907</v>
      </c>
      <c r="AB37">
        <f t="shared" si="25"/>
        <v>6.73</v>
      </c>
      <c r="AC37">
        <f>ROUND(((ES37*0)),2)</f>
        <v>0</v>
      </c>
      <c r="AD37">
        <f>ROUND(((((ET37*0.4))-((EU37*0.4)))+AE37),2)</f>
        <v>1.4</v>
      </c>
      <c r="AE37">
        <f>ROUND(((EU37*0.4)),2)</f>
        <v>0.05</v>
      </c>
      <c r="AF37">
        <f>ROUND(((EV37*0.4)),2)</f>
        <v>5.33</v>
      </c>
      <c r="AG37">
        <f t="shared" si="27"/>
        <v>0</v>
      </c>
      <c r="AH37">
        <f>((EW37*0.4))</f>
        <v>0.58799999999999997</v>
      </c>
      <c r="AI37">
        <f>((EX37*0.4))</f>
        <v>4.0000000000000001E-3</v>
      </c>
      <c r="AJ37">
        <f t="shared" si="28"/>
        <v>0</v>
      </c>
      <c r="AK37">
        <v>42.04</v>
      </c>
      <c r="AL37">
        <v>25.21</v>
      </c>
      <c r="AM37">
        <v>3.5</v>
      </c>
      <c r="AN37">
        <v>0.12</v>
      </c>
      <c r="AO37">
        <v>13.33</v>
      </c>
      <c r="AP37">
        <v>0</v>
      </c>
      <c r="AQ37">
        <v>1.47</v>
      </c>
      <c r="AR37">
        <v>0.01</v>
      </c>
      <c r="AS37">
        <v>0</v>
      </c>
      <c r="AT37">
        <v>115</v>
      </c>
      <c r="AU37">
        <v>71</v>
      </c>
      <c r="AV37">
        <v>1</v>
      </c>
      <c r="AW37">
        <v>1</v>
      </c>
      <c r="AZ37">
        <v>6.48</v>
      </c>
      <c r="BA37">
        <v>6.48</v>
      </c>
      <c r="BB37">
        <v>6.48</v>
      </c>
      <c r="BC37">
        <v>6.48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93</v>
      </c>
      <c r="BM37">
        <v>16001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6.48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128</v>
      </c>
      <c r="CA37">
        <v>83</v>
      </c>
      <c r="CF37">
        <v>0</v>
      </c>
      <c r="CG37">
        <v>0</v>
      </c>
      <c r="CM37">
        <v>0</v>
      </c>
      <c r="CN37" t="s">
        <v>82</v>
      </c>
      <c r="CO37">
        <v>0</v>
      </c>
      <c r="CP37">
        <f t="shared" si="29"/>
        <v>10989.82</v>
      </c>
      <c r="CQ37">
        <f t="shared" si="30"/>
        <v>0</v>
      </c>
      <c r="CR37">
        <f t="shared" si="31"/>
        <v>9.0719999999999992</v>
      </c>
      <c r="CS37">
        <f t="shared" si="32"/>
        <v>0.32400000000000007</v>
      </c>
      <c r="CT37">
        <f t="shared" si="33"/>
        <v>34.538400000000003</v>
      </c>
      <c r="CU37">
        <f t="shared" si="34"/>
        <v>0</v>
      </c>
      <c r="CV37">
        <f t="shared" si="35"/>
        <v>0.58799999999999997</v>
      </c>
      <c r="CW37">
        <f t="shared" si="36"/>
        <v>4.0000000000000001E-3</v>
      </c>
      <c r="CX37">
        <f t="shared" si="37"/>
        <v>0</v>
      </c>
      <c r="CY37">
        <f t="shared" si="38"/>
        <v>10103.129499999999</v>
      </c>
      <c r="CZ37">
        <f t="shared" si="39"/>
        <v>6237.5843000000004</v>
      </c>
      <c r="DC37" t="s">
        <v>3</v>
      </c>
      <c r="DD37" t="s">
        <v>83</v>
      </c>
      <c r="DE37" t="s">
        <v>84</v>
      </c>
      <c r="DF37" t="s">
        <v>84</v>
      </c>
      <c r="DG37" t="s">
        <v>84</v>
      </c>
      <c r="DH37" t="s">
        <v>3</v>
      </c>
      <c r="DI37" t="s">
        <v>84</v>
      </c>
      <c r="DJ37" t="s">
        <v>84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23</v>
      </c>
      <c r="DW37" t="s">
        <v>23</v>
      </c>
      <c r="DX37">
        <v>1</v>
      </c>
      <c r="EE37">
        <v>39174530</v>
      </c>
      <c r="EF37">
        <v>2</v>
      </c>
      <c r="EG37" t="s">
        <v>33</v>
      </c>
      <c r="EH37">
        <v>0</v>
      </c>
      <c r="EI37" t="s">
        <v>3</v>
      </c>
      <c r="EJ37">
        <v>1</v>
      </c>
      <c r="EK37">
        <v>16001</v>
      </c>
      <c r="EL37" t="s">
        <v>50</v>
      </c>
      <c r="EM37" t="s">
        <v>51</v>
      </c>
      <c r="EO37" t="s">
        <v>85</v>
      </c>
      <c r="EQ37">
        <v>0</v>
      </c>
      <c r="ER37">
        <v>42.04</v>
      </c>
      <c r="ES37">
        <v>25.21</v>
      </c>
      <c r="ET37">
        <v>3.5</v>
      </c>
      <c r="EU37">
        <v>0.12</v>
      </c>
      <c r="EV37">
        <v>13.33</v>
      </c>
      <c r="EW37">
        <v>1.47</v>
      </c>
      <c r="EX37">
        <v>0.01</v>
      </c>
      <c r="EY37">
        <v>0</v>
      </c>
      <c r="FQ37">
        <v>0</v>
      </c>
      <c r="FR37">
        <f t="shared" si="40"/>
        <v>0</v>
      </c>
      <c r="FS37">
        <v>0</v>
      </c>
      <c r="FT37" t="s">
        <v>37</v>
      </c>
      <c r="FU37" t="s">
        <v>38</v>
      </c>
      <c r="FX37">
        <v>115.2</v>
      </c>
      <c r="FY37">
        <v>70.55</v>
      </c>
      <c r="GA37" t="s">
        <v>3</v>
      </c>
      <c r="GD37">
        <v>0</v>
      </c>
      <c r="GF37">
        <v>-263082775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1"/>
        <v>0</v>
      </c>
      <c r="GM37">
        <f t="shared" si="42"/>
        <v>27330.53</v>
      </c>
      <c r="GN37">
        <f t="shared" si="43"/>
        <v>27330.53</v>
      </c>
      <c r="GO37">
        <f t="shared" si="44"/>
        <v>0</v>
      </c>
      <c r="GP37">
        <f t="shared" si="45"/>
        <v>0</v>
      </c>
      <c r="GR37">
        <v>0</v>
      </c>
      <c r="GS37">
        <v>3</v>
      </c>
      <c r="GT37">
        <v>0</v>
      </c>
      <c r="GU37" t="s">
        <v>3</v>
      </c>
      <c r="GV37">
        <f t="shared" si="46"/>
        <v>0</v>
      </c>
      <c r="GW37">
        <v>1</v>
      </c>
      <c r="GX37">
        <f t="shared" si="47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ROW(SmtRes!A60)</f>
        <v>60</v>
      </c>
      <c r="D38">
        <f>ROW(EtalonRes!A71)</f>
        <v>71</v>
      </c>
      <c r="E38" t="s">
        <v>94</v>
      </c>
      <c r="F38" t="s">
        <v>95</v>
      </c>
      <c r="G38" t="s">
        <v>96</v>
      </c>
      <c r="H38" t="s">
        <v>23</v>
      </c>
      <c r="I38">
        <v>45</v>
      </c>
      <c r="J38">
        <v>0</v>
      </c>
      <c r="O38">
        <f t="shared" si="14"/>
        <v>25153.41</v>
      </c>
      <c r="P38">
        <f t="shared" si="15"/>
        <v>13244.47</v>
      </c>
      <c r="Q38">
        <f t="shared" si="16"/>
        <v>3058.88</v>
      </c>
      <c r="R38">
        <f t="shared" si="17"/>
        <v>186.62</v>
      </c>
      <c r="S38">
        <f t="shared" si="18"/>
        <v>8850.06</v>
      </c>
      <c r="T38">
        <f t="shared" si="19"/>
        <v>0</v>
      </c>
      <c r="U38">
        <f t="shared" si="20"/>
        <v>150.5925</v>
      </c>
      <c r="V38">
        <f t="shared" si="21"/>
        <v>2.25</v>
      </c>
      <c r="W38">
        <f t="shared" si="22"/>
        <v>0</v>
      </c>
      <c r="X38">
        <f t="shared" si="23"/>
        <v>10392.18</v>
      </c>
      <c r="Y38">
        <f t="shared" si="24"/>
        <v>6416.04</v>
      </c>
      <c r="AA38">
        <v>39088907</v>
      </c>
      <c r="AB38">
        <f t="shared" si="25"/>
        <v>86.26</v>
      </c>
      <c r="AC38">
        <f t="shared" ref="AC38:AC53" si="51">ROUND((ES38),2)</f>
        <v>45.42</v>
      </c>
      <c r="AD38">
        <f>ROUND(((((ET38*1.25))-((EU38*1.25)))+AE38),2)</f>
        <v>10.49</v>
      </c>
      <c r="AE38">
        <f>ROUND(((EU38*1.25)),2)</f>
        <v>0.64</v>
      </c>
      <c r="AF38">
        <f>ROUND(((EV38*1.15)),2)</f>
        <v>30.35</v>
      </c>
      <c r="AG38">
        <f t="shared" si="27"/>
        <v>0</v>
      </c>
      <c r="AH38">
        <f>((EW38*1.15))</f>
        <v>3.3464999999999998</v>
      </c>
      <c r="AI38">
        <f>((EX38*1.25))</f>
        <v>0.05</v>
      </c>
      <c r="AJ38">
        <f t="shared" si="28"/>
        <v>0</v>
      </c>
      <c r="AK38">
        <v>80.2</v>
      </c>
      <c r="AL38">
        <v>45.42</v>
      </c>
      <c r="AM38">
        <v>8.39</v>
      </c>
      <c r="AN38">
        <v>0.51</v>
      </c>
      <c r="AO38">
        <v>26.39</v>
      </c>
      <c r="AP38">
        <v>0</v>
      </c>
      <c r="AQ38">
        <v>2.91</v>
      </c>
      <c r="AR38">
        <v>0.04</v>
      </c>
      <c r="AS38">
        <v>0</v>
      </c>
      <c r="AT38">
        <v>115</v>
      </c>
      <c r="AU38">
        <v>71</v>
      </c>
      <c r="AV38">
        <v>1</v>
      </c>
      <c r="AW38">
        <v>1</v>
      </c>
      <c r="AZ38">
        <v>6.48</v>
      </c>
      <c r="BA38">
        <v>6.48</v>
      </c>
      <c r="BB38">
        <v>6.48</v>
      </c>
      <c r="BC38">
        <v>6.48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1</v>
      </c>
      <c r="BJ38" t="s">
        <v>97</v>
      </c>
      <c r="BM38">
        <v>16001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6.48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128</v>
      </c>
      <c r="CA38">
        <v>83</v>
      </c>
      <c r="CF38">
        <v>0</v>
      </c>
      <c r="CG38">
        <v>0</v>
      </c>
      <c r="CM38">
        <v>0</v>
      </c>
      <c r="CN38" t="s">
        <v>380</v>
      </c>
      <c r="CO38">
        <v>0</v>
      </c>
      <c r="CP38">
        <f t="shared" si="29"/>
        <v>25153.409999999996</v>
      </c>
      <c r="CQ38">
        <f t="shared" si="30"/>
        <v>294.32160000000005</v>
      </c>
      <c r="CR38">
        <f t="shared" si="31"/>
        <v>67.975200000000001</v>
      </c>
      <c r="CS38">
        <f t="shared" si="32"/>
        <v>4.1472000000000007</v>
      </c>
      <c r="CT38">
        <f t="shared" si="33"/>
        <v>196.66800000000003</v>
      </c>
      <c r="CU38">
        <f t="shared" si="34"/>
        <v>0</v>
      </c>
      <c r="CV38">
        <f t="shared" si="35"/>
        <v>3.3464999999999998</v>
      </c>
      <c r="CW38">
        <f t="shared" si="36"/>
        <v>0.05</v>
      </c>
      <c r="CX38">
        <f t="shared" si="37"/>
        <v>0</v>
      </c>
      <c r="CY38">
        <f t="shared" si="38"/>
        <v>10392.182000000001</v>
      </c>
      <c r="CZ38">
        <f t="shared" si="39"/>
        <v>6416.0428000000002</v>
      </c>
      <c r="DC38" t="s">
        <v>3</v>
      </c>
      <c r="DD38" t="s">
        <v>3</v>
      </c>
      <c r="DE38" t="s">
        <v>31</v>
      </c>
      <c r="DF38" t="s">
        <v>31</v>
      </c>
      <c r="DG38" t="s">
        <v>32</v>
      </c>
      <c r="DH38" t="s">
        <v>3</v>
      </c>
      <c r="DI38" t="s">
        <v>32</v>
      </c>
      <c r="DJ38" t="s">
        <v>31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23</v>
      </c>
      <c r="DW38" t="s">
        <v>23</v>
      </c>
      <c r="DX38">
        <v>1</v>
      </c>
      <c r="EE38">
        <v>39174530</v>
      </c>
      <c r="EF38">
        <v>2</v>
      </c>
      <c r="EG38" t="s">
        <v>33</v>
      </c>
      <c r="EH38">
        <v>0</v>
      </c>
      <c r="EI38" t="s">
        <v>3</v>
      </c>
      <c r="EJ38">
        <v>1</v>
      </c>
      <c r="EK38">
        <v>16001</v>
      </c>
      <c r="EL38" t="s">
        <v>50</v>
      </c>
      <c r="EM38" t="s">
        <v>51</v>
      </c>
      <c r="EO38" t="s">
        <v>36</v>
      </c>
      <c r="EQ38">
        <v>0</v>
      </c>
      <c r="ER38">
        <v>80.2</v>
      </c>
      <c r="ES38">
        <v>45.42</v>
      </c>
      <c r="ET38">
        <v>8.39</v>
      </c>
      <c r="EU38">
        <v>0.51</v>
      </c>
      <c r="EV38">
        <v>26.39</v>
      </c>
      <c r="EW38">
        <v>2.91</v>
      </c>
      <c r="EX38">
        <v>0.04</v>
      </c>
      <c r="EY38">
        <v>0</v>
      </c>
      <c r="FQ38">
        <v>0</v>
      </c>
      <c r="FR38">
        <f t="shared" si="40"/>
        <v>0</v>
      </c>
      <c r="FS38">
        <v>0</v>
      </c>
      <c r="FT38" t="s">
        <v>37</v>
      </c>
      <c r="FU38" t="s">
        <v>38</v>
      </c>
      <c r="FX38">
        <v>115.2</v>
      </c>
      <c r="FY38">
        <v>70.55</v>
      </c>
      <c r="GA38" t="s">
        <v>3</v>
      </c>
      <c r="GD38">
        <v>0</v>
      </c>
      <c r="GF38">
        <v>-460489109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1"/>
        <v>0</v>
      </c>
      <c r="GM38">
        <f t="shared" si="42"/>
        <v>41961.63</v>
      </c>
      <c r="GN38">
        <f t="shared" si="43"/>
        <v>41961.63</v>
      </c>
      <c r="GO38">
        <f t="shared" si="44"/>
        <v>0</v>
      </c>
      <c r="GP38">
        <f t="shared" si="45"/>
        <v>0</v>
      </c>
      <c r="GR38">
        <v>0</v>
      </c>
      <c r="GS38">
        <v>3</v>
      </c>
      <c r="GT38">
        <v>0</v>
      </c>
      <c r="GU38" t="s">
        <v>3</v>
      </c>
      <c r="GV38">
        <f t="shared" si="46"/>
        <v>0</v>
      </c>
      <c r="GW38">
        <v>1</v>
      </c>
      <c r="GX38">
        <f t="shared" si="47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60</v>
      </c>
      <c r="E39" t="s">
        <v>98</v>
      </c>
      <c r="F39" t="s">
        <v>99</v>
      </c>
      <c r="G39" t="s">
        <v>100</v>
      </c>
      <c r="H39" t="s">
        <v>48</v>
      </c>
      <c r="I39">
        <f>I38*J39</f>
        <v>45</v>
      </c>
      <c r="J39">
        <v>1</v>
      </c>
      <c r="O39">
        <f t="shared" si="14"/>
        <v>231877.4</v>
      </c>
      <c r="P39">
        <f t="shared" si="15"/>
        <v>231877.4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39088907</v>
      </c>
      <c r="AB39">
        <f t="shared" si="25"/>
        <v>795.19</v>
      </c>
      <c r="AC39">
        <f t="shared" si="51"/>
        <v>795.19</v>
      </c>
      <c r="AD39">
        <f>ROUND((((ET39)-(EU39))+AE39),2)</f>
        <v>0</v>
      </c>
      <c r="AE39">
        <f>ROUND((EU39),2)</f>
        <v>0</v>
      </c>
      <c r="AF39">
        <f>ROUND((EV39),2)</f>
        <v>0</v>
      </c>
      <c r="AG39">
        <f t="shared" si="27"/>
        <v>0</v>
      </c>
      <c r="AH39">
        <f>(EW39)</f>
        <v>0</v>
      </c>
      <c r="AI39">
        <f>(EX39)</f>
        <v>0</v>
      </c>
      <c r="AJ39">
        <f t="shared" si="28"/>
        <v>0</v>
      </c>
      <c r="AK39">
        <v>795.19</v>
      </c>
      <c r="AL39">
        <v>795.19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115</v>
      </c>
      <c r="AU39">
        <v>71</v>
      </c>
      <c r="AV39">
        <v>1</v>
      </c>
      <c r="AW39">
        <v>1</v>
      </c>
      <c r="AZ39">
        <v>6.48</v>
      </c>
      <c r="BA39">
        <v>1</v>
      </c>
      <c r="BB39">
        <v>1</v>
      </c>
      <c r="BC39">
        <v>6.48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101</v>
      </c>
      <c r="BM39">
        <v>16001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128</v>
      </c>
      <c r="CA39">
        <v>83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29"/>
        <v>231877.4</v>
      </c>
      <c r="CQ39">
        <f t="shared" si="30"/>
        <v>5152.8312000000005</v>
      </c>
      <c r="CR39">
        <f t="shared" si="31"/>
        <v>0</v>
      </c>
      <c r="CS39">
        <f t="shared" si="32"/>
        <v>0</v>
      </c>
      <c r="CT39">
        <f t="shared" si="33"/>
        <v>0</v>
      </c>
      <c r="CU39">
        <f t="shared" si="34"/>
        <v>0</v>
      </c>
      <c r="CV39">
        <f t="shared" si="35"/>
        <v>0</v>
      </c>
      <c r="CW39">
        <f t="shared" si="36"/>
        <v>0</v>
      </c>
      <c r="CX39">
        <f t="shared" si="37"/>
        <v>0</v>
      </c>
      <c r="CY39">
        <f t="shared" si="38"/>
        <v>0</v>
      </c>
      <c r="CZ39">
        <f t="shared" si="39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48</v>
      </c>
      <c r="DW39" t="s">
        <v>48</v>
      </c>
      <c r="DX39">
        <v>1</v>
      </c>
      <c r="EE39">
        <v>39174530</v>
      </c>
      <c r="EF39">
        <v>2</v>
      </c>
      <c r="EG39" t="s">
        <v>33</v>
      </c>
      <c r="EH39">
        <v>0</v>
      </c>
      <c r="EI39" t="s">
        <v>3</v>
      </c>
      <c r="EJ39">
        <v>1</v>
      </c>
      <c r="EK39">
        <v>16001</v>
      </c>
      <c r="EL39" t="s">
        <v>50</v>
      </c>
      <c r="EM39" t="s">
        <v>51</v>
      </c>
      <c r="EO39" t="s">
        <v>3</v>
      </c>
      <c r="EQ39">
        <v>0</v>
      </c>
      <c r="ER39">
        <v>795.19</v>
      </c>
      <c r="ES39">
        <v>795.19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0"/>
        <v>0</v>
      </c>
      <c r="FS39">
        <v>0</v>
      </c>
      <c r="FT39" t="s">
        <v>37</v>
      </c>
      <c r="FU39" t="s">
        <v>38</v>
      </c>
      <c r="FX39">
        <v>115.2</v>
      </c>
      <c r="FY39">
        <v>70.55</v>
      </c>
      <c r="GA39" t="s">
        <v>3</v>
      </c>
      <c r="GD39">
        <v>0</v>
      </c>
      <c r="GF39">
        <v>1491608723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1"/>
        <v>0</v>
      </c>
      <c r="GM39">
        <f t="shared" si="42"/>
        <v>231877.4</v>
      </c>
      <c r="GN39">
        <f t="shared" si="43"/>
        <v>231877.4</v>
      </c>
      <c r="GO39">
        <f t="shared" si="44"/>
        <v>0</v>
      </c>
      <c r="GP39">
        <f t="shared" si="45"/>
        <v>0</v>
      </c>
      <c r="GR39">
        <v>0</v>
      </c>
      <c r="GS39">
        <v>3</v>
      </c>
      <c r="GT39">
        <v>0</v>
      </c>
      <c r="GU39" t="s">
        <v>3</v>
      </c>
      <c r="GV39">
        <f t="shared" si="46"/>
        <v>0</v>
      </c>
      <c r="GW39">
        <v>1</v>
      </c>
      <c r="GX39">
        <f t="shared" si="47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ROW(SmtRes!A70)</f>
        <v>70</v>
      </c>
      <c r="D40">
        <f>ROW(EtalonRes!A82)</f>
        <v>82</v>
      </c>
      <c r="E40" t="s">
        <v>102</v>
      </c>
      <c r="F40" t="s">
        <v>79</v>
      </c>
      <c r="G40" t="s">
        <v>103</v>
      </c>
      <c r="H40" t="s">
        <v>23</v>
      </c>
      <c r="I40">
        <v>1</v>
      </c>
      <c r="J40">
        <v>0</v>
      </c>
      <c r="O40">
        <f t="shared" si="14"/>
        <v>1985.73</v>
      </c>
      <c r="P40">
        <f t="shared" si="15"/>
        <v>982.56</v>
      </c>
      <c r="Q40">
        <f t="shared" si="16"/>
        <v>259.64999999999998</v>
      </c>
      <c r="R40">
        <f t="shared" si="17"/>
        <v>22.23</v>
      </c>
      <c r="S40">
        <f t="shared" si="18"/>
        <v>743.52</v>
      </c>
      <c r="T40">
        <f t="shared" si="19"/>
        <v>0</v>
      </c>
      <c r="U40">
        <f t="shared" si="20"/>
        <v>12.350999999999999</v>
      </c>
      <c r="V40">
        <f t="shared" si="21"/>
        <v>0.27500000000000002</v>
      </c>
      <c r="W40">
        <f t="shared" si="22"/>
        <v>0</v>
      </c>
      <c r="X40">
        <f t="shared" si="23"/>
        <v>880.61</v>
      </c>
      <c r="Y40">
        <f t="shared" si="24"/>
        <v>543.67999999999995</v>
      </c>
      <c r="AA40">
        <v>39088907</v>
      </c>
      <c r="AB40">
        <f t="shared" si="25"/>
        <v>306.44</v>
      </c>
      <c r="AC40">
        <f t="shared" si="51"/>
        <v>151.63</v>
      </c>
      <c r="AD40">
        <f>ROUND(((((ET40*1.25))-((EU40*1.25)))+AE40),2)</f>
        <v>40.07</v>
      </c>
      <c r="AE40">
        <f>ROUND(((EU40*1.25)),2)</f>
        <v>3.43</v>
      </c>
      <c r="AF40">
        <f>ROUND(((EV40*1.15)),2)</f>
        <v>114.74</v>
      </c>
      <c r="AG40">
        <f t="shared" si="27"/>
        <v>0</v>
      </c>
      <c r="AH40">
        <f>((EW40*1.15))</f>
        <v>12.350999999999999</v>
      </c>
      <c r="AI40">
        <f>((EX40*1.25))</f>
        <v>0.27500000000000002</v>
      </c>
      <c r="AJ40">
        <f t="shared" si="28"/>
        <v>0</v>
      </c>
      <c r="AK40">
        <v>283.45</v>
      </c>
      <c r="AL40">
        <v>151.63</v>
      </c>
      <c r="AM40">
        <v>32.049999999999997</v>
      </c>
      <c r="AN40">
        <v>2.74</v>
      </c>
      <c r="AO40">
        <v>99.77</v>
      </c>
      <c r="AP40">
        <v>0</v>
      </c>
      <c r="AQ40">
        <v>10.74</v>
      </c>
      <c r="AR40">
        <v>0.22</v>
      </c>
      <c r="AS40">
        <v>0</v>
      </c>
      <c r="AT40">
        <v>115</v>
      </c>
      <c r="AU40">
        <v>71</v>
      </c>
      <c r="AV40">
        <v>1</v>
      </c>
      <c r="AW40">
        <v>1</v>
      </c>
      <c r="AZ40">
        <v>6.48</v>
      </c>
      <c r="BA40">
        <v>6.48</v>
      </c>
      <c r="BB40">
        <v>6.48</v>
      </c>
      <c r="BC40">
        <v>6.48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1</v>
      </c>
      <c r="BJ40" t="s">
        <v>81</v>
      </c>
      <c r="BM40">
        <v>16001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6.48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128</v>
      </c>
      <c r="CA40">
        <v>83</v>
      </c>
      <c r="CF40">
        <v>0</v>
      </c>
      <c r="CG40">
        <v>0</v>
      </c>
      <c r="CM40">
        <v>0</v>
      </c>
      <c r="CN40" t="s">
        <v>380</v>
      </c>
      <c r="CO40">
        <v>0</v>
      </c>
      <c r="CP40">
        <f t="shared" si="29"/>
        <v>1985.73</v>
      </c>
      <c r="CQ40">
        <f t="shared" si="30"/>
        <v>982.56240000000003</v>
      </c>
      <c r="CR40">
        <f t="shared" si="31"/>
        <v>259.65360000000004</v>
      </c>
      <c r="CS40">
        <f t="shared" si="32"/>
        <v>22.226400000000002</v>
      </c>
      <c r="CT40">
        <f t="shared" si="33"/>
        <v>743.51520000000005</v>
      </c>
      <c r="CU40">
        <f t="shared" si="34"/>
        <v>0</v>
      </c>
      <c r="CV40">
        <f t="shared" si="35"/>
        <v>12.350999999999999</v>
      </c>
      <c r="CW40">
        <f t="shared" si="36"/>
        <v>0.27500000000000002</v>
      </c>
      <c r="CX40">
        <f t="shared" si="37"/>
        <v>0</v>
      </c>
      <c r="CY40">
        <f t="shared" si="38"/>
        <v>880.61249999999995</v>
      </c>
      <c r="CZ40">
        <f t="shared" si="39"/>
        <v>543.6825</v>
      </c>
      <c r="DC40" t="s">
        <v>3</v>
      </c>
      <c r="DD40" t="s">
        <v>3</v>
      </c>
      <c r="DE40" t="s">
        <v>31</v>
      </c>
      <c r="DF40" t="s">
        <v>31</v>
      </c>
      <c r="DG40" t="s">
        <v>32</v>
      </c>
      <c r="DH40" t="s">
        <v>3</v>
      </c>
      <c r="DI40" t="s">
        <v>32</v>
      </c>
      <c r="DJ40" t="s">
        <v>31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1013</v>
      </c>
      <c r="DV40" t="s">
        <v>23</v>
      </c>
      <c r="DW40" t="s">
        <v>23</v>
      </c>
      <c r="DX40">
        <v>1</v>
      </c>
      <c r="EE40">
        <v>39174530</v>
      </c>
      <c r="EF40">
        <v>2</v>
      </c>
      <c r="EG40" t="s">
        <v>33</v>
      </c>
      <c r="EH40">
        <v>0</v>
      </c>
      <c r="EI40" t="s">
        <v>3</v>
      </c>
      <c r="EJ40">
        <v>1</v>
      </c>
      <c r="EK40">
        <v>16001</v>
      </c>
      <c r="EL40" t="s">
        <v>50</v>
      </c>
      <c r="EM40" t="s">
        <v>51</v>
      </c>
      <c r="EO40" t="s">
        <v>36</v>
      </c>
      <c r="EQ40">
        <v>0</v>
      </c>
      <c r="ER40">
        <v>283.45</v>
      </c>
      <c r="ES40">
        <v>151.63</v>
      </c>
      <c r="ET40">
        <v>32.049999999999997</v>
      </c>
      <c r="EU40">
        <v>2.74</v>
      </c>
      <c r="EV40">
        <v>99.77</v>
      </c>
      <c r="EW40">
        <v>10.74</v>
      </c>
      <c r="EX40">
        <v>0.22</v>
      </c>
      <c r="EY40">
        <v>0</v>
      </c>
      <c r="FQ40">
        <v>0</v>
      </c>
      <c r="FR40">
        <f t="shared" si="40"/>
        <v>0</v>
      </c>
      <c r="FS40">
        <v>0</v>
      </c>
      <c r="FT40" t="s">
        <v>37</v>
      </c>
      <c r="FU40" t="s">
        <v>38</v>
      </c>
      <c r="FX40">
        <v>115.2</v>
      </c>
      <c r="FY40">
        <v>70.55</v>
      </c>
      <c r="GA40" t="s">
        <v>3</v>
      </c>
      <c r="GD40">
        <v>0</v>
      </c>
      <c r="GF40">
        <v>444632766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1"/>
        <v>0</v>
      </c>
      <c r="GM40">
        <f t="shared" si="42"/>
        <v>3410.02</v>
      </c>
      <c r="GN40">
        <f t="shared" si="43"/>
        <v>3410.02</v>
      </c>
      <c r="GO40">
        <f t="shared" si="44"/>
        <v>0</v>
      </c>
      <c r="GP40">
        <f t="shared" si="45"/>
        <v>0</v>
      </c>
      <c r="GR40">
        <v>0</v>
      </c>
      <c r="GS40">
        <v>3</v>
      </c>
      <c r="GT40">
        <v>0</v>
      </c>
      <c r="GU40" t="s">
        <v>3</v>
      </c>
      <c r="GV40">
        <f t="shared" si="46"/>
        <v>0</v>
      </c>
      <c r="GW40">
        <v>1</v>
      </c>
      <c r="GX40">
        <f t="shared" si="47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70</v>
      </c>
      <c r="E41" t="s">
        <v>104</v>
      </c>
      <c r="F41" t="s">
        <v>105</v>
      </c>
      <c r="G41" t="s">
        <v>106</v>
      </c>
      <c r="H41" t="s">
        <v>48</v>
      </c>
      <c r="I41">
        <f>I40*J41</f>
        <v>1</v>
      </c>
      <c r="J41">
        <v>1</v>
      </c>
      <c r="O41">
        <f t="shared" si="14"/>
        <v>51206.39</v>
      </c>
      <c r="P41">
        <f t="shared" si="15"/>
        <v>51206.39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39088907</v>
      </c>
      <c r="AB41">
        <f t="shared" si="25"/>
        <v>7902.22</v>
      </c>
      <c r="AC41">
        <f t="shared" si="51"/>
        <v>7902.22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27"/>
        <v>0</v>
      </c>
      <c r="AH41">
        <f>(EW41)</f>
        <v>0</v>
      </c>
      <c r="AI41">
        <f>(EX41)</f>
        <v>0</v>
      </c>
      <c r="AJ41">
        <f t="shared" si="28"/>
        <v>0</v>
      </c>
      <c r="AK41">
        <v>7902.22</v>
      </c>
      <c r="AL41">
        <v>7902.22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117</v>
      </c>
      <c r="AU41">
        <v>76</v>
      </c>
      <c r="AV41">
        <v>1</v>
      </c>
      <c r="AW41">
        <v>1</v>
      </c>
      <c r="AZ41">
        <v>6.48</v>
      </c>
      <c r="BA41">
        <v>1</v>
      </c>
      <c r="BB41">
        <v>1</v>
      </c>
      <c r="BC41">
        <v>6.48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107</v>
      </c>
      <c r="BM41">
        <v>24001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130</v>
      </c>
      <c r="CA41">
        <v>89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29"/>
        <v>51206.39</v>
      </c>
      <c r="CQ41">
        <f t="shared" si="30"/>
        <v>51206.385600000001</v>
      </c>
      <c r="CR41">
        <f t="shared" si="31"/>
        <v>0</v>
      </c>
      <c r="CS41">
        <f t="shared" si="32"/>
        <v>0</v>
      </c>
      <c r="CT41">
        <f t="shared" si="33"/>
        <v>0</v>
      </c>
      <c r="CU41">
        <f t="shared" si="34"/>
        <v>0</v>
      </c>
      <c r="CV41">
        <f t="shared" si="35"/>
        <v>0</v>
      </c>
      <c r="CW41">
        <f t="shared" si="36"/>
        <v>0</v>
      </c>
      <c r="CX41">
        <f t="shared" si="37"/>
        <v>0</v>
      </c>
      <c r="CY41">
        <f t="shared" si="38"/>
        <v>0</v>
      </c>
      <c r="CZ41">
        <f t="shared" si="39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48</v>
      </c>
      <c r="DW41" t="s">
        <v>48</v>
      </c>
      <c r="DX41">
        <v>1</v>
      </c>
      <c r="EE41">
        <v>39174538</v>
      </c>
      <c r="EF41">
        <v>2</v>
      </c>
      <c r="EG41" t="s">
        <v>33</v>
      </c>
      <c r="EH41">
        <v>0</v>
      </c>
      <c r="EI41" t="s">
        <v>3</v>
      </c>
      <c r="EJ41">
        <v>1</v>
      </c>
      <c r="EK41">
        <v>24001</v>
      </c>
      <c r="EL41" t="s">
        <v>68</v>
      </c>
      <c r="EM41" t="s">
        <v>69</v>
      </c>
      <c r="EO41" t="s">
        <v>3</v>
      </c>
      <c r="EQ41">
        <v>0</v>
      </c>
      <c r="ER41">
        <v>7902.22</v>
      </c>
      <c r="ES41">
        <v>7902.22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0"/>
        <v>0</v>
      </c>
      <c r="FS41">
        <v>0</v>
      </c>
      <c r="FT41" t="s">
        <v>37</v>
      </c>
      <c r="FU41" t="s">
        <v>38</v>
      </c>
      <c r="FX41">
        <v>117</v>
      </c>
      <c r="FY41">
        <v>75.650000000000006</v>
      </c>
      <c r="GA41" t="s">
        <v>3</v>
      </c>
      <c r="GD41">
        <v>0</v>
      </c>
      <c r="GF41">
        <v>-1090113094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1"/>
        <v>0</v>
      </c>
      <c r="GM41">
        <f t="shared" si="42"/>
        <v>51206.39</v>
      </c>
      <c r="GN41">
        <f t="shared" si="43"/>
        <v>51206.39</v>
      </c>
      <c r="GO41">
        <f t="shared" si="44"/>
        <v>0</v>
      </c>
      <c r="GP41">
        <f t="shared" si="45"/>
        <v>0</v>
      </c>
      <c r="GR41">
        <v>0</v>
      </c>
      <c r="GS41">
        <v>3</v>
      </c>
      <c r="GT41">
        <v>0</v>
      </c>
      <c r="GU41" t="s">
        <v>3</v>
      </c>
      <c r="GV41">
        <f t="shared" si="46"/>
        <v>0</v>
      </c>
      <c r="GW41">
        <v>1</v>
      </c>
      <c r="GX41">
        <f t="shared" si="47"/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C42">
        <f>ROW(SmtRes!A80)</f>
        <v>80</v>
      </c>
      <c r="D42">
        <f>ROW(EtalonRes!A93)</f>
        <v>93</v>
      </c>
      <c r="E42" t="s">
        <v>108</v>
      </c>
      <c r="F42" t="s">
        <v>109</v>
      </c>
      <c r="G42" t="s">
        <v>110</v>
      </c>
      <c r="H42" t="s">
        <v>23</v>
      </c>
      <c r="I42">
        <v>5</v>
      </c>
      <c r="J42">
        <v>0</v>
      </c>
      <c r="O42">
        <f t="shared" si="14"/>
        <v>6987.38</v>
      </c>
      <c r="P42">
        <f t="shared" si="15"/>
        <v>3151.87</v>
      </c>
      <c r="Q42">
        <f t="shared" si="16"/>
        <v>925.99</v>
      </c>
      <c r="R42">
        <f t="shared" si="17"/>
        <v>80.680000000000007</v>
      </c>
      <c r="S42">
        <f t="shared" si="18"/>
        <v>2909.52</v>
      </c>
      <c r="T42">
        <f t="shared" si="19"/>
        <v>0</v>
      </c>
      <c r="U42">
        <f t="shared" si="20"/>
        <v>49.507499999999993</v>
      </c>
      <c r="V42">
        <f t="shared" si="21"/>
        <v>1</v>
      </c>
      <c r="W42">
        <f t="shared" si="22"/>
        <v>0</v>
      </c>
      <c r="X42">
        <f t="shared" si="23"/>
        <v>3438.73</v>
      </c>
      <c r="Y42">
        <f t="shared" si="24"/>
        <v>2123.04</v>
      </c>
      <c r="AA42">
        <v>39088907</v>
      </c>
      <c r="AB42">
        <f t="shared" si="25"/>
        <v>215.66</v>
      </c>
      <c r="AC42">
        <f t="shared" si="51"/>
        <v>97.28</v>
      </c>
      <c r="AD42">
        <f>ROUND(((((ET42*1.25))-((EU42*1.25)))+AE42),2)</f>
        <v>28.58</v>
      </c>
      <c r="AE42">
        <f>ROUND(((EU42*1.25)),2)</f>
        <v>2.4900000000000002</v>
      </c>
      <c r="AF42">
        <f>ROUND(((EV42*1.15)),2)</f>
        <v>89.8</v>
      </c>
      <c r="AG42">
        <f t="shared" si="27"/>
        <v>0</v>
      </c>
      <c r="AH42">
        <f>((EW42*1.15))</f>
        <v>9.9014999999999986</v>
      </c>
      <c r="AI42">
        <f>((EX42*1.25))</f>
        <v>0.2</v>
      </c>
      <c r="AJ42">
        <f t="shared" si="28"/>
        <v>0</v>
      </c>
      <c r="AK42">
        <v>198.23</v>
      </c>
      <c r="AL42">
        <v>97.28</v>
      </c>
      <c r="AM42">
        <v>22.86</v>
      </c>
      <c r="AN42">
        <v>1.99</v>
      </c>
      <c r="AO42">
        <v>78.09</v>
      </c>
      <c r="AP42">
        <v>0</v>
      </c>
      <c r="AQ42">
        <v>8.61</v>
      </c>
      <c r="AR42">
        <v>0.16</v>
      </c>
      <c r="AS42">
        <v>0</v>
      </c>
      <c r="AT42">
        <v>115</v>
      </c>
      <c r="AU42">
        <v>71</v>
      </c>
      <c r="AV42">
        <v>1</v>
      </c>
      <c r="AW42">
        <v>1</v>
      </c>
      <c r="AZ42">
        <v>6.48</v>
      </c>
      <c r="BA42">
        <v>6.48</v>
      </c>
      <c r="BB42">
        <v>6.48</v>
      </c>
      <c r="BC42">
        <v>6.48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1</v>
      </c>
      <c r="BJ42" t="s">
        <v>111</v>
      </c>
      <c r="BM42">
        <v>16001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6.48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128</v>
      </c>
      <c r="CA42">
        <v>83</v>
      </c>
      <c r="CF42">
        <v>0</v>
      </c>
      <c r="CG42">
        <v>0</v>
      </c>
      <c r="CM42">
        <v>0</v>
      </c>
      <c r="CN42" t="s">
        <v>380</v>
      </c>
      <c r="CO42">
        <v>0</v>
      </c>
      <c r="CP42">
        <f t="shared" si="29"/>
        <v>6987.3799999999992</v>
      </c>
      <c r="CQ42">
        <f t="shared" si="30"/>
        <v>630.37440000000004</v>
      </c>
      <c r="CR42">
        <f t="shared" si="31"/>
        <v>185.19839999999999</v>
      </c>
      <c r="CS42">
        <f t="shared" si="32"/>
        <v>16.135200000000001</v>
      </c>
      <c r="CT42">
        <f t="shared" si="33"/>
        <v>581.904</v>
      </c>
      <c r="CU42">
        <f t="shared" si="34"/>
        <v>0</v>
      </c>
      <c r="CV42">
        <f t="shared" si="35"/>
        <v>9.9014999999999986</v>
      </c>
      <c r="CW42">
        <f t="shared" si="36"/>
        <v>0.2</v>
      </c>
      <c r="CX42">
        <f t="shared" si="37"/>
        <v>0</v>
      </c>
      <c r="CY42">
        <f t="shared" si="38"/>
        <v>3438.73</v>
      </c>
      <c r="CZ42">
        <f t="shared" si="39"/>
        <v>2123.0419999999999</v>
      </c>
      <c r="DC42" t="s">
        <v>3</v>
      </c>
      <c r="DD42" t="s">
        <v>3</v>
      </c>
      <c r="DE42" t="s">
        <v>31</v>
      </c>
      <c r="DF42" t="s">
        <v>31</v>
      </c>
      <c r="DG42" t="s">
        <v>32</v>
      </c>
      <c r="DH42" t="s">
        <v>3</v>
      </c>
      <c r="DI42" t="s">
        <v>32</v>
      </c>
      <c r="DJ42" t="s">
        <v>31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23</v>
      </c>
      <c r="DW42" t="s">
        <v>23</v>
      </c>
      <c r="DX42">
        <v>1</v>
      </c>
      <c r="EE42">
        <v>39174530</v>
      </c>
      <c r="EF42">
        <v>2</v>
      </c>
      <c r="EG42" t="s">
        <v>33</v>
      </c>
      <c r="EH42">
        <v>0</v>
      </c>
      <c r="EI42" t="s">
        <v>3</v>
      </c>
      <c r="EJ42">
        <v>1</v>
      </c>
      <c r="EK42">
        <v>16001</v>
      </c>
      <c r="EL42" t="s">
        <v>50</v>
      </c>
      <c r="EM42" t="s">
        <v>51</v>
      </c>
      <c r="EO42" t="s">
        <v>36</v>
      </c>
      <c r="EQ42">
        <v>0</v>
      </c>
      <c r="ER42">
        <v>198.23</v>
      </c>
      <c r="ES42">
        <v>97.28</v>
      </c>
      <c r="ET42">
        <v>22.86</v>
      </c>
      <c r="EU42">
        <v>1.99</v>
      </c>
      <c r="EV42">
        <v>78.09</v>
      </c>
      <c r="EW42">
        <v>8.61</v>
      </c>
      <c r="EX42">
        <v>0.16</v>
      </c>
      <c r="EY42">
        <v>0</v>
      </c>
      <c r="FQ42">
        <v>0</v>
      </c>
      <c r="FR42">
        <f t="shared" si="40"/>
        <v>0</v>
      </c>
      <c r="FS42">
        <v>0</v>
      </c>
      <c r="FT42" t="s">
        <v>37</v>
      </c>
      <c r="FU42" t="s">
        <v>38</v>
      </c>
      <c r="FX42">
        <v>115.2</v>
      </c>
      <c r="FY42">
        <v>70.55</v>
      </c>
      <c r="GA42" t="s">
        <v>3</v>
      </c>
      <c r="GD42">
        <v>0</v>
      </c>
      <c r="GF42">
        <v>-1475057344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1"/>
        <v>0</v>
      </c>
      <c r="GM42">
        <f t="shared" si="42"/>
        <v>12549.15</v>
      </c>
      <c r="GN42">
        <f t="shared" si="43"/>
        <v>12549.15</v>
      </c>
      <c r="GO42">
        <f t="shared" si="44"/>
        <v>0</v>
      </c>
      <c r="GP42">
        <f t="shared" si="45"/>
        <v>0</v>
      </c>
      <c r="GR42">
        <v>0</v>
      </c>
      <c r="GS42">
        <v>3</v>
      </c>
      <c r="GT42">
        <v>0</v>
      </c>
      <c r="GU42" t="s">
        <v>3</v>
      </c>
      <c r="GV42">
        <f t="shared" si="46"/>
        <v>0</v>
      </c>
      <c r="GW42">
        <v>1</v>
      </c>
      <c r="GX42">
        <f t="shared" si="47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80</v>
      </c>
      <c r="E43" t="s">
        <v>112</v>
      </c>
      <c r="F43" t="s">
        <v>113</v>
      </c>
      <c r="G43" t="s">
        <v>114</v>
      </c>
      <c r="H43" t="s">
        <v>48</v>
      </c>
      <c r="I43">
        <f>I42*J43</f>
        <v>5</v>
      </c>
      <c r="J43">
        <v>1</v>
      </c>
      <c r="O43">
        <f t="shared" si="14"/>
        <v>142363.01</v>
      </c>
      <c r="P43">
        <f t="shared" si="15"/>
        <v>142363.01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39088907</v>
      </c>
      <c r="AB43">
        <f t="shared" si="25"/>
        <v>4393.92</v>
      </c>
      <c r="AC43">
        <f t="shared" si="51"/>
        <v>4393.92</v>
      </c>
      <c r="AD43">
        <f>ROUND((((ET43)-(EU43))+AE43),2)</f>
        <v>0</v>
      </c>
      <c r="AE43">
        <f>ROUND((EU43),2)</f>
        <v>0</v>
      </c>
      <c r="AF43">
        <f>ROUND((EV43),2)</f>
        <v>0</v>
      </c>
      <c r="AG43">
        <f t="shared" si="27"/>
        <v>0</v>
      </c>
      <c r="AH43">
        <f>(EW43)</f>
        <v>0</v>
      </c>
      <c r="AI43">
        <f>(EX43)</f>
        <v>0</v>
      </c>
      <c r="AJ43">
        <f t="shared" si="28"/>
        <v>0</v>
      </c>
      <c r="AK43">
        <v>4393.92</v>
      </c>
      <c r="AL43">
        <v>4393.92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115</v>
      </c>
      <c r="AU43">
        <v>71</v>
      </c>
      <c r="AV43">
        <v>1</v>
      </c>
      <c r="AW43">
        <v>1</v>
      </c>
      <c r="AZ43">
        <v>6.48</v>
      </c>
      <c r="BA43">
        <v>1</v>
      </c>
      <c r="BB43">
        <v>1</v>
      </c>
      <c r="BC43">
        <v>6.48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115</v>
      </c>
      <c r="BM43">
        <v>16001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128</v>
      </c>
      <c r="CA43">
        <v>83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29"/>
        <v>142363.01</v>
      </c>
      <c r="CQ43">
        <f t="shared" si="30"/>
        <v>28472.601600000002</v>
      </c>
      <c r="CR43">
        <f t="shared" si="31"/>
        <v>0</v>
      </c>
      <c r="CS43">
        <f t="shared" si="32"/>
        <v>0</v>
      </c>
      <c r="CT43">
        <f t="shared" si="33"/>
        <v>0</v>
      </c>
      <c r="CU43">
        <f t="shared" si="34"/>
        <v>0</v>
      </c>
      <c r="CV43">
        <f t="shared" si="35"/>
        <v>0</v>
      </c>
      <c r="CW43">
        <f t="shared" si="36"/>
        <v>0</v>
      </c>
      <c r="CX43">
        <f t="shared" si="37"/>
        <v>0</v>
      </c>
      <c r="CY43">
        <f t="shared" si="38"/>
        <v>0</v>
      </c>
      <c r="CZ43">
        <f t="shared" si="39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48</v>
      </c>
      <c r="DW43" t="s">
        <v>48</v>
      </c>
      <c r="DX43">
        <v>1</v>
      </c>
      <c r="EE43">
        <v>39174530</v>
      </c>
      <c r="EF43">
        <v>2</v>
      </c>
      <c r="EG43" t="s">
        <v>33</v>
      </c>
      <c r="EH43">
        <v>0</v>
      </c>
      <c r="EI43" t="s">
        <v>3</v>
      </c>
      <c r="EJ43">
        <v>1</v>
      </c>
      <c r="EK43">
        <v>16001</v>
      </c>
      <c r="EL43" t="s">
        <v>50</v>
      </c>
      <c r="EM43" t="s">
        <v>51</v>
      </c>
      <c r="EO43" t="s">
        <v>3</v>
      </c>
      <c r="EQ43">
        <v>0</v>
      </c>
      <c r="ER43">
        <v>4393.92</v>
      </c>
      <c r="ES43">
        <v>4393.92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0"/>
        <v>0</v>
      </c>
      <c r="FS43">
        <v>0</v>
      </c>
      <c r="FT43" t="s">
        <v>37</v>
      </c>
      <c r="FU43" t="s">
        <v>38</v>
      </c>
      <c r="FX43">
        <v>115.2</v>
      </c>
      <c r="FY43">
        <v>70.55</v>
      </c>
      <c r="GA43" t="s">
        <v>3</v>
      </c>
      <c r="GD43">
        <v>0</v>
      </c>
      <c r="GF43">
        <v>1600358200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1"/>
        <v>0</v>
      </c>
      <c r="GM43">
        <f t="shared" si="42"/>
        <v>142363.01</v>
      </c>
      <c r="GN43">
        <f t="shared" si="43"/>
        <v>142363.01</v>
      </c>
      <c r="GO43">
        <f t="shared" si="44"/>
        <v>0</v>
      </c>
      <c r="GP43">
        <f t="shared" si="45"/>
        <v>0</v>
      </c>
      <c r="GR43">
        <v>0</v>
      </c>
      <c r="GS43">
        <v>3</v>
      </c>
      <c r="GT43">
        <v>0</v>
      </c>
      <c r="GU43" t="s">
        <v>3</v>
      </c>
      <c r="GV43">
        <f t="shared" si="46"/>
        <v>0</v>
      </c>
      <c r="GW43">
        <v>1</v>
      </c>
      <c r="GX43">
        <f t="shared" si="47"/>
        <v>0</v>
      </c>
      <c r="HA43">
        <v>0</v>
      </c>
      <c r="HB43">
        <v>0</v>
      </c>
      <c r="IK43">
        <v>0</v>
      </c>
    </row>
    <row r="44" spans="1:245" x14ac:dyDescent="0.2">
      <c r="A44">
        <v>17</v>
      </c>
      <c r="B44">
        <v>1</v>
      </c>
      <c r="C44">
        <f>ROW(SmtRes!A88)</f>
        <v>88</v>
      </c>
      <c r="D44">
        <f>ROW(EtalonRes!A102)</f>
        <v>102</v>
      </c>
      <c r="E44" t="s">
        <v>116</v>
      </c>
      <c r="F44" t="s">
        <v>91</v>
      </c>
      <c r="G44" t="s">
        <v>117</v>
      </c>
      <c r="H44" t="s">
        <v>23</v>
      </c>
      <c r="I44">
        <v>252</v>
      </c>
      <c r="J44">
        <v>0</v>
      </c>
      <c r="O44">
        <f t="shared" si="14"/>
        <v>73352.56</v>
      </c>
      <c r="P44">
        <f t="shared" si="15"/>
        <v>41166.92</v>
      </c>
      <c r="Q44">
        <f t="shared" si="16"/>
        <v>7152.36</v>
      </c>
      <c r="R44">
        <f t="shared" si="17"/>
        <v>244.94</v>
      </c>
      <c r="S44">
        <f t="shared" si="18"/>
        <v>25033.279999999999</v>
      </c>
      <c r="T44">
        <f t="shared" si="19"/>
        <v>0</v>
      </c>
      <c r="U44">
        <f t="shared" si="20"/>
        <v>426.00599999999997</v>
      </c>
      <c r="V44">
        <f t="shared" si="21"/>
        <v>3.1500000000000004</v>
      </c>
      <c r="W44">
        <f t="shared" si="22"/>
        <v>0</v>
      </c>
      <c r="X44">
        <f t="shared" si="23"/>
        <v>29069.95</v>
      </c>
      <c r="Y44">
        <f t="shared" si="24"/>
        <v>17947.54</v>
      </c>
      <c r="AA44">
        <v>39088907</v>
      </c>
      <c r="AB44">
        <f t="shared" si="25"/>
        <v>44.92</v>
      </c>
      <c r="AC44">
        <f t="shared" si="51"/>
        <v>25.21</v>
      </c>
      <c r="AD44">
        <f>ROUND(((((ET44*1.25))-((EU44*1.25)))+AE44),2)</f>
        <v>4.38</v>
      </c>
      <c r="AE44">
        <f>ROUND(((EU44*1.25)),2)</f>
        <v>0.15</v>
      </c>
      <c r="AF44">
        <f>ROUND(((EV44*1.15)),2)</f>
        <v>15.33</v>
      </c>
      <c r="AG44">
        <f t="shared" si="27"/>
        <v>0</v>
      </c>
      <c r="AH44">
        <f>((EW44*1.15))</f>
        <v>1.6904999999999999</v>
      </c>
      <c r="AI44">
        <f>((EX44*1.25))</f>
        <v>1.2500000000000001E-2</v>
      </c>
      <c r="AJ44">
        <f t="shared" si="28"/>
        <v>0</v>
      </c>
      <c r="AK44">
        <v>42.04</v>
      </c>
      <c r="AL44">
        <v>25.21</v>
      </c>
      <c r="AM44">
        <v>3.5</v>
      </c>
      <c r="AN44">
        <v>0.12</v>
      </c>
      <c r="AO44">
        <v>13.33</v>
      </c>
      <c r="AP44">
        <v>0</v>
      </c>
      <c r="AQ44">
        <v>1.47</v>
      </c>
      <c r="AR44">
        <v>0.01</v>
      </c>
      <c r="AS44">
        <v>0</v>
      </c>
      <c r="AT44">
        <v>115</v>
      </c>
      <c r="AU44">
        <v>71</v>
      </c>
      <c r="AV44">
        <v>1</v>
      </c>
      <c r="AW44">
        <v>1</v>
      </c>
      <c r="AZ44">
        <v>6.48</v>
      </c>
      <c r="BA44">
        <v>6.48</v>
      </c>
      <c r="BB44">
        <v>6.48</v>
      </c>
      <c r="BC44">
        <v>6.48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1</v>
      </c>
      <c r="BJ44" t="s">
        <v>93</v>
      </c>
      <c r="BM44">
        <v>16001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6.48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128</v>
      </c>
      <c r="CA44">
        <v>83</v>
      </c>
      <c r="CF44">
        <v>0</v>
      </c>
      <c r="CG44">
        <v>0</v>
      </c>
      <c r="CM44">
        <v>0</v>
      </c>
      <c r="CN44" t="s">
        <v>380</v>
      </c>
      <c r="CO44">
        <v>0</v>
      </c>
      <c r="CP44">
        <f t="shared" si="29"/>
        <v>73352.56</v>
      </c>
      <c r="CQ44">
        <f t="shared" si="30"/>
        <v>163.36080000000001</v>
      </c>
      <c r="CR44">
        <f t="shared" si="31"/>
        <v>28.382400000000001</v>
      </c>
      <c r="CS44">
        <f t="shared" si="32"/>
        <v>0.97199999999999998</v>
      </c>
      <c r="CT44">
        <f t="shared" si="33"/>
        <v>99.338400000000007</v>
      </c>
      <c r="CU44">
        <f t="shared" si="34"/>
        <v>0</v>
      </c>
      <c r="CV44">
        <f t="shared" si="35"/>
        <v>1.6904999999999999</v>
      </c>
      <c r="CW44">
        <f t="shared" si="36"/>
        <v>1.2500000000000001E-2</v>
      </c>
      <c r="CX44">
        <f t="shared" si="37"/>
        <v>0</v>
      </c>
      <c r="CY44">
        <f t="shared" si="38"/>
        <v>29069.952999999998</v>
      </c>
      <c r="CZ44">
        <f t="shared" si="39"/>
        <v>17947.536199999999</v>
      </c>
      <c r="DC44" t="s">
        <v>3</v>
      </c>
      <c r="DD44" t="s">
        <v>3</v>
      </c>
      <c r="DE44" t="s">
        <v>31</v>
      </c>
      <c r="DF44" t="s">
        <v>31</v>
      </c>
      <c r="DG44" t="s">
        <v>32</v>
      </c>
      <c r="DH44" t="s">
        <v>3</v>
      </c>
      <c r="DI44" t="s">
        <v>32</v>
      </c>
      <c r="DJ44" t="s">
        <v>31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1013</v>
      </c>
      <c r="DV44" t="s">
        <v>23</v>
      </c>
      <c r="DW44" t="s">
        <v>23</v>
      </c>
      <c r="DX44">
        <v>1</v>
      </c>
      <c r="EE44">
        <v>39174530</v>
      </c>
      <c r="EF44">
        <v>2</v>
      </c>
      <c r="EG44" t="s">
        <v>33</v>
      </c>
      <c r="EH44">
        <v>0</v>
      </c>
      <c r="EI44" t="s">
        <v>3</v>
      </c>
      <c r="EJ44">
        <v>1</v>
      </c>
      <c r="EK44">
        <v>16001</v>
      </c>
      <c r="EL44" t="s">
        <v>50</v>
      </c>
      <c r="EM44" t="s">
        <v>51</v>
      </c>
      <c r="EO44" t="s">
        <v>36</v>
      </c>
      <c r="EQ44">
        <v>0</v>
      </c>
      <c r="ER44">
        <v>42.04</v>
      </c>
      <c r="ES44">
        <v>25.21</v>
      </c>
      <c r="ET44">
        <v>3.5</v>
      </c>
      <c r="EU44">
        <v>0.12</v>
      </c>
      <c r="EV44">
        <v>13.33</v>
      </c>
      <c r="EW44">
        <v>1.47</v>
      </c>
      <c r="EX44">
        <v>0.01</v>
      </c>
      <c r="EY44">
        <v>0</v>
      </c>
      <c r="FQ44">
        <v>0</v>
      </c>
      <c r="FR44">
        <f t="shared" si="40"/>
        <v>0</v>
      </c>
      <c r="FS44">
        <v>0</v>
      </c>
      <c r="FT44" t="s">
        <v>37</v>
      </c>
      <c r="FU44" t="s">
        <v>38</v>
      </c>
      <c r="FX44">
        <v>115.2</v>
      </c>
      <c r="FY44">
        <v>70.55</v>
      </c>
      <c r="GA44" t="s">
        <v>3</v>
      </c>
      <c r="GD44">
        <v>0</v>
      </c>
      <c r="GF44">
        <v>-1886797002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1"/>
        <v>0</v>
      </c>
      <c r="GM44">
        <f t="shared" si="42"/>
        <v>120370.05</v>
      </c>
      <c r="GN44">
        <f t="shared" si="43"/>
        <v>120370.05</v>
      </c>
      <c r="GO44">
        <f t="shared" si="44"/>
        <v>0</v>
      </c>
      <c r="GP44">
        <f t="shared" si="45"/>
        <v>0</v>
      </c>
      <c r="GR44">
        <v>0</v>
      </c>
      <c r="GS44">
        <v>3</v>
      </c>
      <c r="GT44">
        <v>0</v>
      </c>
      <c r="GU44" t="s">
        <v>3</v>
      </c>
      <c r="GV44">
        <f t="shared" si="46"/>
        <v>0</v>
      </c>
      <c r="GW44">
        <v>1</v>
      </c>
      <c r="GX44">
        <f t="shared" si="47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88</v>
      </c>
      <c r="E45" t="s">
        <v>118</v>
      </c>
      <c r="F45" t="s">
        <v>119</v>
      </c>
      <c r="G45" t="s">
        <v>120</v>
      </c>
      <c r="H45" t="s">
        <v>48</v>
      </c>
      <c r="I45">
        <f>I44*J45</f>
        <v>252</v>
      </c>
      <c r="J45">
        <v>1</v>
      </c>
      <c r="O45">
        <f t="shared" si="14"/>
        <v>127338.22</v>
      </c>
      <c r="P45">
        <f t="shared" si="15"/>
        <v>127338.22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39088907</v>
      </c>
      <c r="AB45">
        <f t="shared" si="25"/>
        <v>77.98</v>
      </c>
      <c r="AC45">
        <f t="shared" si="51"/>
        <v>77.98</v>
      </c>
      <c r="AD45">
        <f>ROUND((((ET45)-(EU45))+AE45),2)</f>
        <v>0</v>
      </c>
      <c r="AE45">
        <f t="shared" ref="AE45:AF48" si="52">ROUND((EU45),2)</f>
        <v>0</v>
      </c>
      <c r="AF45">
        <f t="shared" si="52"/>
        <v>0</v>
      </c>
      <c r="AG45">
        <f t="shared" si="27"/>
        <v>0</v>
      </c>
      <c r="AH45">
        <f t="shared" ref="AH45:AI48" si="53">(EW45)</f>
        <v>0</v>
      </c>
      <c r="AI45">
        <f t="shared" si="53"/>
        <v>0</v>
      </c>
      <c r="AJ45">
        <f t="shared" si="28"/>
        <v>0</v>
      </c>
      <c r="AK45">
        <v>77.98</v>
      </c>
      <c r="AL45">
        <v>77.98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115</v>
      </c>
      <c r="AU45">
        <v>71</v>
      </c>
      <c r="AV45">
        <v>1</v>
      </c>
      <c r="AW45">
        <v>1</v>
      </c>
      <c r="AZ45">
        <v>6.48</v>
      </c>
      <c r="BA45">
        <v>1</v>
      </c>
      <c r="BB45">
        <v>1</v>
      </c>
      <c r="BC45">
        <v>6.48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121</v>
      </c>
      <c r="BM45">
        <v>16001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128</v>
      </c>
      <c r="CA45">
        <v>83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29"/>
        <v>127338.22</v>
      </c>
      <c r="CQ45">
        <f t="shared" si="30"/>
        <v>505.31040000000007</v>
      </c>
      <c r="CR45">
        <f t="shared" si="31"/>
        <v>0</v>
      </c>
      <c r="CS45">
        <f t="shared" si="32"/>
        <v>0</v>
      </c>
      <c r="CT45">
        <f t="shared" si="33"/>
        <v>0</v>
      </c>
      <c r="CU45">
        <f t="shared" si="34"/>
        <v>0</v>
      </c>
      <c r="CV45">
        <f t="shared" si="35"/>
        <v>0</v>
      </c>
      <c r="CW45">
        <f t="shared" si="36"/>
        <v>0</v>
      </c>
      <c r="CX45">
        <f t="shared" si="37"/>
        <v>0</v>
      </c>
      <c r="CY45">
        <f t="shared" si="38"/>
        <v>0</v>
      </c>
      <c r="CZ45">
        <f t="shared" si="39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1010</v>
      </c>
      <c r="DV45" t="s">
        <v>48</v>
      </c>
      <c r="DW45" t="s">
        <v>48</v>
      </c>
      <c r="DX45">
        <v>1</v>
      </c>
      <c r="EE45">
        <v>39174530</v>
      </c>
      <c r="EF45">
        <v>2</v>
      </c>
      <c r="EG45" t="s">
        <v>33</v>
      </c>
      <c r="EH45">
        <v>0</v>
      </c>
      <c r="EI45" t="s">
        <v>3</v>
      </c>
      <c r="EJ45">
        <v>1</v>
      </c>
      <c r="EK45">
        <v>16001</v>
      </c>
      <c r="EL45" t="s">
        <v>50</v>
      </c>
      <c r="EM45" t="s">
        <v>51</v>
      </c>
      <c r="EO45" t="s">
        <v>3</v>
      </c>
      <c r="EQ45">
        <v>0</v>
      </c>
      <c r="ER45">
        <v>77.98</v>
      </c>
      <c r="ES45">
        <v>77.98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0"/>
        <v>0</v>
      </c>
      <c r="FS45">
        <v>0</v>
      </c>
      <c r="FT45" t="s">
        <v>37</v>
      </c>
      <c r="FU45" t="s">
        <v>38</v>
      </c>
      <c r="FX45">
        <v>115.2</v>
      </c>
      <c r="FY45">
        <v>70.55</v>
      </c>
      <c r="GA45" t="s">
        <v>3</v>
      </c>
      <c r="GD45">
        <v>0</v>
      </c>
      <c r="GF45">
        <v>1838485345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1"/>
        <v>0</v>
      </c>
      <c r="GM45">
        <f t="shared" si="42"/>
        <v>127338.22</v>
      </c>
      <c r="GN45">
        <f t="shared" si="43"/>
        <v>127338.22</v>
      </c>
      <c r="GO45">
        <f t="shared" si="44"/>
        <v>0</v>
      </c>
      <c r="GP45">
        <f t="shared" si="45"/>
        <v>0</v>
      </c>
      <c r="GR45">
        <v>0</v>
      </c>
      <c r="GS45">
        <v>3</v>
      </c>
      <c r="GT45">
        <v>0</v>
      </c>
      <c r="GU45" t="s">
        <v>3</v>
      </c>
      <c r="GV45">
        <f t="shared" si="46"/>
        <v>0</v>
      </c>
      <c r="GW45">
        <v>1</v>
      </c>
      <c r="GX45">
        <f t="shared" si="47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ROW(SmtRes!A96)</f>
        <v>96</v>
      </c>
      <c r="D46">
        <f>ROW(EtalonRes!A109)</f>
        <v>109</v>
      </c>
      <c r="E46" t="s">
        <v>122</v>
      </c>
      <c r="F46" t="s">
        <v>123</v>
      </c>
      <c r="G46" t="s">
        <v>124</v>
      </c>
      <c r="H46" t="s">
        <v>42</v>
      </c>
      <c r="I46">
        <v>2.52</v>
      </c>
      <c r="J46">
        <v>0</v>
      </c>
      <c r="O46">
        <f t="shared" si="14"/>
        <v>35220.82</v>
      </c>
      <c r="P46">
        <f t="shared" si="15"/>
        <v>28735.03</v>
      </c>
      <c r="Q46">
        <f t="shared" si="16"/>
        <v>25.47</v>
      </c>
      <c r="R46">
        <f t="shared" si="17"/>
        <v>11.1</v>
      </c>
      <c r="S46">
        <f t="shared" si="18"/>
        <v>6460.32</v>
      </c>
      <c r="T46">
        <f t="shared" si="19"/>
        <v>0</v>
      </c>
      <c r="U46">
        <f t="shared" si="20"/>
        <v>104.83200000000001</v>
      </c>
      <c r="V46">
        <f t="shared" si="21"/>
        <v>0.126</v>
      </c>
      <c r="W46">
        <f t="shared" si="22"/>
        <v>0</v>
      </c>
      <c r="X46">
        <f t="shared" si="23"/>
        <v>4788.8500000000004</v>
      </c>
      <c r="Y46">
        <f t="shared" si="24"/>
        <v>3235.71</v>
      </c>
      <c r="AA46">
        <v>39088907</v>
      </c>
      <c r="AB46">
        <f t="shared" si="25"/>
        <v>2156.87</v>
      </c>
      <c r="AC46">
        <f t="shared" si="51"/>
        <v>1759.69</v>
      </c>
      <c r="AD46">
        <f>ROUND((((ET46)-(EU46))+AE46),2)</f>
        <v>1.56</v>
      </c>
      <c r="AE46">
        <f t="shared" si="52"/>
        <v>0.68</v>
      </c>
      <c r="AF46">
        <f t="shared" si="52"/>
        <v>395.62</v>
      </c>
      <c r="AG46">
        <f t="shared" si="27"/>
        <v>0</v>
      </c>
      <c r="AH46">
        <f t="shared" si="53"/>
        <v>41.6</v>
      </c>
      <c r="AI46">
        <f t="shared" si="53"/>
        <v>0.05</v>
      </c>
      <c r="AJ46">
        <f t="shared" si="28"/>
        <v>0</v>
      </c>
      <c r="AK46">
        <v>2156.87</v>
      </c>
      <c r="AL46">
        <v>1759.69</v>
      </c>
      <c r="AM46">
        <v>1.56</v>
      </c>
      <c r="AN46">
        <v>0.68</v>
      </c>
      <c r="AO46">
        <v>395.62</v>
      </c>
      <c r="AP46">
        <v>0</v>
      </c>
      <c r="AQ46">
        <v>41.6</v>
      </c>
      <c r="AR46">
        <v>0.05</v>
      </c>
      <c r="AS46">
        <v>0</v>
      </c>
      <c r="AT46">
        <v>74</v>
      </c>
      <c r="AU46">
        <v>50</v>
      </c>
      <c r="AV46">
        <v>1</v>
      </c>
      <c r="AW46">
        <v>1</v>
      </c>
      <c r="AZ46">
        <v>6.48</v>
      </c>
      <c r="BA46">
        <v>6.48</v>
      </c>
      <c r="BB46">
        <v>6.48</v>
      </c>
      <c r="BC46">
        <v>6.48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125</v>
      </c>
      <c r="BM46">
        <v>65001</v>
      </c>
      <c r="BN46">
        <v>0</v>
      </c>
      <c r="BO46" t="s">
        <v>3</v>
      </c>
      <c r="BP46">
        <v>0</v>
      </c>
      <c r="BQ46">
        <v>6</v>
      </c>
      <c r="BR46">
        <v>0</v>
      </c>
      <c r="BS46">
        <v>6.48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74</v>
      </c>
      <c r="CA46">
        <v>50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29"/>
        <v>35220.82</v>
      </c>
      <c r="CQ46">
        <f t="shared" si="30"/>
        <v>11402.791200000001</v>
      </c>
      <c r="CR46">
        <f t="shared" si="31"/>
        <v>10.1088</v>
      </c>
      <c r="CS46">
        <f t="shared" si="32"/>
        <v>4.4064000000000005</v>
      </c>
      <c r="CT46">
        <f t="shared" si="33"/>
        <v>2563.6176</v>
      </c>
      <c r="CU46">
        <f t="shared" si="34"/>
        <v>0</v>
      </c>
      <c r="CV46">
        <f t="shared" si="35"/>
        <v>41.6</v>
      </c>
      <c r="CW46">
        <f t="shared" si="36"/>
        <v>0.05</v>
      </c>
      <c r="CX46">
        <f t="shared" si="37"/>
        <v>0</v>
      </c>
      <c r="CY46">
        <f t="shared" si="38"/>
        <v>4788.8508000000002</v>
      </c>
      <c r="CZ46">
        <f t="shared" si="39"/>
        <v>3235.71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1013</v>
      </c>
      <c r="DV46" t="s">
        <v>42</v>
      </c>
      <c r="DW46" t="s">
        <v>42</v>
      </c>
      <c r="DX46">
        <v>1</v>
      </c>
      <c r="EE46">
        <v>39174590</v>
      </c>
      <c r="EF46">
        <v>6</v>
      </c>
      <c r="EG46" t="s">
        <v>17</v>
      </c>
      <c r="EH46">
        <v>0</v>
      </c>
      <c r="EI46" t="s">
        <v>3</v>
      </c>
      <c r="EJ46">
        <v>1</v>
      </c>
      <c r="EK46">
        <v>65001</v>
      </c>
      <c r="EL46" t="s">
        <v>18</v>
      </c>
      <c r="EM46" t="s">
        <v>19</v>
      </c>
      <c r="EO46" t="s">
        <v>3</v>
      </c>
      <c r="EQ46">
        <v>0</v>
      </c>
      <c r="ER46">
        <v>2156.87</v>
      </c>
      <c r="ES46">
        <v>1759.69</v>
      </c>
      <c r="ET46">
        <v>1.56</v>
      </c>
      <c r="EU46">
        <v>0.68</v>
      </c>
      <c r="EV46">
        <v>395.62</v>
      </c>
      <c r="EW46">
        <v>41.6</v>
      </c>
      <c r="EX46">
        <v>0.05</v>
      </c>
      <c r="EY46">
        <v>0</v>
      </c>
      <c r="FQ46">
        <v>0</v>
      </c>
      <c r="FR46">
        <f t="shared" si="40"/>
        <v>0</v>
      </c>
      <c r="FS46">
        <v>0</v>
      </c>
      <c r="FX46">
        <v>74</v>
      </c>
      <c r="FY46">
        <v>50</v>
      </c>
      <c r="GA46" t="s">
        <v>3</v>
      </c>
      <c r="GD46">
        <v>0</v>
      </c>
      <c r="GF46">
        <v>458615643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1"/>
        <v>0</v>
      </c>
      <c r="GM46">
        <f t="shared" si="42"/>
        <v>43245.38</v>
      </c>
      <c r="GN46">
        <f t="shared" si="43"/>
        <v>43245.38</v>
      </c>
      <c r="GO46">
        <f t="shared" si="44"/>
        <v>0</v>
      </c>
      <c r="GP46">
        <f t="shared" si="45"/>
        <v>0</v>
      </c>
      <c r="GR46">
        <v>0</v>
      </c>
      <c r="GS46">
        <v>3</v>
      </c>
      <c r="GT46">
        <v>0</v>
      </c>
      <c r="GU46" t="s">
        <v>3</v>
      </c>
      <c r="GV46">
        <f t="shared" si="46"/>
        <v>0</v>
      </c>
      <c r="GW46">
        <v>1</v>
      </c>
      <c r="GX46">
        <f t="shared" si="47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96</v>
      </c>
      <c r="E47" t="s">
        <v>126</v>
      </c>
      <c r="F47" t="s">
        <v>127</v>
      </c>
      <c r="G47" t="s">
        <v>128</v>
      </c>
      <c r="H47" t="s">
        <v>48</v>
      </c>
      <c r="I47">
        <f>I46*J47</f>
        <v>-252</v>
      </c>
      <c r="J47">
        <v>-100</v>
      </c>
      <c r="O47">
        <f t="shared" si="14"/>
        <v>-27858.3</v>
      </c>
      <c r="P47">
        <f t="shared" si="15"/>
        <v>-27858.3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39088907</v>
      </c>
      <c r="AB47">
        <f t="shared" si="25"/>
        <v>17.059999999999999</v>
      </c>
      <c r="AC47">
        <f t="shared" si="51"/>
        <v>17.059999999999999</v>
      </c>
      <c r="AD47">
        <f>ROUND((((ET47)-(EU47))+AE47),2)</f>
        <v>0</v>
      </c>
      <c r="AE47">
        <f t="shared" si="52"/>
        <v>0</v>
      </c>
      <c r="AF47">
        <f t="shared" si="52"/>
        <v>0</v>
      </c>
      <c r="AG47">
        <f t="shared" si="27"/>
        <v>0</v>
      </c>
      <c r="AH47">
        <f t="shared" si="53"/>
        <v>0</v>
      </c>
      <c r="AI47">
        <f t="shared" si="53"/>
        <v>0</v>
      </c>
      <c r="AJ47">
        <f t="shared" si="28"/>
        <v>0</v>
      </c>
      <c r="AK47">
        <v>17.059999999999999</v>
      </c>
      <c r="AL47">
        <v>17.059999999999999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74</v>
      </c>
      <c r="AU47">
        <v>50</v>
      </c>
      <c r="AV47">
        <v>1</v>
      </c>
      <c r="AW47">
        <v>1</v>
      </c>
      <c r="AZ47">
        <v>6.48</v>
      </c>
      <c r="BA47">
        <v>1</v>
      </c>
      <c r="BB47">
        <v>1</v>
      </c>
      <c r="BC47">
        <v>6.48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129</v>
      </c>
      <c r="BM47">
        <v>65001</v>
      </c>
      <c r="BN47">
        <v>0</v>
      </c>
      <c r="BO47" t="s">
        <v>3</v>
      </c>
      <c r="BP47">
        <v>0</v>
      </c>
      <c r="BQ47">
        <v>6</v>
      </c>
      <c r="BR47">
        <v>1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74</v>
      </c>
      <c r="CA47">
        <v>50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29"/>
        <v>-27858.3</v>
      </c>
      <c r="CQ47">
        <f t="shared" si="30"/>
        <v>110.5488</v>
      </c>
      <c r="CR47">
        <f t="shared" si="31"/>
        <v>0</v>
      </c>
      <c r="CS47">
        <f t="shared" si="32"/>
        <v>0</v>
      </c>
      <c r="CT47">
        <f t="shared" si="33"/>
        <v>0</v>
      </c>
      <c r="CU47">
        <f t="shared" si="34"/>
        <v>0</v>
      </c>
      <c r="CV47">
        <f t="shared" si="35"/>
        <v>0</v>
      </c>
      <c r="CW47">
        <f t="shared" si="36"/>
        <v>0</v>
      </c>
      <c r="CX47">
        <f t="shared" si="37"/>
        <v>0</v>
      </c>
      <c r="CY47">
        <f t="shared" si="38"/>
        <v>0</v>
      </c>
      <c r="CZ47">
        <f t="shared" si="39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48</v>
      </c>
      <c r="DW47" t="s">
        <v>48</v>
      </c>
      <c r="DX47">
        <v>1</v>
      </c>
      <c r="EE47">
        <v>39174590</v>
      </c>
      <c r="EF47">
        <v>6</v>
      </c>
      <c r="EG47" t="s">
        <v>17</v>
      </c>
      <c r="EH47">
        <v>0</v>
      </c>
      <c r="EI47" t="s">
        <v>3</v>
      </c>
      <c r="EJ47">
        <v>1</v>
      </c>
      <c r="EK47">
        <v>65001</v>
      </c>
      <c r="EL47" t="s">
        <v>18</v>
      </c>
      <c r="EM47" t="s">
        <v>19</v>
      </c>
      <c r="EO47" t="s">
        <v>3</v>
      </c>
      <c r="EQ47">
        <v>0</v>
      </c>
      <c r="ER47">
        <v>17.059999999999999</v>
      </c>
      <c r="ES47">
        <v>17.059999999999999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0"/>
        <v>0</v>
      </c>
      <c r="FS47">
        <v>0</v>
      </c>
      <c r="FX47">
        <v>74</v>
      </c>
      <c r="FY47">
        <v>50</v>
      </c>
      <c r="GA47" t="s">
        <v>130</v>
      </c>
      <c r="GD47">
        <v>0</v>
      </c>
      <c r="GF47">
        <v>-912681129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1"/>
        <v>0</v>
      </c>
      <c r="GM47">
        <f t="shared" si="42"/>
        <v>-27858.3</v>
      </c>
      <c r="GN47">
        <f t="shared" si="43"/>
        <v>-27858.3</v>
      </c>
      <c r="GO47">
        <f t="shared" si="44"/>
        <v>0</v>
      </c>
      <c r="GP47">
        <f t="shared" si="45"/>
        <v>0</v>
      </c>
      <c r="GR47">
        <v>0</v>
      </c>
      <c r="GS47">
        <v>4</v>
      </c>
      <c r="GT47">
        <v>0</v>
      </c>
      <c r="GU47" t="s">
        <v>3</v>
      </c>
      <c r="GV47">
        <f t="shared" si="46"/>
        <v>0</v>
      </c>
      <c r="GW47">
        <v>1</v>
      </c>
      <c r="GX47">
        <f t="shared" si="47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95</v>
      </c>
      <c r="E48" t="s">
        <v>131</v>
      </c>
      <c r="F48" t="s">
        <v>132</v>
      </c>
      <c r="G48" t="s">
        <v>133</v>
      </c>
      <c r="H48" t="s">
        <v>48</v>
      </c>
      <c r="I48">
        <f>I46*J48</f>
        <v>252</v>
      </c>
      <c r="J48">
        <v>100</v>
      </c>
      <c r="O48">
        <f t="shared" si="14"/>
        <v>19334.25</v>
      </c>
      <c r="P48">
        <f t="shared" si="15"/>
        <v>19334.25</v>
      </c>
      <c r="Q48">
        <f t="shared" si="16"/>
        <v>0</v>
      </c>
      <c r="R48">
        <f t="shared" si="17"/>
        <v>0</v>
      </c>
      <c r="S48">
        <f t="shared" si="18"/>
        <v>0</v>
      </c>
      <c r="T48">
        <f t="shared" si="19"/>
        <v>0</v>
      </c>
      <c r="U48">
        <f t="shared" si="20"/>
        <v>0</v>
      </c>
      <c r="V48">
        <f t="shared" si="21"/>
        <v>0</v>
      </c>
      <c r="W48">
        <f t="shared" si="22"/>
        <v>0</v>
      </c>
      <c r="X48">
        <f t="shared" si="23"/>
        <v>0</v>
      </c>
      <c r="Y48">
        <f t="shared" si="24"/>
        <v>0</v>
      </c>
      <c r="AA48">
        <v>39088907</v>
      </c>
      <c r="AB48">
        <f t="shared" si="25"/>
        <v>11.84</v>
      </c>
      <c r="AC48">
        <f t="shared" si="51"/>
        <v>11.84</v>
      </c>
      <c r="AD48">
        <f>ROUND((((ET48)-(EU48))+AE48),2)</f>
        <v>0</v>
      </c>
      <c r="AE48">
        <f t="shared" si="52"/>
        <v>0</v>
      </c>
      <c r="AF48">
        <f t="shared" si="52"/>
        <v>0</v>
      </c>
      <c r="AG48">
        <f t="shared" si="27"/>
        <v>0</v>
      </c>
      <c r="AH48">
        <f t="shared" si="53"/>
        <v>0</v>
      </c>
      <c r="AI48">
        <f t="shared" si="53"/>
        <v>0</v>
      </c>
      <c r="AJ48">
        <f t="shared" si="28"/>
        <v>0</v>
      </c>
      <c r="AK48">
        <v>11.84</v>
      </c>
      <c r="AL48">
        <v>11.84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74</v>
      </c>
      <c r="AU48">
        <v>50</v>
      </c>
      <c r="AV48">
        <v>1</v>
      </c>
      <c r="AW48">
        <v>1</v>
      </c>
      <c r="AZ48">
        <v>6.48</v>
      </c>
      <c r="BA48">
        <v>1</v>
      </c>
      <c r="BB48">
        <v>1</v>
      </c>
      <c r="BC48">
        <v>6.48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134</v>
      </c>
      <c r="BM48">
        <v>65001</v>
      </c>
      <c r="BN48">
        <v>0</v>
      </c>
      <c r="BO48" t="s">
        <v>3</v>
      </c>
      <c r="BP48">
        <v>0</v>
      </c>
      <c r="BQ48">
        <v>6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74</v>
      </c>
      <c r="CA48">
        <v>50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29"/>
        <v>19334.25</v>
      </c>
      <c r="CQ48">
        <f t="shared" si="30"/>
        <v>76.723200000000006</v>
      </c>
      <c r="CR48">
        <f t="shared" si="31"/>
        <v>0</v>
      </c>
      <c r="CS48">
        <f t="shared" si="32"/>
        <v>0</v>
      </c>
      <c r="CT48">
        <f t="shared" si="33"/>
        <v>0</v>
      </c>
      <c r="CU48">
        <f t="shared" si="34"/>
        <v>0</v>
      </c>
      <c r="CV48">
        <f t="shared" si="35"/>
        <v>0</v>
      </c>
      <c r="CW48">
        <f t="shared" si="36"/>
        <v>0</v>
      </c>
      <c r="CX48">
        <f t="shared" si="37"/>
        <v>0</v>
      </c>
      <c r="CY48">
        <f t="shared" si="38"/>
        <v>0</v>
      </c>
      <c r="CZ48">
        <f t="shared" si="39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1010</v>
      </c>
      <c r="DV48" t="s">
        <v>48</v>
      </c>
      <c r="DW48" t="s">
        <v>48</v>
      </c>
      <c r="DX48">
        <v>1</v>
      </c>
      <c r="EE48">
        <v>39174590</v>
      </c>
      <c r="EF48">
        <v>6</v>
      </c>
      <c r="EG48" t="s">
        <v>17</v>
      </c>
      <c r="EH48">
        <v>0</v>
      </c>
      <c r="EI48" t="s">
        <v>3</v>
      </c>
      <c r="EJ48">
        <v>1</v>
      </c>
      <c r="EK48">
        <v>65001</v>
      </c>
      <c r="EL48" t="s">
        <v>18</v>
      </c>
      <c r="EM48" t="s">
        <v>19</v>
      </c>
      <c r="EO48" t="s">
        <v>3</v>
      </c>
      <c r="EQ48">
        <v>0</v>
      </c>
      <c r="ER48">
        <v>11.84</v>
      </c>
      <c r="ES48">
        <v>11.84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40"/>
        <v>0</v>
      </c>
      <c r="FS48">
        <v>0</v>
      </c>
      <c r="FX48">
        <v>74</v>
      </c>
      <c r="FY48">
        <v>50</v>
      </c>
      <c r="GA48" t="s">
        <v>3</v>
      </c>
      <c r="GD48">
        <v>0</v>
      </c>
      <c r="GF48">
        <v>-1811694936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1"/>
        <v>0</v>
      </c>
      <c r="GM48">
        <f t="shared" si="42"/>
        <v>19334.25</v>
      </c>
      <c r="GN48">
        <f t="shared" si="43"/>
        <v>19334.25</v>
      </c>
      <c r="GO48">
        <f t="shared" si="44"/>
        <v>0</v>
      </c>
      <c r="GP48">
        <f t="shared" si="45"/>
        <v>0</v>
      </c>
      <c r="GR48">
        <v>0</v>
      </c>
      <c r="GS48">
        <v>3</v>
      </c>
      <c r="GT48">
        <v>0</v>
      </c>
      <c r="GU48" t="s">
        <v>3</v>
      </c>
      <c r="GV48">
        <f t="shared" si="46"/>
        <v>0</v>
      </c>
      <c r="GW48">
        <v>1</v>
      </c>
      <c r="GX48">
        <f t="shared" si="47"/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ROW(SmtRes!A104)</f>
        <v>104</v>
      </c>
      <c r="D49">
        <f>ROW(EtalonRes!A117)</f>
        <v>117</v>
      </c>
      <c r="E49" t="s">
        <v>135</v>
      </c>
      <c r="F49" t="s">
        <v>136</v>
      </c>
      <c r="G49" t="s">
        <v>137</v>
      </c>
      <c r="H49" t="s">
        <v>23</v>
      </c>
      <c r="I49">
        <v>13</v>
      </c>
      <c r="J49">
        <v>0</v>
      </c>
      <c r="O49">
        <f t="shared" si="14"/>
        <v>19331.39</v>
      </c>
      <c r="P49">
        <f t="shared" si="15"/>
        <v>4500.1000000000004</v>
      </c>
      <c r="Q49">
        <f t="shared" si="16"/>
        <v>8543.6200000000008</v>
      </c>
      <c r="R49">
        <f t="shared" si="17"/>
        <v>908.11</v>
      </c>
      <c r="S49">
        <f t="shared" si="18"/>
        <v>6287.67</v>
      </c>
      <c r="T49">
        <f t="shared" si="19"/>
        <v>0</v>
      </c>
      <c r="U49">
        <f t="shared" si="20"/>
        <v>105.6965</v>
      </c>
      <c r="V49">
        <f t="shared" si="21"/>
        <v>10.4</v>
      </c>
      <c r="W49">
        <f t="shared" si="22"/>
        <v>0</v>
      </c>
      <c r="X49">
        <f t="shared" si="23"/>
        <v>8419.06</v>
      </c>
      <c r="Y49">
        <f t="shared" si="24"/>
        <v>5468.79</v>
      </c>
      <c r="AA49">
        <v>39088907</v>
      </c>
      <c r="AB49">
        <f t="shared" si="25"/>
        <v>229.48</v>
      </c>
      <c r="AC49">
        <f t="shared" si="51"/>
        <v>53.42</v>
      </c>
      <c r="AD49">
        <f>ROUND(((((ET49*1.25))-((EU49*1.25)))+AE49),2)</f>
        <v>101.42</v>
      </c>
      <c r="AE49">
        <f>ROUND(((EU49*1.25)),2)</f>
        <v>10.78</v>
      </c>
      <c r="AF49">
        <f>ROUND(((EV49*1.15)),2)</f>
        <v>74.64</v>
      </c>
      <c r="AG49">
        <f t="shared" si="27"/>
        <v>0</v>
      </c>
      <c r="AH49">
        <f>((EW49*1.15))</f>
        <v>8.1304999999999996</v>
      </c>
      <c r="AI49">
        <f>((EX49*1.25))</f>
        <v>0.8</v>
      </c>
      <c r="AJ49">
        <f t="shared" si="28"/>
        <v>0</v>
      </c>
      <c r="AK49">
        <v>199.45</v>
      </c>
      <c r="AL49">
        <v>53.42</v>
      </c>
      <c r="AM49">
        <v>81.13</v>
      </c>
      <c r="AN49">
        <v>8.6199999999999992</v>
      </c>
      <c r="AO49">
        <v>64.900000000000006</v>
      </c>
      <c r="AP49">
        <v>0</v>
      </c>
      <c r="AQ49">
        <v>7.07</v>
      </c>
      <c r="AR49">
        <v>0.64</v>
      </c>
      <c r="AS49">
        <v>0</v>
      </c>
      <c r="AT49">
        <v>117</v>
      </c>
      <c r="AU49">
        <v>76</v>
      </c>
      <c r="AV49">
        <v>1</v>
      </c>
      <c r="AW49">
        <v>1</v>
      </c>
      <c r="AZ49">
        <v>6.48</v>
      </c>
      <c r="BA49">
        <v>6.48</v>
      </c>
      <c r="BB49">
        <v>6.48</v>
      </c>
      <c r="BC49">
        <v>6.48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1</v>
      </c>
      <c r="BJ49" t="s">
        <v>138</v>
      </c>
      <c r="BM49">
        <v>22001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6.48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130</v>
      </c>
      <c r="CA49">
        <v>89</v>
      </c>
      <c r="CF49">
        <v>0</v>
      </c>
      <c r="CG49">
        <v>0</v>
      </c>
      <c r="CM49">
        <v>0</v>
      </c>
      <c r="CN49" t="s">
        <v>380</v>
      </c>
      <c r="CO49">
        <v>0</v>
      </c>
      <c r="CP49">
        <f t="shared" si="29"/>
        <v>19331.39</v>
      </c>
      <c r="CQ49">
        <f t="shared" si="30"/>
        <v>346.16160000000002</v>
      </c>
      <c r="CR49">
        <f t="shared" si="31"/>
        <v>657.2016000000001</v>
      </c>
      <c r="CS49">
        <f t="shared" si="32"/>
        <v>69.854399999999998</v>
      </c>
      <c r="CT49">
        <f t="shared" si="33"/>
        <v>483.66720000000004</v>
      </c>
      <c r="CU49">
        <f t="shared" si="34"/>
        <v>0</v>
      </c>
      <c r="CV49">
        <f t="shared" si="35"/>
        <v>8.1304999999999996</v>
      </c>
      <c r="CW49">
        <f t="shared" si="36"/>
        <v>0.8</v>
      </c>
      <c r="CX49">
        <f t="shared" si="37"/>
        <v>0</v>
      </c>
      <c r="CY49">
        <f t="shared" si="38"/>
        <v>8419.0625999999993</v>
      </c>
      <c r="CZ49">
        <f t="shared" si="39"/>
        <v>5468.7928000000002</v>
      </c>
      <c r="DC49" t="s">
        <v>3</v>
      </c>
      <c r="DD49" t="s">
        <v>3</v>
      </c>
      <c r="DE49" t="s">
        <v>31</v>
      </c>
      <c r="DF49" t="s">
        <v>31</v>
      </c>
      <c r="DG49" t="s">
        <v>32</v>
      </c>
      <c r="DH49" t="s">
        <v>3</v>
      </c>
      <c r="DI49" t="s">
        <v>32</v>
      </c>
      <c r="DJ49" t="s">
        <v>31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23</v>
      </c>
      <c r="DW49" t="s">
        <v>23</v>
      </c>
      <c r="DX49">
        <v>1</v>
      </c>
      <c r="EE49">
        <v>39174536</v>
      </c>
      <c r="EF49">
        <v>2</v>
      </c>
      <c r="EG49" t="s">
        <v>33</v>
      </c>
      <c r="EH49">
        <v>0</v>
      </c>
      <c r="EI49" t="s">
        <v>3</v>
      </c>
      <c r="EJ49">
        <v>1</v>
      </c>
      <c r="EK49">
        <v>22001</v>
      </c>
      <c r="EL49" t="s">
        <v>139</v>
      </c>
      <c r="EM49" t="s">
        <v>140</v>
      </c>
      <c r="EO49" t="s">
        <v>36</v>
      </c>
      <c r="EQ49">
        <v>0</v>
      </c>
      <c r="ER49">
        <v>199.45</v>
      </c>
      <c r="ES49">
        <v>53.42</v>
      </c>
      <c r="ET49">
        <v>81.13</v>
      </c>
      <c r="EU49">
        <v>8.6199999999999992</v>
      </c>
      <c r="EV49">
        <v>64.900000000000006</v>
      </c>
      <c r="EW49">
        <v>7.07</v>
      </c>
      <c r="EX49">
        <v>0.64</v>
      </c>
      <c r="EY49">
        <v>0</v>
      </c>
      <c r="FQ49">
        <v>0</v>
      </c>
      <c r="FR49">
        <f t="shared" si="40"/>
        <v>0</v>
      </c>
      <c r="FS49">
        <v>0</v>
      </c>
      <c r="FT49" t="s">
        <v>37</v>
      </c>
      <c r="FU49" t="s">
        <v>38</v>
      </c>
      <c r="FX49">
        <v>117</v>
      </c>
      <c r="FY49">
        <v>75.650000000000006</v>
      </c>
      <c r="GA49" t="s">
        <v>3</v>
      </c>
      <c r="GD49">
        <v>0</v>
      </c>
      <c r="GF49">
        <v>97478627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1"/>
        <v>0</v>
      </c>
      <c r="GM49">
        <f t="shared" si="42"/>
        <v>33219.24</v>
      </c>
      <c r="GN49">
        <f t="shared" si="43"/>
        <v>33219.24</v>
      </c>
      <c r="GO49">
        <f t="shared" si="44"/>
        <v>0</v>
      </c>
      <c r="GP49">
        <f t="shared" si="45"/>
        <v>0</v>
      </c>
      <c r="GR49">
        <v>0</v>
      </c>
      <c r="GS49">
        <v>3</v>
      </c>
      <c r="GT49">
        <v>0</v>
      </c>
      <c r="GU49" t="s">
        <v>3</v>
      </c>
      <c r="GV49">
        <f t="shared" si="46"/>
        <v>0</v>
      </c>
      <c r="GW49">
        <v>1</v>
      </c>
      <c r="GX49">
        <f t="shared" si="47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104</v>
      </c>
      <c r="E50" t="s">
        <v>141</v>
      </c>
      <c r="F50" t="s">
        <v>105</v>
      </c>
      <c r="G50" t="s">
        <v>106</v>
      </c>
      <c r="H50" t="s">
        <v>48</v>
      </c>
      <c r="I50">
        <f>I49*J50</f>
        <v>13</v>
      </c>
      <c r="J50">
        <v>1</v>
      </c>
      <c r="O50">
        <f t="shared" si="14"/>
        <v>665683.01</v>
      </c>
      <c r="P50">
        <f t="shared" si="15"/>
        <v>665683.01</v>
      </c>
      <c r="Q50">
        <f t="shared" si="16"/>
        <v>0</v>
      </c>
      <c r="R50">
        <f t="shared" si="17"/>
        <v>0</v>
      </c>
      <c r="S50">
        <f t="shared" si="18"/>
        <v>0</v>
      </c>
      <c r="T50">
        <f t="shared" si="19"/>
        <v>0</v>
      </c>
      <c r="U50">
        <f t="shared" si="20"/>
        <v>0</v>
      </c>
      <c r="V50">
        <f t="shared" si="21"/>
        <v>0</v>
      </c>
      <c r="W50">
        <f t="shared" si="22"/>
        <v>0</v>
      </c>
      <c r="X50">
        <f t="shared" si="23"/>
        <v>0</v>
      </c>
      <c r="Y50">
        <f t="shared" si="24"/>
        <v>0</v>
      </c>
      <c r="AA50">
        <v>39088907</v>
      </c>
      <c r="AB50">
        <f t="shared" si="25"/>
        <v>7902.22</v>
      </c>
      <c r="AC50">
        <f t="shared" si="51"/>
        <v>7902.22</v>
      </c>
      <c r="AD50">
        <f>ROUND((((ET50)-(EU50))+AE50),2)</f>
        <v>0</v>
      </c>
      <c r="AE50">
        <f>ROUND((EU50),2)</f>
        <v>0</v>
      </c>
      <c r="AF50">
        <f>ROUND((EV50),2)</f>
        <v>0</v>
      </c>
      <c r="AG50">
        <f t="shared" si="27"/>
        <v>0</v>
      </c>
      <c r="AH50">
        <f>(EW50)</f>
        <v>0</v>
      </c>
      <c r="AI50">
        <f>(EX50)</f>
        <v>0</v>
      </c>
      <c r="AJ50">
        <f t="shared" si="28"/>
        <v>0</v>
      </c>
      <c r="AK50">
        <v>7902.22</v>
      </c>
      <c r="AL50">
        <v>7902.22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117</v>
      </c>
      <c r="AU50">
        <v>76</v>
      </c>
      <c r="AV50">
        <v>1</v>
      </c>
      <c r="AW50">
        <v>1</v>
      </c>
      <c r="AZ50">
        <v>6.48</v>
      </c>
      <c r="BA50">
        <v>1</v>
      </c>
      <c r="BB50">
        <v>1</v>
      </c>
      <c r="BC50">
        <v>6.48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107</v>
      </c>
      <c r="BM50">
        <v>24001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130</v>
      </c>
      <c r="CA50">
        <v>89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29"/>
        <v>665683.01</v>
      </c>
      <c r="CQ50">
        <f t="shared" si="30"/>
        <v>51206.385600000001</v>
      </c>
      <c r="CR50">
        <f t="shared" si="31"/>
        <v>0</v>
      </c>
      <c r="CS50">
        <f t="shared" si="32"/>
        <v>0</v>
      </c>
      <c r="CT50">
        <f t="shared" si="33"/>
        <v>0</v>
      </c>
      <c r="CU50">
        <f t="shared" si="34"/>
        <v>0</v>
      </c>
      <c r="CV50">
        <f t="shared" si="35"/>
        <v>0</v>
      </c>
      <c r="CW50">
        <f t="shared" si="36"/>
        <v>0</v>
      </c>
      <c r="CX50">
        <f t="shared" si="37"/>
        <v>0</v>
      </c>
      <c r="CY50">
        <f t="shared" si="38"/>
        <v>0</v>
      </c>
      <c r="CZ50">
        <f t="shared" si="39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1010</v>
      </c>
      <c r="DV50" t="s">
        <v>48</v>
      </c>
      <c r="DW50" t="s">
        <v>48</v>
      </c>
      <c r="DX50">
        <v>1</v>
      </c>
      <c r="EE50">
        <v>39174538</v>
      </c>
      <c r="EF50">
        <v>2</v>
      </c>
      <c r="EG50" t="s">
        <v>33</v>
      </c>
      <c r="EH50">
        <v>0</v>
      </c>
      <c r="EI50" t="s">
        <v>3</v>
      </c>
      <c r="EJ50">
        <v>1</v>
      </c>
      <c r="EK50">
        <v>24001</v>
      </c>
      <c r="EL50" t="s">
        <v>68</v>
      </c>
      <c r="EM50" t="s">
        <v>69</v>
      </c>
      <c r="EO50" t="s">
        <v>3</v>
      </c>
      <c r="EQ50">
        <v>0</v>
      </c>
      <c r="ER50">
        <v>7902.22</v>
      </c>
      <c r="ES50">
        <v>7902.22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40"/>
        <v>0</v>
      </c>
      <c r="FS50">
        <v>0</v>
      </c>
      <c r="FT50" t="s">
        <v>37</v>
      </c>
      <c r="FU50" t="s">
        <v>38</v>
      </c>
      <c r="FX50">
        <v>117</v>
      </c>
      <c r="FY50">
        <v>75.650000000000006</v>
      </c>
      <c r="GA50" t="s">
        <v>3</v>
      </c>
      <c r="GD50">
        <v>0</v>
      </c>
      <c r="GF50">
        <v>-1090113094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1"/>
        <v>0</v>
      </c>
      <c r="GM50">
        <f t="shared" si="42"/>
        <v>665683.01</v>
      </c>
      <c r="GN50">
        <f t="shared" si="43"/>
        <v>665683.01</v>
      </c>
      <c r="GO50">
        <f t="shared" si="44"/>
        <v>0</v>
      </c>
      <c r="GP50">
        <f t="shared" si="45"/>
        <v>0</v>
      </c>
      <c r="GR50">
        <v>0</v>
      </c>
      <c r="GS50">
        <v>3</v>
      </c>
      <c r="GT50">
        <v>0</v>
      </c>
      <c r="GU50" t="s">
        <v>3</v>
      </c>
      <c r="GV50">
        <f t="shared" si="46"/>
        <v>0</v>
      </c>
      <c r="GW50">
        <v>1</v>
      </c>
      <c r="GX50">
        <f t="shared" si="47"/>
        <v>0</v>
      </c>
      <c r="HA50">
        <v>0</v>
      </c>
      <c r="HB50">
        <v>0</v>
      </c>
      <c r="IK50">
        <v>0</v>
      </c>
    </row>
    <row r="51" spans="1:245" x14ac:dyDescent="0.2">
      <c r="A51">
        <v>17</v>
      </c>
      <c r="B51">
        <v>1</v>
      </c>
      <c r="C51">
        <f>ROW(SmtRes!A112)</f>
        <v>112</v>
      </c>
      <c r="D51">
        <f>ROW(EtalonRes!A124)</f>
        <v>124</v>
      </c>
      <c r="E51" t="s">
        <v>142</v>
      </c>
      <c r="F51" t="s">
        <v>143</v>
      </c>
      <c r="G51" t="s">
        <v>144</v>
      </c>
      <c r="H51" t="s">
        <v>145</v>
      </c>
      <c r="I51">
        <v>0.15</v>
      </c>
      <c r="J51">
        <v>0</v>
      </c>
      <c r="O51">
        <f t="shared" si="14"/>
        <v>792.62</v>
      </c>
      <c r="P51">
        <f t="shared" si="15"/>
        <v>86.09</v>
      </c>
      <c r="Q51">
        <f t="shared" si="16"/>
        <v>2.77</v>
      </c>
      <c r="R51">
        <f t="shared" si="17"/>
        <v>0.59</v>
      </c>
      <c r="S51">
        <f t="shared" si="18"/>
        <v>703.76</v>
      </c>
      <c r="T51">
        <f t="shared" si="19"/>
        <v>0</v>
      </c>
      <c r="U51">
        <f t="shared" si="20"/>
        <v>12.257849999999999</v>
      </c>
      <c r="V51">
        <f t="shared" si="21"/>
        <v>7.4999999999999997E-3</v>
      </c>
      <c r="W51">
        <f t="shared" si="22"/>
        <v>0</v>
      </c>
      <c r="X51">
        <f t="shared" si="23"/>
        <v>669.13</v>
      </c>
      <c r="Y51">
        <f t="shared" si="24"/>
        <v>331.04</v>
      </c>
      <c r="AA51">
        <v>39088907</v>
      </c>
      <c r="AB51">
        <f t="shared" si="25"/>
        <v>815.45</v>
      </c>
      <c r="AC51">
        <f t="shared" si="51"/>
        <v>88.57</v>
      </c>
      <c r="AD51">
        <f>ROUND(((((ET51*1.25))-((EU51*1.25)))+AE51),2)</f>
        <v>2.85</v>
      </c>
      <c r="AE51">
        <f>ROUND(((EU51*1.25)),2)</f>
        <v>0.61</v>
      </c>
      <c r="AF51">
        <f>ROUND(((EV51*1.15)),2)</f>
        <v>724.03</v>
      </c>
      <c r="AG51">
        <f t="shared" si="27"/>
        <v>0</v>
      </c>
      <c r="AH51">
        <f>((EW51*1.15))</f>
        <v>81.718999999999994</v>
      </c>
      <c r="AI51">
        <f>((EX51*1.25))</f>
        <v>0.05</v>
      </c>
      <c r="AJ51">
        <f t="shared" si="28"/>
        <v>0</v>
      </c>
      <c r="AK51">
        <v>720.44</v>
      </c>
      <c r="AL51">
        <v>88.57</v>
      </c>
      <c r="AM51">
        <v>2.2799999999999998</v>
      </c>
      <c r="AN51">
        <v>0.49</v>
      </c>
      <c r="AO51">
        <v>629.59</v>
      </c>
      <c r="AP51">
        <v>0</v>
      </c>
      <c r="AQ51">
        <v>71.06</v>
      </c>
      <c r="AR51">
        <v>0.04</v>
      </c>
      <c r="AS51">
        <v>0</v>
      </c>
      <c r="AT51">
        <v>95</v>
      </c>
      <c r="AU51">
        <v>47</v>
      </c>
      <c r="AV51">
        <v>1</v>
      </c>
      <c r="AW51">
        <v>1</v>
      </c>
      <c r="AZ51">
        <v>6.48</v>
      </c>
      <c r="BA51">
        <v>6.48</v>
      </c>
      <c r="BB51">
        <v>6.48</v>
      </c>
      <c r="BC51">
        <v>6.48</v>
      </c>
      <c r="BD51" t="s">
        <v>3</v>
      </c>
      <c r="BE51" t="s">
        <v>3</v>
      </c>
      <c r="BF51" t="s">
        <v>3</v>
      </c>
      <c r="BG51" t="s">
        <v>3</v>
      </c>
      <c r="BH51">
        <v>0</v>
      </c>
      <c r="BI51">
        <v>1</v>
      </c>
      <c r="BJ51" t="s">
        <v>146</v>
      </c>
      <c r="BM51">
        <v>15001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6.48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105</v>
      </c>
      <c r="CA51">
        <v>55</v>
      </c>
      <c r="CF51">
        <v>0</v>
      </c>
      <c r="CG51">
        <v>0</v>
      </c>
      <c r="CM51">
        <v>0</v>
      </c>
      <c r="CN51" t="s">
        <v>380</v>
      </c>
      <c r="CO51">
        <v>0</v>
      </c>
      <c r="CP51">
        <f t="shared" si="29"/>
        <v>792.62</v>
      </c>
      <c r="CQ51">
        <f t="shared" si="30"/>
        <v>573.93359999999996</v>
      </c>
      <c r="CR51">
        <f t="shared" si="31"/>
        <v>18.468000000000004</v>
      </c>
      <c r="CS51">
        <f t="shared" si="32"/>
        <v>3.9528000000000003</v>
      </c>
      <c r="CT51">
        <f t="shared" si="33"/>
        <v>4691.7143999999998</v>
      </c>
      <c r="CU51">
        <f t="shared" si="34"/>
        <v>0</v>
      </c>
      <c r="CV51">
        <f t="shared" si="35"/>
        <v>81.718999999999994</v>
      </c>
      <c r="CW51">
        <f t="shared" si="36"/>
        <v>0.05</v>
      </c>
      <c r="CX51">
        <f t="shared" si="37"/>
        <v>0</v>
      </c>
      <c r="CY51">
        <f t="shared" si="38"/>
        <v>669.13250000000005</v>
      </c>
      <c r="CZ51">
        <f t="shared" si="39"/>
        <v>331.04450000000003</v>
      </c>
      <c r="DC51" t="s">
        <v>3</v>
      </c>
      <c r="DD51" t="s">
        <v>3</v>
      </c>
      <c r="DE51" t="s">
        <v>31</v>
      </c>
      <c r="DF51" t="s">
        <v>31</v>
      </c>
      <c r="DG51" t="s">
        <v>32</v>
      </c>
      <c r="DH51" t="s">
        <v>3</v>
      </c>
      <c r="DI51" t="s">
        <v>32</v>
      </c>
      <c r="DJ51" t="s">
        <v>31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145</v>
      </c>
      <c r="DW51" t="s">
        <v>145</v>
      </c>
      <c r="DX51">
        <v>100</v>
      </c>
      <c r="EE51">
        <v>39174529</v>
      </c>
      <c r="EF51">
        <v>2</v>
      </c>
      <c r="EG51" t="s">
        <v>33</v>
      </c>
      <c r="EH51">
        <v>0</v>
      </c>
      <c r="EI51" t="s">
        <v>3</v>
      </c>
      <c r="EJ51">
        <v>1</v>
      </c>
      <c r="EK51">
        <v>15001</v>
      </c>
      <c r="EL51" t="s">
        <v>147</v>
      </c>
      <c r="EM51" t="s">
        <v>148</v>
      </c>
      <c r="EO51" t="s">
        <v>36</v>
      </c>
      <c r="EQ51">
        <v>0</v>
      </c>
      <c r="ER51">
        <v>720.44</v>
      </c>
      <c r="ES51">
        <v>88.57</v>
      </c>
      <c r="ET51">
        <v>2.2799999999999998</v>
      </c>
      <c r="EU51">
        <v>0.49</v>
      </c>
      <c r="EV51">
        <v>629.59</v>
      </c>
      <c r="EW51">
        <v>71.06</v>
      </c>
      <c r="EX51">
        <v>0.04</v>
      </c>
      <c r="EY51">
        <v>0</v>
      </c>
      <c r="FQ51">
        <v>0</v>
      </c>
      <c r="FR51">
        <f t="shared" si="40"/>
        <v>0</v>
      </c>
      <c r="FS51">
        <v>0</v>
      </c>
      <c r="FT51" t="s">
        <v>37</v>
      </c>
      <c r="FU51" t="s">
        <v>38</v>
      </c>
      <c r="FX51">
        <v>94.5</v>
      </c>
      <c r="FY51">
        <v>46.75</v>
      </c>
      <c r="GA51" t="s">
        <v>3</v>
      </c>
      <c r="GD51">
        <v>0</v>
      </c>
      <c r="GF51">
        <v>-1311473070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1"/>
        <v>0</v>
      </c>
      <c r="GM51">
        <f t="shared" si="42"/>
        <v>1792.79</v>
      </c>
      <c r="GN51">
        <f t="shared" si="43"/>
        <v>1792.79</v>
      </c>
      <c r="GO51">
        <f t="shared" si="44"/>
        <v>0</v>
      </c>
      <c r="GP51">
        <f t="shared" si="45"/>
        <v>0</v>
      </c>
      <c r="GR51">
        <v>0</v>
      </c>
      <c r="GS51">
        <v>3</v>
      </c>
      <c r="GT51">
        <v>0</v>
      </c>
      <c r="GU51" t="s">
        <v>3</v>
      </c>
      <c r="GV51">
        <f t="shared" si="46"/>
        <v>0</v>
      </c>
      <c r="GW51">
        <v>1</v>
      </c>
      <c r="GX51">
        <f t="shared" si="47"/>
        <v>0</v>
      </c>
      <c r="HA51">
        <v>0</v>
      </c>
      <c r="HB51">
        <v>0</v>
      </c>
      <c r="IK51">
        <v>0</v>
      </c>
    </row>
    <row r="52" spans="1:245" x14ac:dyDescent="0.2">
      <c r="A52">
        <v>18</v>
      </c>
      <c r="B52">
        <v>1</v>
      </c>
      <c r="C52">
        <v>111</v>
      </c>
      <c r="E52" t="s">
        <v>149</v>
      </c>
      <c r="F52" t="s">
        <v>150</v>
      </c>
      <c r="G52" t="s">
        <v>151</v>
      </c>
      <c r="H52" t="s">
        <v>152</v>
      </c>
      <c r="I52">
        <f>I51*J52</f>
        <v>3.6899999999999997E-3</v>
      </c>
      <c r="J52">
        <v>2.46E-2</v>
      </c>
      <c r="O52">
        <f t="shared" si="14"/>
        <v>976.92</v>
      </c>
      <c r="P52">
        <f t="shared" si="15"/>
        <v>976.92</v>
      </c>
      <c r="Q52">
        <f t="shared" si="16"/>
        <v>0</v>
      </c>
      <c r="R52">
        <f t="shared" si="17"/>
        <v>0</v>
      </c>
      <c r="S52">
        <f t="shared" si="18"/>
        <v>0</v>
      </c>
      <c r="T52">
        <f t="shared" si="19"/>
        <v>0</v>
      </c>
      <c r="U52">
        <f t="shared" si="20"/>
        <v>0</v>
      </c>
      <c r="V52">
        <f t="shared" si="21"/>
        <v>0</v>
      </c>
      <c r="W52">
        <f t="shared" si="22"/>
        <v>0</v>
      </c>
      <c r="X52">
        <f t="shared" si="23"/>
        <v>0</v>
      </c>
      <c r="Y52">
        <f t="shared" si="24"/>
        <v>0</v>
      </c>
      <c r="AA52">
        <v>39088907</v>
      </c>
      <c r="AB52">
        <f t="shared" si="25"/>
        <v>40856.160000000003</v>
      </c>
      <c r="AC52">
        <f t="shared" si="51"/>
        <v>40856.160000000003</v>
      </c>
      <c r="AD52">
        <f>ROUND((((ET52)-(EU52))+AE52),2)</f>
        <v>0</v>
      </c>
      <c r="AE52">
        <f>ROUND((EU52),2)</f>
        <v>0</v>
      </c>
      <c r="AF52">
        <f>ROUND((EV52),2)</f>
        <v>0</v>
      </c>
      <c r="AG52">
        <f t="shared" si="27"/>
        <v>0</v>
      </c>
      <c r="AH52">
        <f>(EW52)</f>
        <v>0</v>
      </c>
      <c r="AI52">
        <f>(EX52)</f>
        <v>0</v>
      </c>
      <c r="AJ52">
        <f t="shared" si="28"/>
        <v>0</v>
      </c>
      <c r="AK52">
        <v>40856.160000000003</v>
      </c>
      <c r="AL52">
        <v>40856.160000000003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95</v>
      </c>
      <c r="AU52">
        <v>47</v>
      </c>
      <c r="AV52">
        <v>1</v>
      </c>
      <c r="AW52">
        <v>1</v>
      </c>
      <c r="AZ52">
        <v>6.48</v>
      </c>
      <c r="BA52">
        <v>1</v>
      </c>
      <c r="BB52">
        <v>1</v>
      </c>
      <c r="BC52">
        <v>6.48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1</v>
      </c>
      <c r="BJ52" t="s">
        <v>153</v>
      </c>
      <c r="BM52">
        <v>15001</v>
      </c>
      <c r="BN52">
        <v>0</v>
      </c>
      <c r="BO52" t="s">
        <v>3</v>
      </c>
      <c r="BP52">
        <v>0</v>
      </c>
      <c r="BQ52">
        <v>2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105</v>
      </c>
      <c r="CA52">
        <v>55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29"/>
        <v>976.92</v>
      </c>
      <c r="CQ52">
        <f t="shared" si="30"/>
        <v>264747.91680000006</v>
      </c>
      <c r="CR52">
        <f t="shared" si="31"/>
        <v>0</v>
      </c>
      <c r="CS52">
        <f t="shared" si="32"/>
        <v>0</v>
      </c>
      <c r="CT52">
        <f t="shared" si="33"/>
        <v>0</v>
      </c>
      <c r="CU52">
        <f t="shared" si="34"/>
        <v>0</v>
      </c>
      <c r="CV52">
        <f t="shared" si="35"/>
        <v>0</v>
      </c>
      <c r="CW52">
        <f t="shared" si="36"/>
        <v>0</v>
      </c>
      <c r="CX52">
        <f t="shared" si="37"/>
        <v>0</v>
      </c>
      <c r="CY52">
        <f t="shared" si="38"/>
        <v>0</v>
      </c>
      <c r="CZ52">
        <f t="shared" si="39"/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1009</v>
      </c>
      <c r="DV52" t="s">
        <v>152</v>
      </c>
      <c r="DW52" t="s">
        <v>152</v>
      </c>
      <c r="DX52">
        <v>1000</v>
      </c>
      <c r="EE52">
        <v>39174529</v>
      </c>
      <c r="EF52">
        <v>2</v>
      </c>
      <c r="EG52" t="s">
        <v>33</v>
      </c>
      <c r="EH52">
        <v>0</v>
      </c>
      <c r="EI52" t="s">
        <v>3</v>
      </c>
      <c r="EJ52">
        <v>1</v>
      </c>
      <c r="EK52">
        <v>15001</v>
      </c>
      <c r="EL52" t="s">
        <v>147</v>
      </c>
      <c r="EM52" t="s">
        <v>148</v>
      </c>
      <c r="EO52" t="s">
        <v>3</v>
      </c>
      <c r="EQ52">
        <v>0</v>
      </c>
      <c r="ER52">
        <v>40856.160000000003</v>
      </c>
      <c r="ES52">
        <v>40856.160000000003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40"/>
        <v>0</v>
      </c>
      <c r="FS52">
        <v>0</v>
      </c>
      <c r="FT52" t="s">
        <v>37</v>
      </c>
      <c r="FU52" t="s">
        <v>38</v>
      </c>
      <c r="FX52">
        <v>94.5</v>
      </c>
      <c r="FY52">
        <v>46.75</v>
      </c>
      <c r="GA52" t="s">
        <v>3</v>
      </c>
      <c r="GD52">
        <v>0</v>
      </c>
      <c r="GF52">
        <v>-2121302356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1"/>
        <v>0</v>
      </c>
      <c r="GM52">
        <f t="shared" si="42"/>
        <v>976.92</v>
      </c>
      <c r="GN52">
        <f t="shared" si="43"/>
        <v>976.92</v>
      </c>
      <c r="GO52">
        <f t="shared" si="44"/>
        <v>0</v>
      </c>
      <c r="GP52">
        <f t="shared" si="45"/>
        <v>0</v>
      </c>
      <c r="GR52">
        <v>0</v>
      </c>
      <c r="GS52">
        <v>3</v>
      </c>
      <c r="GT52">
        <v>0</v>
      </c>
      <c r="GU52" t="s">
        <v>3</v>
      </c>
      <c r="GV52">
        <f t="shared" si="46"/>
        <v>0</v>
      </c>
      <c r="GW52">
        <v>1</v>
      </c>
      <c r="GX52">
        <f t="shared" si="47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110</v>
      </c>
      <c r="E53" t="s">
        <v>154</v>
      </c>
      <c r="F53" t="s">
        <v>155</v>
      </c>
      <c r="G53" t="s">
        <v>156</v>
      </c>
      <c r="H53" t="s">
        <v>152</v>
      </c>
      <c r="I53">
        <f>I51*J53</f>
        <v>3.6899999999999997E-3</v>
      </c>
      <c r="J53">
        <v>2.46E-2</v>
      </c>
      <c r="O53">
        <f t="shared" si="14"/>
        <v>0</v>
      </c>
      <c r="P53">
        <f t="shared" si="15"/>
        <v>0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39088907</v>
      </c>
      <c r="AB53">
        <f t="shared" si="25"/>
        <v>0</v>
      </c>
      <c r="AC53">
        <f t="shared" si="51"/>
        <v>0</v>
      </c>
      <c r="AD53">
        <f>ROUND((((ET53)-(EU53))+AE53),2)</f>
        <v>0</v>
      </c>
      <c r="AE53">
        <f>ROUND((EU53),2)</f>
        <v>0</v>
      </c>
      <c r="AF53">
        <f>ROUND((EV53),2)</f>
        <v>0</v>
      </c>
      <c r="AG53">
        <f t="shared" si="27"/>
        <v>0</v>
      </c>
      <c r="AH53">
        <f>(EW53)</f>
        <v>0</v>
      </c>
      <c r="AI53">
        <f>(EX53)</f>
        <v>0</v>
      </c>
      <c r="AJ53">
        <f t="shared" si="28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47</v>
      </c>
      <c r="AV53">
        <v>1</v>
      </c>
      <c r="AW53">
        <v>1</v>
      </c>
      <c r="AZ53">
        <v>6.48</v>
      </c>
      <c r="BA53">
        <v>1</v>
      </c>
      <c r="BB53">
        <v>1</v>
      </c>
      <c r="BC53">
        <v>6.48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3</v>
      </c>
      <c r="BM53">
        <v>15001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105</v>
      </c>
      <c r="CA53">
        <v>55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29"/>
        <v>0</v>
      </c>
      <c r="CQ53">
        <f t="shared" si="30"/>
        <v>0</v>
      </c>
      <c r="CR53">
        <f t="shared" si="31"/>
        <v>0</v>
      </c>
      <c r="CS53">
        <f t="shared" si="32"/>
        <v>0</v>
      </c>
      <c r="CT53">
        <f t="shared" si="33"/>
        <v>0</v>
      </c>
      <c r="CU53">
        <f t="shared" si="34"/>
        <v>0</v>
      </c>
      <c r="CV53">
        <f t="shared" si="35"/>
        <v>0</v>
      </c>
      <c r="CW53">
        <f t="shared" si="36"/>
        <v>0</v>
      </c>
      <c r="CX53">
        <f t="shared" si="37"/>
        <v>0</v>
      </c>
      <c r="CY53">
        <f t="shared" si="38"/>
        <v>0</v>
      </c>
      <c r="CZ53">
        <f t="shared" si="39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152</v>
      </c>
      <c r="DW53" t="s">
        <v>152</v>
      </c>
      <c r="DX53">
        <v>1000</v>
      </c>
      <c r="EE53">
        <v>39174529</v>
      </c>
      <c r="EF53">
        <v>2</v>
      </c>
      <c r="EG53" t="s">
        <v>33</v>
      </c>
      <c r="EH53">
        <v>0</v>
      </c>
      <c r="EI53" t="s">
        <v>3</v>
      </c>
      <c r="EJ53">
        <v>1</v>
      </c>
      <c r="EK53">
        <v>15001</v>
      </c>
      <c r="EL53" t="s">
        <v>147</v>
      </c>
      <c r="EM53" t="s">
        <v>148</v>
      </c>
      <c r="EO53" t="s">
        <v>3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0"/>
        <v>0</v>
      </c>
      <c r="FS53">
        <v>0</v>
      </c>
      <c r="FT53" t="s">
        <v>37</v>
      </c>
      <c r="FU53" t="s">
        <v>38</v>
      </c>
      <c r="FX53">
        <v>94.5</v>
      </c>
      <c r="FY53">
        <v>46.75</v>
      </c>
      <c r="GA53" t="s">
        <v>130</v>
      </c>
      <c r="GD53">
        <v>0</v>
      </c>
      <c r="GF53">
        <v>84301199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1"/>
        <v>0</v>
      </c>
      <c r="GM53">
        <f t="shared" si="42"/>
        <v>0</v>
      </c>
      <c r="GN53">
        <f t="shared" si="43"/>
        <v>0</v>
      </c>
      <c r="GO53">
        <f t="shared" si="44"/>
        <v>0</v>
      </c>
      <c r="GP53">
        <f t="shared" si="45"/>
        <v>0</v>
      </c>
      <c r="GR53">
        <v>0</v>
      </c>
      <c r="GS53">
        <v>4</v>
      </c>
      <c r="GT53">
        <v>0</v>
      </c>
      <c r="GU53" t="s">
        <v>3</v>
      </c>
      <c r="GV53">
        <f t="shared" si="46"/>
        <v>0</v>
      </c>
      <c r="GW53">
        <v>1</v>
      </c>
      <c r="GX53">
        <f t="shared" si="47"/>
        <v>0</v>
      </c>
      <c r="HA53">
        <v>0</v>
      </c>
      <c r="HB53">
        <v>0</v>
      </c>
      <c r="IK53">
        <v>0</v>
      </c>
    </row>
    <row r="55" spans="1:245" x14ac:dyDescent="0.2">
      <c r="A55" s="2">
        <v>51</v>
      </c>
      <c r="B55" s="2">
        <f>B20</f>
        <v>1</v>
      </c>
      <c r="C55" s="2">
        <f>A20</f>
        <v>3</v>
      </c>
      <c r="D55" s="2">
        <f>ROW(A20)</f>
        <v>20</v>
      </c>
      <c r="E55" s="2"/>
      <c r="F55" s="2" t="str">
        <f>IF(F20&lt;&gt;"",F20,"")</f>
        <v>Новая локальная смета</v>
      </c>
      <c r="G55" s="2" t="str">
        <f>IF(G20&lt;&gt;"",G20,"")</f>
        <v>Новая локальная смета</v>
      </c>
      <c r="H55" s="2">
        <v>0</v>
      </c>
      <c r="I55" s="2"/>
      <c r="J55" s="2"/>
      <c r="K55" s="2"/>
      <c r="L55" s="2"/>
      <c r="M55" s="2"/>
      <c r="N55" s="2"/>
      <c r="O55" s="2">
        <f t="shared" ref="O55:T55" si="54">ROUND(AB55,2)</f>
        <v>1669289.66</v>
      </c>
      <c r="P55" s="2">
        <f t="shared" si="54"/>
        <v>1562028.68</v>
      </c>
      <c r="Q55" s="2">
        <f t="shared" si="54"/>
        <v>33278.79</v>
      </c>
      <c r="R55" s="2">
        <f t="shared" si="54"/>
        <v>2953.65</v>
      </c>
      <c r="S55" s="2">
        <f t="shared" si="54"/>
        <v>73982.19</v>
      </c>
      <c r="T55" s="2">
        <f t="shared" si="54"/>
        <v>0</v>
      </c>
      <c r="U55" s="2">
        <f>AH55</f>
        <v>1262.3331999999998</v>
      </c>
      <c r="V55" s="2">
        <f>AI55</f>
        <v>34.922000000000004</v>
      </c>
      <c r="W55" s="2">
        <f>ROUND(AJ55,2)</f>
        <v>0</v>
      </c>
      <c r="X55" s="2">
        <f>ROUND(AK55,2)</f>
        <v>81836.38</v>
      </c>
      <c r="Y55" s="2">
        <f>ROUND(AL55,2)</f>
        <v>51152.86</v>
      </c>
      <c r="Z55" s="2"/>
      <c r="AA55" s="2"/>
      <c r="AB55" s="2">
        <f>ROUND(SUMIF(AA24:AA53,"=39088907",O24:O53),2)</f>
        <v>1669289.66</v>
      </c>
      <c r="AC55" s="2">
        <f>ROUND(SUMIF(AA24:AA53,"=39088907",P24:P53),2)</f>
        <v>1562028.68</v>
      </c>
      <c r="AD55" s="2">
        <f>ROUND(SUMIF(AA24:AA53,"=39088907",Q24:Q53),2)</f>
        <v>33278.79</v>
      </c>
      <c r="AE55" s="2">
        <f>ROUND(SUMIF(AA24:AA53,"=39088907",R24:R53),2)</f>
        <v>2953.65</v>
      </c>
      <c r="AF55" s="2">
        <f>ROUND(SUMIF(AA24:AA53,"=39088907",S24:S53),2)</f>
        <v>73982.19</v>
      </c>
      <c r="AG55" s="2">
        <f>ROUND(SUMIF(AA24:AA53,"=39088907",T24:T53),2)</f>
        <v>0</v>
      </c>
      <c r="AH55" s="2">
        <f>SUMIF(AA24:AA53,"=39088907",U24:U53)</f>
        <v>1262.3331999999998</v>
      </c>
      <c r="AI55" s="2">
        <f>SUMIF(AA24:AA53,"=39088907",V24:V53)</f>
        <v>34.922000000000004</v>
      </c>
      <c r="AJ55" s="2">
        <f>ROUND(SUMIF(AA24:AA53,"=39088907",W24:W53),2)</f>
        <v>0</v>
      </c>
      <c r="AK55" s="2">
        <f>ROUND(SUMIF(AA24:AA53,"=39088907",X24:X53),2)</f>
        <v>81836.38</v>
      </c>
      <c r="AL55" s="2">
        <f>ROUND(SUMIF(AA24:AA53,"=39088907",Y24:Y53),2)</f>
        <v>51152.86</v>
      </c>
      <c r="AM55" s="2"/>
      <c r="AN55" s="2"/>
      <c r="AO55" s="2">
        <f t="shared" ref="AO55:BC55" si="55">ROUND(BX55,2)</f>
        <v>0</v>
      </c>
      <c r="AP55" s="2">
        <f t="shared" si="55"/>
        <v>0</v>
      </c>
      <c r="AQ55" s="2">
        <f t="shared" si="55"/>
        <v>0</v>
      </c>
      <c r="AR55" s="2">
        <f t="shared" si="55"/>
        <v>1802278.9</v>
      </c>
      <c r="AS55" s="2">
        <f t="shared" si="55"/>
        <v>1802278.9</v>
      </c>
      <c r="AT55" s="2">
        <f t="shared" si="55"/>
        <v>0</v>
      </c>
      <c r="AU55" s="2">
        <f t="shared" si="55"/>
        <v>0</v>
      </c>
      <c r="AV55" s="2">
        <f t="shared" si="55"/>
        <v>1562028.68</v>
      </c>
      <c r="AW55" s="2">
        <f t="shared" si="55"/>
        <v>1562028.68</v>
      </c>
      <c r="AX55" s="2">
        <f t="shared" si="55"/>
        <v>0</v>
      </c>
      <c r="AY55" s="2">
        <f t="shared" si="55"/>
        <v>1562028.68</v>
      </c>
      <c r="AZ55" s="2">
        <f t="shared" si="55"/>
        <v>0</v>
      </c>
      <c r="BA55" s="2">
        <f t="shared" si="55"/>
        <v>0</v>
      </c>
      <c r="BB55" s="2">
        <f t="shared" si="55"/>
        <v>0</v>
      </c>
      <c r="BC55" s="2">
        <f t="shared" si="55"/>
        <v>0</v>
      </c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>
        <f>ROUND(SUMIF(AA24:AA53,"=39088907",FQ24:FQ53),2)</f>
        <v>0</v>
      </c>
      <c r="BY55" s="2">
        <f>ROUND(SUMIF(AA24:AA53,"=39088907",FR24:FR53),2)</f>
        <v>0</v>
      </c>
      <c r="BZ55" s="2">
        <f>ROUND(SUMIF(AA24:AA53,"=39088907",GL24:GL53),2)</f>
        <v>0</v>
      </c>
      <c r="CA55" s="2">
        <f>ROUND(SUMIF(AA24:AA53,"=39088907",GM24:GM53),2)</f>
        <v>1802278.9</v>
      </c>
      <c r="CB55" s="2">
        <f>ROUND(SUMIF(AA24:AA53,"=39088907",GN24:GN53),2)</f>
        <v>1802278.9</v>
      </c>
      <c r="CC55" s="2">
        <f>ROUND(SUMIF(AA24:AA53,"=39088907",GO24:GO53),2)</f>
        <v>0</v>
      </c>
      <c r="CD55" s="2">
        <f>ROUND(SUMIF(AA24:AA53,"=39088907",GP24:GP53),2)</f>
        <v>0</v>
      </c>
      <c r="CE55" s="2">
        <f>AC55-BX55</f>
        <v>1562028.68</v>
      </c>
      <c r="CF55" s="2">
        <f>AC55-BY55</f>
        <v>1562028.68</v>
      </c>
      <c r="CG55" s="2">
        <f>BX55-BZ55</f>
        <v>0</v>
      </c>
      <c r="CH55" s="2">
        <f>AC55-BX55-BY55+BZ55</f>
        <v>1562028.68</v>
      </c>
      <c r="CI55" s="2">
        <f>BY55-BZ55</f>
        <v>0</v>
      </c>
      <c r="CJ55" s="2">
        <f>ROUND(SUMIF(AA24:AA53,"=39088907",GX24:GX53),2)</f>
        <v>0</v>
      </c>
      <c r="CK55" s="2">
        <f>ROUND(SUMIF(AA24:AA53,"=39088907",GY24:GY53),2)</f>
        <v>0</v>
      </c>
      <c r="CL55" s="2">
        <f>ROUND(SUMIF(AA24:AA53,"=39088907",GZ24:GZ53),2)</f>
        <v>0</v>
      </c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>
        <v>0</v>
      </c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201</v>
      </c>
      <c r="F57" s="4">
        <f>ROUND(Source!O55,O57)</f>
        <v>1669289.66</v>
      </c>
      <c r="G57" s="4" t="s">
        <v>157</v>
      </c>
      <c r="H57" s="4" t="s">
        <v>158</v>
      </c>
      <c r="I57" s="4"/>
      <c r="J57" s="4"/>
      <c r="K57" s="4">
        <v>201</v>
      </c>
      <c r="L57" s="4">
        <v>1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202</v>
      </c>
      <c r="F58" s="4">
        <f>ROUND(Source!P55,O58)</f>
        <v>1562028.68</v>
      </c>
      <c r="G58" s="4" t="s">
        <v>159</v>
      </c>
      <c r="H58" s="4" t="s">
        <v>160</v>
      </c>
      <c r="I58" s="4"/>
      <c r="J58" s="4"/>
      <c r="K58" s="4">
        <v>202</v>
      </c>
      <c r="L58" s="4">
        <v>2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222</v>
      </c>
      <c r="F59" s="4">
        <f>ROUND(Source!AO55,O59)</f>
        <v>0</v>
      </c>
      <c r="G59" s="4" t="s">
        <v>161</v>
      </c>
      <c r="H59" s="4" t="s">
        <v>162</v>
      </c>
      <c r="I59" s="4"/>
      <c r="J59" s="4"/>
      <c r="K59" s="4">
        <v>222</v>
      </c>
      <c r="L59" s="4">
        <v>3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225</v>
      </c>
      <c r="F60" s="4">
        <f>ROUND(Source!AV55,O60)</f>
        <v>1562028.68</v>
      </c>
      <c r="G60" s="4" t="s">
        <v>163</v>
      </c>
      <c r="H60" s="4" t="s">
        <v>164</v>
      </c>
      <c r="I60" s="4"/>
      <c r="J60" s="4"/>
      <c r="K60" s="4">
        <v>225</v>
      </c>
      <c r="L60" s="4">
        <v>4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226</v>
      </c>
      <c r="F61" s="4">
        <f>ROUND(Source!AW55,O61)</f>
        <v>1562028.68</v>
      </c>
      <c r="G61" s="4" t="s">
        <v>165</v>
      </c>
      <c r="H61" s="4" t="s">
        <v>166</v>
      </c>
      <c r="I61" s="4"/>
      <c r="J61" s="4"/>
      <c r="K61" s="4">
        <v>226</v>
      </c>
      <c r="L61" s="4">
        <v>5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227</v>
      </c>
      <c r="F62" s="4">
        <f>ROUND(Source!AX55,O62)</f>
        <v>0</v>
      </c>
      <c r="G62" s="4" t="s">
        <v>167</v>
      </c>
      <c r="H62" s="4" t="s">
        <v>168</v>
      </c>
      <c r="I62" s="4"/>
      <c r="J62" s="4"/>
      <c r="K62" s="4">
        <v>227</v>
      </c>
      <c r="L62" s="4">
        <v>6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228</v>
      </c>
      <c r="F63" s="4">
        <f>ROUND(Source!AY55,O63)</f>
        <v>1562028.68</v>
      </c>
      <c r="G63" s="4" t="s">
        <v>169</v>
      </c>
      <c r="H63" s="4" t="s">
        <v>170</v>
      </c>
      <c r="I63" s="4"/>
      <c r="J63" s="4"/>
      <c r="K63" s="4">
        <v>228</v>
      </c>
      <c r="L63" s="4">
        <v>7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216</v>
      </c>
      <c r="F64" s="4">
        <f>ROUND(Source!AP55,O64)</f>
        <v>0</v>
      </c>
      <c r="G64" s="4" t="s">
        <v>171</v>
      </c>
      <c r="H64" s="4" t="s">
        <v>172</v>
      </c>
      <c r="I64" s="4"/>
      <c r="J64" s="4"/>
      <c r="K64" s="4">
        <v>216</v>
      </c>
      <c r="L64" s="4">
        <v>8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223</v>
      </c>
      <c r="F65" s="4">
        <f>ROUND(Source!AQ55,O65)</f>
        <v>0</v>
      </c>
      <c r="G65" s="4" t="s">
        <v>173</v>
      </c>
      <c r="H65" s="4" t="s">
        <v>174</v>
      </c>
      <c r="I65" s="4"/>
      <c r="J65" s="4"/>
      <c r="K65" s="4">
        <v>223</v>
      </c>
      <c r="L65" s="4">
        <v>9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229</v>
      </c>
      <c r="F66" s="4">
        <f>ROUND(Source!AZ55,O66)</f>
        <v>0</v>
      </c>
      <c r="G66" s="4" t="s">
        <v>175</v>
      </c>
      <c r="H66" s="4" t="s">
        <v>176</v>
      </c>
      <c r="I66" s="4"/>
      <c r="J66" s="4"/>
      <c r="K66" s="4">
        <v>229</v>
      </c>
      <c r="L66" s="4">
        <v>10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203</v>
      </c>
      <c r="F67" s="4">
        <f>ROUND(Source!Q55,O67)</f>
        <v>33278.79</v>
      </c>
      <c r="G67" s="4" t="s">
        <v>177</v>
      </c>
      <c r="H67" s="4" t="s">
        <v>178</v>
      </c>
      <c r="I67" s="4"/>
      <c r="J67" s="4"/>
      <c r="K67" s="4">
        <v>203</v>
      </c>
      <c r="L67" s="4">
        <v>11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231</v>
      </c>
      <c r="F68" s="4">
        <f>ROUND(Source!BB55,O68)</f>
        <v>0</v>
      </c>
      <c r="G68" s="4" t="s">
        <v>179</v>
      </c>
      <c r="H68" s="4" t="s">
        <v>180</v>
      </c>
      <c r="I68" s="4"/>
      <c r="J68" s="4"/>
      <c r="K68" s="4">
        <v>231</v>
      </c>
      <c r="L68" s="4">
        <v>12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204</v>
      </c>
      <c r="F69" s="4">
        <f>ROUND(Source!R55,O69)</f>
        <v>2953.65</v>
      </c>
      <c r="G69" s="4" t="s">
        <v>181</v>
      </c>
      <c r="H69" s="4" t="s">
        <v>182</v>
      </c>
      <c r="I69" s="4"/>
      <c r="J69" s="4"/>
      <c r="K69" s="4">
        <v>204</v>
      </c>
      <c r="L69" s="4">
        <v>13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205</v>
      </c>
      <c r="F70" s="4">
        <f>ROUND(Source!S55,O70)</f>
        <v>73982.19</v>
      </c>
      <c r="G70" s="4" t="s">
        <v>183</v>
      </c>
      <c r="H70" s="4" t="s">
        <v>184</v>
      </c>
      <c r="I70" s="4"/>
      <c r="J70" s="4"/>
      <c r="K70" s="4">
        <v>205</v>
      </c>
      <c r="L70" s="4">
        <v>14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232</v>
      </c>
      <c r="F71" s="4">
        <f>ROUND(Source!BC55,O71)</f>
        <v>0</v>
      </c>
      <c r="G71" s="4" t="s">
        <v>185</v>
      </c>
      <c r="H71" s="4" t="s">
        <v>186</v>
      </c>
      <c r="I71" s="4"/>
      <c r="J71" s="4"/>
      <c r="K71" s="4">
        <v>232</v>
      </c>
      <c r="L71" s="4">
        <v>15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214</v>
      </c>
      <c r="F72" s="4">
        <f>ROUND(Source!AS55,O72)</f>
        <v>1802278.9</v>
      </c>
      <c r="G72" s="4" t="s">
        <v>187</v>
      </c>
      <c r="H72" s="4" t="s">
        <v>188</v>
      </c>
      <c r="I72" s="4"/>
      <c r="J72" s="4"/>
      <c r="K72" s="4">
        <v>214</v>
      </c>
      <c r="L72" s="4">
        <v>16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215</v>
      </c>
      <c r="F73" s="4">
        <f>ROUND(Source!AT55,O73)</f>
        <v>0</v>
      </c>
      <c r="G73" s="4" t="s">
        <v>189</v>
      </c>
      <c r="H73" s="4" t="s">
        <v>190</v>
      </c>
      <c r="I73" s="4"/>
      <c r="J73" s="4"/>
      <c r="K73" s="4">
        <v>215</v>
      </c>
      <c r="L73" s="4">
        <v>17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217</v>
      </c>
      <c r="F74" s="4">
        <f>ROUND(Source!AU55,O74)</f>
        <v>0</v>
      </c>
      <c r="G74" s="4" t="s">
        <v>191</v>
      </c>
      <c r="H74" s="4" t="s">
        <v>192</v>
      </c>
      <c r="I74" s="4"/>
      <c r="J74" s="4"/>
      <c r="K74" s="4">
        <v>217</v>
      </c>
      <c r="L74" s="4">
        <v>18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230</v>
      </c>
      <c r="F75" s="4">
        <f>ROUND(Source!BA55,O75)</f>
        <v>0</v>
      </c>
      <c r="G75" s="4" t="s">
        <v>193</v>
      </c>
      <c r="H75" s="4" t="s">
        <v>194</v>
      </c>
      <c r="I75" s="4"/>
      <c r="J75" s="4"/>
      <c r="K75" s="4">
        <v>230</v>
      </c>
      <c r="L75" s="4">
        <v>19</v>
      </c>
      <c r="M75" s="4">
        <v>3</v>
      </c>
      <c r="N75" s="4" t="s">
        <v>3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206</v>
      </c>
      <c r="F76" s="4">
        <f>ROUND(Source!T55,O76)</f>
        <v>0</v>
      </c>
      <c r="G76" s="4" t="s">
        <v>195</v>
      </c>
      <c r="H76" s="4" t="s">
        <v>196</v>
      </c>
      <c r="I76" s="4"/>
      <c r="J76" s="4"/>
      <c r="K76" s="4">
        <v>206</v>
      </c>
      <c r="L76" s="4">
        <v>20</v>
      </c>
      <c r="M76" s="4">
        <v>3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207</v>
      </c>
      <c r="F77" s="4">
        <f>Source!U55</f>
        <v>1262.3331999999998</v>
      </c>
      <c r="G77" s="4" t="s">
        <v>197</v>
      </c>
      <c r="H77" s="4" t="s">
        <v>198</v>
      </c>
      <c r="I77" s="4"/>
      <c r="J77" s="4"/>
      <c r="K77" s="4">
        <v>207</v>
      </c>
      <c r="L77" s="4">
        <v>21</v>
      </c>
      <c r="M77" s="4">
        <v>3</v>
      </c>
      <c r="N77" s="4" t="s">
        <v>3</v>
      </c>
      <c r="O77" s="4">
        <v>-1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208</v>
      </c>
      <c r="F78" s="4">
        <f>Source!V55</f>
        <v>34.922000000000004</v>
      </c>
      <c r="G78" s="4" t="s">
        <v>199</v>
      </c>
      <c r="H78" s="4" t="s">
        <v>200</v>
      </c>
      <c r="I78" s="4"/>
      <c r="J78" s="4"/>
      <c r="K78" s="4">
        <v>208</v>
      </c>
      <c r="L78" s="4">
        <v>22</v>
      </c>
      <c r="M78" s="4">
        <v>3</v>
      </c>
      <c r="N78" s="4" t="s">
        <v>3</v>
      </c>
      <c r="O78" s="4">
        <v>-1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209</v>
      </c>
      <c r="F79" s="4">
        <f>ROUND(Source!W55,O79)</f>
        <v>0</v>
      </c>
      <c r="G79" s="4" t="s">
        <v>201</v>
      </c>
      <c r="H79" s="4" t="s">
        <v>202</v>
      </c>
      <c r="I79" s="4"/>
      <c r="J79" s="4"/>
      <c r="K79" s="4">
        <v>209</v>
      </c>
      <c r="L79" s="4">
        <v>23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210</v>
      </c>
      <c r="F80" s="4">
        <f>ROUND(Source!X55,O80)</f>
        <v>81836.38</v>
      </c>
      <c r="G80" s="4" t="s">
        <v>203</v>
      </c>
      <c r="H80" s="4" t="s">
        <v>204</v>
      </c>
      <c r="I80" s="4"/>
      <c r="J80" s="4"/>
      <c r="K80" s="4">
        <v>210</v>
      </c>
      <c r="L80" s="4">
        <v>24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0</v>
      </c>
      <c r="C81" s="4">
        <v>0</v>
      </c>
      <c r="D81" s="4">
        <v>1</v>
      </c>
      <c r="E81" s="4">
        <v>211</v>
      </c>
      <c r="F81" s="4">
        <f>ROUND(Source!Y55,O81)</f>
        <v>51152.86</v>
      </c>
      <c r="G81" s="4" t="s">
        <v>205</v>
      </c>
      <c r="H81" s="4" t="s">
        <v>206</v>
      </c>
      <c r="I81" s="4"/>
      <c r="J81" s="4"/>
      <c r="K81" s="4">
        <v>211</v>
      </c>
      <c r="L81" s="4">
        <v>25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06" x14ac:dyDescent="0.2">
      <c r="A82" s="4">
        <v>50</v>
      </c>
      <c r="B82" s="4">
        <v>0</v>
      </c>
      <c r="C82" s="4">
        <v>0</v>
      </c>
      <c r="D82" s="4">
        <v>1</v>
      </c>
      <c r="E82" s="4">
        <v>224</v>
      </c>
      <c r="F82" s="4">
        <f>ROUND(Source!AR55,O82)</f>
        <v>1802278.9</v>
      </c>
      <c r="G82" s="4" t="s">
        <v>207</v>
      </c>
      <c r="H82" s="4" t="s">
        <v>208</v>
      </c>
      <c r="I82" s="4"/>
      <c r="J82" s="4"/>
      <c r="K82" s="4">
        <v>224</v>
      </c>
      <c r="L82" s="4">
        <v>26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06" x14ac:dyDescent="0.2">
      <c r="A83" s="4">
        <v>50</v>
      </c>
      <c r="B83" s="4">
        <v>1</v>
      </c>
      <c r="C83" s="4">
        <v>0</v>
      </c>
      <c r="D83" s="4">
        <v>2</v>
      </c>
      <c r="E83" s="4">
        <v>0</v>
      </c>
      <c r="F83" s="4">
        <f>ROUND(F82,O83)</f>
        <v>1802278.9</v>
      </c>
      <c r="G83" s="4" t="s">
        <v>209</v>
      </c>
      <c r="H83" s="4" t="s">
        <v>210</v>
      </c>
      <c r="I83" s="4"/>
      <c r="J83" s="4"/>
      <c r="K83" s="4">
        <v>212</v>
      </c>
      <c r="L83" s="4">
        <v>27</v>
      </c>
      <c r="M83" s="4">
        <v>0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06" x14ac:dyDescent="0.2">
      <c r="A84" s="4">
        <v>50</v>
      </c>
      <c r="B84" s="4">
        <v>1</v>
      </c>
      <c r="C84" s="4">
        <v>0</v>
      </c>
      <c r="D84" s="4">
        <v>2</v>
      </c>
      <c r="E84" s="4">
        <v>0</v>
      </c>
      <c r="F84" s="4">
        <f>ROUND(F83*0.18,O84)</f>
        <v>324410.2</v>
      </c>
      <c r="G84" s="4" t="s">
        <v>211</v>
      </c>
      <c r="H84" s="4" t="s">
        <v>212</v>
      </c>
      <c r="I84" s="4"/>
      <c r="J84" s="4"/>
      <c r="K84" s="4">
        <v>212</v>
      </c>
      <c r="L84" s="4">
        <v>28</v>
      </c>
      <c r="M84" s="4">
        <v>0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06" x14ac:dyDescent="0.2">
      <c r="A85" s="4">
        <v>50</v>
      </c>
      <c r="B85" s="4">
        <v>1</v>
      </c>
      <c r="C85" s="4">
        <v>0</v>
      </c>
      <c r="D85" s="4">
        <v>2</v>
      </c>
      <c r="E85" s="4">
        <v>213</v>
      </c>
      <c r="F85" s="4">
        <f>ROUND(F83+F84,O85)</f>
        <v>2126689.1</v>
      </c>
      <c r="G85" s="4" t="s">
        <v>213</v>
      </c>
      <c r="H85" s="4" t="s">
        <v>207</v>
      </c>
      <c r="I85" s="4"/>
      <c r="J85" s="4"/>
      <c r="K85" s="4">
        <v>212</v>
      </c>
      <c r="L85" s="4">
        <v>29</v>
      </c>
      <c r="M85" s="4">
        <v>0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7" spans="1:206" x14ac:dyDescent="0.2">
      <c r="A87" s="2">
        <v>51</v>
      </c>
      <c r="B87" s="2">
        <f>B12</f>
        <v>145</v>
      </c>
      <c r="C87" s="2">
        <f>A12</f>
        <v>1</v>
      </c>
      <c r="D87" s="2">
        <f>ROW(A12)</f>
        <v>12</v>
      </c>
      <c r="E87" s="2"/>
      <c r="F87" s="2" t="str">
        <f>IF(F12&lt;&gt;"",F12,"")</f>
        <v>Новый объект</v>
      </c>
      <c r="G87" s="2" t="str">
        <f>IF(G12&lt;&gt;"",G12,"")</f>
        <v>на капитальный ремонт внутренней  системы отопления и холодного водоснабжения в корпусах В,А,Б,Д,Э и Главном корпусе, наружной системы отопления  и холодного водоснабжения с заменой задвижек в колодцах и тепловых пунктах   НИЯУ МИФИ по адресу: г.Москва,Каширское шоссе,д.31</v>
      </c>
      <c r="H87" s="2">
        <v>0</v>
      </c>
      <c r="I87" s="2"/>
      <c r="J87" s="2"/>
      <c r="K87" s="2"/>
      <c r="L87" s="2"/>
      <c r="M87" s="2"/>
      <c r="N87" s="2"/>
      <c r="O87" s="2">
        <f t="shared" ref="O87:T87" si="56">ROUND(O55,2)</f>
        <v>1669289.66</v>
      </c>
      <c r="P87" s="2">
        <f t="shared" si="56"/>
        <v>1562028.68</v>
      </c>
      <c r="Q87" s="2">
        <f t="shared" si="56"/>
        <v>33278.79</v>
      </c>
      <c r="R87" s="2">
        <f t="shared" si="56"/>
        <v>2953.65</v>
      </c>
      <c r="S87" s="2">
        <f t="shared" si="56"/>
        <v>73982.19</v>
      </c>
      <c r="T87" s="2">
        <f t="shared" si="56"/>
        <v>0</v>
      </c>
      <c r="U87" s="2">
        <f>U55</f>
        <v>1262.3331999999998</v>
      </c>
      <c r="V87" s="2">
        <f>V55</f>
        <v>34.922000000000004</v>
      </c>
      <c r="W87" s="2">
        <f>ROUND(W55,2)</f>
        <v>0</v>
      </c>
      <c r="X87" s="2">
        <f>ROUND(X55,2)</f>
        <v>81836.38</v>
      </c>
      <c r="Y87" s="2">
        <f>ROUND(Y55,2)</f>
        <v>51152.86</v>
      </c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>
        <f t="shared" ref="AO87:BC87" si="57">ROUND(AO55,2)</f>
        <v>0</v>
      </c>
      <c r="AP87" s="2">
        <f t="shared" si="57"/>
        <v>0</v>
      </c>
      <c r="AQ87" s="2">
        <f t="shared" si="57"/>
        <v>0</v>
      </c>
      <c r="AR87" s="2">
        <f t="shared" si="57"/>
        <v>1802278.9</v>
      </c>
      <c r="AS87" s="2">
        <f t="shared" si="57"/>
        <v>1802278.9</v>
      </c>
      <c r="AT87" s="2">
        <f t="shared" si="57"/>
        <v>0</v>
      </c>
      <c r="AU87" s="2">
        <f t="shared" si="57"/>
        <v>0</v>
      </c>
      <c r="AV87" s="2">
        <f t="shared" si="57"/>
        <v>1562028.68</v>
      </c>
      <c r="AW87" s="2">
        <f t="shared" si="57"/>
        <v>1562028.68</v>
      </c>
      <c r="AX87" s="2">
        <f t="shared" si="57"/>
        <v>0</v>
      </c>
      <c r="AY87" s="2">
        <f t="shared" si="57"/>
        <v>1562028.68</v>
      </c>
      <c r="AZ87" s="2">
        <f t="shared" si="57"/>
        <v>0</v>
      </c>
      <c r="BA87" s="2">
        <f t="shared" si="57"/>
        <v>0</v>
      </c>
      <c r="BB87" s="2">
        <f t="shared" si="57"/>
        <v>0</v>
      </c>
      <c r="BC87" s="2">
        <f t="shared" si="57"/>
        <v>0</v>
      </c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>
        <v>0</v>
      </c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201</v>
      </c>
      <c r="F89" s="4">
        <f>ROUND(Source!O87,O89)</f>
        <v>1669289.66</v>
      </c>
      <c r="G89" s="4" t="s">
        <v>157</v>
      </c>
      <c r="H89" s="4" t="s">
        <v>158</v>
      </c>
      <c r="I89" s="4"/>
      <c r="J89" s="4"/>
      <c r="K89" s="4">
        <v>201</v>
      </c>
      <c r="L89" s="4">
        <v>1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202</v>
      </c>
      <c r="F90" s="4">
        <f>ROUND(Source!P87,O90)</f>
        <v>1562028.68</v>
      </c>
      <c r="G90" s="4" t="s">
        <v>159</v>
      </c>
      <c r="H90" s="4" t="s">
        <v>160</v>
      </c>
      <c r="I90" s="4"/>
      <c r="J90" s="4"/>
      <c r="K90" s="4">
        <v>202</v>
      </c>
      <c r="L90" s="4">
        <v>2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222</v>
      </c>
      <c r="F91" s="4">
        <f>ROUND(Source!AO87,O91)</f>
        <v>0</v>
      </c>
      <c r="G91" s="4" t="s">
        <v>161</v>
      </c>
      <c r="H91" s="4" t="s">
        <v>162</v>
      </c>
      <c r="I91" s="4"/>
      <c r="J91" s="4"/>
      <c r="K91" s="4">
        <v>222</v>
      </c>
      <c r="L91" s="4">
        <v>3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225</v>
      </c>
      <c r="F92" s="4">
        <f>ROUND(Source!AV87,O92)</f>
        <v>1562028.68</v>
      </c>
      <c r="G92" s="4" t="s">
        <v>163</v>
      </c>
      <c r="H92" s="4" t="s">
        <v>164</v>
      </c>
      <c r="I92" s="4"/>
      <c r="J92" s="4"/>
      <c r="K92" s="4">
        <v>225</v>
      </c>
      <c r="L92" s="4">
        <v>4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226</v>
      </c>
      <c r="F93" s="4">
        <f>ROUND(Source!AW87,O93)</f>
        <v>1562028.68</v>
      </c>
      <c r="G93" s="4" t="s">
        <v>165</v>
      </c>
      <c r="H93" s="4" t="s">
        <v>166</v>
      </c>
      <c r="I93" s="4"/>
      <c r="J93" s="4"/>
      <c r="K93" s="4">
        <v>226</v>
      </c>
      <c r="L93" s="4">
        <v>5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227</v>
      </c>
      <c r="F94" s="4">
        <f>ROUND(Source!AX87,O94)</f>
        <v>0</v>
      </c>
      <c r="G94" s="4" t="s">
        <v>167</v>
      </c>
      <c r="H94" s="4" t="s">
        <v>168</v>
      </c>
      <c r="I94" s="4"/>
      <c r="J94" s="4"/>
      <c r="K94" s="4">
        <v>227</v>
      </c>
      <c r="L94" s="4">
        <v>6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228</v>
      </c>
      <c r="F95" s="4">
        <f>ROUND(Source!AY87,O95)</f>
        <v>1562028.68</v>
      </c>
      <c r="G95" s="4" t="s">
        <v>169</v>
      </c>
      <c r="H95" s="4" t="s">
        <v>170</v>
      </c>
      <c r="I95" s="4"/>
      <c r="J95" s="4"/>
      <c r="K95" s="4">
        <v>228</v>
      </c>
      <c r="L95" s="4">
        <v>7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216</v>
      </c>
      <c r="F96" s="4">
        <f>ROUND(Source!AP87,O96)</f>
        <v>0</v>
      </c>
      <c r="G96" s="4" t="s">
        <v>171</v>
      </c>
      <c r="H96" s="4" t="s">
        <v>172</v>
      </c>
      <c r="I96" s="4"/>
      <c r="J96" s="4"/>
      <c r="K96" s="4">
        <v>216</v>
      </c>
      <c r="L96" s="4">
        <v>8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223</v>
      </c>
      <c r="F97" s="4">
        <f>ROUND(Source!AQ87,O97)</f>
        <v>0</v>
      </c>
      <c r="G97" s="4" t="s">
        <v>173</v>
      </c>
      <c r="H97" s="4" t="s">
        <v>174</v>
      </c>
      <c r="I97" s="4"/>
      <c r="J97" s="4"/>
      <c r="K97" s="4">
        <v>223</v>
      </c>
      <c r="L97" s="4">
        <v>9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229</v>
      </c>
      <c r="F98" s="4">
        <f>ROUND(Source!AZ87,O98)</f>
        <v>0</v>
      </c>
      <c r="G98" s="4" t="s">
        <v>175</v>
      </c>
      <c r="H98" s="4" t="s">
        <v>176</v>
      </c>
      <c r="I98" s="4"/>
      <c r="J98" s="4"/>
      <c r="K98" s="4">
        <v>229</v>
      </c>
      <c r="L98" s="4">
        <v>10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203</v>
      </c>
      <c r="F99" s="4">
        <f>ROUND(Source!Q87,O99)</f>
        <v>33278.79</v>
      </c>
      <c r="G99" s="4" t="s">
        <v>177</v>
      </c>
      <c r="H99" s="4" t="s">
        <v>178</v>
      </c>
      <c r="I99" s="4"/>
      <c r="J99" s="4"/>
      <c r="K99" s="4">
        <v>203</v>
      </c>
      <c r="L99" s="4">
        <v>11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231</v>
      </c>
      <c r="F100" s="4">
        <f>ROUND(Source!BB87,O100)</f>
        <v>0</v>
      </c>
      <c r="G100" s="4" t="s">
        <v>179</v>
      </c>
      <c r="H100" s="4" t="s">
        <v>180</v>
      </c>
      <c r="I100" s="4"/>
      <c r="J100" s="4"/>
      <c r="K100" s="4">
        <v>231</v>
      </c>
      <c r="L100" s="4">
        <v>12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204</v>
      </c>
      <c r="F101" s="4">
        <f>ROUND(Source!R87,O101)</f>
        <v>2953.65</v>
      </c>
      <c r="G101" s="4" t="s">
        <v>181</v>
      </c>
      <c r="H101" s="4" t="s">
        <v>182</v>
      </c>
      <c r="I101" s="4"/>
      <c r="J101" s="4"/>
      <c r="K101" s="4">
        <v>204</v>
      </c>
      <c r="L101" s="4">
        <v>13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205</v>
      </c>
      <c r="F102" s="4">
        <f>ROUND(Source!S87,O102)</f>
        <v>73982.19</v>
      </c>
      <c r="G102" s="4" t="s">
        <v>183</v>
      </c>
      <c r="H102" s="4" t="s">
        <v>184</v>
      </c>
      <c r="I102" s="4"/>
      <c r="J102" s="4"/>
      <c r="K102" s="4">
        <v>205</v>
      </c>
      <c r="L102" s="4">
        <v>14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232</v>
      </c>
      <c r="F103" s="4">
        <f>ROUND(Source!BC87,O103)</f>
        <v>0</v>
      </c>
      <c r="G103" s="4" t="s">
        <v>185</v>
      </c>
      <c r="H103" s="4" t="s">
        <v>186</v>
      </c>
      <c r="I103" s="4"/>
      <c r="J103" s="4"/>
      <c r="K103" s="4">
        <v>232</v>
      </c>
      <c r="L103" s="4">
        <v>15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214</v>
      </c>
      <c r="F104" s="4">
        <f>ROUND(Source!AS87,O104)</f>
        <v>1802278.9</v>
      </c>
      <c r="G104" s="4" t="s">
        <v>187</v>
      </c>
      <c r="H104" s="4" t="s">
        <v>188</v>
      </c>
      <c r="I104" s="4"/>
      <c r="J104" s="4"/>
      <c r="K104" s="4">
        <v>214</v>
      </c>
      <c r="L104" s="4">
        <v>16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215</v>
      </c>
      <c r="F105" s="4">
        <f>ROUND(Source!AT87,O105)</f>
        <v>0</v>
      </c>
      <c r="G105" s="4" t="s">
        <v>189</v>
      </c>
      <c r="H105" s="4" t="s">
        <v>190</v>
      </c>
      <c r="I105" s="4"/>
      <c r="J105" s="4"/>
      <c r="K105" s="4">
        <v>215</v>
      </c>
      <c r="L105" s="4">
        <v>17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217</v>
      </c>
      <c r="F106" s="4">
        <f>ROUND(Source!AU87,O106)</f>
        <v>0</v>
      </c>
      <c r="G106" s="4" t="s">
        <v>191</v>
      </c>
      <c r="H106" s="4" t="s">
        <v>192</v>
      </c>
      <c r="I106" s="4"/>
      <c r="J106" s="4"/>
      <c r="K106" s="4">
        <v>217</v>
      </c>
      <c r="L106" s="4">
        <v>18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230</v>
      </c>
      <c r="F107" s="4">
        <f>ROUND(Source!BA87,O107)</f>
        <v>0</v>
      </c>
      <c r="G107" s="4" t="s">
        <v>193</v>
      </c>
      <c r="H107" s="4" t="s">
        <v>194</v>
      </c>
      <c r="I107" s="4"/>
      <c r="J107" s="4"/>
      <c r="K107" s="4">
        <v>230</v>
      </c>
      <c r="L107" s="4">
        <v>19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206</v>
      </c>
      <c r="F108" s="4">
        <f>ROUND(Source!T87,O108)</f>
        <v>0</v>
      </c>
      <c r="G108" s="4" t="s">
        <v>195</v>
      </c>
      <c r="H108" s="4" t="s">
        <v>196</v>
      </c>
      <c r="I108" s="4"/>
      <c r="J108" s="4"/>
      <c r="K108" s="4">
        <v>206</v>
      </c>
      <c r="L108" s="4">
        <v>20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207</v>
      </c>
      <c r="F109" s="4">
        <f>Source!U87</f>
        <v>1262.3331999999998</v>
      </c>
      <c r="G109" s="4" t="s">
        <v>197</v>
      </c>
      <c r="H109" s="4" t="s">
        <v>198</v>
      </c>
      <c r="I109" s="4"/>
      <c r="J109" s="4"/>
      <c r="K109" s="4">
        <v>207</v>
      </c>
      <c r="L109" s="4">
        <v>21</v>
      </c>
      <c r="M109" s="4">
        <v>3</v>
      </c>
      <c r="N109" s="4" t="s">
        <v>3</v>
      </c>
      <c r="O109" s="4">
        <v>-1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208</v>
      </c>
      <c r="F110" s="4">
        <f>Source!V87</f>
        <v>34.922000000000004</v>
      </c>
      <c r="G110" s="4" t="s">
        <v>199</v>
      </c>
      <c r="H110" s="4" t="s">
        <v>200</v>
      </c>
      <c r="I110" s="4"/>
      <c r="J110" s="4"/>
      <c r="K110" s="4">
        <v>208</v>
      </c>
      <c r="L110" s="4">
        <v>22</v>
      </c>
      <c r="M110" s="4">
        <v>3</v>
      </c>
      <c r="N110" s="4" t="s">
        <v>3</v>
      </c>
      <c r="O110" s="4">
        <v>-1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209</v>
      </c>
      <c r="F111" s="4">
        <f>ROUND(Source!W87,O111)</f>
        <v>0</v>
      </c>
      <c r="G111" s="4" t="s">
        <v>201</v>
      </c>
      <c r="H111" s="4" t="s">
        <v>202</v>
      </c>
      <c r="I111" s="4"/>
      <c r="J111" s="4"/>
      <c r="K111" s="4">
        <v>209</v>
      </c>
      <c r="L111" s="4">
        <v>23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210</v>
      </c>
      <c r="F112" s="4">
        <f>ROUND(Source!X87,O112)</f>
        <v>81836.38</v>
      </c>
      <c r="G112" s="4" t="s">
        <v>203</v>
      </c>
      <c r="H112" s="4" t="s">
        <v>204</v>
      </c>
      <c r="I112" s="4"/>
      <c r="J112" s="4"/>
      <c r="K112" s="4">
        <v>210</v>
      </c>
      <c r="L112" s="4">
        <v>24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211</v>
      </c>
      <c r="F113" s="4">
        <f>ROUND(Source!Y87,O113)</f>
        <v>51152.86</v>
      </c>
      <c r="G113" s="4" t="s">
        <v>205</v>
      </c>
      <c r="H113" s="4" t="s">
        <v>206</v>
      </c>
      <c r="I113" s="4"/>
      <c r="J113" s="4"/>
      <c r="K113" s="4">
        <v>211</v>
      </c>
      <c r="L113" s="4">
        <v>25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224</v>
      </c>
      <c r="F114" s="4">
        <f>ROUND(Source!AR87,O114)</f>
        <v>1802278.9</v>
      </c>
      <c r="G114" s="4" t="s">
        <v>207</v>
      </c>
      <c r="H114" s="4" t="s">
        <v>208</v>
      </c>
      <c r="I114" s="4"/>
      <c r="J114" s="4"/>
      <c r="K114" s="4">
        <v>224</v>
      </c>
      <c r="L114" s="4">
        <v>26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7" spans="1:23" x14ac:dyDescent="0.2">
      <c r="A117">
        <v>70</v>
      </c>
      <c r="B117">
        <v>1</v>
      </c>
      <c r="D117">
        <v>1</v>
      </c>
      <c r="E117" t="s">
        <v>214</v>
      </c>
      <c r="F117" t="s">
        <v>215</v>
      </c>
      <c r="G117">
        <v>0</v>
      </c>
      <c r="H117">
        <v>0</v>
      </c>
      <c r="I117" t="s">
        <v>3</v>
      </c>
      <c r="J117">
        <v>1</v>
      </c>
      <c r="K117">
        <v>0</v>
      </c>
      <c r="L117" t="s">
        <v>3</v>
      </c>
      <c r="M117" t="s">
        <v>3</v>
      </c>
      <c r="N117">
        <v>0</v>
      </c>
    </row>
    <row r="118" spans="1:23" x14ac:dyDescent="0.2">
      <c r="A118">
        <v>70</v>
      </c>
      <c r="B118">
        <v>1</v>
      </c>
      <c r="D118">
        <v>2</v>
      </c>
      <c r="E118" t="s">
        <v>216</v>
      </c>
      <c r="F118" t="s">
        <v>217</v>
      </c>
      <c r="G118">
        <v>1</v>
      </c>
      <c r="H118">
        <v>0</v>
      </c>
      <c r="I118" t="s">
        <v>3</v>
      </c>
      <c r="J118">
        <v>1</v>
      </c>
      <c r="K118">
        <v>0</v>
      </c>
      <c r="L118" t="s">
        <v>3</v>
      </c>
      <c r="M118" t="s">
        <v>3</v>
      </c>
      <c r="N118">
        <v>0</v>
      </c>
    </row>
    <row r="119" spans="1:23" x14ac:dyDescent="0.2">
      <c r="A119">
        <v>70</v>
      </c>
      <c r="B119">
        <v>1</v>
      </c>
      <c r="D119">
        <v>3</v>
      </c>
      <c r="E119" t="s">
        <v>218</v>
      </c>
      <c r="F119" t="s">
        <v>219</v>
      </c>
      <c r="G119">
        <v>0</v>
      </c>
      <c r="H119">
        <v>0</v>
      </c>
      <c r="I119" t="s">
        <v>3</v>
      </c>
      <c r="J119">
        <v>1</v>
      </c>
      <c r="K119">
        <v>0</v>
      </c>
      <c r="L119" t="s">
        <v>3</v>
      </c>
      <c r="M119" t="s">
        <v>3</v>
      </c>
      <c r="N119">
        <v>0</v>
      </c>
    </row>
    <row r="120" spans="1:23" x14ac:dyDescent="0.2">
      <c r="A120">
        <v>70</v>
      </c>
      <c r="B120">
        <v>1</v>
      </c>
      <c r="D120">
        <v>4</v>
      </c>
      <c r="E120" t="s">
        <v>220</v>
      </c>
      <c r="F120" t="s">
        <v>221</v>
      </c>
      <c r="G120">
        <v>0</v>
      </c>
      <c r="H120">
        <v>0</v>
      </c>
      <c r="I120" t="s">
        <v>222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23" x14ac:dyDescent="0.2">
      <c r="A121">
        <v>70</v>
      </c>
      <c r="B121">
        <v>1</v>
      </c>
      <c r="D121">
        <v>5</v>
      </c>
      <c r="E121" t="s">
        <v>223</v>
      </c>
      <c r="F121" t="s">
        <v>224</v>
      </c>
      <c r="G121">
        <v>0</v>
      </c>
      <c r="H121">
        <v>0</v>
      </c>
      <c r="I121" t="s">
        <v>225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23" x14ac:dyDescent="0.2">
      <c r="A122">
        <v>70</v>
      </c>
      <c r="B122">
        <v>1</v>
      </c>
      <c r="D122">
        <v>6</v>
      </c>
      <c r="E122" t="s">
        <v>226</v>
      </c>
      <c r="F122" t="s">
        <v>227</v>
      </c>
      <c r="G122">
        <v>0</v>
      </c>
      <c r="H122">
        <v>0</v>
      </c>
      <c r="I122" t="s">
        <v>228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23" x14ac:dyDescent="0.2">
      <c r="A123">
        <v>70</v>
      </c>
      <c r="B123">
        <v>1</v>
      </c>
      <c r="D123">
        <v>7</v>
      </c>
      <c r="E123" t="s">
        <v>229</v>
      </c>
      <c r="F123" t="s">
        <v>230</v>
      </c>
      <c r="G123">
        <v>0</v>
      </c>
      <c r="H123">
        <v>0</v>
      </c>
      <c r="I123" t="s">
        <v>3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23" x14ac:dyDescent="0.2">
      <c r="A124">
        <v>70</v>
      </c>
      <c r="B124">
        <v>1</v>
      </c>
      <c r="D124">
        <v>8</v>
      </c>
      <c r="E124" t="s">
        <v>231</v>
      </c>
      <c r="F124" t="s">
        <v>232</v>
      </c>
      <c r="G124">
        <v>0</v>
      </c>
      <c r="H124">
        <v>0</v>
      </c>
      <c r="I124" t="s">
        <v>233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23" x14ac:dyDescent="0.2">
      <c r="A125">
        <v>70</v>
      </c>
      <c r="B125">
        <v>1</v>
      </c>
      <c r="D125">
        <v>9</v>
      </c>
      <c r="E125" t="s">
        <v>234</v>
      </c>
      <c r="F125" t="s">
        <v>235</v>
      </c>
      <c r="G125">
        <v>0</v>
      </c>
      <c r="H125">
        <v>0</v>
      </c>
      <c r="I125" t="s">
        <v>236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23" x14ac:dyDescent="0.2">
      <c r="A126">
        <v>70</v>
      </c>
      <c r="B126">
        <v>1</v>
      </c>
      <c r="D126">
        <v>10</v>
      </c>
      <c r="E126" t="s">
        <v>237</v>
      </c>
      <c r="F126" t="s">
        <v>238</v>
      </c>
      <c r="G126">
        <v>0</v>
      </c>
      <c r="H126">
        <v>0</v>
      </c>
      <c r="I126" t="s">
        <v>239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23" x14ac:dyDescent="0.2">
      <c r="A127">
        <v>70</v>
      </c>
      <c r="B127">
        <v>1</v>
      </c>
      <c r="D127">
        <v>11</v>
      </c>
      <c r="E127" t="s">
        <v>240</v>
      </c>
      <c r="F127" t="s">
        <v>241</v>
      </c>
      <c r="G127">
        <v>0</v>
      </c>
      <c r="H127">
        <v>0</v>
      </c>
      <c r="I127" t="s">
        <v>242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23" x14ac:dyDescent="0.2">
      <c r="A128">
        <v>70</v>
      </c>
      <c r="B128">
        <v>1</v>
      </c>
      <c r="D128">
        <v>12</v>
      </c>
      <c r="E128" t="s">
        <v>243</v>
      </c>
      <c r="F128" t="s">
        <v>244</v>
      </c>
      <c r="G128">
        <v>0</v>
      </c>
      <c r="H128">
        <v>0</v>
      </c>
      <c r="I128" t="s">
        <v>3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14" x14ac:dyDescent="0.2">
      <c r="A129">
        <v>70</v>
      </c>
      <c r="B129">
        <v>1</v>
      </c>
      <c r="D129">
        <v>1</v>
      </c>
      <c r="E129" t="s">
        <v>245</v>
      </c>
      <c r="F129" t="s">
        <v>246</v>
      </c>
      <c r="G129">
        <v>0.9</v>
      </c>
      <c r="H129">
        <v>1</v>
      </c>
      <c r="I129" t="s">
        <v>247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14" x14ac:dyDescent="0.2">
      <c r="A130">
        <v>70</v>
      </c>
      <c r="B130">
        <v>1</v>
      </c>
      <c r="D130">
        <v>2</v>
      </c>
      <c r="E130" t="s">
        <v>248</v>
      </c>
      <c r="F130" t="s">
        <v>249</v>
      </c>
      <c r="G130">
        <v>0.85</v>
      </c>
      <c r="H130">
        <v>1</v>
      </c>
      <c r="I130" t="s">
        <v>250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14" x14ac:dyDescent="0.2">
      <c r="A131">
        <v>70</v>
      </c>
      <c r="B131">
        <v>1</v>
      </c>
      <c r="D131">
        <v>3</v>
      </c>
      <c r="E131" t="s">
        <v>251</v>
      </c>
      <c r="F131" t="s">
        <v>252</v>
      </c>
      <c r="G131">
        <v>1</v>
      </c>
      <c r="H131">
        <v>0.85</v>
      </c>
      <c r="I131" t="s">
        <v>253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14" x14ac:dyDescent="0.2">
      <c r="A132">
        <v>70</v>
      </c>
      <c r="B132">
        <v>1</v>
      </c>
      <c r="D132">
        <v>4</v>
      </c>
      <c r="E132" t="s">
        <v>254</v>
      </c>
      <c r="F132" t="s">
        <v>255</v>
      </c>
      <c r="G132">
        <v>1</v>
      </c>
      <c r="H132">
        <v>0</v>
      </c>
      <c r="I132" t="s">
        <v>3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14" x14ac:dyDescent="0.2">
      <c r="A133">
        <v>70</v>
      </c>
      <c r="B133">
        <v>1</v>
      </c>
      <c r="D133">
        <v>5</v>
      </c>
      <c r="E133" t="s">
        <v>256</v>
      </c>
      <c r="F133" t="s">
        <v>257</v>
      </c>
      <c r="G133">
        <v>1</v>
      </c>
      <c r="H133">
        <v>0.8</v>
      </c>
      <c r="I133" t="s">
        <v>258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14" x14ac:dyDescent="0.2">
      <c r="A134">
        <v>70</v>
      </c>
      <c r="B134">
        <v>1</v>
      </c>
      <c r="D134">
        <v>6</v>
      </c>
      <c r="E134" t="s">
        <v>259</v>
      </c>
      <c r="F134" t="s">
        <v>260</v>
      </c>
      <c r="G134">
        <v>0.85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14" x14ac:dyDescent="0.2">
      <c r="A135">
        <v>70</v>
      </c>
      <c r="B135">
        <v>1</v>
      </c>
      <c r="D135">
        <v>7</v>
      </c>
      <c r="E135" t="s">
        <v>261</v>
      </c>
      <c r="F135" t="s">
        <v>262</v>
      </c>
      <c r="G135">
        <v>0.8</v>
      </c>
      <c r="H135">
        <v>0</v>
      </c>
      <c r="I135" t="s">
        <v>3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14" x14ac:dyDescent="0.2">
      <c r="A136">
        <v>70</v>
      </c>
      <c r="B136">
        <v>1</v>
      </c>
      <c r="D136">
        <v>8</v>
      </c>
      <c r="E136" t="s">
        <v>263</v>
      </c>
      <c r="F136" t="s">
        <v>264</v>
      </c>
      <c r="G136">
        <v>0.94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14" x14ac:dyDescent="0.2">
      <c r="A137">
        <v>70</v>
      </c>
      <c r="B137">
        <v>1</v>
      </c>
      <c r="D137">
        <v>9</v>
      </c>
      <c r="E137" t="s">
        <v>265</v>
      </c>
      <c r="F137" t="s">
        <v>266</v>
      </c>
      <c r="G137">
        <v>0.9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8" spans="1:14" x14ac:dyDescent="0.2">
      <c r="A138">
        <v>70</v>
      </c>
      <c r="B138">
        <v>1</v>
      </c>
      <c r="D138">
        <v>10</v>
      </c>
      <c r="E138" t="s">
        <v>267</v>
      </c>
      <c r="F138" t="s">
        <v>268</v>
      </c>
      <c r="G138">
        <v>0.6</v>
      </c>
      <c r="H138">
        <v>0</v>
      </c>
      <c r="I138" t="s">
        <v>3</v>
      </c>
      <c r="J138">
        <v>0</v>
      </c>
      <c r="K138">
        <v>0</v>
      </c>
      <c r="L138" t="s">
        <v>3</v>
      </c>
      <c r="M138" t="s">
        <v>3</v>
      </c>
      <c r="N138">
        <v>0</v>
      </c>
    </row>
    <row r="139" spans="1:14" x14ac:dyDescent="0.2">
      <c r="A139">
        <v>70</v>
      </c>
      <c r="B139">
        <v>1</v>
      </c>
      <c r="D139">
        <v>11</v>
      </c>
      <c r="E139" t="s">
        <v>269</v>
      </c>
      <c r="F139" t="s">
        <v>270</v>
      </c>
      <c r="G139">
        <v>1.2</v>
      </c>
      <c r="H139">
        <v>0</v>
      </c>
      <c r="I139" t="s">
        <v>3</v>
      </c>
      <c r="J139">
        <v>0</v>
      </c>
      <c r="K139">
        <v>0</v>
      </c>
      <c r="L139" t="s">
        <v>3</v>
      </c>
      <c r="M139" t="s">
        <v>3</v>
      </c>
      <c r="N139">
        <v>0</v>
      </c>
    </row>
    <row r="140" spans="1:14" x14ac:dyDescent="0.2">
      <c r="A140">
        <v>70</v>
      </c>
      <c r="B140">
        <v>1</v>
      </c>
      <c r="D140">
        <v>12</v>
      </c>
      <c r="E140" t="s">
        <v>271</v>
      </c>
      <c r="F140" t="s">
        <v>272</v>
      </c>
      <c r="G140">
        <v>0</v>
      </c>
      <c r="H140">
        <v>0</v>
      </c>
      <c r="I140" t="s">
        <v>3</v>
      </c>
      <c r="J140">
        <v>0</v>
      </c>
      <c r="K140">
        <v>0</v>
      </c>
      <c r="L140" t="s">
        <v>3</v>
      </c>
      <c r="M140" t="s">
        <v>3</v>
      </c>
      <c r="N140">
        <v>0</v>
      </c>
    </row>
    <row r="141" spans="1:14" x14ac:dyDescent="0.2">
      <c r="A141">
        <v>70</v>
      </c>
      <c r="B141">
        <v>1</v>
      </c>
      <c r="D141">
        <v>13</v>
      </c>
      <c r="E141" t="s">
        <v>273</v>
      </c>
      <c r="F141" t="s">
        <v>274</v>
      </c>
      <c r="G141">
        <v>0.94</v>
      </c>
      <c r="H141">
        <v>0</v>
      </c>
      <c r="I141" t="s">
        <v>3</v>
      </c>
      <c r="J141">
        <v>0</v>
      </c>
      <c r="K141">
        <v>0</v>
      </c>
      <c r="L141" t="s">
        <v>3</v>
      </c>
      <c r="M141" t="s">
        <v>3</v>
      </c>
      <c r="N141">
        <v>0</v>
      </c>
    </row>
    <row r="143" spans="1:14" x14ac:dyDescent="0.2">
      <c r="A143">
        <v>-1</v>
      </c>
    </row>
    <row r="145" spans="1:34" x14ac:dyDescent="0.2">
      <c r="A145" s="3">
        <v>75</v>
      </c>
      <c r="B145" s="3" t="s">
        <v>275</v>
      </c>
      <c r="C145" s="3">
        <v>2017</v>
      </c>
      <c r="D145" s="3">
        <v>4</v>
      </c>
      <c r="E145" s="3">
        <v>0</v>
      </c>
      <c r="F145" s="3">
        <v>0</v>
      </c>
      <c r="G145" s="3">
        <v>0</v>
      </c>
      <c r="H145" s="3">
        <v>1</v>
      </c>
      <c r="I145" s="3">
        <v>0</v>
      </c>
      <c r="J145" s="3">
        <v>1</v>
      </c>
      <c r="K145" s="3">
        <v>0</v>
      </c>
      <c r="L145" s="3">
        <v>0</v>
      </c>
      <c r="M145" s="3">
        <v>0</v>
      </c>
      <c r="N145" s="3">
        <v>39088907</v>
      </c>
      <c r="O145" s="3">
        <v>1</v>
      </c>
    </row>
    <row r="146" spans="1:34" x14ac:dyDescent="0.2">
      <c r="A146" s="5">
        <v>3</v>
      </c>
      <c r="B146" s="5" t="s">
        <v>276</v>
      </c>
      <c r="C146" s="5">
        <v>6.48</v>
      </c>
      <c r="D146" s="5">
        <v>1</v>
      </c>
      <c r="E146" s="5">
        <v>1</v>
      </c>
      <c r="F146" s="5">
        <v>1</v>
      </c>
      <c r="G146" s="5">
        <v>1</v>
      </c>
      <c r="H146" s="5">
        <v>1</v>
      </c>
      <c r="I146" s="5">
        <v>1</v>
      </c>
      <c r="J146" s="5">
        <v>1</v>
      </c>
      <c r="K146" s="5">
        <v>1</v>
      </c>
      <c r="L146" s="5">
        <v>1</v>
      </c>
      <c r="M146" s="5">
        <v>6.48</v>
      </c>
      <c r="N146" s="5">
        <v>1</v>
      </c>
      <c r="O146" s="5">
        <v>1</v>
      </c>
      <c r="P146" s="5">
        <v>1</v>
      </c>
      <c r="Q146" s="5">
        <v>1</v>
      </c>
      <c r="R146" s="5">
        <v>1</v>
      </c>
      <c r="S146" s="5" t="s">
        <v>3</v>
      </c>
      <c r="T146" s="5" t="s">
        <v>3</v>
      </c>
      <c r="U146" s="5" t="s">
        <v>3</v>
      </c>
      <c r="V146" s="5" t="s">
        <v>3</v>
      </c>
      <c r="W146" s="5" t="s">
        <v>3</v>
      </c>
      <c r="X146" s="5" t="s">
        <v>3</v>
      </c>
      <c r="Y146" s="5" t="s">
        <v>3</v>
      </c>
      <c r="Z146" s="5" t="s">
        <v>3</v>
      </c>
      <c r="AA146" s="5" t="s">
        <v>3</v>
      </c>
      <c r="AB146" s="5" t="s">
        <v>3</v>
      </c>
      <c r="AC146" s="5" t="s">
        <v>3</v>
      </c>
      <c r="AD146" s="5" t="s">
        <v>3</v>
      </c>
      <c r="AE146" s="5" t="s">
        <v>3</v>
      </c>
      <c r="AF146" s="5" t="s">
        <v>3</v>
      </c>
      <c r="AG146" s="5" t="s">
        <v>3</v>
      </c>
      <c r="AH146" s="5" t="s">
        <v>3</v>
      </c>
    </row>
    <row r="150" spans="1:34" x14ac:dyDescent="0.2">
      <c r="A150">
        <v>65</v>
      </c>
      <c r="C150">
        <v>1</v>
      </c>
      <c r="D150">
        <v>0</v>
      </c>
      <c r="E15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277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39088907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(Source!F72)/1000</f>
        <v>1802.2788999999998</v>
      </c>
      <c r="F16" s="7">
        <f>(Source!F73)/1000</f>
        <v>0</v>
      </c>
      <c r="G16" s="7">
        <f>(Source!F64)/1000</f>
        <v>0</v>
      </c>
      <c r="H16" s="7">
        <f>(Source!F74)/1000+(Source!F75)/1000</f>
        <v>0</v>
      </c>
      <c r="I16" s="7">
        <f>E16+F16+G16+H16</f>
        <v>1802.2788999999998</v>
      </c>
      <c r="J16" s="7">
        <f>(Source!F70)/1000</f>
        <v>73.982190000000003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1669289.66</v>
      </c>
      <c r="AU16" s="7">
        <v>1562028.68</v>
      </c>
      <c r="AV16" s="7">
        <v>0</v>
      </c>
      <c r="AW16" s="7">
        <v>0</v>
      </c>
      <c r="AX16" s="7">
        <v>0</v>
      </c>
      <c r="AY16" s="7">
        <v>33278.79</v>
      </c>
      <c r="AZ16" s="7">
        <v>2953.65</v>
      </c>
      <c r="BA16" s="7">
        <v>73982.19</v>
      </c>
      <c r="BB16" s="7">
        <v>1802278.9</v>
      </c>
      <c r="BC16" s="7">
        <v>0</v>
      </c>
      <c r="BD16" s="7">
        <v>0</v>
      </c>
      <c r="BE16" s="7">
        <v>0</v>
      </c>
      <c r="BF16" s="7">
        <v>1262.3332</v>
      </c>
      <c r="BG16" s="7">
        <v>34.921999999999997</v>
      </c>
      <c r="BH16" s="7">
        <v>0</v>
      </c>
      <c r="BI16" s="7">
        <v>81836.38</v>
      </c>
      <c r="BJ16" s="7">
        <v>51152.86</v>
      </c>
      <c r="BK16" s="7">
        <v>1802278.9</v>
      </c>
    </row>
    <row r="18" spans="1:19" x14ac:dyDescent="0.2">
      <c r="A18">
        <v>51</v>
      </c>
      <c r="E18" s="8">
        <f>SUMIF(A16:A17,3,E16:E17)</f>
        <v>1802.2788999999998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1802.2788999999998</v>
      </c>
      <c r="J18" s="8">
        <f>SUMIF(A16:A17,3,J16:J17)</f>
        <v>73.982190000000003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1669289.66</v>
      </c>
      <c r="G20" s="4" t="s">
        <v>157</v>
      </c>
      <c r="H20" s="4" t="s">
        <v>158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1562028.68</v>
      </c>
      <c r="G21" s="4" t="s">
        <v>159</v>
      </c>
      <c r="H21" s="4" t="s">
        <v>160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161</v>
      </c>
      <c r="H22" s="4" t="s">
        <v>162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1562028.68</v>
      </c>
      <c r="G23" s="4" t="s">
        <v>163</v>
      </c>
      <c r="H23" s="4" t="s">
        <v>164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1562028.68</v>
      </c>
      <c r="G24" s="4" t="s">
        <v>165</v>
      </c>
      <c r="H24" s="4" t="s">
        <v>166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167</v>
      </c>
      <c r="H25" s="4" t="s">
        <v>168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1562028.68</v>
      </c>
      <c r="G26" s="4" t="s">
        <v>169</v>
      </c>
      <c r="H26" s="4" t="s">
        <v>170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171</v>
      </c>
      <c r="H27" s="4" t="s">
        <v>172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173</v>
      </c>
      <c r="H28" s="4" t="s">
        <v>174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175</v>
      </c>
      <c r="H29" s="4" t="s">
        <v>176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33278.79</v>
      </c>
      <c r="G30" s="4" t="s">
        <v>177</v>
      </c>
      <c r="H30" s="4" t="s">
        <v>178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179</v>
      </c>
      <c r="H31" s="4" t="s">
        <v>180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2953.65</v>
      </c>
      <c r="G32" s="4" t="s">
        <v>181</v>
      </c>
      <c r="H32" s="4" t="s">
        <v>182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73982.19</v>
      </c>
      <c r="G33" s="4" t="s">
        <v>183</v>
      </c>
      <c r="H33" s="4" t="s">
        <v>184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185</v>
      </c>
      <c r="H34" s="4" t="s">
        <v>186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1802278.9</v>
      </c>
      <c r="G35" s="4" t="s">
        <v>187</v>
      </c>
      <c r="H35" s="4" t="s">
        <v>188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189</v>
      </c>
      <c r="H36" s="4" t="s">
        <v>190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191</v>
      </c>
      <c r="H37" s="4" t="s">
        <v>192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193</v>
      </c>
      <c r="H38" s="4" t="s">
        <v>194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195</v>
      </c>
      <c r="H39" s="4" t="s">
        <v>196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1262.3332</v>
      </c>
      <c r="G40" s="4" t="s">
        <v>197</v>
      </c>
      <c r="H40" s="4" t="s">
        <v>198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34.921999999999997</v>
      </c>
      <c r="G41" s="4" t="s">
        <v>199</v>
      </c>
      <c r="H41" s="4" t="s">
        <v>200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201</v>
      </c>
      <c r="H42" s="4" t="s">
        <v>202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81836.38</v>
      </c>
      <c r="G43" s="4" t="s">
        <v>203</v>
      </c>
      <c r="H43" s="4" t="s">
        <v>204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51152.86</v>
      </c>
      <c r="G44" s="4" t="s">
        <v>205</v>
      </c>
      <c r="H44" s="4" t="s">
        <v>206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1802278.9</v>
      </c>
      <c r="G45" s="4" t="s">
        <v>207</v>
      </c>
      <c r="H45" s="4" t="s">
        <v>208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275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39088907</v>
      </c>
      <c r="O50" s="3">
        <v>1</v>
      </c>
    </row>
    <row r="51" spans="1:34" x14ac:dyDescent="0.2">
      <c r="A51" s="5">
        <v>3</v>
      </c>
      <c r="B51" s="5" t="s">
        <v>276</v>
      </c>
      <c r="C51" s="5">
        <v>6.48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6.48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1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39088907</v>
      </c>
      <c r="C1">
        <v>39089259</v>
      </c>
      <c r="D1">
        <v>37065248</v>
      </c>
      <c r="E1">
        <v>1</v>
      </c>
      <c r="F1">
        <v>1</v>
      </c>
      <c r="G1">
        <v>1</v>
      </c>
      <c r="H1">
        <v>1</v>
      </c>
      <c r="I1" t="s">
        <v>278</v>
      </c>
      <c r="J1" t="s">
        <v>3</v>
      </c>
      <c r="K1" t="s">
        <v>279</v>
      </c>
      <c r="L1">
        <v>1191</v>
      </c>
      <c r="N1">
        <v>1013</v>
      </c>
      <c r="O1" t="s">
        <v>280</v>
      </c>
      <c r="P1" t="s">
        <v>280</v>
      </c>
      <c r="Q1">
        <v>1</v>
      </c>
      <c r="W1">
        <v>0</v>
      </c>
      <c r="X1">
        <v>-400197608</v>
      </c>
      <c r="Y1">
        <v>1.27</v>
      </c>
      <c r="AA1">
        <v>0</v>
      </c>
      <c r="AB1">
        <v>0</v>
      </c>
      <c r="AC1">
        <v>0</v>
      </c>
      <c r="AD1">
        <v>55.27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6.48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1.27</v>
      </c>
      <c r="AU1" t="s">
        <v>3</v>
      </c>
      <c r="AV1">
        <v>1</v>
      </c>
      <c r="AW1">
        <v>2</v>
      </c>
      <c r="AX1">
        <v>39089260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0.13335</v>
      </c>
      <c r="CY1">
        <f>AD1</f>
        <v>55.27</v>
      </c>
      <c r="CZ1">
        <f>AH1</f>
        <v>8.5299999999999994</v>
      </c>
      <c r="DA1">
        <f>AL1</f>
        <v>6.48</v>
      </c>
      <c r="DB1">
        <v>0</v>
      </c>
    </row>
    <row r="2" spans="1:106" x14ac:dyDescent="0.2">
      <c r="A2">
        <f>ROW(Source!A25)</f>
        <v>25</v>
      </c>
      <c r="B2">
        <v>39088907</v>
      </c>
      <c r="C2">
        <v>39089359</v>
      </c>
      <c r="D2">
        <v>37065946</v>
      </c>
      <c r="E2">
        <v>1</v>
      </c>
      <c r="F2">
        <v>1</v>
      </c>
      <c r="G2">
        <v>1</v>
      </c>
      <c r="H2">
        <v>1</v>
      </c>
      <c r="I2" t="s">
        <v>281</v>
      </c>
      <c r="J2" t="s">
        <v>3</v>
      </c>
      <c r="K2" t="s">
        <v>282</v>
      </c>
      <c r="L2">
        <v>1191</v>
      </c>
      <c r="N2">
        <v>1013</v>
      </c>
      <c r="O2" t="s">
        <v>280</v>
      </c>
      <c r="P2" t="s">
        <v>280</v>
      </c>
      <c r="Q2">
        <v>1</v>
      </c>
      <c r="W2">
        <v>0</v>
      </c>
      <c r="X2">
        <v>152375061</v>
      </c>
      <c r="Y2">
        <v>2.27</v>
      </c>
      <c r="AA2">
        <v>0</v>
      </c>
      <c r="AB2">
        <v>0</v>
      </c>
      <c r="AC2">
        <v>0</v>
      </c>
      <c r="AD2">
        <v>51</v>
      </c>
      <c r="AE2">
        <v>0</v>
      </c>
      <c r="AF2">
        <v>0</v>
      </c>
      <c r="AG2">
        <v>0</v>
      </c>
      <c r="AH2">
        <v>7.87</v>
      </c>
      <c r="AI2">
        <v>1</v>
      </c>
      <c r="AJ2">
        <v>1</v>
      </c>
      <c r="AK2">
        <v>1</v>
      </c>
      <c r="AL2">
        <v>6.48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2.27</v>
      </c>
      <c r="AU2" t="s">
        <v>3</v>
      </c>
      <c r="AV2">
        <v>1</v>
      </c>
      <c r="AW2">
        <v>2</v>
      </c>
      <c r="AX2">
        <v>39089360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29.51</v>
      </c>
      <c r="CY2">
        <f>AD2</f>
        <v>51</v>
      </c>
      <c r="CZ2">
        <f>AH2</f>
        <v>7.87</v>
      </c>
      <c r="DA2">
        <f>AL2</f>
        <v>6.48</v>
      </c>
      <c r="DB2">
        <v>0</v>
      </c>
    </row>
    <row r="3" spans="1:106" x14ac:dyDescent="0.2">
      <c r="A3">
        <f>ROW(Source!A26)</f>
        <v>26</v>
      </c>
      <c r="B3">
        <v>39088907</v>
      </c>
      <c r="C3">
        <v>39089361</v>
      </c>
      <c r="D3">
        <v>37069580</v>
      </c>
      <c r="E3">
        <v>1</v>
      </c>
      <c r="F3">
        <v>1</v>
      </c>
      <c r="G3">
        <v>1</v>
      </c>
      <c r="H3">
        <v>1</v>
      </c>
      <c r="I3" t="s">
        <v>283</v>
      </c>
      <c r="J3" t="s">
        <v>3</v>
      </c>
      <c r="K3" t="s">
        <v>284</v>
      </c>
      <c r="L3">
        <v>1191</v>
      </c>
      <c r="N3">
        <v>1013</v>
      </c>
      <c r="O3" t="s">
        <v>280</v>
      </c>
      <c r="P3" t="s">
        <v>280</v>
      </c>
      <c r="Q3">
        <v>1</v>
      </c>
      <c r="W3">
        <v>0</v>
      </c>
      <c r="X3">
        <v>1010519658</v>
      </c>
      <c r="Y3">
        <v>1.5065</v>
      </c>
      <c r="AA3">
        <v>0</v>
      </c>
      <c r="AB3">
        <v>0</v>
      </c>
      <c r="AC3">
        <v>0</v>
      </c>
      <c r="AD3">
        <v>55.99</v>
      </c>
      <c r="AE3">
        <v>0</v>
      </c>
      <c r="AF3">
        <v>0</v>
      </c>
      <c r="AG3">
        <v>0</v>
      </c>
      <c r="AH3">
        <v>8.64</v>
      </c>
      <c r="AI3">
        <v>1</v>
      </c>
      <c r="AJ3">
        <v>1</v>
      </c>
      <c r="AK3">
        <v>1</v>
      </c>
      <c r="AL3">
        <v>6.48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1.31</v>
      </c>
      <c r="AU3" t="s">
        <v>32</v>
      </c>
      <c r="AV3">
        <v>1</v>
      </c>
      <c r="AW3">
        <v>2</v>
      </c>
      <c r="AX3">
        <v>39089362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Y3*Source!I26</f>
        <v>19.584499999999998</v>
      </c>
      <c r="CY3">
        <f>AD3</f>
        <v>55.99</v>
      </c>
      <c r="CZ3">
        <f>AH3</f>
        <v>8.64</v>
      </c>
      <c r="DA3">
        <f>AL3</f>
        <v>6.48</v>
      </c>
      <c r="DB3">
        <v>0</v>
      </c>
    </row>
    <row r="4" spans="1:106" x14ac:dyDescent="0.2">
      <c r="A4">
        <f>ROW(Source!A26)</f>
        <v>26</v>
      </c>
      <c r="B4">
        <v>39088907</v>
      </c>
      <c r="C4">
        <v>39089361</v>
      </c>
      <c r="D4">
        <v>37064876</v>
      </c>
      <c r="E4">
        <v>1</v>
      </c>
      <c r="F4">
        <v>1</v>
      </c>
      <c r="G4">
        <v>1</v>
      </c>
      <c r="H4">
        <v>1</v>
      </c>
      <c r="I4" t="s">
        <v>285</v>
      </c>
      <c r="J4" t="s">
        <v>3</v>
      </c>
      <c r="K4" t="s">
        <v>286</v>
      </c>
      <c r="L4">
        <v>1191</v>
      </c>
      <c r="N4">
        <v>1013</v>
      </c>
      <c r="O4" t="s">
        <v>280</v>
      </c>
      <c r="P4" t="s">
        <v>280</v>
      </c>
      <c r="Q4">
        <v>1</v>
      </c>
      <c r="W4">
        <v>0</v>
      </c>
      <c r="X4">
        <v>-1417349443</v>
      </c>
      <c r="Y4">
        <v>7.0000000000000007E-2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6.48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7.0000000000000007E-2</v>
      </c>
      <c r="AU4" t="s">
        <v>3</v>
      </c>
      <c r="AV4">
        <v>2</v>
      </c>
      <c r="AW4">
        <v>2</v>
      </c>
      <c r="AX4">
        <v>39089363</v>
      </c>
      <c r="AY4">
        <v>1</v>
      </c>
      <c r="AZ4">
        <v>2048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Y4*Source!I26</f>
        <v>0.91000000000000014</v>
      </c>
      <c r="CY4">
        <f>AD4</f>
        <v>0</v>
      </c>
      <c r="CZ4">
        <f>AH4</f>
        <v>0</v>
      </c>
      <c r="DA4">
        <f>AL4</f>
        <v>1</v>
      </c>
      <c r="DB4">
        <v>0</v>
      </c>
    </row>
    <row r="5" spans="1:106" x14ac:dyDescent="0.2">
      <c r="A5">
        <f>ROW(Source!A26)</f>
        <v>26</v>
      </c>
      <c r="B5">
        <v>39088907</v>
      </c>
      <c r="C5">
        <v>39089361</v>
      </c>
      <c r="D5">
        <v>36883554</v>
      </c>
      <c r="E5">
        <v>1</v>
      </c>
      <c r="F5">
        <v>1</v>
      </c>
      <c r="G5">
        <v>1</v>
      </c>
      <c r="H5">
        <v>2</v>
      </c>
      <c r="I5" t="s">
        <v>287</v>
      </c>
      <c r="J5" t="s">
        <v>288</v>
      </c>
      <c r="K5" t="s">
        <v>289</v>
      </c>
      <c r="L5">
        <v>1368</v>
      </c>
      <c r="N5">
        <v>1011</v>
      </c>
      <c r="O5" t="s">
        <v>290</v>
      </c>
      <c r="P5" t="s">
        <v>290</v>
      </c>
      <c r="Q5">
        <v>1</v>
      </c>
      <c r="W5">
        <v>0</v>
      </c>
      <c r="X5">
        <v>1372534845</v>
      </c>
      <c r="Y5">
        <v>8.7500000000000008E-2</v>
      </c>
      <c r="AA5">
        <v>0</v>
      </c>
      <c r="AB5">
        <v>425.8</v>
      </c>
      <c r="AC5">
        <v>11.6</v>
      </c>
      <c r="AD5">
        <v>0</v>
      </c>
      <c r="AE5">
        <v>0</v>
      </c>
      <c r="AF5">
        <v>65.709999999999994</v>
      </c>
      <c r="AG5">
        <v>11.6</v>
      </c>
      <c r="AH5">
        <v>0</v>
      </c>
      <c r="AI5">
        <v>1</v>
      </c>
      <c r="AJ5">
        <v>6.48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7.0000000000000007E-2</v>
      </c>
      <c r="AU5" t="s">
        <v>31</v>
      </c>
      <c r="AV5">
        <v>0</v>
      </c>
      <c r="AW5">
        <v>2</v>
      </c>
      <c r="AX5">
        <v>39089364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1.1375000000000002</v>
      </c>
      <c r="CY5">
        <f>AB5</f>
        <v>425.8</v>
      </c>
      <c r="CZ5">
        <f>AF5</f>
        <v>65.709999999999994</v>
      </c>
      <c r="DA5">
        <f>AJ5</f>
        <v>6.48</v>
      </c>
      <c r="DB5">
        <v>0</v>
      </c>
    </row>
    <row r="6" spans="1:106" x14ac:dyDescent="0.2">
      <c r="A6">
        <f>ROW(Source!A26)</f>
        <v>26</v>
      </c>
      <c r="B6">
        <v>39088907</v>
      </c>
      <c r="C6">
        <v>39089361</v>
      </c>
      <c r="D6">
        <v>36807097</v>
      </c>
      <c r="E6">
        <v>1</v>
      </c>
      <c r="F6">
        <v>1</v>
      </c>
      <c r="G6">
        <v>1</v>
      </c>
      <c r="H6">
        <v>3</v>
      </c>
      <c r="I6" t="s">
        <v>291</v>
      </c>
      <c r="J6" t="s">
        <v>292</v>
      </c>
      <c r="K6" t="s">
        <v>293</v>
      </c>
      <c r="L6">
        <v>1339</v>
      </c>
      <c r="N6">
        <v>1007</v>
      </c>
      <c r="O6" t="s">
        <v>294</v>
      </c>
      <c r="P6" t="s">
        <v>294</v>
      </c>
      <c r="Q6">
        <v>1</v>
      </c>
      <c r="W6">
        <v>0</v>
      </c>
      <c r="X6">
        <v>1329812617</v>
      </c>
      <c r="Y6">
        <v>8.0000000000000004E-4</v>
      </c>
      <c r="AA6">
        <v>4309.2</v>
      </c>
      <c r="AB6">
        <v>0</v>
      </c>
      <c r="AC6">
        <v>0</v>
      </c>
      <c r="AD6">
        <v>0</v>
      </c>
      <c r="AE6">
        <v>665</v>
      </c>
      <c r="AF6">
        <v>0</v>
      </c>
      <c r="AG6">
        <v>0</v>
      </c>
      <c r="AH6">
        <v>0</v>
      </c>
      <c r="AI6">
        <v>6.48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8.0000000000000004E-4</v>
      </c>
      <c r="AU6" t="s">
        <v>3</v>
      </c>
      <c r="AV6">
        <v>0</v>
      </c>
      <c r="AW6">
        <v>2</v>
      </c>
      <c r="AX6">
        <v>39089365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Y6*Source!I26</f>
        <v>1.0400000000000001E-2</v>
      </c>
      <c r="CY6">
        <f>AA6</f>
        <v>4309.2</v>
      </c>
      <c r="CZ6">
        <f>AE6</f>
        <v>665</v>
      </c>
      <c r="DA6">
        <f>AI6</f>
        <v>6.48</v>
      </c>
      <c r="DB6">
        <v>0</v>
      </c>
    </row>
    <row r="7" spans="1:106" x14ac:dyDescent="0.2">
      <c r="A7">
        <f>ROW(Source!A27)</f>
        <v>27</v>
      </c>
      <c r="B7">
        <v>39088907</v>
      </c>
      <c r="C7">
        <v>39089270</v>
      </c>
      <c r="D7">
        <v>37064928</v>
      </c>
      <c r="E7">
        <v>1</v>
      </c>
      <c r="F7">
        <v>1</v>
      </c>
      <c r="G7">
        <v>1</v>
      </c>
      <c r="H7">
        <v>1</v>
      </c>
      <c r="I7" t="s">
        <v>295</v>
      </c>
      <c r="J7" t="s">
        <v>3</v>
      </c>
      <c r="K7" t="s">
        <v>296</v>
      </c>
      <c r="L7">
        <v>1191</v>
      </c>
      <c r="N7">
        <v>1013</v>
      </c>
      <c r="O7" t="s">
        <v>280</v>
      </c>
      <c r="P7" t="s">
        <v>280</v>
      </c>
      <c r="Q7">
        <v>1</v>
      </c>
      <c r="W7">
        <v>0</v>
      </c>
      <c r="X7">
        <v>145020957</v>
      </c>
      <c r="Y7">
        <v>308</v>
      </c>
      <c r="AA7">
        <v>0</v>
      </c>
      <c r="AB7">
        <v>0</v>
      </c>
      <c r="AC7">
        <v>0</v>
      </c>
      <c r="AD7">
        <v>58.77</v>
      </c>
      <c r="AE7">
        <v>0</v>
      </c>
      <c r="AF7">
        <v>0</v>
      </c>
      <c r="AG7">
        <v>0</v>
      </c>
      <c r="AH7">
        <v>9.07</v>
      </c>
      <c r="AI7">
        <v>1</v>
      </c>
      <c r="AJ7">
        <v>1</v>
      </c>
      <c r="AK7">
        <v>1</v>
      </c>
      <c r="AL7">
        <v>6.48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308</v>
      </c>
      <c r="AU7" t="s">
        <v>3</v>
      </c>
      <c r="AV7">
        <v>1</v>
      </c>
      <c r="AW7">
        <v>2</v>
      </c>
      <c r="AX7">
        <v>39089271</v>
      </c>
      <c r="AY7">
        <v>1</v>
      </c>
      <c r="AZ7">
        <v>0</v>
      </c>
      <c r="BA7">
        <v>8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Y7*Source!I27</f>
        <v>12.32</v>
      </c>
      <c r="CY7">
        <f>AD7</f>
        <v>58.77</v>
      </c>
      <c r="CZ7">
        <f>AH7</f>
        <v>9.07</v>
      </c>
      <c r="DA7">
        <f>AL7</f>
        <v>6.48</v>
      </c>
      <c r="DB7">
        <v>0</v>
      </c>
    </row>
    <row r="8" spans="1:106" x14ac:dyDescent="0.2">
      <c r="A8">
        <f>ROW(Source!A27)</f>
        <v>27</v>
      </c>
      <c r="B8">
        <v>39088907</v>
      </c>
      <c r="C8">
        <v>39089270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285</v>
      </c>
      <c r="J8" t="s">
        <v>3</v>
      </c>
      <c r="K8" t="s">
        <v>286</v>
      </c>
      <c r="L8">
        <v>1191</v>
      </c>
      <c r="N8">
        <v>1013</v>
      </c>
      <c r="O8" t="s">
        <v>280</v>
      </c>
      <c r="P8" t="s">
        <v>280</v>
      </c>
      <c r="Q8">
        <v>1</v>
      </c>
      <c r="W8">
        <v>0</v>
      </c>
      <c r="X8">
        <v>-1417349443</v>
      </c>
      <c r="Y8">
        <v>1.6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6.48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1.6</v>
      </c>
      <c r="AU8" t="s">
        <v>3</v>
      </c>
      <c r="AV8">
        <v>2</v>
      </c>
      <c r="AW8">
        <v>2</v>
      </c>
      <c r="AX8">
        <v>39089272</v>
      </c>
      <c r="AY8">
        <v>1</v>
      </c>
      <c r="AZ8">
        <v>0</v>
      </c>
      <c r="BA8">
        <v>9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Y8*Source!I27</f>
        <v>6.4000000000000001E-2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ROW(Source!A27)</f>
        <v>27</v>
      </c>
      <c r="B9">
        <v>39088907</v>
      </c>
      <c r="C9">
        <v>39089270</v>
      </c>
      <c r="D9">
        <v>36883554</v>
      </c>
      <c r="E9">
        <v>1</v>
      </c>
      <c r="F9">
        <v>1</v>
      </c>
      <c r="G9">
        <v>1</v>
      </c>
      <c r="H9">
        <v>2</v>
      </c>
      <c r="I9" t="s">
        <v>287</v>
      </c>
      <c r="J9" t="s">
        <v>288</v>
      </c>
      <c r="K9" t="s">
        <v>289</v>
      </c>
      <c r="L9">
        <v>1368</v>
      </c>
      <c r="N9">
        <v>1011</v>
      </c>
      <c r="O9" t="s">
        <v>290</v>
      </c>
      <c r="P9" t="s">
        <v>290</v>
      </c>
      <c r="Q9">
        <v>1</v>
      </c>
      <c r="W9">
        <v>0</v>
      </c>
      <c r="X9">
        <v>1372534845</v>
      </c>
      <c r="Y9">
        <v>1.6</v>
      </c>
      <c r="AA9">
        <v>0</v>
      </c>
      <c r="AB9">
        <v>425.8</v>
      </c>
      <c r="AC9">
        <v>11.6</v>
      </c>
      <c r="AD9">
        <v>0</v>
      </c>
      <c r="AE9">
        <v>0</v>
      </c>
      <c r="AF9">
        <v>65.709999999999994</v>
      </c>
      <c r="AG9">
        <v>11.6</v>
      </c>
      <c r="AH9">
        <v>0</v>
      </c>
      <c r="AI9">
        <v>1</v>
      </c>
      <c r="AJ9">
        <v>6.48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1.6</v>
      </c>
      <c r="AU9" t="s">
        <v>3</v>
      </c>
      <c r="AV9">
        <v>0</v>
      </c>
      <c r="AW9">
        <v>2</v>
      </c>
      <c r="AX9">
        <v>39089273</v>
      </c>
      <c r="AY9">
        <v>1</v>
      </c>
      <c r="AZ9">
        <v>0</v>
      </c>
      <c r="BA9">
        <v>10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Y9*Source!I27</f>
        <v>6.4000000000000001E-2</v>
      </c>
      <c r="CY9">
        <f>AB9</f>
        <v>425.8</v>
      </c>
      <c r="CZ9">
        <f>AF9</f>
        <v>65.709999999999994</v>
      </c>
      <c r="DA9">
        <f>AJ9</f>
        <v>6.48</v>
      </c>
      <c r="DB9">
        <v>0</v>
      </c>
    </row>
    <row r="10" spans="1:106" x14ac:dyDescent="0.2">
      <c r="A10">
        <f>ROW(Source!A27)</f>
        <v>27</v>
      </c>
      <c r="B10">
        <v>39088907</v>
      </c>
      <c r="C10">
        <v>39089270</v>
      </c>
      <c r="D10">
        <v>36799773</v>
      </c>
      <c r="E10">
        <v>1</v>
      </c>
      <c r="F10">
        <v>1</v>
      </c>
      <c r="G10">
        <v>1</v>
      </c>
      <c r="H10">
        <v>3</v>
      </c>
      <c r="I10" t="s">
        <v>297</v>
      </c>
      <c r="J10" t="s">
        <v>298</v>
      </c>
      <c r="K10" t="s">
        <v>299</v>
      </c>
      <c r="L10">
        <v>1356</v>
      </c>
      <c r="N10">
        <v>1010</v>
      </c>
      <c r="O10" t="s">
        <v>300</v>
      </c>
      <c r="P10" t="s">
        <v>300</v>
      </c>
      <c r="Q10">
        <v>1000</v>
      </c>
      <c r="W10">
        <v>0</v>
      </c>
      <c r="X10">
        <v>-1705143825</v>
      </c>
      <c r="Y10">
        <v>0.2</v>
      </c>
      <c r="AA10">
        <v>22356</v>
      </c>
      <c r="AB10">
        <v>0</v>
      </c>
      <c r="AC10">
        <v>0</v>
      </c>
      <c r="AD10">
        <v>0</v>
      </c>
      <c r="AE10">
        <v>3450</v>
      </c>
      <c r="AF10">
        <v>0</v>
      </c>
      <c r="AG10">
        <v>0</v>
      </c>
      <c r="AH10">
        <v>0</v>
      </c>
      <c r="AI10">
        <v>6.48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0.2</v>
      </c>
      <c r="AU10" t="s">
        <v>3</v>
      </c>
      <c r="AV10">
        <v>0</v>
      </c>
      <c r="AW10">
        <v>2</v>
      </c>
      <c r="AX10">
        <v>39089274</v>
      </c>
      <c r="AY10">
        <v>1</v>
      </c>
      <c r="AZ10">
        <v>0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Y10*Source!I27</f>
        <v>8.0000000000000002E-3</v>
      </c>
      <c r="CY10">
        <f>AA10</f>
        <v>22356</v>
      </c>
      <c r="CZ10">
        <f>AE10</f>
        <v>3450</v>
      </c>
      <c r="DA10">
        <f>AI10</f>
        <v>6.48</v>
      </c>
      <c r="DB10">
        <v>0</v>
      </c>
    </row>
    <row r="11" spans="1:106" x14ac:dyDescent="0.2">
      <c r="A11">
        <f>ROW(Source!A27)</f>
        <v>27</v>
      </c>
      <c r="B11">
        <v>39088907</v>
      </c>
      <c r="C11">
        <v>39089270</v>
      </c>
      <c r="D11">
        <v>36804431</v>
      </c>
      <c r="E11">
        <v>1</v>
      </c>
      <c r="F11">
        <v>1</v>
      </c>
      <c r="G11">
        <v>1</v>
      </c>
      <c r="H11">
        <v>3</v>
      </c>
      <c r="I11" t="s">
        <v>301</v>
      </c>
      <c r="J11" t="s">
        <v>302</v>
      </c>
      <c r="K11" t="s">
        <v>303</v>
      </c>
      <c r="L11">
        <v>1348</v>
      </c>
      <c r="N11">
        <v>1009</v>
      </c>
      <c r="O11" t="s">
        <v>152</v>
      </c>
      <c r="P11" t="s">
        <v>152</v>
      </c>
      <c r="Q11">
        <v>1000</v>
      </c>
      <c r="W11">
        <v>0</v>
      </c>
      <c r="X11">
        <v>-792983950</v>
      </c>
      <c r="Y11">
        <v>0.11</v>
      </c>
      <c r="AA11">
        <v>87868.800000000003</v>
      </c>
      <c r="AB11">
        <v>0</v>
      </c>
      <c r="AC11">
        <v>0</v>
      </c>
      <c r="AD11">
        <v>0</v>
      </c>
      <c r="AE11">
        <v>13560</v>
      </c>
      <c r="AF11">
        <v>0</v>
      </c>
      <c r="AG11">
        <v>0</v>
      </c>
      <c r="AH11">
        <v>0</v>
      </c>
      <c r="AI11">
        <v>6.48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0.11</v>
      </c>
      <c r="AU11" t="s">
        <v>3</v>
      </c>
      <c r="AV11">
        <v>0</v>
      </c>
      <c r="AW11">
        <v>2</v>
      </c>
      <c r="AX11">
        <v>39089276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Y11*Source!I27</f>
        <v>4.4000000000000003E-3</v>
      </c>
      <c r="CY11">
        <f>AA11</f>
        <v>87868.800000000003</v>
      </c>
      <c r="CZ11">
        <f>AE11</f>
        <v>13560</v>
      </c>
      <c r="DA11">
        <f>AI11</f>
        <v>6.48</v>
      </c>
      <c r="DB11">
        <v>0</v>
      </c>
    </row>
    <row r="12" spans="1:106" x14ac:dyDescent="0.2">
      <c r="A12">
        <f>ROW(Source!A27)</f>
        <v>27</v>
      </c>
      <c r="B12">
        <v>39088907</v>
      </c>
      <c r="C12">
        <v>39089270</v>
      </c>
      <c r="D12">
        <v>36843958</v>
      </c>
      <c r="E12">
        <v>1</v>
      </c>
      <c r="F12">
        <v>1</v>
      </c>
      <c r="G12">
        <v>1</v>
      </c>
      <c r="H12">
        <v>3</v>
      </c>
      <c r="I12" t="s">
        <v>46</v>
      </c>
      <c r="J12" t="s">
        <v>49</v>
      </c>
      <c r="K12" t="s">
        <v>47</v>
      </c>
      <c r="L12">
        <v>1354</v>
      </c>
      <c r="N12">
        <v>1010</v>
      </c>
      <c r="O12" t="s">
        <v>48</v>
      </c>
      <c r="P12" t="s">
        <v>48</v>
      </c>
      <c r="Q12">
        <v>1</v>
      </c>
      <c r="W12">
        <v>0</v>
      </c>
      <c r="X12">
        <v>-661447167</v>
      </c>
      <c r="Y12">
        <v>100</v>
      </c>
      <c r="AA12">
        <v>3851.32</v>
      </c>
      <c r="AB12">
        <v>0</v>
      </c>
      <c r="AC12">
        <v>0</v>
      </c>
      <c r="AD12">
        <v>0</v>
      </c>
      <c r="AE12">
        <v>594.34</v>
      </c>
      <c r="AF12">
        <v>0</v>
      </c>
      <c r="AG12">
        <v>0</v>
      </c>
      <c r="AH12">
        <v>0</v>
      </c>
      <c r="AI12">
        <v>6.48</v>
      </c>
      <c r="AJ12">
        <v>1</v>
      </c>
      <c r="AK12">
        <v>1</v>
      </c>
      <c r="AL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3</v>
      </c>
      <c r="AT12">
        <v>100</v>
      </c>
      <c r="AU12" t="s">
        <v>3</v>
      </c>
      <c r="AV12">
        <v>0</v>
      </c>
      <c r="AW12">
        <v>1</v>
      </c>
      <c r="AX12">
        <v>-1</v>
      </c>
      <c r="AY12">
        <v>0</v>
      </c>
      <c r="AZ12">
        <v>0</v>
      </c>
      <c r="BA12" t="s">
        <v>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Y12*Source!I27</f>
        <v>4</v>
      </c>
      <c r="CY12">
        <f>AA12</f>
        <v>3851.32</v>
      </c>
      <c r="CZ12">
        <f>AE12</f>
        <v>594.34</v>
      </c>
      <c r="DA12">
        <f>AI12</f>
        <v>6.48</v>
      </c>
      <c r="DB12">
        <v>0</v>
      </c>
    </row>
    <row r="13" spans="1:106" x14ac:dyDescent="0.2">
      <c r="A13">
        <f>ROW(Source!A29)</f>
        <v>29</v>
      </c>
      <c r="B13">
        <v>39088907</v>
      </c>
      <c r="C13">
        <v>39089280</v>
      </c>
      <c r="D13">
        <v>37064928</v>
      </c>
      <c r="E13">
        <v>1</v>
      </c>
      <c r="F13">
        <v>1</v>
      </c>
      <c r="G13">
        <v>1</v>
      </c>
      <c r="H13">
        <v>1</v>
      </c>
      <c r="I13" t="s">
        <v>295</v>
      </c>
      <c r="J13" t="s">
        <v>3</v>
      </c>
      <c r="K13" t="s">
        <v>296</v>
      </c>
      <c r="L13">
        <v>1191</v>
      </c>
      <c r="N13">
        <v>1013</v>
      </c>
      <c r="O13" t="s">
        <v>280</v>
      </c>
      <c r="P13" t="s">
        <v>280</v>
      </c>
      <c r="Q13">
        <v>1</v>
      </c>
      <c r="W13">
        <v>0</v>
      </c>
      <c r="X13">
        <v>145020957</v>
      </c>
      <c r="Y13">
        <v>422</v>
      </c>
      <c r="AA13">
        <v>0</v>
      </c>
      <c r="AB13">
        <v>0</v>
      </c>
      <c r="AC13">
        <v>0</v>
      </c>
      <c r="AD13">
        <v>58.77</v>
      </c>
      <c r="AE13">
        <v>0</v>
      </c>
      <c r="AF13">
        <v>0</v>
      </c>
      <c r="AG13">
        <v>0</v>
      </c>
      <c r="AH13">
        <v>9.07</v>
      </c>
      <c r="AI13">
        <v>1</v>
      </c>
      <c r="AJ13">
        <v>1</v>
      </c>
      <c r="AK13">
        <v>1</v>
      </c>
      <c r="AL13">
        <v>6.48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422</v>
      </c>
      <c r="AU13" t="s">
        <v>3</v>
      </c>
      <c r="AV13">
        <v>1</v>
      </c>
      <c r="AW13">
        <v>2</v>
      </c>
      <c r="AX13">
        <v>39089281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Y13*Source!I29</f>
        <v>46.42</v>
      </c>
      <c r="CY13">
        <f>AD13</f>
        <v>58.77</v>
      </c>
      <c r="CZ13">
        <f>AH13</f>
        <v>9.07</v>
      </c>
      <c r="DA13">
        <f>AL13</f>
        <v>6.48</v>
      </c>
      <c r="DB13">
        <v>0</v>
      </c>
    </row>
    <row r="14" spans="1:106" x14ac:dyDescent="0.2">
      <c r="A14">
        <f>ROW(Source!A29)</f>
        <v>29</v>
      </c>
      <c r="B14">
        <v>39088907</v>
      </c>
      <c r="C14">
        <v>39089280</v>
      </c>
      <c r="D14">
        <v>37064876</v>
      </c>
      <c r="E14">
        <v>1</v>
      </c>
      <c r="F14">
        <v>1</v>
      </c>
      <c r="G14">
        <v>1</v>
      </c>
      <c r="H14">
        <v>1</v>
      </c>
      <c r="I14" t="s">
        <v>285</v>
      </c>
      <c r="J14" t="s">
        <v>3</v>
      </c>
      <c r="K14" t="s">
        <v>286</v>
      </c>
      <c r="L14">
        <v>1191</v>
      </c>
      <c r="N14">
        <v>1013</v>
      </c>
      <c r="O14" t="s">
        <v>280</v>
      </c>
      <c r="P14" t="s">
        <v>280</v>
      </c>
      <c r="Q14">
        <v>1</v>
      </c>
      <c r="W14">
        <v>0</v>
      </c>
      <c r="X14">
        <v>-1417349443</v>
      </c>
      <c r="Y14">
        <v>4.2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6.48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4.2</v>
      </c>
      <c r="AU14" t="s">
        <v>3</v>
      </c>
      <c r="AV14">
        <v>2</v>
      </c>
      <c r="AW14">
        <v>2</v>
      </c>
      <c r="AX14">
        <v>39089282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Y14*Source!I29</f>
        <v>0.46200000000000002</v>
      </c>
      <c r="CY14">
        <f>AD14</f>
        <v>0</v>
      </c>
      <c r="CZ14">
        <f>AH14</f>
        <v>0</v>
      </c>
      <c r="DA14">
        <f>AL14</f>
        <v>1</v>
      </c>
      <c r="DB14">
        <v>0</v>
      </c>
    </row>
    <row r="15" spans="1:106" x14ac:dyDescent="0.2">
      <c r="A15">
        <f>ROW(Source!A29)</f>
        <v>29</v>
      </c>
      <c r="B15">
        <v>39088907</v>
      </c>
      <c r="C15">
        <v>39089280</v>
      </c>
      <c r="D15">
        <v>36883554</v>
      </c>
      <c r="E15">
        <v>1</v>
      </c>
      <c r="F15">
        <v>1</v>
      </c>
      <c r="G15">
        <v>1</v>
      </c>
      <c r="H15">
        <v>2</v>
      </c>
      <c r="I15" t="s">
        <v>287</v>
      </c>
      <c r="J15" t="s">
        <v>288</v>
      </c>
      <c r="K15" t="s">
        <v>289</v>
      </c>
      <c r="L15">
        <v>1368</v>
      </c>
      <c r="N15">
        <v>1011</v>
      </c>
      <c r="O15" t="s">
        <v>290</v>
      </c>
      <c r="P15" t="s">
        <v>290</v>
      </c>
      <c r="Q15">
        <v>1</v>
      </c>
      <c r="W15">
        <v>0</v>
      </c>
      <c r="X15">
        <v>1372534845</v>
      </c>
      <c r="Y15">
        <v>4.2</v>
      </c>
      <c r="AA15">
        <v>0</v>
      </c>
      <c r="AB15">
        <v>425.8</v>
      </c>
      <c r="AC15">
        <v>11.6</v>
      </c>
      <c r="AD15">
        <v>0</v>
      </c>
      <c r="AE15">
        <v>0</v>
      </c>
      <c r="AF15">
        <v>65.709999999999994</v>
      </c>
      <c r="AG15">
        <v>11.6</v>
      </c>
      <c r="AH15">
        <v>0</v>
      </c>
      <c r="AI15">
        <v>1</v>
      </c>
      <c r="AJ15">
        <v>6.48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4.2</v>
      </c>
      <c r="AU15" t="s">
        <v>3</v>
      </c>
      <c r="AV15">
        <v>0</v>
      </c>
      <c r="AW15">
        <v>2</v>
      </c>
      <c r="AX15">
        <v>39089283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Y15*Source!I29</f>
        <v>0.46200000000000002</v>
      </c>
      <c r="CY15">
        <f>AB15</f>
        <v>425.8</v>
      </c>
      <c r="CZ15">
        <f>AF15</f>
        <v>65.709999999999994</v>
      </c>
      <c r="DA15">
        <f>AJ15</f>
        <v>6.48</v>
      </c>
      <c r="DB15">
        <v>0</v>
      </c>
    </row>
    <row r="16" spans="1:106" x14ac:dyDescent="0.2">
      <c r="A16">
        <f>ROW(Source!A29)</f>
        <v>29</v>
      </c>
      <c r="B16">
        <v>39088907</v>
      </c>
      <c r="C16">
        <v>39089280</v>
      </c>
      <c r="D16">
        <v>36799774</v>
      </c>
      <c r="E16">
        <v>1</v>
      </c>
      <c r="F16">
        <v>1</v>
      </c>
      <c r="G16">
        <v>1</v>
      </c>
      <c r="H16">
        <v>3</v>
      </c>
      <c r="I16" t="s">
        <v>304</v>
      </c>
      <c r="J16" t="s">
        <v>305</v>
      </c>
      <c r="K16" t="s">
        <v>306</v>
      </c>
      <c r="L16">
        <v>1356</v>
      </c>
      <c r="N16">
        <v>1010</v>
      </c>
      <c r="O16" t="s">
        <v>300</v>
      </c>
      <c r="P16" t="s">
        <v>300</v>
      </c>
      <c r="Q16">
        <v>1000</v>
      </c>
      <c r="W16">
        <v>0</v>
      </c>
      <c r="X16">
        <v>329091235</v>
      </c>
      <c r="Y16">
        <v>0.2</v>
      </c>
      <c r="AA16">
        <v>36612</v>
      </c>
      <c r="AB16">
        <v>0</v>
      </c>
      <c r="AC16">
        <v>0</v>
      </c>
      <c r="AD16">
        <v>0</v>
      </c>
      <c r="AE16">
        <v>5650</v>
      </c>
      <c r="AF16">
        <v>0</v>
      </c>
      <c r="AG16">
        <v>0</v>
      </c>
      <c r="AH16">
        <v>0</v>
      </c>
      <c r="AI16">
        <v>6.48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0.2</v>
      </c>
      <c r="AU16" t="s">
        <v>3</v>
      </c>
      <c r="AV16">
        <v>0</v>
      </c>
      <c r="AW16">
        <v>2</v>
      </c>
      <c r="AX16">
        <v>39089284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Y16*Source!I29</f>
        <v>2.2000000000000002E-2</v>
      </c>
      <c r="CY16">
        <f>AA16</f>
        <v>36612</v>
      </c>
      <c r="CZ16">
        <f>AE16</f>
        <v>5650</v>
      </c>
      <c r="DA16">
        <f>AI16</f>
        <v>6.48</v>
      </c>
      <c r="DB16">
        <v>0</v>
      </c>
    </row>
    <row r="17" spans="1:106" x14ac:dyDescent="0.2">
      <c r="A17">
        <f>ROW(Source!A29)</f>
        <v>29</v>
      </c>
      <c r="B17">
        <v>39088907</v>
      </c>
      <c r="C17">
        <v>39089280</v>
      </c>
      <c r="D17">
        <v>36804431</v>
      </c>
      <c r="E17">
        <v>1</v>
      </c>
      <c r="F17">
        <v>1</v>
      </c>
      <c r="G17">
        <v>1</v>
      </c>
      <c r="H17">
        <v>3</v>
      </c>
      <c r="I17" t="s">
        <v>301</v>
      </c>
      <c r="J17" t="s">
        <v>302</v>
      </c>
      <c r="K17" t="s">
        <v>303</v>
      </c>
      <c r="L17">
        <v>1348</v>
      </c>
      <c r="N17">
        <v>1009</v>
      </c>
      <c r="O17" t="s">
        <v>152</v>
      </c>
      <c r="P17" t="s">
        <v>152</v>
      </c>
      <c r="Q17">
        <v>1000</v>
      </c>
      <c r="W17">
        <v>0</v>
      </c>
      <c r="X17">
        <v>-792983950</v>
      </c>
      <c r="Y17">
        <v>0.21</v>
      </c>
      <c r="AA17">
        <v>87868.800000000003</v>
      </c>
      <c r="AB17">
        <v>0</v>
      </c>
      <c r="AC17">
        <v>0</v>
      </c>
      <c r="AD17">
        <v>0</v>
      </c>
      <c r="AE17">
        <v>13560</v>
      </c>
      <c r="AF17">
        <v>0</v>
      </c>
      <c r="AG17">
        <v>0</v>
      </c>
      <c r="AH17">
        <v>0</v>
      </c>
      <c r="AI17">
        <v>6.48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0.21</v>
      </c>
      <c r="AU17" t="s">
        <v>3</v>
      </c>
      <c r="AV17">
        <v>0</v>
      </c>
      <c r="AW17">
        <v>2</v>
      </c>
      <c r="AX17">
        <v>39089286</v>
      </c>
      <c r="AY17">
        <v>1</v>
      </c>
      <c r="AZ17">
        <v>0</v>
      </c>
      <c r="BA17">
        <v>20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Y17*Source!I29</f>
        <v>2.3099999999999999E-2</v>
      </c>
      <c r="CY17">
        <f>AA17</f>
        <v>87868.800000000003</v>
      </c>
      <c r="CZ17">
        <f>AE17</f>
        <v>13560</v>
      </c>
      <c r="DA17">
        <f>AI17</f>
        <v>6.48</v>
      </c>
      <c r="DB17">
        <v>0</v>
      </c>
    </row>
    <row r="18" spans="1:106" x14ac:dyDescent="0.2">
      <c r="A18">
        <f>ROW(Source!A29)</f>
        <v>29</v>
      </c>
      <c r="B18">
        <v>39088907</v>
      </c>
      <c r="C18">
        <v>39089280</v>
      </c>
      <c r="D18">
        <v>36843960</v>
      </c>
      <c r="E18">
        <v>1</v>
      </c>
      <c r="F18">
        <v>1</v>
      </c>
      <c r="G18">
        <v>1</v>
      </c>
      <c r="H18">
        <v>3</v>
      </c>
      <c r="I18" t="s">
        <v>57</v>
      </c>
      <c r="J18" t="s">
        <v>59</v>
      </c>
      <c r="K18" t="s">
        <v>58</v>
      </c>
      <c r="L18">
        <v>1354</v>
      </c>
      <c r="N18">
        <v>1010</v>
      </c>
      <c r="O18" t="s">
        <v>48</v>
      </c>
      <c r="P18" t="s">
        <v>48</v>
      </c>
      <c r="Q18">
        <v>1</v>
      </c>
      <c r="W18">
        <v>0</v>
      </c>
      <c r="X18">
        <v>-1709495380</v>
      </c>
      <c r="Y18">
        <v>100</v>
      </c>
      <c r="AA18">
        <v>6877.42</v>
      </c>
      <c r="AB18">
        <v>0</v>
      </c>
      <c r="AC18">
        <v>0</v>
      </c>
      <c r="AD18">
        <v>0</v>
      </c>
      <c r="AE18">
        <v>1061.33</v>
      </c>
      <c r="AF18">
        <v>0</v>
      </c>
      <c r="AG18">
        <v>0</v>
      </c>
      <c r="AH18">
        <v>0</v>
      </c>
      <c r="AI18">
        <v>6.48</v>
      </c>
      <c r="AJ18">
        <v>1</v>
      </c>
      <c r="AK18">
        <v>1</v>
      </c>
      <c r="AL18">
        <v>1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3</v>
      </c>
      <c r="AT18">
        <v>100</v>
      </c>
      <c r="AU18" t="s">
        <v>3</v>
      </c>
      <c r="AV18">
        <v>0</v>
      </c>
      <c r="AW18">
        <v>1</v>
      </c>
      <c r="AX18">
        <v>-1</v>
      </c>
      <c r="AY18">
        <v>0</v>
      </c>
      <c r="AZ18">
        <v>0</v>
      </c>
      <c r="BA18" t="s">
        <v>3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Y18*Source!I29</f>
        <v>11</v>
      </c>
      <c r="CY18">
        <f>AA18</f>
        <v>6877.42</v>
      </c>
      <c r="CZ18">
        <f>AE18</f>
        <v>1061.33</v>
      </c>
      <c r="DA18">
        <f>AI18</f>
        <v>6.48</v>
      </c>
      <c r="DB18">
        <v>0</v>
      </c>
    </row>
    <row r="19" spans="1:106" x14ac:dyDescent="0.2">
      <c r="A19">
        <f>ROW(Source!A31)</f>
        <v>31</v>
      </c>
      <c r="B19">
        <v>39088907</v>
      </c>
      <c r="C19">
        <v>39089290</v>
      </c>
      <c r="D19">
        <v>37064928</v>
      </c>
      <c r="E19">
        <v>1</v>
      </c>
      <c r="F19">
        <v>1</v>
      </c>
      <c r="G19">
        <v>1</v>
      </c>
      <c r="H19">
        <v>1</v>
      </c>
      <c r="I19" t="s">
        <v>295</v>
      </c>
      <c r="J19" t="s">
        <v>3</v>
      </c>
      <c r="K19" t="s">
        <v>296</v>
      </c>
      <c r="L19">
        <v>1191</v>
      </c>
      <c r="N19">
        <v>1013</v>
      </c>
      <c r="O19" t="s">
        <v>280</v>
      </c>
      <c r="P19" t="s">
        <v>280</v>
      </c>
      <c r="Q19">
        <v>1</v>
      </c>
      <c r="W19">
        <v>0</v>
      </c>
      <c r="X19">
        <v>145020957</v>
      </c>
      <c r="Y19">
        <v>594</v>
      </c>
      <c r="AA19">
        <v>0</v>
      </c>
      <c r="AB19">
        <v>0</v>
      </c>
      <c r="AC19">
        <v>0</v>
      </c>
      <c r="AD19">
        <v>58.77</v>
      </c>
      <c r="AE19">
        <v>0</v>
      </c>
      <c r="AF19">
        <v>0</v>
      </c>
      <c r="AG19">
        <v>0</v>
      </c>
      <c r="AH19">
        <v>9.07</v>
      </c>
      <c r="AI19">
        <v>1</v>
      </c>
      <c r="AJ19">
        <v>1</v>
      </c>
      <c r="AK19">
        <v>1</v>
      </c>
      <c r="AL19">
        <v>6.48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594</v>
      </c>
      <c r="AU19" t="s">
        <v>3</v>
      </c>
      <c r="AV19">
        <v>1</v>
      </c>
      <c r="AW19">
        <v>2</v>
      </c>
      <c r="AX19">
        <v>39089291</v>
      </c>
      <c r="AY19">
        <v>1</v>
      </c>
      <c r="AZ19">
        <v>0</v>
      </c>
      <c r="BA19">
        <v>22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Y19*Source!I31</f>
        <v>47.52</v>
      </c>
      <c r="CY19">
        <f>AD19</f>
        <v>58.77</v>
      </c>
      <c r="CZ19">
        <f>AH19</f>
        <v>9.07</v>
      </c>
      <c r="DA19">
        <f>AL19</f>
        <v>6.48</v>
      </c>
      <c r="DB19">
        <v>0</v>
      </c>
    </row>
    <row r="20" spans="1:106" x14ac:dyDescent="0.2">
      <c r="A20">
        <f>ROW(Source!A31)</f>
        <v>31</v>
      </c>
      <c r="B20">
        <v>39088907</v>
      </c>
      <c r="C20">
        <v>39089290</v>
      </c>
      <c r="D20">
        <v>37064876</v>
      </c>
      <c r="E20">
        <v>1</v>
      </c>
      <c r="F20">
        <v>1</v>
      </c>
      <c r="G20">
        <v>1</v>
      </c>
      <c r="H20">
        <v>1</v>
      </c>
      <c r="I20" t="s">
        <v>285</v>
      </c>
      <c r="J20" t="s">
        <v>3</v>
      </c>
      <c r="K20" t="s">
        <v>286</v>
      </c>
      <c r="L20">
        <v>1191</v>
      </c>
      <c r="N20">
        <v>1013</v>
      </c>
      <c r="O20" t="s">
        <v>280</v>
      </c>
      <c r="P20" t="s">
        <v>280</v>
      </c>
      <c r="Q20">
        <v>1</v>
      </c>
      <c r="W20">
        <v>0</v>
      </c>
      <c r="X20">
        <v>-1417349443</v>
      </c>
      <c r="Y20">
        <v>6.3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6.48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6.3</v>
      </c>
      <c r="AU20" t="s">
        <v>3</v>
      </c>
      <c r="AV20">
        <v>2</v>
      </c>
      <c r="AW20">
        <v>2</v>
      </c>
      <c r="AX20">
        <v>39089292</v>
      </c>
      <c r="AY20">
        <v>1</v>
      </c>
      <c r="AZ20">
        <v>0</v>
      </c>
      <c r="BA20">
        <v>23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Y20*Source!I31</f>
        <v>0.504</v>
      </c>
      <c r="CY20">
        <f>AD20</f>
        <v>0</v>
      </c>
      <c r="CZ20">
        <f>AH20</f>
        <v>0</v>
      </c>
      <c r="DA20">
        <f>AL20</f>
        <v>1</v>
      </c>
      <c r="DB20">
        <v>0</v>
      </c>
    </row>
    <row r="21" spans="1:106" x14ac:dyDescent="0.2">
      <c r="A21">
        <f>ROW(Source!A31)</f>
        <v>31</v>
      </c>
      <c r="B21">
        <v>39088907</v>
      </c>
      <c r="C21">
        <v>39089290</v>
      </c>
      <c r="D21">
        <v>36883554</v>
      </c>
      <c r="E21">
        <v>1</v>
      </c>
      <c r="F21">
        <v>1</v>
      </c>
      <c r="G21">
        <v>1</v>
      </c>
      <c r="H21">
        <v>2</v>
      </c>
      <c r="I21" t="s">
        <v>287</v>
      </c>
      <c r="J21" t="s">
        <v>288</v>
      </c>
      <c r="K21" t="s">
        <v>289</v>
      </c>
      <c r="L21">
        <v>1368</v>
      </c>
      <c r="N21">
        <v>1011</v>
      </c>
      <c r="O21" t="s">
        <v>290</v>
      </c>
      <c r="P21" t="s">
        <v>290</v>
      </c>
      <c r="Q21">
        <v>1</v>
      </c>
      <c r="W21">
        <v>0</v>
      </c>
      <c r="X21">
        <v>1372534845</v>
      </c>
      <c r="Y21">
        <v>6.3</v>
      </c>
      <c r="AA21">
        <v>0</v>
      </c>
      <c r="AB21">
        <v>425.8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6.48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6.3</v>
      </c>
      <c r="AU21" t="s">
        <v>3</v>
      </c>
      <c r="AV21">
        <v>0</v>
      </c>
      <c r="AW21">
        <v>2</v>
      </c>
      <c r="AX21">
        <v>39089293</v>
      </c>
      <c r="AY21">
        <v>1</v>
      </c>
      <c r="AZ21">
        <v>0</v>
      </c>
      <c r="BA21">
        <v>24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Y21*Source!I31</f>
        <v>0.504</v>
      </c>
      <c r="CY21">
        <f>AB21</f>
        <v>425.8</v>
      </c>
      <c r="CZ21">
        <f>AF21</f>
        <v>65.709999999999994</v>
      </c>
      <c r="DA21">
        <f>AJ21</f>
        <v>6.48</v>
      </c>
      <c r="DB21">
        <v>0</v>
      </c>
    </row>
    <row r="22" spans="1:106" x14ac:dyDescent="0.2">
      <c r="A22">
        <f>ROW(Source!A31)</f>
        <v>31</v>
      </c>
      <c r="B22">
        <v>39088907</v>
      </c>
      <c r="C22">
        <v>39089290</v>
      </c>
      <c r="D22">
        <v>36799775</v>
      </c>
      <c r="E22">
        <v>1</v>
      </c>
      <c r="F22">
        <v>1</v>
      </c>
      <c r="G22">
        <v>1</v>
      </c>
      <c r="H22">
        <v>3</v>
      </c>
      <c r="I22" t="s">
        <v>307</v>
      </c>
      <c r="J22" t="s">
        <v>308</v>
      </c>
      <c r="K22" t="s">
        <v>309</v>
      </c>
      <c r="L22">
        <v>1356</v>
      </c>
      <c r="N22">
        <v>1010</v>
      </c>
      <c r="O22" t="s">
        <v>300</v>
      </c>
      <c r="P22" t="s">
        <v>300</v>
      </c>
      <c r="Q22">
        <v>1000</v>
      </c>
      <c r="W22">
        <v>0</v>
      </c>
      <c r="X22">
        <v>-2140541572</v>
      </c>
      <c r="Y22">
        <v>0.2</v>
      </c>
      <c r="AA22">
        <v>51710.400000000001</v>
      </c>
      <c r="AB22">
        <v>0</v>
      </c>
      <c r="AC22">
        <v>0</v>
      </c>
      <c r="AD22">
        <v>0</v>
      </c>
      <c r="AE22">
        <v>7980</v>
      </c>
      <c r="AF22">
        <v>0</v>
      </c>
      <c r="AG22">
        <v>0</v>
      </c>
      <c r="AH22">
        <v>0</v>
      </c>
      <c r="AI22">
        <v>6.48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0.2</v>
      </c>
      <c r="AU22" t="s">
        <v>3</v>
      </c>
      <c r="AV22">
        <v>0</v>
      </c>
      <c r="AW22">
        <v>2</v>
      </c>
      <c r="AX22">
        <v>39089294</v>
      </c>
      <c r="AY22">
        <v>1</v>
      </c>
      <c r="AZ22">
        <v>0</v>
      </c>
      <c r="BA22">
        <v>25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Y22*Source!I31</f>
        <v>1.6E-2</v>
      </c>
      <c r="CY22">
        <f>AA22</f>
        <v>51710.400000000001</v>
      </c>
      <c r="CZ22">
        <f>AE22</f>
        <v>7980</v>
      </c>
      <c r="DA22">
        <f>AI22</f>
        <v>6.48</v>
      </c>
      <c r="DB22">
        <v>0</v>
      </c>
    </row>
    <row r="23" spans="1:106" x14ac:dyDescent="0.2">
      <c r="A23">
        <f>ROW(Source!A31)</f>
        <v>31</v>
      </c>
      <c r="B23">
        <v>39088907</v>
      </c>
      <c r="C23">
        <v>39089290</v>
      </c>
      <c r="D23">
        <v>36804431</v>
      </c>
      <c r="E23">
        <v>1</v>
      </c>
      <c r="F23">
        <v>1</v>
      </c>
      <c r="G23">
        <v>1</v>
      </c>
      <c r="H23">
        <v>3</v>
      </c>
      <c r="I23" t="s">
        <v>301</v>
      </c>
      <c r="J23" t="s">
        <v>302</v>
      </c>
      <c r="K23" t="s">
        <v>303</v>
      </c>
      <c r="L23">
        <v>1348</v>
      </c>
      <c r="N23">
        <v>1009</v>
      </c>
      <c r="O23" t="s">
        <v>152</v>
      </c>
      <c r="P23" t="s">
        <v>152</v>
      </c>
      <c r="Q23">
        <v>1000</v>
      </c>
      <c r="W23">
        <v>0</v>
      </c>
      <c r="X23">
        <v>-792983950</v>
      </c>
      <c r="Y23">
        <v>0.51</v>
      </c>
      <c r="AA23">
        <v>87868.800000000003</v>
      </c>
      <c r="AB23">
        <v>0</v>
      </c>
      <c r="AC23">
        <v>0</v>
      </c>
      <c r="AD23">
        <v>0</v>
      </c>
      <c r="AE23">
        <v>13560</v>
      </c>
      <c r="AF23">
        <v>0</v>
      </c>
      <c r="AG23">
        <v>0</v>
      </c>
      <c r="AH23">
        <v>0</v>
      </c>
      <c r="AI23">
        <v>6.48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0.51</v>
      </c>
      <c r="AU23" t="s">
        <v>3</v>
      </c>
      <c r="AV23">
        <v>0</v>
      </c>
      <c r="AW23">
        <v>2</v>
      </c>
      <c r="AX23">
        <v>39089296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Y23*Source!I31</f>
        <v>4.0800000000000003E-2</v>
      </c>
      <c r="CY23">
        <f>AA23</f>
        <v>87868.800000000003</v>
      </c>
      <c r="CZ23">
        <f>AE23</f>
        <v>13560</v>
      </c>
      <c r="DA23">
        <f>AI23</f>
        <v>6.48</v>
      </c>
      <c r="DB23">
        <v>0</v>
      </c>
    </row>
    <row r="24" spans="1:106" x14ac:dyDescent="0.2">
      <c r="A24">
        <f>ROW(Source!A31)</f>
        <v>31</v>
      </c>
      <c r="B24">
        <v>39088907</v>
      </c>
      <c r="C24">
        <v>39089290</v>
      </c>
      <c r="D24">
        <v>36843994</v>
      </c>
      <c r="E24">
        <v>1</v>
      </c>
      <c r="F24">
        <v>1</v>
      </c>
      <c r="G24">
        <v>1</v>
      </c>
      <c r="H24">
        <v>3</v>
      </c>
      <c r="I24" t="s">
        <v>65</v>
      </c>
      <c r="J24" t="s">
        <v>67</v>
      </c>
      <c r="K24" t="s">
        <v>66</v>
      </c>
      <c r="L24">
        <v>1354</v>
      </c>
      <c r="N24">
        <v>1010</v>
      </c>
      <c r="O24" t="s">
        <v>48</v>
      </c>
      <c r="P24" t="s">
        <v>48</v>
      </c>
      <c r="Q24">
        <v>1</v>
      </c>
      <c r="W24">
        <v>0</v>
      </c>
      <c r="X24">
        <v>942371770</v>
      </c>
      <c r="Y24">
        <v>100</v>
      </c>
      <c r="AA24">
        <v>20040.759999999998</v>
      </c>
      <c r="AB24">
        <v>0</v>
      </c>
      <c r="AC24">
        <v>0</v>
      </c>
      <c r="AD24">
        <v>0</v>
      </c>
      <c r="AE24">
        <v>3092.71</v>
      </c>
      <c r="AF24">
        <v>0</v>
      </c>
      <c r="AG24">
        <v>0</v>
      </c>
      <c r="AH24">
        <v>0</v>
      </c>
      <c r="AI24">
        <v>6.48</v>
      </c>
      <c r="AJ24">
        <v>1</v>
      </c>
      <c r="AK24">
        <v>1</v>
      </c>
      <c r="AL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3</v>
      </c>
      <c r="AT24">
        <v>100</v>
      </c>
      <c r="AU24" t="s">
        <v>3</v>
      </c>
      <c r="AV24">
        <v>0</v>
      </c>
      <c r="AW24">
        <v>1</v>
      </c>
      <c r="AX24">
        <v>-1</v>
      </c>
      <c r="AY24">
        <v>0</v>
      </c>
      <c r="AZ24">
        <v>0</v>
      </c>
      <c r="BA24" t="s">
        <v>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Y24*Source!I31</f>
        <v>8</v>
      </c>
      <c r="CY24">
        <f>AA24</f>
        <v>20040.759999999998</v>
      </c>
      <c r="CZ24">
        <f>AE24</f>
        <v>3092.71</v>
      </c>
      <c r="DA24">
        <f>AI24</f>
        <v>6.48</v>
      </c>
      <c r="DB24">
        <v>0</v>
      </c>
    </row>
    <row r="25" spans="1:106" x14ac:dyDescent="0.2">
      <c r="A25">
        <f>ROW(Source!A33)</f>
        <v>33</v>
      </c>
      <c r="B25">
        <v>39088907</v>
      </c>
      <c r="C25">
        <v>39088930</v>
      </c>
      <c r="D25">
        <v>37065248</v>
      </c>
      <c r="E25">
        <v>1</v>
      </c>
      <c r="F25">
        <v>1</v>
      </c>
      <c r="G25">
        <v>1</v>
      </c>
      <c r="H25">
        <v>1</v>
      </c>
      <c r="I25" t="s">
        <v>278</v>
      </c>
      <c r="J25" t="s">
        <v>3</v>
      </c>
      <c r="K25" t="s">
        <v>279</v>
      </c>
      <c r="L25">
        <v>1191</v>
      </c>
      <c r="N25">
        <v>1013</v>
      </c>
      <c r="O25" t="s">
        <v>280</v>
      </c>
      <c r="P25" t="s">
        <v>280</v>
      </c>
      <c r="Q25">
        <v>1</v>
      </c>
      <c r="W25">
        <v>0</v>
      </c>
      <c r="X25">
        <v>-400197608</v>
      </c>
      <c r="Y25">
        <v>154.69999999999999</v>
      </c>
      <c r="AA25">
        <v>0</v>
      </c>
      <c r="AB25">
        <v>0</v>
      </c>
      <c r="AC25">
        <v>0</v>
      </c>
      <c r="AD25">
        <v>55.27</v>
      </c>
      <c r="AE25">
        <v>0</v>
      </c>
      <c r="AF25">
        <v>0</v>
      </c>
      <c r="AG25">
        <v>0</v>
      </c>
      <c r="AH25">
        <v>8.5299999999999994</v>
      </c>
      <c r="AI25">
        <v>1</v>
      </c>
      <c r="AJ25">
        <v>1</v>
      </c>
      <c r="AK25">
        <v>1</v>
      </c>
      <c r="AL25">
        <v>6.48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154.69999999999999</v>
      </c>
      <c r="AU25" t="s">
        <v>3</v>
      </c>
      <c r="AV25">
        <v>1</v>
      </c>
      <c r="AW25">
        <v>2</v>
      </c>
      <c r="AX25">
        <v>39088931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Y25*Source!I33</f>
        <v>7.7349999999999994</v>
      </c>
      <c r="CY25">
        <f>AD25</f>
        <v>55.27</v>
      </c>
      <c r="CZ25">
        <f>AH25</f>
        <v>8.5299999999999994</v>
      </c>
      <c r="DA25">
        <f>AL25</f>
        <v>6.48</v>
      </c>
      <c r="DB25">
        <v>0</v>
      </c>
    </row>
    <row r="26" spans="1:106" x14ac:dyDescent="0.2">
      <c r="A26">
        <f>ROW(Source!A33)</f>
        <v>33</v>
      </c>
      <c r="B26">
        <v>39088907</v>
      </c>
      <c r="C26">
        <v>39088930</v>
      </c>
      <c r="D26">
        <v>37064876</v>
      </c>
      <c r="E26">
        <v>1</v>
      </c>
      <c r="F26">
        <v>1</v>
      </c>
      <c r="G26">
        <v>1</v>
      </c>
      <c r="H26">
        <v>1</v>
      </c>
      <c r="I26" t="s">
        <v>285</v>
      </c>
      <c r="J26" t="s">
        <v>3</v>
      </c>
      <c r="K26" t="s">
        <v>286</v>
      </c>
      <c r="L26">
        <v>1191</v>
      </c>
      <c r="N26">
        <v>1013</v>
      </c>
      <c r="O26" t="s">
        <v>280</v>
      </c>
      <c r="P26" t="s">
        <v>280</v>
      </c>
      <c r="Q26">
        <v>1</v>
      </c>
      <c r="W26">
        <v>0</v>
      </c>
      <c r="X26">
        <v>-1417349443</v>
      </c>
      <c r="Y26">
        <v>0.75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6.48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0.75</v>
      </c>
      <c r="AU26" t="s">
        <v>3</v>
      </c>
      <c r="AV26">
        <v>2</v>
      </c>
      <c r="AW26">
        <v>2</v>
      </c>
      <c r="AX26">
        <v>39088932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Y26*Source!I33</f>
        <v>3.7500000000000006E-2</v>
      </c>
      <c r="CY26">
        <f>AD26</f>
        <v>0</v>
      </c>
      <c r="CZ26">
        <f>AH26</f>
        <v>0</v>
      </c>
      <c r="DA26">
        <f>AL26</f>
        <v>1</v>
      </c>
      <c r="DB26">
        <v>0</v>
      </c>
    </row>
    <row r="27" spans="1:106" x14ac:dyDescent="0.2">
      <c r="A27">
        <f>ROW(Source!A33)</f>
        <v>33</v>
      </c>
      <c r="B27">
        <v>39088907</v>
      </c>
      <c r="C27">
        <v>39088930</v>
      </c>
      <c r="D27">
        <v>36882452</v>
      </c>
      <c r="E27">
        <v>1</v>
      </c>
      <c r="F27">
        <v>1</v>
      </c>
      <c r="G27">
        <v>1</v>
      </c>
      <c r="H27">
        <v>2</v>
      </c>
      <c r="I27" t="s">
        <v>310</v>
      </c>
      <c r="J27" t="s">
        <v>311</v>
      </c>
      <c r="K27" t="s">
        <v>312</v>
      </c>
      <c r="L27">
        <v>1368</v>
      </c>
      <c r="N27">
        <v>1011</v>
      </c>
      <c r="O27" t="s">
        <v>290</v>
      </c>
      <c r="P27" t="s">
        <v>290</v>
      </c>
      <c r="Q27">
        <v>1</v>
      </c>
      <c r="W27">
        <v>0</v>
      </c>
      <c r="X27">
        <v>1188625873</v>
      </c>
      <c r="Y27">
        <v>0.75</v>
      </c>
      <c r="AA27">
        <v>0</v>
      </c>
      <c r="AB27">
        <v>202.56</v>
      </c>
      <c r="AC27">
        <v>13.5</v>
      </c>
      <c r="AD27">
        <v>0</v>
      </c>
      <c r="AE27">
        <v>0</v>
      </c>
      <c r="AF27">
        <v>31.26</v>
      </c>
      <c r="AG27">
        <v>13.5</v>
      </c>
      <c r="AH27">
        <v>0</v>
      </c>
      <c r="AI27">
        <v>1</v>
      </c>
      <c r="AJ27">
        <v>6.48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0.75</v>
      </c>
      <c r="AU27" t="s">
        <v>3</v>
      </c>
      <c r="AV27">
        <v>0</v>
      </c>
      <c r="AW27">
        <v>2</v>
      </c>
      <c r="AX27">
        <v>39088933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3.7500000000000006E-2</v>
      </c>
      <c r="CY27">
        <f>AB27</f>
        <v>202.56</v>
      </c>
      <c r="CZ27">
        <f>AF27</f>
        <v>31.26</v>
      </c>
      <c r="DA27">
        <f>AJ27</f>
        <v>6.48</v>
      </c>
      <c r="DB27">
        <v>0</v>
      </c>
    </row>
    <row r="28" spans="1:106" x14ac:dyDescent="0.2">
      <c r="A28">
        <f>ROW(Source!A34)</f>
        <v>34</v>
      </c>
      <c r="B28">
        <v>39088907</v>
      </c>
      <c r="C28">
        <v>39089308</v>
      </c>
      <c r="D28">
        <v>37065248</v>
      </c>
      <c r="E28">
        <v>1</v>
      </c>
      <c r="F28">
        <v>1</v>
      </c>
      <c r="G28">
        <v>1</v>
      </c>
      <c r="H28">
        <v>1</v>
      </c>
      <c r="I28" t="s">
        <v>278</v>
      </c>
      <c r="J28" t="s">
        <v>3</v>
      </c>
      <c r="K28" t="s">
        <v>279</v>
      </c>
      <c r="L28">
        <v>1191</v>
      </c>
      <c r="N28">
        <v>1013</v>
      </c>
      <c r="O28" t="s">
        <v>280</v>
      </c>
      <c r="P28" t="s">
        <v>280</v>
      </c>
      <c r="Q28">
        <v>1</v>
      </c>
      <c r="W28">
        <v>0</v>
      </c>
      <c r="X28">
        <v>-400197608</v>
      </c>
      <c r="Y28">
        <v>95.3</v>
      </c>
      <c r="AA28">
        <v>0</v>
      </c>
      <c r="AB28">
        <v>0</v>
      </c>
      <c r="AC28">
        <v>0</v>
      </c>
      <c r="AD28">
        <v>55.27</v>
      </c>
      <c r="AE28">
        <v>0</v>
      </c>
      <c r="AF28">
        <v>0</v>
      </c>
      <c r="AG28">
        <v>0</v>
      </c>
      <c r="AH28">
        <v>8.5299999999999994</v>
      </c>
      <c r="AI28">
        <v>1</v>
      </c>
      <c r="AJ28">
        <v>1</v>
      </c>
      <c r="AK28">
        <v>1</v>
      </c>
      <c r="AL28">
        <v>6.48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95.3</v>
      </c>
      <c r="AU28" t="s">
        <v>3</v>
      </c>
      <c r="AV28">
        <v>1</v>
      </c>
      <c r="AW28">
        <v>2</v>
      </c>
      <c r="AX28">
        <v>39089309</v>
      </c>
      <c r="AY28">
        <v>1</v>
      </c>
      <c r="AZ28">
        <v>0</v>
      </c>
      <c r="BA28">
        <v>33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Y28*Source!I34</f>
        <v>42.884999999999998</v>
      </c>
      <c r="CY28">
        <f>AD28</f>
        <v>55.27</v>
      </c>
      <c r="CZ28">
        <f>AH28</f>
        <v>8.5299999999999994</v>
      </c>
      <c r="DA28">
        <f>AL28</f>
        <v>6.48</v>
      </c>
      <c r="DB28">
        <v>0</v>
      </c>
    </row>
    <row r="29" spans="1:106" x14ac:dyDescent="0.2">
      <c r="A29">
        <f>ROW(Source!A34)</f>
        <v>34</v>
      </c>
      <c r="B29">
        <v>39088907</v>
      </c>
      <c r="C29">
        <v>39089308</v>
      </c>
      <c r="D29">
        <v>37064876</v>
      </c>
      <c r="E29">
        <v>1</v>
      </c>
      <c r="F29">
        <v>1</v>
      </c>
      <c r="G29">
        <v>1</v>
      </c>
      <c r="H29">
        <v>1</v>
      </c>
      <c r="I29" t="s">
        <v>285</v>
      </c>
      <c r="J29" t="s">
        <v>3</v>
      </c>
      <c r="K29" t="s">
        <v>286</v>
      </c>
      <c r="L29">
        <v>1191</v>
      </c>
      <c r="N29">
        <v>1013</v>
      </c>
      <c r="O29" t="s">
        <v>280</v>
      </c>
      <c r="P29" t="s">
        <v>280</v>
      </c>
      <c r="Q29">
        <v>1</v>
      </c>
      <c r="W29">
        <v>0</v>
      </c>
      <c r="X29">
        <v>-1417349443</v>
      </c>
      <c r="Y29">
        <v>0.25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6.48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0.25</v>
      </c>
      <c r="AU29" t="s">
        <v>3</v>
      </c>
      <c r="AV29">
        <v>2</v>
      </c>
      <c r="AW29">
        <v>2</v>
      </c>
      <c r="AX29">
        <v>39089310</v>
      </c>
      <c r="AY29">
        <v>1</v>
      </c>
      <c r="AZ29">
        <v>0</v>
      </c>
      <c r="BA29">
        <v>34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Y29*Source!I34</f>
        <v>0.1125</v>
      </c>
      <c r="CY29">
        <f>AD29</f>
        <v>0</v>
      </c>
      <c r="CZ29">
        <f>AH29</f>
        <v>0</v>
      </c>
      <c r="DA29">
        <f>AL29</f>
        <v>1</v>
      </c>
      <c r="DB29">
        <v>0</v>
      </c>
    </row>
    <row r="30" spans="1:106" x14ac:dyDescent="0.2">
      <c r="A30">
        <f>ROW(Source!A34)</f>
        <v>34</v>
      </c>
      <c r="B30">
        <v>39088907</v>
      </c>
      <c r="C30">
        <v>39089308</v>
      </c>
      <c r="D30">
        <v>36882452</v>
      </c>
      <c r="E30">
        <v>1</v>
      </c>
      <c r="F30">
        <v>1</v>
      </c>
      <c r="G30">
        <v>1</v>
      </c>
      <c r="H30">
        <v>2</v>
      </c>
      <c r="I30" t="s">
        <v>310</v>
      </c>
      <c r="J30" t="s">
        <v>311</v>
      </c>
      <c r="K30" t="s">
        <v>312</v>
      </c>
      <c r="L30">
        <v>1368</v>
      </c>
      <c r="N30">
        <v>1011</v>
      </c>
      <c r="O30" t="s">
        <v>290</v>
      </c>
      <c r="P30" t="s">
        <v>290</v>
      </c>
      <c r="Q30">
        <v>1</v>
      </c>
      <c r="W30">
        <v>0</v>
      </c>
      <c r="X30">
        <v>1188625873</v>
      </c>
      <c r="Y30">
        <v>0.25</v>
      </c>
      <c r="AA30">
        <v>0</v>
      </c>
      <c r="AB30">
        <v>202.56</v>
      </c>
      <c r="AC30">
        <v>13.5</v>
      </c>
      <c r="AD30">
        <v>0</v>
      </c>
      <c r="AE30">
        <v>0</v>
      </c>
      <c r="AF30">
        <v>31.26</v>
      </c>
      <c r="AG30">
        <v>13.5</v>
      </c>
      <c r="AH30">
        <v>0</v>
      </c>
      <c r="AI30">
        <v>1</v>
      </c>
      <c r="AJ30">
        <v>6.48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0.25</v>
      </c>
      <c r="AU30" t="s">
        <v>3</v>
      </c>
      <c r="AV30">
        <v>0</v>
      </c>
      <c r="AW30">
        <v>2</v>
      </c>
      <c r="AX30">
        <v>39089311</v>
      </c>
      <c r="AY30">
        <v>1</v>
      </c>
      <c r="AZ30">
        <v>0</v>
      </c>
      <c r="BA30">
        <v>35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Y30*Source!I34</f>
        <v>0.1125</v>
      </c>
      <c r="CY30">
        <f>AB30</f>
        <v>202.56</v>
      </c>
      <c r="CZ30">
        <f>AF30</f>
        <v>31.26</v>
      </c>
      <c r="DA30">
        <f>AJ30</f>
        <v>6.48</v>
      </c>
      <c r="DB30">
        <v>0</v>
      </c>
    </row>
    <row r="31" spans="1:106" x14ac:dyDescent="0.2">
      <c r="A31">
        <f>ROW(Source!A35)</f>
        <v>35</v>
      </c>
      <c r="B31">
        <v>39088907</v>
      </c>
      <c r="C31">
        <v>39088936</v>
      </c>
      <c r="D31">
        <v>37070164</v>
      </c>
      <c r="E31">
        <v>1</v>
      </c>
      <c r="F31">
        <v>1</v>
      </c>
      <c r="G31">
        <v>1</v>
      </c>
      <c r="H31">
        <v>1</v>
      </c>
      <c r="I31" t="s">
        <v>313</v>
      </c>
      <c r="J31" t="s">
        <v>3</v>
      </c>
      <c r="K31" t="s">
        <v>314</v>
      </c>
      <c r="L31">
        <v>1191</v>
      </c>
      <c r="N31">
        <v>1013</v>
      </c>
      <c r="O31" t="s">
        <v>280</v>
      </c>
      <c r="P31" t="s">
        <v>280</v>
      </c>
      <c r="Q31">
        <v>1</v>
      </c>
      <c r="W31">
        <v>0</v>
      </c>
      <c r="X31">
        <v>-598469600</v>
      </c>
      <c r="Y31">
        <v>4.2960000000000003</v>
      </c>
      <c r="AA31">
        <v>0</v>
      </c>
      <c r="AB31">
        <v>0</v>
      </c>
      <c r="AC31">
        <v>0</v>
      </c>
      <c r="AD31">
        <v>60.2</v>
      </c>
      <c r="AE31">
        <v>0</v>
      </c>
      <c r="AF31">
        <v>0</v>
      </c>
      <c r="AG31">
        <v>0</v>
      </c>
      <c r="AH31">
        <v>9.2899999999999991</v>
      </c>
      <c r="AI31">
        <v>1</v>
      </c>
      <c r="AJ31">
        <v>1</v>
      </c>
      <c r="AK31">
        <v>1</v>
      </c>
      <c r="AL31">
        <v>6.48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10.74</v>
      </c>
      <c r="AU31" t="s">
        <v>84</v>
      </c>
      <c r="AV31">
        <v>1</v>
      </c>
      <c r="AW31">
        <v>2</v>
      </c>
      <c r="AX31">
        <v>39088937</v>
      </c>
      <c r="AY31">
        <v>1</v>
      </c>
      <c r="AZ31">
        <v>0</v>
      </c>
      <c r="BA31">
        <v>37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Y31*Source!I35</f>
        <v>4.2960000000000003</v>
      </c>
      <c r="CY31">
        <f>AD31</f>
        <v>60.2</v>
      </c>
      <c r="CZ31">
        <f>AH31</f>
        <v>9.2899999999999991</v>
      </c>
      <c r="DA31">
        <f>AL31</f>
        <v>6.48</v>
      </c>
      <c r="DB31">
        <v>0</v>
      </c>
    </row>
    <row r="32" spans="1:106" x14ac:dyDescent="0.2">
      <c r="A32">
        <f>ROW(Source!A35)</f>
        <v>35</v>
      </c>
      <c r="B32">
        <v>39088907</v>
      </c>
      <c r="C32">
        <v>39088936</v>
      </c>
      <c r="D32">
        <v>37064876</v>
      </c>
      <c r="E32">
        <v>1</v>
      </c>
      <c r="F32">
        <v>1</v>
      </c>
      <c r="G32">
        <v>1</v>
      </c>
      <c r="H32">
        <v>1</v>
      </c>
      <c r="I32" t="s">
        <v>285</v>
      </c>
      <c r="J32" t="s">
        <v>3</v>
      </c>
      <c r="K32" t="s">
        <v>286</v>
      </c>
      <c r="L32">
        <v>1191</v>
      </c>
      <c r="N32">
        <v>1013</v>
      </c>
      <c r="O32" t="s">
        <v>280</v>
      </c>
      <c r="P32" t="s">
        <v>280</v>
      </c>
      <c r="Q32">
        <v>1</v>
      </c>
      <c r="W32">
        <v>0</v>
      </c>
      <c r="X32">
        <v>-1417349443</v>
      </c>
      <c r="Y32">
        <v>0.22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6.48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0.22</v>
      </c>
      <c r="AU32" t="s">
        <v>3</v>
      </c>
      <c r="AV32">
        <v>2</v>
      </c>
      <c r="AW32">
        <v>2</v>
      </c>
      <c r="AX32">
        <v>39088938</v>
      </c>
      <c r="AY32">
        <v>1</v>
      </c>
      <c r="AZ32">
        <v>2048</v>
      </c>
      <c r="BA32">
        <v>38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Y32*Source!I35</f>
        <v>0.22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ROW(Source!A35)</f>
        <v>35</v>
      </c>
      <c r="B33">
        <v>39088907</v>
      </c>
      <c r="C33">
        <v>39088936</v>
      </c>
      <c r="D33">
        <v>36882057</v>
      </c>
      <c r="E33">
        <v>1</v>
      </c>
      <c r="F33">
        <v>1</v>
      </c>
      <c r="G33">
        <v>1</v>
      </c>
      <c r="H33">
        <v>2</v>
      </c>
      <c r="I33" t="s">
        <v>315</v>
      </c>
      <c r="J33" t="s">
        <v>316</v>
      </c>
      <c r="K33" t="s">
        <v>317</v>
      </c>
      <c r="L33">
        <v>1368</v>
      </c>
      <c r="N33">
        <v>1011</v>
      </c>
      <c r="O33" t="s">
        <v>290</v>
      </c>
      <c r="P33" t="s">
        <v>290</v>
      </c>
      <c r="Q33">
        <v>1</v>
      </c>
      <c r="W33">
        <v>0</v>
      </c>
      <c r="X33">
        <v>-1460065968</v>
      </c>
      <c r="Y33">
        <v>2.4E-2</v>
      </c>
      <c r="AA33">
        <v>0</v>
      </c>
      <c r="AB33">
        <v>559.87</v>
      </c>
      <c r="AC33">
        <v>13.5</v>
      </c>
      <c r="AD33">
        <v>0</v>
      </c>
      <c r="AE33">
        <v>0</v>
      </c>
      <c r="AF33">
        <v>86.4</v>
      </c>
      <c r="AG33">
        <v>13.5</v>
      </c>
      <c r="AH33">
        <v>0</v>
      </c>
      <c r="AI33">
        <v>1</v>
      </c>
      <c r="AJ33">
        <v>6.48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0.06</v>
      </c>
      <c r="AU33" t="s">
        <v>84</v>
      </c>
      <c r="AV33">
        <v>0</v>
      </c>
      <c r="AW33">
        <v>2</v>
      </c>
      <c r="AX33">
        <v>39088939</v>
      </c>
      <c r="AY33">
        <v>1</v>
      </c>
      <c r="AZ33">
        <v>0</v>
      </c>
      <c r="BA33">
        <v>39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Y33*Source!I35</f>
        <v>2.4E-2</v>
      </c>
      <c r="CY33">
        <f>AB33</f>
        <v>559.87</v>
      </c>
      <c r="CZ33">
        <f>AF33</f>
        <v>86.4</v>
      </c>
      <c r="DA33">
        <f>AJ33</f>
        <v>6.48</v>
      </c>
      <c r="DB33">
        <v>0</v>
      </c>
    </row>
    <row r="34" spans="1:106" x14ac:dyDescent="0.2">
      <c r="A34">
        <f>ROW(Source!A35)</f>
        <v>35</v>
      </c>
      <c r="B34">
        <v>39088907</v>
      </c>
      <c r="C34">
        <v>39088936</v>
      </c>
      <c r="D34">
        <v>36882159</v>
      </c>
      <c r="E34">
        <v>1</v>
      </c>
      <c r="F34">
        <v>1</v>
      </c>
      <c r="G34">
        <v>1</v>
      </c>
      <c r="H34">
        <v>2</v>
      </c>
      <c r="I34" t="s">
        <v>318</v>
      </c>
      <c r="J34" t="s">
        <v>319</v>
      </c>
      <c r="K34" t="s">
        <v>320</v>
      </c>
      <c r="L34">
        <v>1368</v>
      </c>
      <c r="N34">
        <v>1011</v>
      </c>
      <c r="O34" t="s">
        <v>290</v>
      </c>
      <c r="P34" t="s">
        <v>290</v>
      </c>
      <c r="Q34">
        <v>1</v>
      </c>
      <c r="W34">
        <v>0</v>
      </c>
      <c r="X34">
        <v>-1718674368</v>
      </c>
      <c r="Y34">
        <v>1.6E-2</v>
      </c>
      <c r="AA34">
        <v>0</v>
      </c>
      <c r="AB34">
        <v>725.7</v>
      </c>
      <c r="AC34">
        <v>13.5</v>
      </c>
      <c r="AD34">
        <v>0</v>
      </c>
      <c r="AE34">
        <v>0</v>
      </c>
      <c r="AF34">
        <v>111.99</v>
      </c>
      <c r="AG34">
        <v>13.5</v>
      </c>
      <c r="AH34">
        <v>0</v>
      </c>
      <c r="AI34">
        <v>1</v>
      </c>
      <c r="AJ34">
        <v>6.48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0.04</v>
      </c>
      <c r="AU34" t="s">
        <v>84</v>
      </c>
      <c r="AV34">
        <v>0</v>
      </c>
      <c r="AW34">
        <v>2</v>
      </c>
      <c r="AX34">
        <v>39088940</v>
      </c>
      <c r="AY34">
        <v>1</v>
      </c>
      <c r="AZ34">
        <v>0</v>
      </c>
      <c r="BA34">
        <v>40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Y34*Source!I35</f>
        <v>1.6E-2</v>
      </c>
      <c r="CY34">
        <f>AB34</f>
        <v>725.7</v>
      </c>
      <c r="CZ34">
        <f>AF34</f>
        <v>111.99</v>
      </c>
      <c r="DA34">
        <f>AJ34</f>
        <v>6.48</v>
      </c>
      <c r="DB34">
        <v>0</v>
      </c>
    </row>
    <row r="35" spans="1:106" x14ac:dyDescent="0.2">
      <c r="A35">
        <f>ROW(Source!A35)</f>
        <v>35</v>
      </c>
      <c r="B35">
        <v>39088907</v>
      </c>
      <c r="C35">
        <v>39088936</v>
      </c>
      <c r="D35">
        <v>36883554</v>
      </c>
      <c r="E35">
        <v>1</v>
      </c>
      <c r="F35">
        <v>1</v>
      </c>
      <c r="G35">
        <v>1</v>
      </c>
      <c r="H35">
        <v>2</v>
      </c>
      <c r="I35" t="s">
        <v>287</v>
      </c>
      <c r="J35" t="s">
        <v>288</v>
      </c>
      <c r="K35" t="s">
        <v>289</v>
      </c>
      <c r="L35">
        <v>1368</v>
      </c>
      <c r="N35">
        <v>1011</v>
      </c>
      <c r="O35" t="s">
        <v>290</v>
      </c>
      <c r="P35" t="s">
        <v>290</v>
      </c>
      <c r="Q35">
        <v>1</v>
      </c>
      <c r="W35">
        <v>0</v>
      </c>
      <c r="X35">
        <v>1372534845</v>
      </c>
      <c r="Y35">
        <v>4.8000000000000001E-2</v>
      </c>
      <c r="AA35">
        <v>0</v>
      </c>
      <c r="AB35">
        <v>425.8</v>
      </c>
      <c r="AC35">
        <v>11.6</v>
      </c>
      <c r="AD35">
        <v>0</v>
      </c>
      <c r="AE35">
        <v>0</v>
      </c>
      <c r="AF35">
        <v>65.709999999999994</v>
      </c>
      <c r="AG35">
        <v>11.6</v>
      </c>
      <c r="AH35">
        <v>0</v>
      </c>
      <c r="AI35">
        <v>1</v>
      </c>
      <c r="AJ35">
        <v>6.48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0.12</v>
      </c>
      <c r="AU35" t="s">
        <v>84</v>
      </c>
      <c r="AV35">
        <v>0</v>
      </c>
      <c r="AW35">
        <v>2</v>
      </c>
      <c r="AX35">
        <v>39088941</v>
      </c>
      <c r="AY35">
        <v>1</v>
      </c>
      <c r="AZ35">
        <v>0</v>
      </c>
      <c r="BA35">
        <v>41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Y35*Source!I35</f>
        <v>4.8000000000000001E-2</v>
      </c>
      <c r="CY35">
        <f>AB35</f>
        <v>425.8</v>
      </c>
      <c r="CZ35">
        <f>AF35</f>
        <v>65.709999999999994</v>
      </c>
      <c r="DA35">
        <f>AJ35</f>
        <v>6.48</v>
      </c>
      <c r="DB35">
        <v>0</v>
      </c>
    </row>
    <row r="36" spans="1:106" x14ac:dyDescent="0.2">
      <c r="A36">
        <f>ROW(Source!A35)</f>
        <v>35</v>
      </c>
      <c r="B36">
        <v>39088907</v>
      </c>
      <c r="C36">
        <v>39088936</v>
      </c>
      <c r="D36">
        <v>36883858</v>
      </c>
      <c r="E36">
        <v>1</v>
      </c>
      <c r="F36">
        <v>1</v>
      </c>
      <c r="G36">
        <v>1</v>
      </c>
      <c r="H36">
        <v>2</v>
      </c>
      <c r="I36" t="s">
        <v>321</v>
      </c>
      <c r="J36" t="s">
        <v>322</v>
      </c>
      <c r="K36" t="s">
        <v>323</v>
      </c>
      <c r="L36">
        <v>1368</v>
      </c>
      <c r="N36">
        <v>1011</v>
      </c>
      <c r="O36" t="s">
        <v>290</v>
      </c>
      <c r="P36" t="s">
        <v>290</v>
      </c>
      <c r="Q36">
        <v>1</v>
      </c>
      <c r="W36">
        <v>0</v>
      </c>
      <c r="X36">
        <v>-353815937</v>
      </c>
      <c r="Y36">
        <v>0.71600000000000008</v>
      </c>
      <c r="AA36">
        <v>0</v>
      </c>
      <c r="AB36">
        <v>52.49</v>
      </c>
      <c r="AC36">
        <v>0</v>
      </c>
      <c r="AD36">
        <v>0</v>
      </c>
      <c r="AE36">
        <v>0</v>
      </c>
      <c r="AF36">
        <v>8.1</v>
      </c>
      <c r="AG36">
        <v>0</v>
      </c>
      <c r="AH36">
        <v>0</v>
      </c>
      <c r="AI36">
        <v>1</v>
      </c>
      <c r="AJ36">
        <v>6.48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1.79</v>
      </c>
      <c r="AU36" t="s">
        <v>84</v>
      </c>
      <c r="AV36">
        <v>0</v>
      </c>
      <c r="AW36">
        <v>2</v>
      </c>
      <c r="AX36">
        <v>39088942</v>
      </c>
      <c r="AY36">
        <v>1</v>
      </c>
      <c r="AZ36">
        <v>0</v>
      </c>
      <c r="BA36">
        <v>42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Y36*Source!I35</f>
        <v>0.71600000000000008</v>
      </c>
      <c r="CY36">
        <f>AB36</f>
        <v>52.49</v>
      </c>
      <c r="CZ36">
        <f>AF36</f>
        <v>8.1</v>
      </c>
      <c r="DA36">
        <f>AJ36</f>
        <v>6.48</v>
      </c>
      <c r="DB36">
        <v>0</v>
      </c>
    </row>
    <row r="37" spans="1:106" x14ac:dyDescent="0.2">
      <c r="A37">
        <f>ROW(Source!A35)</f>
        <v>35</v>
      </c>
      <c r="B37">
        <v>39088907</v>
      </c>
      <c r="C37">
        <v>39088936</v>
      </c>
      <c r="D37">
        <v>36799778</v>
      </c>
      <c r="E37">
        <v>1</v>
      </c>
      <c r="F37">
        <v>1</v>
      </c>
      <c r="G37">
        <v>1</v>
      </c>
      <c r="H37">
        <v>3</v>
      </c>
      <c r="I37" t="s">
        <v>324</v>
      </c>
      <c r="J37" t="s">
        <v>325</v>
      </c>
      <c r="K37" t="s">
        <v>326</v>
      </c>
      <c r="L37">
        <v>1356</v>
      </c>
      <c r="N37">
        <v>1010</v>
      </c>
      <c r="O37" t="s">
        <v>300</v>
      </c>
      <c r="P37" t="s">
        <v>300</v>
      </c>
      <c r="Q37">
        <v>1000</v>
      </c>
      <c r="W37">
        <v>0</v>
      </c>
      <c r="X37">
        <v>-1761144370</v>
      </c>
      <c r="Y37">
        <v>0</v>
      </c>
      <c r="AA37">
        <v>98954.14</v>
      </c>
      <c r="AB37">
        <v>0</v>
      </c>
      <c r="AC37">
        <v>0</v>
      </c>
      <c r="AD37">
        <v>0</v>
      </c>
      <c r="AE37">
        <v>15270.7</v>
      </c>
      <c r="AF37">
        <v>0</v>
      </c>
      <c r="AG37">
        <v>0</v>
      </c>
      <c r="AH37">
        <v>0</v>
      </c>
      <c r="AI37">
        <v>6.48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2E-3</v>
      </c>
      <c r="AU37" t="s">
        <v>83</v>
      </c>
      <c r="AV37">
        <v>0</v>
      </c>
      <c r="AW37">
        <v>2</v>
      </c>
      <c r="AX37">
        <v>39088943</v>
      </c>
      <c r="AY37">
        <v>1</v>
      </c>
      <c r="AZ37">
        <v>0</v>
      </c>
      <c r="BA37">
        <v>43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Y37*Source!I35</f>
        <v>0</v>
      </c>
      <c r="CY37">
        <f>AA37</f>
        <v>98954.14</v>
      </c>
      <c r="CZ37">
        <f>AE37</f>
        <v>15270.7</v>
      </c>
      <c r="DA37">
        <f>AI37</f>
        <v>6.48</v>
      </c>
      <c r="DB37">
        <v>0</v>
      </c>
    </row>
    <row r="38" spans="1:106" x14ac:dyDescent="0.2">
      <c r="A38">
        <f>ROW(Source!A35)</f>
        <v>35</v>
      </c>
      <c r="B38">
        <v>39088907</v>
      </c>
      <c r="C38">
        <v>39088936</v>
      </c>
      <c r="D38">
        <v>36803269</v>
      </c>
      <c r="E38">
        <v>1</v>
      </c>
      <c r="F38">
        <v>1</v>
      </c>
      <c r="G38">
        <v>1</v>
      </c>
      <c r="H38">
        <v>3</v>
      </c>
      <c r="I38" t="s">
        <v>327</v>
      </c>
      <c r="J38" t="s">
        <v>328</v>
      </c>
      <c r="K38" t="s">
        <v>329</v>
      </c>
      <c r="L38">
        <v>1348</v>
      </c>
      <c r="N38">
        <v>1009</v>
      </c>
      <c r="O38" t="s">
        <v>152</v>
      </c>
      <c r="P38" t="s">
        <v>152</v>
      </c>
      <c r="Q38">
        <v>1000</v>
      </c>
      <c r="W38">
        <v>0</v>
      </c>
      <c r="X38">
        <v>-1068056325</v>
      </c>
      <c r="Y38">
        <v>0</v>
      </c>
      <c r="AA38">
        <v>67145.759999999995</v>
      </c>
      <c r="AB38">
        <v>0</v>
      </c>
      <c r="AC38">
        <v>0</v>
      </c>
      <c r="AD38">
        <v>0</v>
      </c>
      <c r="AE38">
        <v>10362</v>
      </c>
      <c r="AF38">
        <v>0</v>
      </c>
      <c r="AG38">
        <v>0</v>
      </c>
      <c r="AH38">
        <v>0</v>
      </c>
      <c r="AI38">
        <v>6.48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1.4E-3</v>
      </c>
      <c r="AU38" t="s">
        <v>83</v>
      </c>
      <c r="AV38">
        <v>0</v>
      </c>
      <c r="AW38">
        <v>2</v>
      </c>
      <c r="AX38">
        <v>39088944</v>
      </c>
      <c r="AY38">
        <v>1</v>
      </c>
      <c r="AZ38">
        <v>0</v>
      </c>
      <c r="BA38">
        <v>44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Y38*Source!I35</f>
        <v>0</v>
      </c>
      <c r="CY38">
        <f>AA38</f>
        <v>67145.759999999995</v>
      </c>
      <c r="CZ38">
        <f>AE38</f>
        <v>10362</v>
      </c>
      <c r="DA38">
        <f>AI38</f>
        <v>6.48</v>
      </c>
      <c r="DB38">
        <v>0</v>
      </c>
    </row>
    <row r="39" spans="1:106" x14ac:dyDescent="0.2">
      <c r="A39">
        <f>ROW(Source!A35)</f>
        <v>35</v>
      </c>
      <c r="B39">
        <v>39088907</v>
      </c>
      <c r="C39">
        <v>39088936</v>
      </c>
      <c r="D39">
        <v>36804431</v>
      </c>
      <c r="E39">
        <v>1</v>
      </c>
      <c r="F39">
        <v>1</v>
      </c>
      <c r="G39">
        <v>1</v>
      </c>
      <c r="H39">
        <v>3</v>
      </c>
      <c r="I39" t="s">
        <v>301</v>
      </c>
      <c r="J39" t="s">
        <v>302</v>
      </c>
      <c r="K39" t="s">
        <v>303</v>
      </c>
      <c r="L39">
        <v>1348</v>
      </c>
      <c r="N39">
        <v>1009</v>
      </c>
      <c r="O39" t="s">
        <v>152</v>
      </c>
      <c r="P39" t="s">
        <v>152</v>
      </c>
      <c r="Q39">
        <v>1000</v>
      </c>
      <c r="W39">
        <v>0</v>
      </c>
      <c r="X39">
        <v>-792983950</v>
      </c>
      <c r="Y39">
        <v>0</v>
      </c>
      <c r="AA39">
        <v>87868.800000000003</v>
      </c>
      <c r="AB39">
        <v>0</v>
      </c>
      <c r="AC39">
        <v>0</v>
      </c>
      <c r="AD39">
        <v>0</v>
      </c>
      <c r="AE39">
        <v>13560</v>
      </c>
      <c r="AF39">
        <v>0</v>
      </c>
      <c r="AG39">
        <v>0</v>
      </c>
      <c r="AH39">
        <v>0</v>
      </c>
      <c r="AI39">
        <v>6.48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7.8600000000000007E-3</v>
      </c>
      <c r="AU39" t="s">
        <v>83</v>
      </c>
      <c r="AV39">
        <v>0</v>
      </c>
      <c r="AW39">
        <v>2</v>
      </c>
      <c r="AX39">
        <v>39088945</v>
      </c>
      <c r="AY39">
        <v>1</v>
      </c>
      <c r="AZ39">
        <v>0</v>
      </c>
      <c r="BA39">
        <v>45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Y39*Source!I35</f>
        <v>0</v>
      </c>
      <c r="CY39">
        <f>AA39</f>
        <v>87868.800000000003</v>
      </c>
      <c r="CZ39">
        <f>AE39</f>
        <v>13560</v>
      </c>
      <c r="DA39">
        <f>AI39</f>
        <v>6.48</v>
      </c>
      <c r="DB39">
        <v>0</v>
      </c>
    </row>
    <row r="40" spans="1:106" x14ac:dyDescent="0.2">
      <c r="A40">
        <f>ROW(Source!A36)</f>
        <v>36</v>
      </c>
      <c r="B40">
        <v>39088907</v>
      </c>
      <c r="C40">
        <v>39089063</v>
      </c>
      <c r="D40">
        <v>37069580</v>
      </c>
      <c r="E40">
        <v>1</v>
      </c>
      <c r="F40">
        <v>1</v>
      </c>
      <c r="G40">
        <v>1</v>
      </c>
      <c r="H40">
        <v>1</v>
      </c>
      <c r="I40" t="s">
        <v>283</v>
      </c>
      <c r="J40" t="s">
        <v>3</v>
      </c>
      <c r="K40" t="s">
        <v>284</v>
      </c>
      <c r="L40">
        <v>1191</v>
      </c>
      <c r="N40">
        <v>1013</v>
      </c>
      <c r="O40" t="s">
        <v>280</v>
      </c>
      <c r="P40" t="s">
        <v>280</v>
      </c>
      <c r="Q40">
        <v>1</v>
      </c>
      <c r="W40">
        <v>0</v>
      </c>
      <c r="X40">
        <v>1010519658</v>
      </c>
      <c r="Y40">
        <v>3.27</v>
      </c>
      <c r="AA40">
        <v>0</v>
      </c>
      <c r="AB40">
        <v>0</v>
      </c>
      <c r="AC40">
        <v>0</v>
      </c>
      <c r="AD40">
        <v>55.99</v>
      </c>
      <c r="AE40">
        <v>0</v>
      </c>
      <c r="AF40">
        <v>0</v>
      </c>
      <c r="AG40">
        <v>0</v>
      </c>
      <c r="AH40">
        <v>8.64</v>
      </c>
      <c r="AI40">
        <v>1</v>
      </c>
      <c r="AJ40">
        <v>1</v>
      </c>
      <c r="AK40">
        <v>1</v>
      </c>
      <c r="AL40">
        <v>6.48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3.27</v>
      </c>
      <c r="AU40" t="s">
        <v>3</v>
      </c>
      <c r="AV40">
        <v>1</v>
      </c>
      <c r="AW40">
        <v>2</v>
      </c>
      <c r="AX40">
        <v>39089064</v>
      </c>
      <c r="AY40">
        <v>1</v>
      </c>
      <c r="AZ40">
        <v>0</v>
      </c>
      <c r="BA40">
        <v>48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Y40*Source!I36</f>
        <v>42.51</v>
      </c>
      <c r="CY40">
        <f>AD40</f>
        <v>55.99</v>
      </c>
      <c r="CZ40">
        <f>AH40</f>
        <v>8.64</v>
      </c>
      <c r="DA40">
        <f>AL40</f>
        <v>6.48</v>
      </c>
      <c r="DB40">
        <v>0</v>
      </c>
    </row>
    <row r="41" spans="1:106" x14ac:dyDescent="0.2">
      <c r="A41">
        <f>ROW(Source!A36)</f>
        <v>36</v>
      </c>
      <c r="B41">
        <v>39088907</v>
      </c>
      <c r="C41">
        <v>39089063</v>
      </c>
      <c r="D41">
        <v>37064876</v>
      </c>
      <c r="E41">
        <v>1</v>
      </c>
      <c r="F41">
        <v>1</v>
      </c>
      <c r="G41">
        <v>1</v>
      </c>
      <c r="H41">
        <v>1</v>
      </c>
      <c r="I41" t="s">
        <v>285</v>
      </c>
      <c r="J41" t="s">
        <v>3</v>
      </c>
      <c r="K41" t="s">
        <v>286</v>
      </c>
      <c r="L41">
        <v>1191</v>
      </c>
      <c r="N41">
        <v>1013</v>
      </c>
      <c r="O41" t="s">
        <v>280</v>
      </c>
      <c r="P41" t="s">
        <v>280</v>
      </c>
      <c r="Q41">
        <v>1</v>
      </c>
      <c r="W41">
        <v>0</v>
      </c>
      <c r="X41">
        <v>-1417349443</v>
      </c>
      <c r="Y41">
        <v>1.1000000000000001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6.48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1.1000000000000001</v>
      </c>
      <c r="AU41" t="s">
        <v>3</v>
      </c>
      <c r="AV41">
        <v>2</v>
      </c>
      <c r="AW41">
        <v>2</v>
      </c>
      <c r="AX41">
        <v>39089065</v>
      </c>
      <c r="AY41">
        <v>1</v>
      </c>
      <c r="AZ41">
        <v>0</v>
      </c>
      <c r="BA41">
        <v>49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Y41*Source!I36</f>
        <v>14.3</v>
      </c>
      <c r="CY41">
        <f>AD41</f>
        <v>0</v>
      </c>
      <c r="CZ41">
        <f>AH41</f>
        <v>0</v>
      </c>
      <c r="DA41">
        <f>AL41</f>
        <v>1</v>
      </c>
      <c r="DB41">
        <v>0</v>
      </c>
    </row>
    <row r="42" spans="1:106" x14ac:dyDescent="0.2">
      <c r="A42">
        <f>ROW(Source!A36)</f>
        <v>36</v>
      </c>
      <c r="B42">
        <v>39088907</v>
      </c>
      <c r="C42">
        <v>39089063</v>
      </c>
      <c r="D42">
        <v>36882159</v>
      </c>
      <c r="E42">
        <v>1</v>
      </c>
      <c r="F42">
        <v>1</v>
      </c>
      <c r="G42">
        <v>1</v>
      </c>
      <c r="H42">
        <v>2</v>
      </c>
      <c r="I42" t="s">
        <v>318</v>
      </c>
      <c r="J42" t="s">
        <v>319</v>
      </c>
      <c r="K42" t="s">
        <v>320</v>
      </c>
      <c r="L42">
        <v>1368</v>
      </c>
      <c r="N42">
        <v>1011</v>
      </c>
      <c r="O42" t="s">
        <v>290</v>
      </c>
      <c r="P42" t="s">
        <v>290</v>
      </c>
      <c r="Q42">
        <v>1</v>
      </c>
      <c r="W42">
        <v>0</v>
      </c>
      <c r="X42">
        <v>-1718674368</v>
      </c>
      <c r="Y42">
        <v>1</v>
      </c>
      <c r="AA42">
        <v>0</v>
      </c>
      <c r="AB42">
        <v>725.7</v>
      </c>
      <c r="AC42">
        <v>13.5</v>
      </c>
      <c r="AD42">
        <v>0</v>
      </c>
      <c r="AE42">
        <v>0</v>
      </c>
      <c r="AF42">
        <v>111.99</v>
      </c>
      <c r="AG42">
        <v>13.5</v>
      </c>
      <c r="AH42">
        <v>0</v>
      </c>
      <c r="AI42">
        <v>1</v>
      </c>
      <c r="AJ42">
        <v>6.48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1</v>
      </c>
      <c r="AU42" t="s">
        <v>3</v>
      </c>
      <c r="AV42">
        <v>0</v>
      </c>
      <c r="AW42">
        <v>2</v>
      </c>
      <c r="AX42">
        <v>39089066</v>
      </c>
      <c r="AY42">
        <v>1</v>
      </c>
      <c r="AZ42">
        <v>0</v>
      </c>
      <c r="BA42">
        <v>50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Y42*Source!I36</f>
        <v>13</v>
      </c>
      <c r="CY42">
        <f>AB42</f>
        <v>725.7</v>
      </c>
      <c r="CZ42">
        <f>AF42</f>
        <v>111.99</v>
      </c>
      <c r="DA42">
        <f>AJ42</f>
        <v>6.48</v>
      </c>
      <c r="DB42">
        <v>0</v>
      </c>
    </row>
    <row r="43" spans="1:106" x14ac:dyDescent="0.2">
      <c r="A43">
        <f>ROW(Source!A36)</f>
        <v>36</v>
      </c>
      <c r="B43">
        <v>39088907</v>
      </c>
      <c r="C43">
        <v>39089063</v>
      </c>
      <c r="D43">
        <v>36883554</v>
      </c>
      <c r="E43">
        <v>1</v>
      </c>
      <c r="F43">
        <v>1</v>
      </c>
      <c r="G43">
        <v>1</v>
      </c>
      <c r="H43">
        <v>2</v>
      </c>
      <c r="I43" t="s">
        <v>287</v>
      </c>
      <c r="J43" t="s">
        <v>288</v>
      </c>
      <c r="K43" t="s">
        <v>289</v>
      </c>
      <c r="L43">
        <v>1368</v>
      </c>
      <c r="N43">
        <v>1011</v>
      </c>
      <c r="O43" t="s">
        <v>290</v>
      </c>
      <c r="P43" t="s">
        <v>290</v>
      </c>
      <c r="Q43">
        <v>1</v>
      </c>
      <c r="W43">
        <v>0</v>
      </c>
      <c r="X43">
        <v>1372534845</v>
      </c>
      <c r="Y43">
        <v>0.1</v>
      </c>
      <c r="AA43">
        <v>0</v>
      </c>
      <c r="AB43">
        <v>425.8</v>
      </c>
      <c r="AC43">
        <v>11.6</v>
      </c>
      <c r="AD43">
        <v>0</v>
      </c>
      <c r="AE43">
        <v>0</v>
      </c>
      <c r="AF43">
        <v>65.709999999999994</v>
      </c>
      <c r="AG43">
        <v>11.6</v>
      </c>
      <c r="AH43">
        <v>0</v>
      </c>
      <c r="AI43">
        <v>1</v>
      </c>
      <c r="AJ43">
        <v>6.48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3</v>
      </c>
      <c r="AT43">
        <v>0.1</v>
      </c>
      <c r="AU43" t="s">
        <v>3</v>
      </c>
      <c r="AV43">
        <v>0</v>
      </c>
      <c r="AW43">
        <v>2</v>
      </c>
      <c r="AX43">
        <v>39089067</v>
      </c>
      <c r="AY43">
        <v>1</v>
      </c>
      <c r="AZ43">
        <v>0</v>
      </c>
      <c r="BA43">
        <v>51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Y43*Source!I36</f>
        <v>1.3</v>
      </c>
      <c r="CY43">
        <f>AB43</f>
        <v>425.8</v>
      </c>
      <c r="CZ43">
        <f>AF43</f>
        <v>65.709999999999994</v>
      </c>
      <c r="DA43">
        <f>AJ43</f>
        <v>6.48</v>
      </c>
      <c r="DB43">
        <v>0</v>
      </c>
    </row>
    <row r="44" spans="1:106" x14ac:dyDescent="0.2">
      <c r="A44">
        <f>ROW(Source!A37)</f>
        <v>37</v>
      </c>
      <c r="B44">
        <v>39088907</v>
      </c>
      <c r="C44">
        <v>39088951</v>
      </c>
      <c r="D44">
        <v>37064928</v>
      </c>
      <c r="E44">
        <v>1</v>
      </c>
      <c r="F44">
        <v>1</v>
      </c>
      <c r="G44">
        <v>1</v>
      </c>
      <c r="H44">
        <v>1</v>
      </c>
      <c r="I44" t="s">
        <v>295</v>
      </c>
      <c r="J44" t="s">
        <v>3</v>
      </c>
      <c r="K44" t="s">
        <v>296</v>
      </c>
      <c r="L44">
        <v>1191</v>
      </c>
      <c r="N44">
        <v>1013</v>
      </c>
      <c r="O44" t="s">
        <v>280</v>
      </c>
      <c r="P44" t="s">
        <v>280</v>
      </c>
      <c r="Q44">
        <v>1</v>
      </c>
      <c r="W44">
        <v>0</v>
      </c>
      <c r="X44">
        <v>145020957</v>
      </c>
      <c r="Y44">
        <v>0.58799999999999997</v>
      </c>
      <c r="AA44">
        <v>0</v>
      </c>
      <c r="AB44">
        <v>0</v>
      </c>
      <c r="AC44">
        <v>0</v>
      </c>
      <c r="AD44">
        <v>58.77</v>
      </c>
      <c r="AE44">
        <v>0</v>
      </c>
      <c r="AF44">
        <v>0</v>
      </c>
      <c r="AG44">
        <v>0</v>
      </c>
      <c r="AH44">
        <v>9.07</v>
      </c>
      <c r="AI44">
        <v>1</v>
      </c>
      <c r="AJ44">
        <v>1</v>
      </c>
      <c r="AK44">
        <v>1</v>
      </c>
      <c r="AL44">
        <v>6.48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1.47</v>
      </c>
      <c r="AU44" t="s">
        <v>84</v>
      </c>
      <c r="AV44">
        <v>1</v>
      </c>
      <c r="AW44">
        <v>2</v>
      </c>
      <c r="AX44">
        <v>39088952</v>
      </c>
      <c r="AY44">
        <v>1</v>
      </c>
      <c r="AZ44">
        <v>0</v>
      </c>
      <c r="BA44">
        <v>52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Y44*Source!I37</f>
        <v>148.17599999999999</v>
      </c>
      <c r="CY44">
        <f>AD44</f>
        <v>58.77</v>
      </c>
      <c r="CZ44">
        <f>AH44</f>
        <v>9.07</v>
      </c>
      <c r="DA44">
        <f>AL44</f>
        <v>6.48</v>
      </c>
      <c r="DB44">
        <v>0</v>
      </c>
    </row>
    <row r="45" spans="1:106" x14ac:dyDescent="0.2">
      <c r="A45">
        <f>ROW(Source!A37)</f>
        <v>37</v>
      </c>
      <c r="B45">
        <v>39088907</v>
      </c>
      <c r="C45">
        <v>39088951</v>
      </c>
      <c r="D45">
        <v>37064876</v>
      </c>
      <c r="E45">
        <v>1</v>
      </c>
      <c r="F45">
        <v>1</v>
      </c>
      <c r="G45">
        <v>1</v>
      </c>
      <c r="H45">
        <v>1</v>
      </c>
      <c r="I45" t="s">
        <v>285</v>
      </c>
      <c r="J45" t="s">
        <v>3</v>
      </c>
      <c r="K45" t="s">
        <v>286</v>
      </c>
      <c r="L45">
        <v>1191</v>
      </c>
      <c r="N45">
        <v>1013</v>
      </c>
      <c r="O45" t="s">
        <v>280</v>
      </c>
      <c r="P45" t="s">
        <v>280</v>
      </c>
      <c r="Q45">
        <v>1</v>
      </c>
      <c r="W45">
        <v>0</v>
      </c>
      <c r="X45">
        <v>-1417349443</v>
      </c>
      <c r="Y45">
        <v>0.01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6.48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0.01</v>
      </c>
      <c r="AU45" t="s">
        <v>3</v>
      </c>
      <c r="AV45">
        <v>2</v>
      </c>
      <c r="AW45">
        <v>2</v>
      </c>
      <c r="AX45">
        <v>39088953</v>
      </c>
      <c r="AY45">
        <v>1</v>
      </c>
      <c r="AZ45">
        <v>2048</v>
      </c>
      <c r="BA45">
        <v>53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Y45*Source!I37</f>
        <v>2.52</v>
      </c>
      <c r="CY45">
        <f>AD45</f>
        <v>0</v>
      </c>
      <c r="CZ45">
        <f>AH45</f>
        <v>0</v>
      </c>
      <c r="DA45">
        <f>AL45</f>
        <v>1</v>
      </c>
      <c r="DB45">
        <v>0</v>
      </c>
    </row>
    <row r="46" spans="1:106" x14ac:dyDescent="0.2">
      <c r="A46">
        <f>ROW(Source!A37)</f>
        <v>37</v>
      </c>
      <c r="B46">
        <v>39088907</v>
      </c>
      <c r="C46">
        <v>39088951</v>
      </c>
      <c r="D46">
        <v>36883554</v>
      </c>
      <c r="E46">
        <v>1</v>
      </c>
      <c r="F46">
        <v>1</v>
      </c>
      <c r="G46">
        <v>1</v>
      </c>
      <c r="H46">
        <v>2</v>
      </c>
      <c r="I46" t="s">
        <v>287</v>
      </c>
      <c r="J46" t="s">
        <v>288</v>
      </c>
      <c r="K46" t="s">
        <v>289</v>
      </c>
      <c r="L46">
        <v>1368</v>
      </c>
      <c r="N46">
        <v>1011</v>
      </c>
      <c r="O46" t="s">
        <v>290</v>
      </c>
      <c r="P46" t="s">
        <v>290</v>
      </c>
      <c r="Q46">
        <v>1</v>
      </c>
      <c r="W46">
        <v>0</v>
      </c>
      <c r="X46">
        <v>1372534845</v>
      </c>
      <c r="Y46">
        <v>4.0000000000000001E-3</v>
      </c>
      <c r="AA46">
        <v>0</v>
      </c>
      <c r="AB46">
        <v>425.8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6.48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0.01</v>
      </c>
      <c r="AU46" t="s">
        <v>84</v>
      </c>
      <c r="AV46">
        <v>0</v>
      </c>
      <c r="AW46">
        <v>2</v>
      </c>
      <c r="AX46">
        <v>39088954</v>
      </c>
      <c r="AY46">
        <v>1</v>
      </c>
      <c r="AZ46">
        <v>0</v>
      </c>
      <c r="BA46">
        <v>54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Y46*Source!I37</f>
        <v>1.008</v>
      </c>
      <c r="CY46">
        <f>AB46</f>
        <v>425.8</v>
      </c>
      <c r="CZ46">
        <f>AF46</f>
        <v>65.709999999999994</v>
      </c>
      <c r="DA46">
        <f>AJ46</f>
        <v>6.48</v>
      </c>
      <c r="DB46">
        <v>0</v>
      </c>
    </row>
    <row r="47" spans="1:106" x14ac:dyDescent="0.2">
      <c r="A47">
        <f>ROW(Source!A37)</f>
        <v>37</v>
      </c>
      <c r="B47">
        <v>39088907</v>
      </c>
      <c r="C47">
        <v>39088951</v>
      </c>
      <c r="D47">
        <v>36883858</v>
      </c>
      <c r="E47">
        <v>1</v>
      </c>
      <c r="F47">
        <v>1</v>
      </c>
      <c r="G47">
        <v>1</v>
      </c>
      <c r="H47">
        <v>2</v>
      </c>
      <c r="I47" t="s">
        <v>321</v>
      </c>
      <c r="J47" t="s">
        <v>322</v>
      </c>
      <c r="K47" t="s">
        <v>323</v>
      </c>
      <c r="L47">
        <v>1368</v>
      </c>
      <c r="N47">
        <v>1011</v>
      </c>
      <c r="O47" t="s">
        <v>290</v>
      </c>
      <c r="P47" t="s">
        <v>290</v>
      </c>
      <c r="Q47">
        <v>1</v>
      </c>
      <c r="W47">
        <v>0</v>
      </c>
      <c r="X47">
        <v>-353815937</v>
      </c>
      <c r="Y47">
        <v>0.13999999999999999</v>
      </c>
      <c r="AA47">
        <v>0</v>
      </c>
      <c r="AB47">
        <v>52.49</v>
      </c>
      <c r="AC47">
        <v>0</v>
      </c>
      <c r="AD47">
        <v>0</v>
      </c>
      <c r="AE47">
        <v>0</v>
      </c>
      <c r="AF47">
        <v>8.1</v>
      </c>
      <c r="AG47">
        <v>0</v>
      </c>
      <c r="AH47">
        <v>0</v>
      </c>
      <c r="AI47">
        <v>1</v>
      </c>
      <c r="AJ47">
        <v>6.48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0.35</v>
      </c>
      <c r="AU47" t="s">
        <v>84</v>
      </c>
      <c r="AV47">
        <v>0</v>
      </c>
      <c r="AW47">
        <v>2</v>
      </c>
      <c r="AX47">
        <v>39088955</v>
      </c>
      <c r="AY47">
        <v>1</v>
      </c>
      <c r="AZ47">
        <v>0</v>
      </c>
      <c r="BA47">
        <v>55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Y47*Source!I37</f>
        <v>35.279999999999994</v>
      </c>
      <c r="CY47">
        <f>AB47</f>
        <v>52.49</v>
      </c>
      <c r="CZ47">
        <f>AF47</f>
        <v>8.1</v>
      </c>
      <c r="DA47">
        <f>AJ47</f>
        <v>6.48</v>
      </c>
      <c r="DB47">
        <v>0</v>
      </c>
    </row>
    <row r="48" spans="1:106" x14ac:dyDescent="0.2">
      <c r="A48">
        <f>ROW(Source!A37)</f>
        <v>37</v>
      </c>
      <c r="B48">
        <v>39088907</v>
      </c>
      <c r="C48">
        <v>39088951</v>
      </c>
      <c r="D48">
        <v>36799773</v>
      </c>
      <c r="E48">
        <v>1</v>
      </c>
      <c r="F48">
        <v>1</v>
      </c>
      <c r="G48">
        <v>1</v>
      </c>
      <c r="H48">
        <v>3</v>
      </c>
      <c r="I48" t="s">
        <v>297</v>
      </c>
      <c r="J48" t="s">
        <v>298</v>
      </c>
      <c r="K48" t="s">
        <v>299</v>
      </c>
      <c r="L48">
        <v>1356</v>
      </c>
      <c r="N48">
        <v>1010</v>
      </c>
      <c r="O48" t="s">
        <v>300</v>
      </c>
      <c r="P48" t="s">
        <v>300</v>
      </c>
      <c r="Q48">
        <v>1000</v>
      </c>
      <c r="W48">
        <v>0</v>
      </c>
      <c r="X48">
        <v>-1705143825</v>
      </c>
      <c r="Y48">
        <v>0</v>
      </c>
      <c r="AA48">
        <v>22356</v>
      </c>
      <c r="AB48">
        <v>0</v>
      </c>
      <c r="AC48">
        <v>0</v>
      </c>
      <c r="AD48">
        <v>0</v>
      </c>
      <c r="AE48">
        <v>3450</v>
      </c>
      <c r="AF48">
        <v>0</v>
      </c>
      <c r="AG48">
        <v>0</v>
      </c>
      <c r="AH48">
        <v>0</v>
      </c>
      <c r="AI48">
        <v>6.48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2E-3</v>
      </c>
      <c r="AU48" t="s">
        <v>83</v>
      </c>
      <c r="AV48">
        <v>0</v>
      </c>
      <c r="AW48">
        <v>2</v>
      </c>
      <c r="AX48">
        <v>39088956</v>
      </c>
      <c r="AY48">
        <v>1</v>
      </c>
      <c r="AZ48">
        <v>0</v>
      </c>
      <c r="BA48">
        <v>56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Y48*Source!I37</f>
        <v>0</v>
      </c>
      <c r="CY48">
        <f>AA48</f>
        <v>22356</v>
      </c>
      <c r="CZ48">
        <f>AE48</f>
        <v>3450</v>
      </c>
      <c r="DA48">
        <f>AI48</f>
        <v>6.48</v>
      </c>
      <c r="DB48">
        <v>0</v>
      </c>
    </row>
    <row r="49" spans="1:106" x14ac:dyDescent="0.2">
      <c r="A49">
        <f>ROW(Source!A37)</f>
        <v>37</v>
      </c>
      <c r="B49">
        <v>39088907</v>
      </c>
      <c r="C49">
        <v>39088951</v>
      </c>
      <c r="D49">
        <v>36803269</v>
      </c>
      <c r="E49">
        <v>1</v>
      </c>
      <c r="F49">
        <v>1</v>
      </c>
      <c r="G49">
        <v>1</v>
      </c>
      <c r="H49">
        <v>3</v>
      </c>
      <c r="I49" t="s">
        <v>327</v>
      </c>
      <c r="J49" t="s">
        <v>328</v>
      </c>
      <c r="K49" t="s">
        <v>329</v>
      </c>
      <c r="L49">
        <v>1348</v>
      </c>
      <c r="N49">
        <v>1009</v>
      </c>
      <c r="O49" t="s">
        <v>152</v>
      </c>
      <c r="P49" t="s">
        <v>152</v>
      </c>
      <c r="Q49">
        <v>1000</v>
      </c>
      <c r="W49">
        <v>0</v>
      </c>
      <c r="X49">
        <v>-1068056325</v>
      </c>
      <c r="Y49">
        <v>0</v>
      </c>
      <c r="AA49">
        <v>67145.759999999995</v>
      </c>
      <c r="AB49">
        <v>0</v>
      </c>
      <c r="AC49">
        <v>0</v>
      </c>
      <c r="AD49">
        <v>0</v>
      </c>
      <c r="AE49">
        <v>10362</v>
      </c>
      <c r="AF49">
        <v>0</v>
      </c>
      <c r="AG49">
        <v>0</v>
      </c>
      <c r="AH49">
        <v>0</v>
      </c>
      <c r="AI49">
        <v>6.48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1.3999999999999999E-4</v>
      </c>
      <c r="AU49" t="s">
        <v>83</v>
      </c>
      <c r="AV49">
        <v>0</v>
      </c>
      <c r="AW49">
        <v>2</v>
      </c>
      <c r="AX49">
        <v>39088957</v>
      </c>
      <c r="AY49">
        <v>1</v>
      </c>
      <c r="AZ49">
        <v>0</v>
      </c>
      <c r="BA49">
        <v>57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Y49*Source!I37</f>
        <v>0</v>
      </c>
      <c r="CY49">
        <f>AA49</f>
        <v>67145.759999999995</v>
      </c>
      <c r="CZ49">
        <f>AE49</f>
        <v>10362</v>
      </c>
      <c r="DA49">
        <f>AI49</f>
        <v>6.48</v>
      </c>
      <c r="DB49">
        <v>0</v>
      </c>
    </row>
    <row r="50" spans="1:106" x14ac:dyDescent="0.2">
      <c r="A50">
        <f>ROW(Source!A37)</f>
        <v>37</v>
      </c>
      <c r="B50">
        <v>39088907</v>
      </c>
      <c r="C50">
        <v>39088951</v>
      </c>
      <c r="D50">
        <v>36804429</v>
      </c>
      <c r="E50">
        <v>1</v>
      </c>
      <c r="F50">
        <v>1</v>
      </c>
      <c r="G50">
        <v>1</v>
      </c>
      <c r="H50">
        <v>3</v>
      </c>
      <c r="I50" t="s">
        <v>330</v>
      </c>
      <c r="J50" t="s">
        <v>331</v>
      </c>
      <c r="K50" t="s">
        <v>332</v>
      </c>
      <c r="L50">
        <v>1348</v>
      </c>
      <c r="N50">
        <v>1009</v>
      </c>
      <c r="O50" t="s">
        <v>152</v>
      </c>
      <c r="P50" t="s">
        <v>152</v>
      </c>
      <c r="Q50">
        <v>1000</v>
      </c>
      <c r="W50">
        <v>0</v>
      </c>
      <c r="X50">
        <v>56621460</v>
      </c>
      <c r="Y50">
        <v>0</v>
      </c>
      <c r="AA50">
        <v>99293.04</v>
      </c>
      <c r="AB50">
        <v>0</v>
      </c>
      <c r="AC50">
        <v>0</v>
      </c>
      <c r="AD50">
        <v>0</v>
      </c>
      <c r="AE50">
        <v>15323</v>
      </c>
      <c r="AF50">
        <v>0</v>
      </c>
      <c r="AG50">
        <v>0</v>
      </c>
      <c r="AH50">
        <v>0</v>
      </c>
      <c r="AI50">
        <v>6.48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1.1000000000000001E-3</v>
      </c>
      <c r="AU50" t="s">
        <v>83</v>
      </c>
      <c r="AV50">
        <v>0</v>
      </c>
      <c r="AW50">
        <v>2</v>
      </c>
      <c r="AX50">
        <v>39088958</v>
      </c>
      <c r="AY50">
        <v>1</v>
      </c>
      <c r="AZ50">
        <v>0</v>
      </c>
      <c r="BA50">
        <v>58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Y50*Source!I37</f>
        <v>0</v>
      </c>
      <c r="CY50">
        <f>AA50</f>
        <v>99293.04</v>
      </c>
      <c r="CZ50">
        <f>AE50</f>
        <v>15323</v>
      </c>
      <c r="DA50">
        <f>AI50</f>
        <v>6.48</v>
      </c>
      <c r="DB50">
        <v>0</v>
      </c>
    </row>
    <row r="51" spans="1:106" x14ac:dyDescent="0.2">
      <c r="A51">
        <f>ROW(Source!A38)</f>
        <v>38</v>
      </c>
      <c r="B51">
        <v>39088907</v>
      </c>
      <c r="C51">
        <v>39088981</v>
      </c>
      <c r="D51">
        <v>37064928</v>
      </c>
      <c r="E51">
        <v>1</v>
      </c>
      <c r="F51">
        <v>1</v>
      </c>
      <c r="G51">
        <v>1</v>
      </c>
      <c r="H51">
        <v>1</v>
      </c>
      <c r="I51" t="s">
        <v>295</v>
      </c>
      <c r="J51" t="s">
        <v>3</v>
      </c>
      <c r="K51" t="s">
        <v>296</v>
      </c>
      <c r="L51">
        <v>1191</v>
      </c>
      <c r="N51">
        <v>1013</v>
      </c>
      <c r="O51" t="s">
        <v>280</v>
      </c>
      <c r="P51" t="s">
        <v>280</v>
      </c>
      <c r="Q51">
        <v>1</v>
      </c>
      <c r="W51">
        <v>0</v>
      </c>
      <c r="X51">
        <v>145020957</v>
      </c>
      <c r="Y51">
        <v>3.3464999999999998</v>
      </c>
      <c r="AA51">
        <v>0</v>
      </c>
      <c r="AB51">
        <v>0</v>
      </c>
      <c r="AC51">
        <v>0</v>
      </c>
      <c r="AD51">
        <v>58.77</v>
      </c>
      <c r="AE51">
        <v>0</v>
      </c>
      <c r="AF51">
        <v>0</v>
      </c>
      <c r="AG51">
        <v>0</v>
      </c>
      <c r="AH51">
        <v>9.07</v>
      </c>
      <c r="AI51">
        <v>1</v>
      </c>
      <c r="AJ51">
        <v>1</v>
      </c>
      <c r="AK51">
        <v>1</v>
      </c>
      <c r="AL51">
        <v>6.48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2.91</v>
      </c>
      <c r="AU51" t="s">
        <v>32</v>
      </c>
      <c r="AV51">
        <v>1</v>
      </c>
      <c r="AW51">
        <v>2</v>
      </c>
      <c r="AX51">
        <v>39088982</v>
      </c>
      <c r="AY51">
        <v>1</v>
      </c>
      <c r="AZ51">
        <v>0</v>
      </c>
      <c r="BA51">
        <v>61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Y51*Source!I38</f>
        <v>150.5925</v>
      </c>
      <c r="CY51">
        <f>AD51</f>
        <v>58.77</v>
      </c>
      <c r="CZ51">
        <f>AH51</f>
        <v>9.07</v>
      </c>
      <c r="DA51">
        <f>AL51</f>
        <v>6.48</v>
      </c>
      <c r="DB51">
        <v>0</v>
      </c>
    </row>
    <row r="52" spans="1:106" x14ac:dyDescent="0.2">
      <c r="A52">
        <f>ROW(Source!A38)</f>
        <v>38</v>
      </c>
      <c r="B52">
        <v>39088907</v>
      </c>
      <c r="C52">
        <v>39088981</v>
      </c>
      <c r="D52">
        <v>37064876</v>
      </c>
      <c r="E52">
        <v>1</v>
      </c>
      <c r="F52">
        <v>1</v>
      </c>
      <c r="G52">
        <v>1</v>
      </c>
      <c r="H52">
        <v>1</v>
      </c>
      <c r="I52" t="s">
        <v>285</v>
      </c>
      <c r="J52" t="s">
        <v>3</v>
      </c>
      <c r="K52" t="s">
        <v>286</v>
      </c>
      <c r="L52">
        <v>1191</v>
      </c>
      <c r="N52">
        <v>1013</v>
      </c>
      <c r="O52" t="s">
        <v>280</v>
      </c>
      <c r="P52" t="s">
        <v>280</v>
      </c>
      <c r="Q52">
        <v>1</v>
      </c>
      <c r="W52">
        <v>0</v>
      </c>
      <c r="X52">
        <v>-1417349443</v>
      </c>
      <c r="Y52">
        <v>0.04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6.48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0.04</v>
      </c>
      <c r="AU52" t="s">
        <v>3</v>
      </c>
      <c r="AV52">
        <v>2</v>
      </c>
      <c r="AW52">
        <v>2</v>
      </c>
      <c r="AX52">
        <v>39088983</v>
      </c>
      <c r="AY52">
        <v>1</v>
      </c>
      <c r="AZ52">
        <v>2048</v>
      </c>
      <c r="BA52">
        <v>62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Y52*Source!I38</f>
        <v>1.8</v>
      </c>
      <c r="CY52">
        <f>AD52</f>
        <v>0</v>
      </c>
      <c r="CZ52">
        <f>AH52</f>
        <v>0</v>
      </c>
      <c r="DA52">
        <f>AL52</f>
        <v>1</v>
      </c>
      <c r="DB52">
        <v>0</v>
      </c>
    </row>
    <row r="53" spans="1:106" x14ac:dyDescent="0.2">
      <c r="A53">
        <f>ROW(Source!A38)</f>
        <v>38</v>
      </c>
      <c r="B53">
        <v>39088907</v>
      </c>
      <c r="C53">
        <v>39088981</v>
      </c>
      <c r="D53">
        <v>36882057</v>
      </c>
      <c r="E53">
        <v>1</v>
      </c>
      <c r="F53">
        <v>1</v>
      </c>
      <c r="G53">
        <v>1</v>
      </c>
      <c r="H53">
        <v>2</v>
      </c>
      <c r="I53" t="s">
        <v>315</v>
      </c>
      <c r="J53" t="s">
        <v>316</v>
      </c>
      <c r="K53" t="s">
        <v>317</v>
      </c>
      <c r="L53">
        <v>1368</v>
      </c>
      <c r="N53">
        <v>1011</v>
      </c>
      <c r="O53" t="s">
        <v>290</v>
      </c>
      <c r="P53" t="s">
        <v>290</v>
      </c>
      <c r="Q53">
        <v>1</v>
      </c>
      <c r="W53">
        <v>0</v>
      </c>
      <c r="X53">
        <v>-1460065968</v>
      </c>
      <c r="Y53">
        <v>1.2500000000000001E-2</v>
      </c>
      <c r="AA53">
        <v>0</v>
      </c>
      <c r="AB53">
        <v>559.87</v>
      </c>
      <c r="AC53">
        <v>13.5</v>
      </c>
      <c r="AD53">
        <v>0</v>
      </c>
      <c r="AE53">
        <v>0</v>
      </c>
      <c r="AF53">
        <v>86.4</v>
      </c>
      <c r="AG53">
        <v>13.5</v>
      </c>
      <c r="AH53">
        <v>0</v>
      </c>
      <c r="AI53">
        <v>1</v>
      </c>
      <c r="AJ53">
        <v>6.48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0.01</v>
      </c>
      <c r="AU53" t="s">
        <v>31</v>
      </c>
      <c r="AV53">
        <v>0</v>
      </c>
      <c r="AW53">
        <v>2</v>
      </c>
      <c r="AX53">
        <v>39088984</v>
      </c>
      <c r="AY53">
        <v>1</v>
      </c>
      <c r="AZ53">
        <v>0</v>
      </c>
      <c r="BA53">
        <v>63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Y53*Source!I38</f>
        <v>0.5625</v>
      </c>
      <c r="CY53">
        <f>AB53</f>
        <v>559.87</v>
      </c>
      <c r="CZ53">
        <f>AF53</f>
        <v>86.4</v>
      </c>
      <c r="DA53">
        <f>AJ53</f>
        <v>6.48</v>
      </c>
      <c r="DB53">
        <v>0</v>
      </c>
    </row>
    <row r="54" spans="1:106" x14ac:dyDescent="0.2">
      <c r="A54">
        <f>ROW(Source!A38)</f>
        <v>38</v>
      </c>
      <c r="B54">
        <v>39088907</v>
      </c>
      <c r="C54">
        <v>39088981</v>
      </c>
      <c r="D54">
        <v>36882159</v>
      </c>
      <c r="E54">
        <v>1</v>
      </c>
      <c r="F54">
        <v>1</v>
      </c>
      <c r="G54">
        <v>1</v>
      </c>
      <c r="H54">
        <v>2</v>
      </c>
      <c r="I54" t="s">
        <v>318</v>
      </c>
      <c r="J54" t="s">
        <v>319</v>
      </c>
      <c r="K54" t="s">
        <v>320</v>
      </c>
      <c r="L54">
        <v>1368</v>
      </c>
      <c r="N54">
        <v>1011</v>
      </c>
      <c r="O54" t="s">
        <v>290</v>
      </c>
      <c r="P54" t="s">
        <v>290</v>
      </c>
      <c r="Q54">
        <v>1</v>
      </c>
      <c r="W54">
        <v>0</v>
      </c>
      <c r="X54">
        <v>-1718674368</v>
      </c>
      <c r="Y54">
        <v>1.2500000000000001E-2</v>
      </c>
      <c r="AA54">
        <v>0</v>
      </c>
      <c r="AB54">
        <v>725.7</v>
      </c>
      <c r="AC54">
        <v>13.5</v>
      </c>
      <c r="AD54">
        <v>0</v>
      </c>
      <c r="AE54">
        <v>0</v>
      </c>
      <c r="AF54">
        <v>111.99</v>
      </c>
      <c r="AG54">
        <v>13.5</v>
      </c>
      <c r="AH54">
        <v>0</v>
      </c>
      <c r="AI54">
        <v>1</v>
      </c>
      <c r="AJ54">
        <v>6.48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0.01</v>
      </c>
      <c r="AU54" t="s">
        <v>31</v>
      </c>
      <c r="AV54">
        <v>0</v>
      </c>
      <c r="AW54">
        <v>2</v>
      </c>
      <c r="AX54">
        <v>39088985</v>
      </c>
      <c r="AY54">
        <v>1</v>
      </c>
      <c r="AZ54">
        <v>0</v>
      </c>
      <c r="BA54">
        <v>64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Y54*Source!I38</f>
        <v>0.5625</v>
      </c>
      <c r="CY54">
        <f>AB54</f>
        <v>725.7</v>
      </c>
      <c r="CZ54">
        <f>AF54</f>
        <v>111.99</v>
      </c>
      <c r="DA54">
        <f>AJ54</f>
        <v>6.48</v>
      </c>
      <c r="DB54">
        <v>0</v>
      </c>
    </row>
    <row r="55" spans="1:106" x14ac:dyDescent="0.2">
      <c r="A55">
        <f>ROW(Source!A38)</f>
        <v>38</v>
      </c>
      <c r="B55">
        <v>39088907</v>
      </c>
      <c r="C55">
        <v>39088981</v>
      </c>
      <c r="D55">
        <v>36883554</v>
      </c>
      <c r="E55">
        <v>1</v>
      </c>
      <c r="F55">
        <v>1</v>
      </c>
      <c r="G55">
        <v>1</v>
      </c>
      <c r="H55">
        <v>2</v>
      </c>
      <c r="I55" t="s">
        <v>287</v>
      </c>
      <c r="J55" t="s">
        <v>288</v>
      </c>
      <c r="K55" t="s">
        <v>289</v>
      </c>
      <c r="L55">
        <v>1368</v>
      </c>
      <c r="N55">
        <v>1011</v>
      </c>
      <c r="O55" t="s">
        <v>290</v>
      </c>
      <c r="P55" t="s">
        <v>290</v>
      </c>
      <c r="Q55">
        <v>1</v>
      </c>
      <c r="W55">
        <v>0</v>
      </c>
      <c r="X55">
        <v>1372534845</v>
      </c>
      <c r="Y55">
        <v>2.5000000000000001E-2</v>
      </c>
      <c r="AA55">
        <v>0</v>
      </c>
      <c r="AB55">
        <v>425.8</v>
      </c>
      <c r="AC55">
        <v>11.6</v>
      </c>
      <c r="AD55">
        <v>0</v>
      </c>
      <c r="AE55">
        <v>0</v>
      </c>
      <c r="AF55">
        <v>65.709999999999994</v>
      </c>
      <c r="AG55">
        <v>11.6</v>
      </c>
      <c r="AH55">
        <v>0</v>
      </c>
      <c r="AI55">
        <v>1</v>
      </c>
      <c r="AJ55">
        <v>6.48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0.02</v>
      </c>
      <c r="AU55" t="s">
        <v>31</v>
      </c>
      <c r="AV55">
        <v>0</v>
      </c>
      <c r="AW55">
        <v>2</v>
      </c>
      <c r="AX55">
        <v>39088986</v>
      </c>
      <c r="AY55">
        <v>1</v>
      </c>
      <c r="AZ55">
        <v>0</v>
      </c>
      <c r="BA55">
        <v>65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Y55*Source!I38</f>
        <v>1.125</v>
      </c>
      <c r="CY55">
        <f>AB55</f>
        <v>425.8</v>
      </c>
      <c r="CZ55">
        <f>AF55</f>
        <v>65.709999999999994</v>
      </c>
      <c r="DA55">
        <f>AJ55</f>
        <v>6.48</v>
      </c>
      <c r="DB55">
        <v>0</v>
      </c>
    </row>
    <row r="56" spans="1:106" x14ac:dyDescent="0.2">
      <c r="A56">
        <f>ROW(Source!A38)</f>
        <v>38</v>
      </c>
      <c r="B56">
        <v>39088907</v>
      </c>
      <c r="C56">
        <v>39088981</v>
      </c>
      <c r="D56">
        <v>36883858</v>
      </c>
      <c r="E56">
        <v>1</v>
      </c>
      <c r="F56">
        <v>1</v>
      </c>
      <c r="G56">
        <v>1</v>
      </c>
      <c r="H56">
        <v>2</v>
      </c>
      <c r="I56" t="s">
        <v>321</v>
      </c>
      <c r="J56" t="s">
        <v>322</v>
      </c>
      <c r="K56" t="s">
        <v>323</v>
      </c>
      <c r="L56">
        <v>1368</v>
      </c>
      <c r="N56">
        <v>1011</v>
      </c>
      <c r="O56" t="s">
        <v>290</v>
      </c>
      <c r="P56" t="s">
        <v>290</v>
      </c>
      <c r="Q56">
        <v>1</v>
      </c>
      <c r="W56">
        <v>0</v>
      </c>
      <c r="X56">
        <v>-353815937</v>
      </c>
      <c r="Y56">
        <v>0.78749999999999998</v>
      </c>
      <c r="AA56">
        <v>0</v>
      </c>
      <c r="AB56">
        <v>52.49</v>
      </c>
      <c r="AC56">
        <v>0</v>
      </c>
      <c r="AD56">
        <v>0</v>
      </c>
      <c r="AE56">
        <v>0</v>
      </c>
      <c r="AF56">
        <v>8.1</v>
      </c>
      <c r="AG56">
        <v>0</v>
      </c>
      <c r="AH56">
        <v>0</v>
      </c>
      <c r="AI56">
        <v>1</v>
      </c>
      <c r="AJ56">
        <v>6.48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0.63</v>
      </c>
      <c r="AU56" t="s">
        <v>31</v>
      </c>
      <c r="AV56">
        <v>0</v>
      </c>
      <c r="AW56">
        <v>2</v>
      </c>
      <c r="AX56">
        <v>39088987</v>
      </c>
      <c r="AY56">
        <v>1</v>
      </c>
      <c r="AZ56">
        <v>0</v>
      </c>
      <c r="BA56">
        <v>66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Y56*Source!I38</f>
        <v>35.4375</v>
      </c>
      <c r="CY56">
        <f>AB56</f>
        <v>52.49</v>
      </c>
      <c r="CZ56">
        <f>AF56</f>
        <v>8.1</v>
      </c>
      <c r="DA56">
        <f>AJ56</f>
        <v>6.48</v>
      </c>
      <c r="DB56">
        <v>0</v>
      </c>
    </row>
    <row r="57" spans="1:106" x14ac:dyDescent="0.2">
      <c r="A57">
        <f>ROW(Source!A38)</f>
        <v>38</v>
      </c>
      <c r="B57">
        <v>39088907</v>
      </c>
      <c r="C57">
        <v>39088981</v>
      </c>
      <c r="D57">
        <v>36799774</v>
      </c>
      <c r="E57">
        <v>1</v>
      </c>
      <c r="F57">
        <v>1</v>
      </c>
      <c r="G57">
        <v>1</v>
      </c>
      <c r="H57">
        <v>3</v>
      </c>
      <c r="I57" t="s">
        <v>304</v>
      </c>
      <c r="J57" t="s">
        <v>305</v>
      </c>
      <c r="K57" t="s">
        <v>306</v>
      </c>
      <c r="L57">
        <v>1356</v>
      </c>
      <c r="N57">
        <v>1010</v>
      </c>
      <c r="O57" t="s">
        <v>300</v>
      </c>
      <c r="P57" t="s">
        <v>300</v>
      </c>
      <c r="Q57">
        <v>1000</v>
      </c>
      <c r="W57">
        <v>0</v>
      </c>
      <c r="X57">
        <v>329091235</v>
      </c>
      <c r="Y57">
        <v>2E-3</v>
      </c>
      <c r="AA57">
        <v>36612</v>
      </c>
      <c r="AB57">
        <v>0</v>
      </c>
      <c r="AC57">
        <v>0</v>
      </c>
      <c r="AD57">
        <v>0</v>
      </c>
      <c r="AE57">
        <v>5650</v>
      </c>
      <c r="AF57">
        <v>0</v>
      </c>
      <c r="AG57">
        <v>0</v>
      </c>
      <c r="AH57">
        <v>0</v>
      </c>
      <c r="AI57">
        <v>6.48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2E-3</v>
      </c>
      <c r="AU57" t="s">
        <v>3</v>
      </c>
      <c r="AV57">
        <v>0</v>
      </c>
      <c r="AW57">
        <v>2</v>
      </c>
      <c r="AX57">
        <v>39088988</v>
      </c>
      <c r="AY57">
        <v>1</v>
      </c>
      <c r="AZ57">
        <v>0</v>
      </c>
      <c r="BA57">
        <v>67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Y57*Source!I38</f>
        <v>0.09</v>
      </c>
      <c r="CY57">
        <f>AA57</f>
        <v>36612</v>
      </c>
      <c r="CZ57">
        <f>AE57</f>
        <v>5650</v>
      </c>
      <c r="DA57">
        <f>AI57</f>
        <v>6.48</v>
      </c>
      <c r="DB57">
        <v>0</v>
      </c>
    </row>
    <row r="58" spans="1:106" x14ac:dyDescent="0.2">
      <c r="A58">
        <f>ROW(Source!A38)</f>
        <v>38</v>
      </c>
      <c r="B58">
        <v>39088907</v>
      </c>
      <c r="C58">
        <v>39088981</v>
      </c>
      <c r="D58">
        <v>36803269</v>
      </c>
      <c r="E58">
        <v>1</v>
      </c>
      <c r="F58">
        <v>1</v>
      </c>
      <c r="G58">
        <v>1</v>
      </c>
      <c r="H58">
        <v>3</v>
      </c>
      <c r="I58" t="s">
        <v>327</v>
      </c>
      <c r="J58" t="s">
        <v>328</v>
      </c>
      <c r="K58" t="s">
        <v>329</v>
      </c>
      <c r="L58">
        <v>1348</v>
      </c>
      <c r="N58">
        <v>1009</v>
      </c>
      <c r="O58" t="s">
        <v>152</v>
      </c>
      <c r="P58" t="s">
        <v>152</v>
      </c>
      <c r="Q58">
        <v>1000</v>
      </c>
      <c r="W58">
        <v>0</v>
      </c>
      <c r="X58">
        <v>-1068056325</v>
      </c>
      <c r="Y58">
        <v>3.3E-4</v>
      </c>
      <c r="AA58">
        <v>67145.759999999995</v>
      </c>
      <c r="AB58">
        <v>0</v>
      </c>
      <c r="AC58">
        <v>0</v>
      </c>
      <c r="AD58">
        <v>0</v>
      </c>
      <c r="AE58">
        <v>10362</v>
      </c>
      <c r="AF58">
        <v>0</v>
      </c>
      <c r="AG58">
        <v>0</v>
      </c>
      <c r="AH58">
        <v>0</v>
      </c>
      <c r="AI58">
        <v>6.48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3.3E-4</v>
      </c>
      <c r="AU58" t="s">
        <v>3</v>
      </c>
      <c r="AV58">
        <v>0</v>
      </c>
      <c r="AW58">
        <v>2</v>
      </c>
      <c r="AX58">
        <v>39088989</v>
      </c>
      <c r="AY58">
        <v>1</v>
      </c>
      <c r="AZ58">
        <v>0</v>
      </c>
      <c r="BA58">
        <v>68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Y58*Source!I38</f>
        <v>1.485E-2</v>
      </c>
      <c r="CY58">
        <f>AA58</f>
        <v>67145.759999999995</v>
      </c>
      <c r="CZ58">
        <f>AE58</f>
        <v>10362</v>
      </c>
      <c r="DA58">
        <f>AI58</f>
        <v>6.48</v>
      </c>
      <c r="DB58">
        <v>0</v>
      </c>
    </row>
    <row r="59" spans="1:106" x14ac:dyDescent="0.2">
      <c r="A59">
        <f>ROW(Source!A38)</f>
        <v>38</v>
      </c>
      <c r="B59">
        <v>39088907</v>
      </c>
      <c r="C59">
        <v>39088981</v>
      </c>
      <c r="D59">
        <v>36804430</v>
      </c>
      <c r="E59">
        <v>1</v>
      </c>
      <c r="F59">
        <v>1</v>
      </c>
      <c r="G59">
        <v>1</v>
      </c>
      <c r="H59">
        <v>3</v>
      </c>
      <c r="I59" t="s">
        <v>333</v>
      </c>
      <c r="J59" t="s">
        <v>334</v>
      </c>
      <c r="K59" t="s">
        <v>335</v>
      </c>
      <c r="L59">
        <v>1348</v>
      </c>
      <c r="N59">
        <v>1009</v>
      </c>
      <c r="O59" t="s">
        <v>152</v>
      </c>
      <c r="P59" t="s">
        <v>152</v>
      </c>
      <c r="Q59">
        <v>1000</v>
      </c>
      <c r="W59">
        <v>0</v>
      </c>
      <c r="X59">
        <v>-405065451</v>
      </c>
      <c r="Y59">
        <v>2.0699999999999998E-3</v>
      </c>
      <c r="AA59">
        <v>96098.4</v>
      </c>
      <c r="AB59">
        <v>0</v>
      </c>
      <c r="AC59">
        <v>0</v>
      </c>
      <c r="AD59">
        <v>0</v>
      </c>
      <c r="AE59">
        <v>14830</v>
      </c>
      <c r="AF59">
        <v>0</v>
      </c>
      <c r="AG59">
        <v>0</v>
      </c>
      <c r="AH59">
        <v>0</v>
      </c>
      <c r="AI59">
        <v>6.48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2.0699999999999998E-3</v>
      </c>
      <c r="AU59" t="s">
        <v>3</v>
      </c>
      <c r="AV59">
        <v>0</v>
      </c>
      <c r="AW59">
        <v>2</v>
      </c>
      <c r="AX59">
        <v>39088990</v>
      </c>
      <c r="AY59">
        <v>1</v>
      </c>
      <c r="AZ59">
        <v>0</v>
      </c>
      <c r="BA59">
        <v>69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Y59*Source!I38</f>
        <v>9.3149999999999997E-2</v>
      </c>
      <c r="CY59">
        <f>AA59</f>
        <v>96098.4</v>
      </c>
      <c r="CZ59">
        <f>AE59</f>
        <v>14830</v>
      </c>
      <c r="DA59">
        <f>AI59</f>
        <v>6.48</v>
      </c>
      <c r="DB59">
        <v>0</v>
      </c>
    </row>
    <row r="60" spans="1:106" x14ac:dyDescent="0.2">
      <c r="A60">
        <f>ROW(Source!A38)</f>
        <v>38</v>
      </c>
      <c r="B60">
        <v>39088907</v>
      </c>
      <c r="C60">
        <v>39088981</v>
      </c>
      <c r="D60">
        <v>36843959</v>
      </c>
      <c r="E60">
        <v>1</v>
      </c>
      <c r="F60">
        <v>1</v>
      </c>
      <c r="G60">
        <v>1</v>
      </c>
      <c r="H60">
        <v>3</v>
      </c>
      <c r="I60" t="s">
        <v>99</v>
      </c>
      <c r="J60" t="s">
        <v>101</v>
      </c>
      <c r="K60" t="s">
        <v>100</v>
      </c>
      <c r="L60">
        <v>1354</v>
      </c>
      <c r="N60">
        <v>1010</v>
      </c>
      <c r="O60" t="s">
        <v>48</v>
      </c>
      <c r="P60" t="s">
        <v>48</v>
      </c>
      <c r="Q60">
        <v>1</v>
      </c>
      <c r="W60">
        <v>0</v>
      </c>
      <c r="X60">
        <v>1491608723</v>
      </c>
      <c r="Y60">
        <v>1</v>
      </c>
      <c r="AA60">
        <v>5152.83</v>
      </c>
      <c r="AB60">
        <v>0</v>
      </c>
      <c r="AC60">
        <v>0</v>
      </c>
      <c r="AD60">
        <v>0</v>
      </c>
      <c r="AE60">
        <v>795.19</v>
      </c>
      <c r="AF60">
        <v>0</v>
      </c>
      <c r="AG60">
        <v>0</v>
      </c>
      <c r="AH60">
        <v>0</v>
      </c>
      <c r="AI60">
        <v>6.48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3</v>
      </c>
      <c r="AT60">
        <v>1</v>
      </c>
      <c r="AU60" t="s">
        <v>3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3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Y60*Source!I38</f>
        <v>45</v>
      </c>
      <c r="CY60">
        <f>AA60</f>
        <v>5152.83</v>
      </c>
      <c r="CZ60">
        <f>AE60</f>
        <v>795.19</v>
      </c>
      <c r="DA60">
        <f>AI60</f>
        <v>6.48</v>
      </c>
      <c r="DB60">
        <v>0</v>
      </c>
    </row>
    <row r="61" spans="1:106" x14ac:dyDescent="0.2">
      <c r="A61">
        <f>ROW(Source!A40)</f>
        <v>40</v>
      </c>
      <c r="B61">
        <v>39088907</v>
      </c>
      <c r="C61">
        <v>39089315</v>
      </c>
      <c r="D61">
        <v>37070164</v>
      </c>
      <c r="E61">
        <v>1</v>
      </c>
      <c r="F61">
        <v>1</v>
      </c>
      <c r="G61">
        <v>1</v>
      </c>
      <c r="H61">
        <v>1</v>
      </c>
      <c r="I61" t="s">
        <v>313</v>
      </c>
      <c r="J61" t="s">
        <v>3</v>
      </c>
      <c r="K61" t="s">
        <v>314</v>
      </c>
      <c r="L61">
        <v>1191</v>
      </c>
      <c r="N61">
        <v>1013</v>
      </c>
      <c r="O61" t="s">
        <v>280</v>
      </c>
      <c r="P61" t="s">
        <v>280</v>
      </c>
      <c r="Q61">
        <v>1</v>
      </c>
      <c r="W61">
        <v>0</v>
      </c>
      <c r="X61">
        <v>-598469600</v>
      </c>
      <c r="Y61">
        <v>12.350999999999999</v>
      </c>
      <c r="AA61">
        <v>0</v>
      </c>
      <c r="AB61">
        <v>0</v>
      </c>
      <c r="AC61">
        <v>0</v>
      </c>
      <c r="AD61">
        <v>60.2</v>
      </c>
      <c r="AE61">
        <v>0</v>
      </c>
      <c r="AF61">
        <v>0</v>
      </c>
      <c r="AG61">
        <v>0</v>
      </c>
      <c r="AH61">
        <v>9.2899999999999991</v>
      </c>
      <c r="AI61">
        <v>1</v>
      </c>
      <c r="AJ61">
        <v>1</v>
      </c>
      <c r="AK61">
        <v>1</v>
      </c>
      <c r="AL61">
        <v>6.48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10.74</v>
      </c>
      <c r="AU61" t="s">
        <v>32</v>
      </c>
      <c r="AV61">
        <v>1</v>
      </c>
      <c r="AW61">
        <v>2</v>
      </c>
      <c r="AX61">
        <v>39089316</v>
      </c>
      <c r="AY61">
        <v>1</v>
      </c>
      <c r="AZ61">
        <v>0</v>
      </c>
      <c r="BA61">
        <v>72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Y61*Source!I40</f>
        <v>12.350999999999999</v>
      </c>
      <c r="CY61">
        <f>AD61</f>
        <v>60.2</v>
      </c>
      <c r="CZ61">
        <f>AH61</f>
        <v>9.2899999999999991</v>
      </c>
      <c r="DA61">
        <f>AL61</f>
        <v>6.48</v>
      </c>
      <c r="DB61">
        <v>0</v>
      </c>
    </row>
    <row r="62" spans="1:106" x14ac:dyDescent="0.2">
      <c r="A62">
        <f>ROW(Source!A40)</f>
        <v>40</v>
      </c>
      <c r="B62">
        <v>39088907</v>
      </c>
      <c r="C62">
        <v>39089315</v>
      </c>
      <c r="D62">
        <v>37064876</v>
      </c>
      <c r="E62">
        <v>1</v>
      </c>
      <c r="F62">
        <v>1</v>
      </c>
      <c r="G62">
        <v>1</v>
      </c>
      <c r="H62">
        <v>1</v>
      </c>
      <c r="I62" t="s">
        <v>285</v>
      </c>
      <c r="J62" t="s">
        <v>3</v>
      </c>
      <c r="K62" t="s">
        <v>286</v>
      </c>
      <c r="L62">
        <v>1191</v>
      </c>
      <c r="N62">
        <v>1013</v>
      </c>
      <c r="O62" t="s">
        <v>280</v>
      </c>
      <c r="P62" t="s">
        <v>280</v>
      </c>
      <c r="Q62">
        <v>1</v>
      </c>
      <c r="W62">
        <v>0</v>
      </c>
      <c r="X62">
        <v>-1417349443</v>
      </c>
      <c r="Y62">
        <v>0.22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6.48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0.22</v>
      </c>
      <c r="AU62" t="s">
        <v>3</v>
      </c>
      <c r="AV62">
        <v>2</v>
      </c>
      <c r="AW62">
        <v>2</v>
      </c>
      <c r="AX62">
        <v>39089317</v>
      </c>
      <c r="AY62">
        <v>1</v>
      </c>
      <c r="AZ62">
        <v>2048</v>
      </c>
      <c r="BA62">
        <v>73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Y62*Source!I40</f>
        <v>0.22</v>
      </c>
      <c r="CY62">
        <f>AD62</f>
        <v>0</v>
      </c>
      <c r="CZ62">
        <f>AH62</f>
        <v>0</v>
      </c>
      <c r="DA62">
        <f>AL62</f>
        <v>1</v>
      </c>
      <c r="DB62">
        <v>0</v>
      </c>
    </row>
    <row r="63" spans="1:106" x14ac:dyDescent="0.2">
      <c r="A63">
        <f>ROW(Source!A40)</f>
        <v>40</v>
      </c>
      <c r="B63">
        <v>39088907</v>
      </c>
      <c r="C63">
        <v>39089315</v>
      </c>
      <c r="D63">
        <v>36882057</v>
      </c>
      <c r="E63">
        <v>1</v>
      </c>
      <c r="F63">
        <v>1</v>
      </c>
      <c r="G63">
        <v>1</v>
      </c>
      <c r="H63">
        <v>2</v>
      </c>
      <c r="I63" t="s">
        <v>315</v>
      </c>
      <c r="J63" t="s">
        <v>316</v>
      </c>
      <c r="K63" t="s">
        <v>317</v>
      </c>
      <c r="L63">
        <v>1368</v>
      </c>
      <c r="N63">
        <v>1011</v>
      </c>
      <c r="O63" t="s">
        <v>290</v>
      </c>
      <c r="P63" t="s">
        <v>290</v>
      </c>
      <c r="Q63">
        <v>1</v>
      </c>
      <c r="W63">
        <v>0</v>
      </c>
      <c r="X63">
        <v>-1460065968</v>
      </c>
      <c r="Y63">
        <v>7.4999999999999997E-2</v>
      </c>
      <c r="AA63">
        <v>0</v>
      </c>
      <c r="AB63">
        <v>559.87</v>
      </c>
      <c r="AC63">
        <v>13.5</v>
      </c>
      <c r="AD63">
        <v>0</v>
      </c>
      <c r="AE63">
        <v>0</v>
      </c>
      <c r="AF63">
        <v>86.4</v>
      </c>
      <c r="AG63">
        <v>13.5</v>
      </c>
      <c r="AH63">
        <v>0</v>
      </c>
      <c r="AI63">
        <v>1</v>
      </c>
      <c r="AJ63">
        <v>6.48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0.06</v>
      </c>
      <c r="AU63" t="s">
        <v>31</v>
      </c>
      <c r="AV63">
        <v>0</v>
      </c>
      <c r="AW63">
        <v>2</v>
      </c>
      <c r="AX63">
        <v>39089318</v>
      </c>
      <c r="AY63">
        <v>1</v>
      </c>
      <c r="AZ63">
        <v>0</v>
      </c>
      <c r="BA63">
        <v>74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Y63*Source!I40</f>
        <v>7.4999999999999997E-2</v>
      </c>
      <c r="CY63">
        <f>AB63</f>
        <v>559.87</v>
      </c>
      <c r="CZ63">
        <f>AF63</f>
        <v>86.4</v>
      </c>
      <c r="DA63">
        <f>AJ63</f>
        <v>6.48</v>
      </c>
      <c r="DB63">
        <v>0</v>
      </c>
    </row>
    <row r="64" spans="1:106" x14ac:dyDescent="0.2">
      <c r="A64">
        <f>ROW(Source!A40)</f>
        <v>40</v>
      </c>
      <c r="B64">
        <v>39088907</v>
      </c>
      <c r="C64">
        <v>39089315</v>
      </c>
      <c r="D64">
        <v>36882159</v>
      </c>
      <c r="E64">
        <v>1</v>
      </c>
      <c r="F64">
        <v>1</v>
      </c>
      <c r="G64">
        <v>1</v>
      </c>
      <c r="H64">
        <v>2</v>
      </c>
      <c r="I64" t="s">
        <v>318</v>
      </c>
      <c r="J64" t="s">
        <v>319</v>
      </c>
      <c r="K64" t="s">
        <v>320</v>
      </c>
      <c r="L64">
        <v>1368</v>
      </c>
      <c r="N64">
        <v>1011</v>
      </c>
      <c r="O64" t="s">
        <v>290</v>
      </c>
      <c r="P64" t="s">
        <v>290</v>
      </c>
      <c r="Q64">
        <v>1</v>
      </c>
      <c r="W64">
        <v>0</v>
      </c>
      <c r="X64">
        <v>-1718674368</v>
      </c>
      <c r="Y64">
        <v>0.05</v>
      </c>
      <c r="AA64">
        <v>0</v>
      </c>
      <c r="AB64">
        <v>725.7</v>
      </c>
      <c r="AC64">
        <v>13.5</v>
      </c>
      <c r="AD64">
        <v>0</v>
      </c>
      <c r="AE64">
        <v>0</v>
      </c>
      <c r="AF64">
        <v>111.99</v>
      </c>
      <c r="AG64">
        <v>13.5</v>
      </c>
      <c r="AH64">
        <v>0</v>
      </c>
      <c r="AI64">
        <v>1</v>
      </c>
      <c r="AJ64">
        <v>6.48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0.04</v>
      </c>
      <c r="AU64" t="s">
        <v>31</v>
      </c>
      <c r="AV64">
        <v>0</v>
      </c>
      <c r="AW64">
        <v>2</v>
      </c>
      <c r="AX64">
        <v>39089319</v>
      </c>
      <c r="AY64">
        <v>1</v>
      </c>
      <c r="AZ64">
        <v>0</v>
      </c>
      <c r="BA64">
        <v>75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Y64*Source!I40</f>
        <v>0.05</v>
      </c>
      <c r="CY64">
        <f>AB64</f>
        <v>725.7</v>
      </c>
      <c r="CZ64">
        <f>AF64</f>
        <v>111.99</v>
      </c>
      <c r="DA64">
        <f>AJ64</f>
        <v>6.48</v>
      </c>
      <c r="DB64">
        <v>0</v>
      </c>
    </row>
    <row r="65" spans="1:106" x14ac:dyDescent="0.2">
      <c r="A65">
        <f>ROW(Source!A40)</f>
        <v>40</v>
      </c>
      <c r="B65">
        <v>39088907</v>
      </c>
      <c r="C65">
        <v>39089315</v>
      </c>
      <c r="D65">
        <v>36883554</v>
      </c>
      <c r="E65">
        <v>1</v>
      </c>
      <c r="F65">
        <v>1</v>
      </c>
      <c r="G65">
        <v>1</v>
      </c>
      <c r="H65">
        <v>2</v>
      </c>
      <c r="I65" t="s">
        <v>287</v>
      </c>
      <c r="J65" t="s">
        <v>288</v>
      </c>
      <c r="K65" t="s">
        <v>289</v>
      </c>
      <c r="L65">
        <v>1368</v>
      </c>
      <c r="N65">
        <v>1011</v>
      </c>
      <c r="O65" t="s">
        <v>290</v>
      </c>
      <c r="P65" t="s">
        <v>290</v>
      </c>
      <c r="Q65">
        <v>1</v>
      </c>
      <c r="W65">
        <v>0</v>
      </c>
      <c r="X65">
        <v>1372534845</v>
      </c>
      <c r="Y65">
        <v>0.15</v>
      </c>
      <c r="AA65">
        <v>0</v>
      </c>
      <c r="AB65">
        <v>425.8</v>
      </c>
      <c r="AC65">
        <v>11.6</v>
      </c>
      <c r="AD65">
        <v>0</v>
      </c>
      <c r="AE65">
        <v>0</v>
      </c>
      <c r="AF65">
        <v>65.709999999999994</v>
      </c>
      <c r="AG65">
        <v>11.6</v>
      </c>
      <c r="AH65">
        <v>0</v>
      </c>
      <c r="AI65">
        <v>1</v>
      </c>
      <c r="AJ65">
        <v>6.48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0.12</v>
      </c>
      <c r="AU65" t="s">
        <v>31</v>
      </c>
      <c r="AV65">
        <v>0</v>
      </c>
      <c r="AW65">
        <v>2</v>
      </c>
      <c r="AX65">
        <v>39089320</v>
      </c>
      <c r="AY65">
        <v>1</v>
      </c>
      <c r="AZ65">
        <v>0</v>
      </c>
      <c r="BA65">
        <v>76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Y65*Source!I40</f>
        <v>0.15</v>
      </c>
      <c r="CY65">
        <f>AB65</f>
        <v>425.8</v>
      </c>
      <c r="CZ65">
        <f>AF65</f>
        <v>65.709999999999994</v>
      </c>
      <c r="DA65">
        <f>AJ65</f>
        <v>6.48</v>
      </c>
      <c r="DB65">
        <v>0</v>
      </c>
    </row>
    <row r="66" spans="1:106" x14ac:dyDescent="0.2">
      <c r="A66">
        <f>ROW(Source!A40)</f>
        <v>40</v>
      </c>
      <c r="B66">
        <v>39088907</v>
      </c>
      <c r="C66">
        <v>39089315</v>
      </c>
      <c r="D66">
        <v>36883858</v>
      </c>
      <c r="E66">
        <v>1</v>
      </c>
      <c r="F66">
        <v>1</v>
      </c>
      <c r="G66">
        <v>1</v>
      </c>
      <c r="H66">
        <v>2</v>
      </c>
      <c r="I66" t="s">
        <v>321</v>
      </c>
      <c r="J66" t="s">
        <v>322</v>
      </c>
      <c r="K66" t="s">
        <v>323</v>
      </c>
      <c r="L66">
        <v>1368</v>
      </c>
      <c r="N66">
        <v>1011</v>
      </c>
      <c r="O66" t="s">
        <v>290</v>
      </c>
      <c r="P66" t="s">
        <v>290</v>
      </c>
      <c r="Q66">
        <v>1</v>
      </c>
      <c r="W66">
        <v>0</v>
      </c>
      <c r="X66">
        <v>-353815937</v>
      </c>
      <c r="Y66">
        <v>2.2374999999999998</v>
      </c>
      <c r="AA66">
        <v>0</v>
      </c>
      <c r="AB66">
        <v>52.49</v>
      </c>
      <c r="AC66">
        <v>0</v>
      </c>
      <c r="AD66">
        <v>0</v>
      </c>
      <c r="AE66">
        <v>0</v>
      </c>
      <c r="AF66">
        <v>8.1</v>
      </c>
      <c r="AG66">
        <v>0</v>
      </c>
      <c r="AH66">
        <v>0</v>
      </c>
      <c r="AI66">
        <v>1</v>
      </c>
      <c r="AJ66">
        <v>6.48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1.79</v>
      </c>
      <c r="AU66" t="s">
        <v>31</v>
      </c>
      <c r="AV66">
        <v>0</v>
      </c>
      <c r="AW66">
        <v>2</v>
      </c>
      <c r="AX66">
        <v>39089321</v>
      </c>
      <c r="AY66">
        <v>1</v>
      </c>
      <c r="AZ66">
        <v>0</v>
      </c>
      <c r="BA66">
        <v>77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Y66*Source!I40</f>
        <v>2.2374999999999998</v>
      </c>
      <c r="CY66">
        <f>AB66</f>
        <v>52.49</v>
      </c>
      <c r="CZ66">
        <f>AF66</f>
        <v>8.1</v>
      </c>
      <c r="DA66">
        <f>AJ66</f>
        <v>6.48</v>
      </c>
      <c r="DB66">
        <v>0</v>
      </c>
    </row>
    <row r="67" spans="1:106" x14ac:dyDescent="0.2">
      <c r="A67">
        <f>ROW(Source!A40)</f>
        <v>40</v>
      </c>
      <c r="B67">
        <v>39088907</v>
      </c>
      <c r="C67">
        <v>39089315</v>
      </c>
      <c r="D67">
        <v>36799778</v>
      </c>
      <c r="E67">
        <v>1</v>
      </c>
      <c r="F67">
        <v>1</v>
      </c>
      <c r="G67">
        <v>1</v>
      </c>
      <c r="H67">
        <v>3</v>
      </c>
      <c r="I67" t="s">
        <v>324</v>
      </c>
      <c r="J67" t="s">
        <v>325</v>
      </c>
      <c r="K67" t="s">
        <v>326</v>
      </c>
      <c r="L67">
        <v>1356</v>
      </c>
      <c r="N67">
        <v>1010</v>
      </c>
      <c r="O67" t="s">
        <v>300</v>
      </c>
      <c r="P67" t="s">
        <v>300</v>
      </c>
      <c r="Q67">
        <v>1000</v>
      </c>
      <c r="W67">
        <v>0</v>
      </c>
      <c r="X67">
        <v>-1761144370</v>
      </c>
      <c r="Y67">
        <v>2E-3</v>
      </c>
      <c r="AA67">
        <v>98954.14</v>
      </c>
      <c r="AB67">
        <v>0</v>
      </c>
      <c r="AC67">
        <v>0</v>
      </c>
      <c r="AD67">
        <v>0</v>
      </c>
      <c r="AE67">
        <v>15270.7</v>
      </c>
      <c r="AF67">
        <v>0</v>
      </c>
      <c r="AG67">
        <v>0</v>
      </c>
      <c r="AH67">
        <v>0</v>
      </c>
      <c r="AI67">
        <v>6.48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2E-3</v>
      </c>
      <c r="AU67" t="s">
        <v>3</v>
      </c>
      <c r="AV67">
        <v>0</v>
      </c>
      <c r="AW67">
        <v>2</v>
      </c>
      <c r="AX67">
        <v>39089322</v>
      </c>
      <c r="AY67">
        <v>1</v>
      </c>
      <c r="AZ67">
        <v>0</v>
      </c>
      <c r="BA67">
        <v>78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Y67*Source!I40</f>
        <v>2E-3</v>
      </c>
      <c r="CY67">
        <f>AA67</f>
        <v>98954.14</v>
      </c>
      <c r="CZ67">
        <f>AE67</f>
        <v>15270.7</v>
      </c>
      <c r="DA67">
        <f>AI67</f>
        <v>6.48</v>
      </c>
      <c r="DB67">
        <v>0</v>
      </c>
    </row>
    <row r="68" spans="1:106" x14ac:dyDescent="0.2">
      <c r="A68">
        <f>ROW(Source!A40)</f>
        <v>40</v>
      </c>
      <c r="B68">
        <v>39088907</v>
      </c>
      <c r="C68">
        <v>39089315</v>
      </c>
      <c r="D68">
        <v>36803269</v>
      </c>
      <c r="E68">
        <v>1</v>
      </c>
      <c r="F68">
        <v>1</v>
      </c>
      <c r="G68">
        <v>1</v>
      </c>
      <c r="H68">
        <v>3</v>
      </c>
      <c r="I68" t="s">
        <v>327</v>
      </c>
      <c r="J68" t="s">
        <v>328</v>
      </c>
      <c r="K68" t="s">
        <v>329</v>
      </c>
      <c r="L68">
        <v>1348</v>
      </c>
      <c r="N68">
        <v>1009</v>
      </c>
      <c r="O68" t="s">
        <v>152</v>
      </c>
      <c r="P68" t="s">
        <v>152</v>
      </c>
      <c r="Q68">
        <v>1000</v>
      </c>
      <c r="W68">
        <v>0</v>
      </c>
      <c r="X68">
        <v>-1068056325</v>
      </c>
      <c r="Y68">
        <v>1.4E-3</v>
      </c>
      <c r="AA68">
        <v>67145.759999999995</v>
      </c>
      <c r="AB68">
        <v>0</v>
      </c>
      <c r="AC68">
        <v>0</v>
      </c>
      <c r="AD68">
        <v>0</v>
      </c>
      <c r="AE68">
        <v>10362</v>
      </c>
      <c r="AF68">
        <v>0</v>
      </c>
      <c r="AG68">
        <v>0</v>
      </c>
      <c r="AH68">
        <v>0</v>
      </c>
      <c r="AI68">
        <v>6.48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1.4E-3</v>
      </c>
      <c r="AU68" t="s">
        <v>3</v>
      </c>
      <c r="AV68">
        <v>0</v>
      </c>
      <c r="AW68">
        <v>2</v>
      </c>
      <c r="AX68">
        <v>39089323</v>
      </c>
      <c r="AY68">
        <v>1</v>
      </c>
      <c r="AZ68">
        <v>0</v>
      </c>
      <c r="BA68">
        <v>79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Y68*Source!I40</f>
        <v>1.4E-3</v>
      </c>
      <c r="CY68">
        <f>AA68</f>
        <v>67145.759999999995</v>
      </c>
      <c r="CZ68">
        <f>AE68</f>
        <v>10362</v>
      </c>
      <c r="DA68">
        <f>AI68</f>
        <v>6.48</v>
      </c>
      <c r="DB68">
        <v>0</v>
      </c>
    </row>
    <row r="69" spans="1:106" x14ac:dyDescent="0.2">
      <c r="A69">
        <f>ROW(Source!A40)</f>
        <v>40</v>
      </c>
      <c r="B69">
        <v>39088907</v>
      </c>
      <c r="C69">
        <v>39089315</v>
      </c>
      <c r="D69">
        <v>36804431</v>
      </c>
      <c r="E69">
        <v>1</v>
      </c>
      <c r="F69">
        <v>1</v>
      </c>
      <c r="G69">
        <v>1</v>
      </c>
      <c r="H69">
        <v>3</v>
      </c>
      <c r="I69" t="s">
        <v>301</v>
      </c>
      <c r="J69" t="s">
        <v>302</v>
      </c>
      <c r="K69" t="s">
        <v>303</v>
      </c>
      <c r="L69">
        <v>1348</v>
      </c>
      <c r="N69">
        <v>1009</v>
      </c>
      <c r="O69" t="s">
        <v>152</v>
      </c>
      <c r="P69" t="s">
        <v>152</v>
      </c>
      <c r="Q69">
        <v>1000</v>
      </c>
      <c r="W69">
        <v>0</v>
      </c>
      <c r="X69">
        <v>-792983950</v>
      </c>
      <c r="Y69">
        <v>7.8600000000000007E-3</v>
      </c>
      <c r="AA69">
        <v>87868.800000000003</v>
      </c>
      <c r="AB69">
        <v>0</v>
      </c>
      <c r="AC69">
        <v>0</v>
      </c>
      <c r="AD69">
        <v>0</v>
      </c>
      <c r="AE69">
        <v>13560</v>
      </c>
      <c r="AF69">
        <v>0</v>
      </c>
      <c r="AG69">
        <v>0</v>
      </c>
      <c r="AH69">
        <v>0</v>
      </c>
      <c r="AI69">
        <v>6.48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7.8600000000000007E-3</v>
      </c>
      <c r="AU69" t="s">
        <v>3</v>
      </c>
      <c r="AV69">
        <v>0</v>
      </c>
      <c r="AW69">
        <v>2</v>
      </c>
      <c r="AX69">
        <v>39089324</v>
      </c>
      <c r="AY69">
        <v>1</v>
      </c>
      <c r="AZ69">
        <v>0</v>
      </c>
      <c r="BA69">
        <v>80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Y69*Source!I40</f>
        <v>7.8600000000000007E-3</v>
      </c>
      <c r="CY69">
        <f>AA69</f>
        <v>87868.800000000003</v>
      </c>
      <c r="CZ69">
        <f>AE69</f>
        <v>13560</v>
      </c>
      <c r="DA69">
        <f>AI69</f>
        <v>6.48</v>
      </c>
      <c r="DB69">
        <v>0</v>
      </c>
    </row>
    <row r="70" spans="1:106" x14ac:dyDescent="0.2">
      <c r="A70">
        <f>ROW(Source!A40)</f>
        <v>40</v>
      </c>
      <c r="B70">
        <v>39088907</v>
      </c>
      <c r="C70">
        <v>39089315</v>
      </c>
      <c r="D70">
        <v>36843996</v>
      </c>
      <c r="E70">
        <v>1</v>
      </c>
      <c r="F70">
        <v>1</v>
      </c>
      <c r="G70">
        <v>1</v>
      </c>
      <c r="H70">
        <v>3</v>
      </c>
      <c r="I70" t="s">
        <v>105</v>
      </c>
      <c r="J70" t="s">
        <v>107</v>
      </c>
      <c r="K70" t="s">
        <v>106</v>
      </c>
      <c r="L70">
        <v>1354</v>
      </c>
      <c r="N70">
        <v>1010</v>
      </c>
      <c r="O70" t="s">
        <v>48</v>
      </c>
      <c r="P70" t="s">
        <v>48</v>
      </c>
      <c r="Q70">
        <v>1</v>
      </c>
      <c r="W70">
        <v>0</v>
      </c>
      <c r="X70">
        <v>-1090113094</v>
      </c>
      <c r="Y70">
        <v>1</v>
      </c>
      <c r="AA70">
        <v>51206.39</v>
      </c>
      <c r="AB70">
        <v>0</v>
      </c>
      <c r="AC70">
        <v>0</v>
      </c>
      <c r="AD70">
        <v>0</v>
      </c>
      <c r="AE70">
        <v>7902.22</v>
      </c>
      <c r="AF70">
        <v>0</v>
      </c>
      <c r="AG70">
        <v>0</v>
      </c>
      <c r="AH70">
        <v>0</v>
      </c>
      <c r="AI70">
        <v>6.48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3</v>
      </c>
      <c r="AT70">
        <v>1</v>
      </c>
      <c r="AU70" t="s">
        <v>3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3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Y70*Source!I40</f>
        <v>1</v>
      </c>
      <c r="CY70">
        <f>AA70</f>
        <v>51206.39</v>
      </c>
      <c r="CZ70">
        <f>AE70</f>
        <v>7902.22</v>
      </c>
      <c r="DA70">
        <f>AI70</f>
        <v>6.48</v>
      </c>
      <c r="DB70">
        <v>0</v>
      </c>
    </row>
    <row r="71" spans="1:106" x14ac:dyDescent="0.2">
      <c r="A71">
        <f>ROW(Source!A42)</f>
        <v>42</v>
      </c>
      <c r="B71">
        <v>39088907</v>
      </c>
      <c r="C71">
        <v>39089337</v>
      </c>
      <c r="D71">
        <v>37064928</v>
      </c>
      <c r="E71">
        <v>1</v>
      </c>
      <c r="F71">
        <v>1</v>
      </c>
      <c r="G71">
        <v>1</v>
      </c>
      <c r="H71">
        <v>1</v>
      </c>
      <c r="I71" t="s">
        <v>295</v>
      </c>
      <c r="J71" t="s">
        <v>3</v>
      </c>
      <c r="K71" t="s">
        <v>296</v>
      </c>
      <c r="L71">
        <v>1191</v>
      </c>
      <c r="N71">
        <v>1013</v>
      </c>
      <c r="O71" t="s">
        <v>280</v>
      </c>
      <c r="P71" t="s">
        <v>280</v>
      </c>
      <c r="Q71">
        <v>1</v>
      </c>
      <c r="W71">
        <v>0</v>
      </c>
      <c r="X71">
        <v>145020957</v>
      </c>
      <c r="Y71">
        <v>9.9014999999999986</v>
      </c>
      <c r="AA71">
        <v>0</v>
      </c>
      <c r="AB71">
        <v>0</v>
      </c>
      <c r="AC71">
        <v>0</v>
      </c>
      <c r="AD71">
        <v>58.77</v>
      </c>
      <c r="AE71">
        <v>0</v>
      </c>
      <c r="AF71">
        <v>0</v>
      </c>
      <c r="AG71">
        <v>0</v>
      </c>
      <c r="AH71">
        <v>9.07</v>
      </c>
      <c r="AI71">
        <v>1</v>
      </c>
      <c r="AJ71">
        <v>1</v>
      </c>
      <c r="AK71">
        <v>1</v>
      </c>
      <c r="AL71">
        <v>6.48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8.61</v>
      </c>
      <c r="AU71" t="s">
        <v>32</v>
      </c>
      <c r="AV71">
        <v>1</v>
      </c>
      <c r="AW71">
        <v>2</v>
      </c>
      <c r="AX71">
        <v>39089338</v>
      </c>
      <c r="AY71">
        <v>1</v>
      </c>
      <c r="AZ71">
        <v>0</v>
      </c>
      <c r="BA71">
        <v>83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Y71*Source!I42</f>
        <v>49.507499999999993</v>
      </c>
      <c r="CY71">
        <f>AD71</f>
        <v>58.77</v>
      </c>
      <c r="CZ71">
        <f>AH71</f>
        <v>9.07</v>
      </c>
      <c r="DA71">
        <f>AL71</f>
        <v>6.48</v>
      </c>
      <c r="DB71">
        <v>0</v>
      </c>
    </row>
    <row r="72" spans="1:106" x14ac:dyDescent="0.2">
      <c r="A72">
        <f>ROW(Source!A42)</f>
        <v>42</v>
      </c>
      <c r="B72">
        <v>39088907</v>
      </c>
      <c r="C72">
        <v>39089337</v>
      </c>
      <c r="D72">
        <v>37064876</v>
      </c>
      <c r="E72">
        <v>1</v>
      </c>
      <c r="F72">
        <v>1</v>
      </c>
      <c r="G72">
        <v>1</v>
      </c>
      <c r="H72">
        <v>1</v>
      </c>
      <c r="I72" t="s">
        <v>285</v>
      </c>
      <c r="J72" t="s">
        <v>3</v>
      </c>
      <c r="K72" t="s">
        <v>286</v>
      </c>
      <c r="L72">
        <v>1191</v>
      </c>
      <c r="N72">
        <v>1013</v>
      </c>
      <c r="O72" t="s">
        <v>280</v>
      </c>
      <c r="P72" t="s">
        <v>280</v>
      </c>
      <c r="Q72">
        <v>1</v>
      </c>
      <c r="W72">
        <v>0</v>
      </c>
      <c r="X72">
        <v>-1417349443</v>
      </c>
      <c r="Y72">
        <v>0.16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6.48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0.16</v>
      </c>
      <c r="AU72" t="s">
        <v>3</v>
      </c>
      <c r="AV72">
        <v>2</v>
      </c>
      <c r="AW72">
        <v>2</v>
      </c>
      <c r="AX72">
        <v>39089339</v>
      </c>
      <c r="AY72">
        <v>1</v>
      </c>
      <c r="AZ72">
        <v>2048</v>
      </c>
      <c r="BA72">
        <v>84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Y72*Source!I42</f>
        <v>0.8</v>
      </c>
      <c r="CY72">
        <f>AD72</f>
        <v>0</v>
      </c>
      <c r="CZ72">
        <f>AH72</f>
        <v>0</v>
      </c>
      <c r="DA72">
        <f>AL72</f>
        <v>1</v>
      </c>
      <c r="DB72">
        <v>0</v>
      </c>
    </row>
    <row r="73" spans="1:106" x14ac:dyDescent="0.2">
      <c r="A73">
        <f>ROW(Source!A42)</f>
        <v>42</v>
      </c>
      <c r="B73">
        <v>39088907</v>
      </c>
      <c r="C73">
        <v>39089337</v>
      </c>
      <c r="D73">
        <v>36882057</v>
      </c>
      <c r="E73">
        <v>1</v>
      </c>
      <c r="F73">
        <v>1</v>
      </c>
      <c r="G73">
        <v>1</v>
      </c>
      <c r="H73">
        <v>2</v>
      </c>
      <c r="I73" t="s">
        <v>315</v>
      </c>
      <c r="J73" t="s">
        <v>316</v>
      </c>
      <c r="K73" t="s">
        <v>317</v>
      </c>
      <c r="L73">
        <v>1368</v>
      </c>
      <c r="N73">
        <v>1011</v>
      </c>
      <c r="O73" t="s">
        <v>290</v>
      </c>
      <c r="P73" t="s">
        <v>290</v>
      </c>
      <c r="Q73">
        <v>1</v>
      </c>
      <c r="W73">
        <v>0</v>
      </c>
      <c r="X73">
        <v>-1460065968</v>
      </c>
      <c r="Y73">
        <v>0.05</v>
      </c>
      <c r="AA73">
        <v>0</v>
      </c>
      <c r="AB73">
        <v>559.87</v>
      </c>
      <c r="AC73">
        <v>13.5</v>
      </c>
      <c r="AD73">
        <v>0</v>
      </c>
      <c r="AE73">
        <v>0</v>
      </c>
      <c r="AF73">
        <v>86.4</v>
      </c>
      <c r="AG73">
        <v>13.5</v>
      </c>
      <c r="AH73">
        <v>0</v>
      </c>
      <c r="AI73">
        <v>1</v>
      </c>
      <c r="AJ73">
        <v>6.48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0.04</v>
      </c>
      <c r="AU73" t="s">
        <v>31</v>
      </c>
      <c r="AV73">
        <v>0</v>
      </c>
      <c r="AW73">
        <v>2</v>
      </c>
      <c r="AX73">
        <v>39089340</v>
      </c>
      <c r="AY73">
        <v>1</v>
      </c>
      <c r="AZ73">
        <v>0</v>
      </c>
      <c r="BA73">
        <v>85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Y73*Source!I42</f>
        <v>0.25</v>
      </c>
      <c r="CY73">
        <f>AB73</f>
        <v>559.87</v>
      </c>
      <c r="CZ73">
        <f>AF73</f>
        <v>86.4</v>
      </c>
      <c r="DA73">
        <f>AJ73</f>
        <v>6.48</v>
      </c>
      <c r="DB73">
        <v>0</v>
      </c>
    </row>
    <row r="74" spans="1:106" x14ac:dyDescent="0.2">
      <c r="A74">
        <f>ROW(Source!A42)</f>
        <v>42</v>
      </c>
      <c r="B74">
        <v>39088907</v>
      </c>
      <c r="C74">
        <v>39089337</v>
      </c>
      <c r="D74">
        <v>36882159</v>
      </c>
      <c r="E74">
        <v>1</v>
      </c>
      <c r="F74">
        <v>1</v>
      </c>
      <c r="G74">
        <v>1</v>
      </c>
      <c r="H74">
        <v>2</v>
      </c>
      <c r="I74" t="s">
        <v>318</v>
      </c>
      <c r="J74" t="s">
        <v>319</v>
      </c>
      <c r="K74" t="s">
        <v>320</v>
      </c>
      <c r="L74">
        <v>1368</v>
      </c>
      <c r="N74">
        <v>1011</v>
      </c>
      <c r="O74" t="s">
        <v>290</v>
      </c>
      <c r="P74" t="s">
        <v>290</v>
      </c>
      <c r="Q74">
        <v>1</v>
      </c>
      <c r="W74">
        <v>0</v>
      </c>
      <c r="X74">
        <v>-1718674368</v>
      </c>
      <c r="Y74">
        <v>3.7499999999999999E-2</v>
      </c>
      <c r="AA74">
        <v>0</v>
      </c>
      <c r="AB74">
        <v>725.7</v>
      </c>
      <c r="AC74">
        <v>13.5</v>
      </c>
      <c r="AD74">
        <v>0</v>
      </c>
      <c r="AE74">
        <v>0</v>
      </c>
      <c r="AF74">
        <v>111.99</v>
      </c>
      <c r="AG74">
        <v>13.5</v>
      </c>
      <c r="AH74">
        <v>0</v>
      </c>
      <c r="AI74">
        <v>1</v>
      </c>
      <c r="AJ74">
        <v>6.48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3</v>
      </c>
      <c r="AT74">
        <v>0.03</v>
      </c>
      <c r="AU74" t="s">
        <v>31</v>
      </c>
      <c r="AV74">
        <v>0</v>
      </c>
      <c r="AW74">
        <v>2</v>
      </c>
      <c r="AX74">
        <v>39089341</v>
      </c>
      <c r="AY74">
        <v>1</v>
      </c>
      <c r="AZ74">
        <v>0</v>
      </c>
      <c r="BA74">
        <v>86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Y74*Source!I42</f>
        <v>0.1875</v>
      </c>
      <c r="CY74">
        <f>AB74</f>
        <v>725.7</v>
      </c>
      <c r="CZ74">
        <f>AF74</f>
        <v>111.99</v>
      </c>
      <c r="DA74">
        <f>AJ74</f>
        <v>6.48</v>
      </c>
      <c r="DB74">
        <v>0</v>
      </c>
    </row>
    <row r="75" spans="1:106" x14ac:dyDescent="0.2">
      <c r="A75">
        <f>ROW(Source!A42)</f>
        <v>42</v>
      </c>
      <c r="B75">
        <v>39088907</v>
      </c>
      <c r="C75">
        <v>39089337</v>
      </c>
      <c r="D75">
        <v>36883554</v>
      </c>
      <c r="E75">
        <v>1</v>
      </c>
      <c r="F75">
        <v>1</v>
      </c>
      <c r="G75">
        <v>1</v>
      </c>
      <c r="H75">
        <v>2</v>
      </c>
      <c r="I75" t="s">
        <v>287</v>
      </c>
      <c r="J75" t="s">
        <v>288</v>
      </c>
      <c r="K75" t="s">
        <v>289</v>
      </c>
      <c r="L75">
        <v>1368</v>
      </c>
      <c r="N75">
        <v>1011</v>
      </c>
      <c r="O75" t="s">
        <v>290</v>
      </c>
      <c r="P75" t="s">
        <v>290</v>
      </c>
      <c r="Q75">
        <v>1</v>
      </c>
      <c r="W75">
        <v>0</v>
      </c>
      <c r="X75">
        <v>1372534845</v>
      </c>
      <c r="Y75">
        <v>0.11249999999999999</v>
      </c>
      <c r="AA75">
        <v>0</v>
      </c>
      <c r="AB75">
        <v>425.8</v>
      </c>
      <c r="AC75">
        <v>11.6</v>
      </c>
      <c r="AD75">
        <v>0</v>
      </c>
      <c r="AE75">
        <v>0</v>
      </c>
      <c r="AF75">
        <v>65.709999999999994</v>
      </c>
      <c r="AG75">
        <v>11.6</v>
      </c>
      <c r="AH75">
        <v>0</v>
      </c>
      <c r="AI75">
        <v>1</v>
      </c>
      <c r="AJ75">
        <v>6.48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0.09</v>
      </c>
      <c r="AU75" t="s">
        <v>31</v>
      </c>
      <c r="AV75">
        <v>0</v>
      </c>
      <c r="AW75">
        <v>2</v>
      </c>
      <c r="AX75">
        <v>39089342</v>
      </c>
      <c r="AY75">
        <v>1</v>
      </c>
      <c r="AZ75">
        <v>0</v>
      </c>
      <c r="BA75">
        <v>87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Y75*Source!I42</f>
        <v>0.5625</v>
      </c>
      <c r="CY75">
        <f>AB75</f>
        <v>425.8</v>
      </c>
      <c r="CZ75">
        <f>AF75</f>
        <v>65.709999999999994</v>
      </c>
      <c r="DA75">
        <f>AJ75</f>
        <v>6.48</v>
      </c>
      <c r="DB75">
        <v>0</v>
      </c>
    </row>
    <row r="76" spans="1:106" x14ac:dyDescent="0.2">
      <c r="A76">
        <f>ROW(Source!A42)</f>
        <v>42</v>
      </c>
      <c r="B76">
        <v>39088907</v>
      </c>
      <c r="C76">
        <v>39089337</v>
      </c>
      <c r="D76">
        <v>36883858</v>
      </c>
      <c r="E76">
        <v>1</v>
      </c>
      <c r="F76">
        <v>1</v>
      </c>
      <c r="G76">
        <v>1</v>
      </c>
      <c r="H76">
        <v>2</v>
      </c>
      <c r="I76" t="s">
        <v>321</v>
      </c>
      <c r="J76" t="s">
        <v>322</v>
      </c>
      <c r="K76" t="s">
        <v>323</v>
      </c>
      <c r="L76">
        <v>1368</v>
      </c>
      <c r="N76">
        <v>1011</v>
      </c>
      <c r="O76" t="s">
        <v>290</v>
      </c>
      <c r="P76" t="s">
        <v>290</v>
      </c>
      <c r="Q76">
        <v>1</v>
      </c>
      <c r="W76">
        <v>0</v>
      </c>
      <c r="X76">
        <v>-353815937</v>
      </c>
      <c r="Y76">
        <v>1.5625</v>
      </c>
      <c r="AA76">
        <v>0</v>
      </c>
      <c r="AB76">
        <v>52.49</v>
      </c>
      <c r="AC76">
        <v>0</v>
      </c>
      <c r="AD76">
        <v>0</v>
      </c>
      <c r="AE76">
        <v>0</v>
      </c>
      <c r="AF76">
        <v>8.1</v>
      </c>
      <c r="AG76">
        <v>0</v>
      </c>
      <c r="AH76">
        <v>0</v>
      </c>
      <c r="AI76">
        <v>1</v>
      </c>
      <c r="AJ76">
        <v>6.48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1.25</v>
      </c>
      <c r="AU76" t="s">
        <v>31</v>
      </c>
      <c r="AV76">
        <v>0</v>
      </c>
      <c r="AW76">
        <v>2</v>
      </c>
      <c r="AX76">
        <v>39089343</v>
      </c>
      <c r="AY76">
        <v>1</v>
      </c>
      <c r="AZ76">
        <v>0</v>
      </c>
      <c r="BA76">
        <v>88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Y76*Source!I42</f>
        <v>7.8125</v>
      </c>
      <c r="CY76">
        <f>AB76</f>
        <v>52.49</v>
      </c>
      <c r="CZ76">
        <f>AF76</f>
        <v>8.1</v>
      </c>
      <c r="DA76">
        <f>AJ76</f>
        <v>6.48</v>
      </c>
      <c r="DB76">
        <v>0</v>
      </c>
    </row>
    <row r="77" spans="1:106" x14ac:dyDescent="0.2">
      <c r="A77">
        <f>ROW(Source!A42)</f>
        <v>42</v>
      </c>
      <c r="B77">
        <v>39088907</v>
      </c>
      <c r="C77">
        <v>39089337</v>
      </c>
      <c r="D77">
        <v>36799776</v>
      </c>
      <c r="E77">
        <v>1</v>
      </c>
      <c r="F77">
        <v>1</v>
      </c>
      <c r="G77">
        <v>1</v>
      </c>
      <c r="H77">
        <v>3</v>
      </c>
      <c r="I77" t="s">
        <v>336</v>
      </c>
      <c r="J77" t="s">
        <v>337</v>
      </c>
      <c r="K77" t="s">
        <v>338</v>
      </c>
      <c r="L77">
        <v>1356</v>
      </c>
      <c r="N77">
        <v>1010</v>
      </c>
      <c r="O77" t="s">
        <v>300</v>
      </c>
      <c r="P77" t="s">
        <v>300</v>
      </c>
      <c r="Q77">
        <v>1000</v>
      </c>
      <c r="W77">
        <v>0</v>
      </c>
      <c r="X77">
        <v>-1631577312</v>
      </c>
      <c r="Y77">
        <v>2E-3</v>
      </c>
      <c r="AA77">
        <v>67223.520000000004</v>
      </c>
      <c r="AB77">
        <v>0</v>
      </c>
      <c r="AC77">
        <v>0</v>
      </c>
      <c r="AD77">
        <v>0</v>
      </c>
      <c r="AE77">
        <v>10374</v>
      </c>
      <c r="AF77">
        <v>0</v>
      </c>
      <c r="AG77">
        <v>0</v>
      </c>
      <c r="AH77">
        <v>0</v>
      </c>
      <c r="AI77">
        <v>6.48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2E-3</v>
      </c>
      <c r="AU77" t="s">
        <v>3</v>
      </c>
      <c r="AV77">
        <v>0</v>
      </c>
      <c r="AW77">
        <v>2</v>
      </c>
      <c r="AX77">
        <v>39089344</v>
      </c>
      <c r="AY77">
        <v>1</v>
      </c>
      <c r="AZ77">
        <v>0</v>
      </c>
      <c r="BA77">
        <v>89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Y77*Source!I42</f>
        <v>0.01</v>
      </c>
      <c r="CY77">
        <f>AA77</f>
        <v>67223.520000000004</v>
      </c>
      <c r="CZ77">
        <f>AE77</f>
        <v>10374</v>
      </c>
      <c r="DA77">
        <f>AI77</f>
        <v>6.48</v>
      </c>
      <c r="DB77">
        <v>0</v>
      </c>
    </row>
    <row r="78" spans="1:106" x14ac:dyDescent="0.2">
      <c r="A78">
        <f>ROW(Source!A42)</f>
        <v>42</v>
      </c>
      <c r="B78">
        <v>39088907</v>
      </c>
      <c r="C78">
        <v>39089337</v>
      </c>
      <c r="D78">
        <v>36803269</v>
      </c>
      <c r="E78">
        <v>1</v>
      </c>
      <c r="F78">
        <v>1</v>
      </c>
      <c r="G78">
        <v>1</v>
      </c>
      <c r="H78">
        <v>3</v>
      </c>
      <c r="I78" t="s">
        <v>327</v>
      </c>
      <c r="J78" t="s">
        <v>328</v>
      </c>
      <c r="K78" t="s">
        <v>329</v>
      </c>
      <c r="L78">
        <v>1348</v>
      </c>
      <c r="N78">
        <v>1009</v>
      </c>
      <c r="O78" t="s">
        <v>152</v>
      </c>
      <c r="P78" t="s">
        <v>152</v>
      </c>
      <c r="Q78">
        <v>1000</v>
      </c>
      <c r="W78">
        <v>0</v>
      </c>
      <c r="X78">
        <v>-1068056325</v>
      </c>
      <c r="Y78">
        <v>7.9000000000000001E-4</v>
      </c>
      <c r="AA78">
        <v>67145.759999999995</v>
      </c>
      <c r="AB78">
        <v>0</v>
      </c>
      <c r="AC78">
        <v>0</v>
      </c>
      <c r="AD78">
        <v>0</v>
      </c>
      <c r="AE78">
        <v>10362</v>
      </c>
      <c r="AF78">
        <v>0</v>
      </c>
      <c r="AG78">
        <v>0</v>
      </c>
      <c r="AH78">
        <v>0</v>
      </c>
      <c r="AI78">
        <v>6.48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7.9000000000000001E-4</v>
      </c>
      <c r="AU78" t="s">
        <v>3</v>
      </c>
      <c r="AV78">
        <v>0</v>
      </c>
      <c r="AW78">
        <v>2</v>
      </c>
      <c r="AX78">
        <v>39089345</v>
      </c>
      <c r="AY78">
        <v>1</v>
      </c>
      <c r="AZ78">
        <v>0</v>
      </c>
      <c r="BA78">
        <v>90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Y78*Source!I42</f>
        <v>3.9500000000000004E-3</v>
      </c>
      <c r="CY78">
        <f>AA78</f>
        <v>67145.759999999995</v>
      </c>
      <c r="CZ78">
        <f>AE78</f>
        <v>10362</v>
      </c>
      <c r="DA78">
        <f>AI78</f>
        <v>6.48</v>
      </c>
      <c r="DB78">
        <v>0</v>
      </c>
    </row>
    <row r="79" spans="1:106" x14ac:dyDescent="0.2">
      <c r="A79">
        <f>ROW(Source!A42)</f>
        <v>42</v>
      </c>
      <c r="B79">
        <v>39088907</v>
      </c>
      <c r="C79">
        <v>39089337</v>
      </c>
      <c r="D79">
        <v>36804431</v>
      </c>
      <c r="E79">
        <v>1</v>
      </c>
      <c r="F79">
        <v>1</v>
      </c>
      <c r="G79">
        <v>1</v>
      </c>
      <c r="H79">
        <v>3</v>
      </c>
      <c r="I79" t="s">
        <v>301</v>
      </c>
      <c r="J79" t="s">
        <v>302</v>
      </c>
      <c r="K79" t="s">
        <v>303</v>
      </c>
      <c r="L79">
        <v>1348</v>
      </c>
      <c r="N79">
        <v>1009</v>
      </c>
      <c r="O79" t="s">
        <v>152</v>
      </c>
      <c r="P79" t="s">
        <v>152</v>
      </c>
      <c r="Q79">
        <v>1000</v>
      </c>
      <c r="W79">
        <v>0</v>
      </c>
      <c r="X79">
        <v>-792983950</v>
      </c>
      <c r="Y79">
        <v>5.0400000000000002E-3</v>
      </c>
      <c r="AA79">
        <v>87868.800000000003</v>
      </c>
      <c r="AB79">
        <v>0</v>
      </c>
      <c r="AC79">
        <v>0</v>
      </c>
      <c r="AD79">
        <v>0</v>
      </c>
      <c r="AE79">
        <v>13560</v>
      </c>
      <c r="AF79">
        <v>0</v>
      </c>
      <c r="AG79">
        <v>0</v>
      </c>
      <c r="AH79">
        <v>0</v>
      </c>
      <c r="AI79">
        <v>6.48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5.0400000000000002E-3</v>
      </c>
      <c r="AU79" t="s">
        <v>3</v>
      </c>
      <c r="AV79">
        <v>0</v>
      </c>
      <c r="AW79">
        <v>2</v>
      </c>
      <c r="AX79">
        <v>39089346</v>
      </c>
      <c r="AY79">
        <v>1</v>
      </c>
      <c r="AZ79">
        <v>0</v>
      </c>
      <c r="BA79">
        <v>91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Y79*Source!I42</f>
        <v>2.52E-2</v>
      </c>
      <c r="CY79">
        <f>AA79</f>
        <v>87868.800000000003</v>
      </c>
      <c r="CZ79">
        <f>AE79</f>
        <v>13560</v>
      </c>
      <c r="DA79">
        <f>AI79</f>
        <v>6.48</v>
      </c>
      <c r="DB79">
        <v>0</v>
      </c>
    </row>
    <row r="80" spans="1:106" x14ac:dyDescent="0.2">
      <c r="A80">
        <f>ROW(Source!A42)</f>
        <v>42</v>
      </c>
      <c r="B80">
        <v>39088907</v>
      </c>
      <c r="C80">
        <v>39089337</v>
      </c>
      <c r="D80">
        <v>36843995</v>
      </c>
      <c r="E80">
        <v>1</v>
      </c>
      <c r="F80">
        <v>1</v>
      </c>
      <c r="G80">
        <v>1</v>
      </c>
      <c r="H80">
        <v>3</v>
      </c>
      <c r="I80" t="s">
        <v>113</v>
      </c>
      <c r="J80" t="s">
        <v>115</v>
      </c>
      <c r="K80" t="s">
        <v>114</v>
      </c>
      <c r="L80">
        <v>1354</v>
      </c>
      <c r="N80">
        <v>1010</v>
      </c>
      <c r="O80" t="s">
        <v>48</v>
      </c>
      <c r="P80" t="s">
        <v>48</v>
      </c>
      <c r="Q80">
        <v>1</v>
      </c>
      <c r="W80">
        <v>0</v>
      </c>
      <c r="X80">
        <v>1600358200</v>
      </c>
      <c r="Y80">
        <v>1</v>
      </c>
      <c r="AA80">
        <v>28472.6</v>
      </c>
      <c r="AB80">
        <v>0</v>
      </c>
      <c r="AC80">
        <v>0</v>
      </c>
      <c r="AD80">
        <v>0</v>
      </c>
      <c r="AE80">
        <v>4393.92</v>
      </c>
      <c r="AF80">
        <v>0</v>
      </c>
      <c r="AG80">
        <v>0</v>
      </c>
      <c r="AH80">
        <v>0</v>
      </c>
      <c r="AI80">
        <v>6.48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3</v>
      </c>
      <c r="AT80">
        <v>1</v>
      </c>
      <c r="AU80" t="s">
        <v>3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3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Y80*Source!I42</f>
        <v>5</v>
      </c>
      <c r="CY80">
        <f>AA80</f>
        <v>28472.6</v>
      </c>
      <c r="CZ80">
        <f>AE80</f>
        <v>4393.92</v>
      </c>
      <c r="DA80">
        <f>AI80</f>
        <v>6.48</v>
      </c>
      <c r="DB80">
        <v>0</v>
      </c>
    </row>
    <row r="81" spans="1:106" x14ac:dyDescent="0.2">
      <c r="A81">
        <f>ROW(Source!A44)</f>
        <v>44</v>
      </c>
      <c r="B81">
        <v>39088907</v>
      </c>
      <c r="C81">
        <v>39089023</v>
      </c>
      <c r="D81">
        <v>37064928</v>
      </c>
      <c r="E81">
        <v>1</v>
      </c>
      <c r="F81">
        <v>1</v>
      </c>
      <c r="G81">
        <v>1</v>
      </c>
      <c r="H81">
        <v>1</v>
      </c>
      <c r="I81" t="s">
        <v>295</v>
      </c>
      <c r="J81" t="s">
        <v>3</v>
      </c>
      <c r="K81" t="s">
        <v>296</v>
      </c>
      <c r="L81">
        <v>1191</v>
      </c>
      <c r="N81">
        <v>1013</v>
      </c>
      <c r="O81" t="s">
        <v>280</v>
      </c>
      <c r="P81" t="s">
        <v>280</v>
      </c>
      <c r="Q81">
        <v>1</v>
      </c>
      <c r="W81">
        <v>0</v>
      </c>
      <c r="X81">
        <v>145020957</v>
      </c>
      <c r="Y81">
        <v>1.6904999999999999</v>
      </c>
      <c r="AA81">
        <v>0</v>
      </c>
      <c r="AB81">
        <v>0</v>
      </c>
      <c r="AC81">
        <v>0</v>
      </c>
      <c r="AD81">
        <v>58.77</v>
      </c>
      <c r="AE81">
        <v>0</v>
      </c>
      <c r="AF81">
        <v>0</v>
      </c>
      <c r="AG81">
        <v>0</v>
      </c>
      <c r="AH81">
        <v>9.07</v>
      </c>
      <c r="AI81">
        <v>1</v>
      </c>
      <c r="AJ81">
        <v>1</v>
      </c>
      <c r="AK81">
        <v>1</v>
      </c>
      <c r="AL81">
        <v>6.48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1.47</v>
      </c>
      <c r="AU81" t="s">
        <v>32</v>
      </c>
      <c r="AV81">
        <v>1</v>
      </c>
      <c r="AW81">
        <v>2</v>
      </c>
      <c r="AX81">
        <v>39089024</v>
      </c>
      <c r="AY81">
        <v>1</v>
      </c>
      <c r="AZ81">
        <v>0</v>
      </c>
      <c r="BA81">
        <v>94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Y81*Source!I44</f>
        <v>426.00599999999997</v>
      </c>
      <c r="CY81">
        <f>AD81</f>
        <v>58.77</v>
      </c>
      <c r="CZ81">
        <f>AH81</f>
        <v>9.07</v>
      </c>
      <c r="DA81">
        <f>AL81</f>
        <v>6.48</v>
      </c>
      <c r="DB81">
        <v>0</v>
      </c>
    </row>
    <row r="82" spans="1:106" x14ac:dyDescent="0.2">
      <c r="A82">
        <f>ROW(Source!A44)</f>
        <v>44</v>
      </c>
      <c r="B82">
        <v>39088907</v>
      </c>
      <c r="C82">
        <v>39089023</v>
      </c>
      <c r="D82">
        <v>37064876</v>
      </c>
      <c r="E82">
        <v>1</v>
      </c>
      <c r="F82">
        <v>1</v>
      </c>
      <c r="G82">
        <v>1</v>
      </c>
      <c r="H82">
        <v>1</v>
      </c>
      <c r="I82" t="s">
        <v>285</v>
      </c>
      <c r="J82" t="s">
        <v>3</v>
      </c>
      <c r="K82" t="s">
        <v>286</v>
      </c>
      <c r="L82">
        <v>1191</v>
      </c>
      <c r="N82">
        <v>1013</v>
      </c>
      <c r="O82" t="s">
        <v>280</v>
      </c>
      <c r="P82" t="s">
        <v>280</v>
      </c>
      <c r="Q82">
        <v>1</v>
      </c>
      <c r="W82">
        <v>0</v>
      </c>
      <c r="X82">
        <v>-1417349443</v>
      </c>
      <c r="Y82">
        <v>0.01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6.48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0.01</v>
      </c>
      <c r="AU82" t="s">
        <v>3</v>
      </c>
      <c r="AV82">
        <v>2</v>
      </c>
      <c r="AW82">
        <v>2</v>
      </c>
      <c r="AX82">
        <v>39089025</v>
      </c>
      <c r="AY82">
        <v>1</v>
      </c>
      <c r="AZ82">
        <v>2048</v>
      </c>
      <c r="BA82">
        <v>95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Y82*Source!I44</f>
        <v>2.52</v>
      </c>
      <c r="CY82">
        <f>AD82</f>
        <v>0</v>
      </c>
      <c r="CZ82">
        <f>AH82</f>
        <v>0</v>
      </c>
      <c r="DA82">
        <f>AL82</f>
        <v>1</v>
      </c>
      <c r="DB82">
        <v>0</v>
      </c>
    </row>
    <row r="83" spans="1:106" x14ac:dyDescent="0.2">
      <c r="A83">
        <f>ROW(Source!A44)</f>
        <v>44</v>
      </c>
      <c r="B83">
        <v>39088907</v>
      </c>
      <c r="C83">
        <v>39089023</v>
      </c>
      <c r="D83">
        <v>36883554</v>
      </c>
      <c r="E83">
        <v>1</v>
      </c>
      <c r="F83">
        <v>1</v>
      </c>
      <c r="G83">
        <v>1</v>
      </c>
      <c r="H83">
        <v>2</v>
      </c>
      <c r="I83" t="s">
        <v>287</v>
      </c>
      <c r="J83" t="s">
        <v>288</v>
      </c>
      <c r="K83" t="s">
        <v>289</v>
      </c>
      <c r="L83">
        <v>1368</v>
      </c>
      <c r="N83">
        <v>1011</v>
      </c>
      <c r="O83" t="s">
        <v>290</v>
      </c>
      <c r="P83" t="s">
        <v>290</v>
      </c>
      <c r="Q83">
        <v>1</v>
      </c>
      <c r="W83">
        <v>0</v>
      </c>
      <c r="X83">
        <v>1372534845</v>
      </c>
      <c r="Y83">
        <v>1.2500000000000001E-2</v>
      </c>
      <c r="AA83">
        <v>0</v>
      </c>
      <c r="AB83">
        <v>425.8</v>
      </c>
      <c r="AC83">
        <v>11.6</v>
      </c>
      <c r="AD83">
        <v>0</v>
      </c>
      <c r="AE83">
        <v>0</v>
      </c>
      <c r="AF83">
        <v>65.709999999999994</v>
      </c>
      <c r="AG83">
        <v>11.6</v>
      </c>
      <c r="AH83">
        <v>0</v>
      </c>
      <c r="AI83">
        <v>1</v>
      </c>
      <c r="AJ83">
        <v>6.48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0.01</v>
      </c>
      <c r="AU83" t="s">
        <v>31</v>
      </c>
      <c r="AV83">
        <v>0</v>
      </c>
      <c r="AW83">
        <v>2</v>
      </c>
      <c r="AX83">
        <v>39089026</v>
      </c>
      <c r="AY83">
        <v>1</v>
      </c>
      <c r="AZ83">
        <v>0</v>
      </c>
      <c r="BA83">
        <v>96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Y83*Source!I44</f>
        <v>3.1500000000000004</v>
      </c>
      <c r="CY83">
        <f>AB83</f>
        <v>425.8</v>
      </c>
      <c r="CZ83">
        <f>AF83</f>
        <v>65.709999999999994</v>
      </c>
      <c r="DA83">
        <f>AJ83</f>
        <v>6.48</v>
      </c>
      <c r="DB83">
        <v>0</v>
      </c>
    </row>
    <row r="84" spans="1:106" x14ac:dyDescent="0.2">
      <c r="A84">
        <f>ROW(Source!A44)</f>
        <v>44</v>
      </c>
      <c r="B84">
        <v>39088907</v>
      </c>
      <c r="C84">
        <v>39089023</v>
      </c>
      <c r="D84">
        <v>36883858</v>
      </c>
      <c r="E84">
        <v>1</v>
      </c>
      <c r="F84">
        <v>1</v>
      </c>
      <c r="G84">
        <v>1</v>
      </c>
      <c r="H84">
        <v>2</v>
      </c>
      <c r="I84" t="s">
        <v>321</v>
      </c>
      <c r="J84" t="s">
        <v>322</v>
      </c>
      <c r="K84" t="s">
        <v>323</v>
      </c>
      <c r="L84">
        <v>1368</v>
      </c>
      <c r="N84">
        <v>1011</v>
      </c>
      <c r="O84" t="s">
        <v>290</v>
      </c>
      <c r="P84" t="s">
        <v>290</v>
      </c>
      <c r="Q84">
        <v>1</v>
      </c>
      <c r="W84">
        <v>0</v>
      </c>
      <c r="X84">
        <v>-353815937</v>
      </c>
      <c r="Y84">
        <v>0.4375</v>
      </c>
      <c r="AA84">
        <v>0</v>
      </c>
      <c r="AB84">
        <v>52.49</v>
      </c>
      <c r="AC84">
        <v>0</v>
      </c>
      <c r="AD84">
        <v>0</v>
      </c>
      <c r="AE84">
        <v>0</v>
      </c>
      <c r="AF84">
        <v>8.1</v>
      </c>
      <c r="AG84">
        <v>0</v>
      </c>
      <c r="AH84">
        <v>0</v>
      </c>
      <c r="AI84">
        <v>1</v>
      </c>
      <c r="AJ84">
        <v>6.48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0.35</v>
      </c>
      <c r="AU84" t="s">
        <v>31</v>
      </c>
      <c r="AV84">
        <v>0</v>
      </c>
      <c r="AW84">
        <v>2</v>
      </c>
      <c r="AX84">
        <v>39089027</v>
      </c>
      <c r="AY84">
        <v>1</v>
      </c>
      <c r="AZ84">
        <v>0</v>
      </c>
      <c r="BA84">
        <v>97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Y84*Source!I44</f>
        <v>110.25</v>
      </c>
      <c r="CY84">
        <f>AB84</f>
        <v>52.49</v>
      </c>
      <c r="CZ84">
        <f>AF84</f>
        <v>8.1</v>
      </c>
      <c r="DA84">
        <f>AJ84</f>
        <v>6.48</v>
      </c>
      <c r="DB84">
        <v>0</v>
      </c>
    </row>
    <row r="85" spans="1:106" x14ac:dyDescent="0.2">
      <c r="A85">
        <f>ROW(Source!A44)</f>
        <v>44</v>
      </c>
      <c r="B85">
        <v>39088907</v>
      </c>
      <c r="C85">
        <v>39089023</v>
      </c>
      <c r="D85">
        <v>36799773</v>
      </c>
      <c r="E85">
        <v>1</v>
      </c>
      <c r="F85">
        <v>1</v>
      </c>
      <c r="G85">
        <v>1</v>
      </c>
      <c r="H85">
        <v>3</v>
      </c>
      <c r="I85" t="s">
        <v>297</v>
      </c>
      <c r="J85" t="s">
        <v>298</v>
      </c>
      <c r="K85" t="s">
        <v>299</v>
      </c>
      <c r="L85">
        <v>1356</v>
      </c>
      <c r="N85">
        <v>1010</v>
      </c>
      <c r="O85" t="s">
        <v>300</v>
      </c>
      <c r="P85" t="s">
        <v>300</v>
      </c>
      <c r="Q85">
        <v>1000</v>
      </c>
      <c r="W85">
        <v>0</v>
      </c>
      <c r="X85">
        <v>-1705143825</v>
      </c>
      <c r="Y85">
        <v>2E-3</v>
      </c>
      <c r="AA85">
        <v>22356</v>
      </c>
      <c r="AB85">
        <v>0</v>
      </c>
      <c r="AC85">
        <v>0</v>
      </c>
      <c r="AD85">
        <v>0</v>
      </c>
      <c r="AE85">
        <v>3450</v>
      </c>
      <c r="AF85">
        <v>0</v>
      </c>
      <c r="AG85">
        <v>0</v>
      </c>
      <c r="AH85">
        <v>0</v>
      </c>
      <c r="AI85">
        <v>6.48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2E-3</v>
      </c>
      <c r="AU85" t="s">
        <v>3</v>
      </c>
      <c r="AV85">
        <v>0</v>
      </c>
      <c r="AW85">
        <v>2</v>
      </c>
      <c r="AX85">
        <v>39089028</v>
      </c>
      <c r="AY85">
        <v>1</v>
      </c>
      <c r="AZ85">
        <v>0</v>
      </c>
      <c r="BA85">
        <v>98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Y85*Source!I44</f>
        <v>0.504</v>
      </c>
      <c r="CY85">
        <f>AA85</f>
        <v>22356</v>
      </c>
      <c r="CZ85">
        <f>AE85</f>
        <v>3450</v>
      </c>
      <c r="DA85">
        <f>AI85</f>
        <v>6.48</v>
      </c>
      <c r="DB85">
        <v>0</v>
      </c>
    </row>
    <row r="86" spans="1:106" x14ac:dyDescent="0.2">
      <c r="A86">
        <f>ROW(Source!A44)</f>
        <v>44</v>
      </c>
      <c r="B86">
        <v>39088907</v>
      </c>
      <c r="C86">
        <v>39089023</v>
      </c>
      <c r="D86">
        <v>36803269</v>
      </c>
      <c r="E86">
        <v>1</v>
      </c>
      <c r="F86">
        <v>1</v>
      </c>
      <c r="G86">
        <v>1</v>
      </c>
      <c r="H86">
        <v>3</v>
      </c>
      <c r="I86" t="s">
        <v>327</v>
      </c>
      <c r="J86" t="s">
        <v>328</v>
      </c>
      <c r="K86" t="s">
        <v>329</v>
      </c>
      <c r="L86">
        <v>1348</v>
      </c>
      <c r="N86">
        <v>1009</v>
      </c>
      <c r="O86" t="s">
        <v>152</v>
      </c>
      <c r="P86" t="s">
        <v>152</v>
      </c>
      <c r="Q86">
        <v>1000</v>
      </c>
      <c r="W86">
        <v>0</v>
      </c>
      <c r="X86">
        <v>-1068056325</v>
      </c>
      <c r="Y86">
        <v>1.3999999999999999E-4</v>
      </c>
      <c r="AA86">
        <v>67145.759999999995</v>
      </c>
      <c r="AB86">
        <v>0</v>
      </c>
      <c r="AC86">
        <v>0</v>
      </c>
      <c r="AD86">
        <v>0</v>
      </c>
      <c r="AE86">
        <v>10362</v>
      </c>
      <c r="AF86">
        <v>0</v>
      </c>
      <c r="AG86">
        <v>0</v>
      </c>
      <c r="AH86">
        <v>0</v>
      </c>
      <c r="AI86">
        <v>6.48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1.3999999999999999E-4</v>
      </c>
      <c r="AU86" t="s">
        <v>3</v>
      </c>
      <c r="AV86">
        <v>0</v>
      </c>
      <c r="AW86">
        <v>2</v>
      </c>
      <c r="AX86">
        <v>39089029</v>
      </c>
      <c r="AY86">
        <v>1</v>
      </c>
      <c r="AZ86">
        <v>0</v>
      </c>
      <c r="BA86">
        <v>99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Y86*Source!I44</f>
        <v>3.5279999999999999E-2</v>
      </c>
      <c r="CY86">
        <f>AA86</f>
        <v>67145.759999999995</v>
      </c>
      <c r="CZ86">
        <f>AE86</f>
        <v>10362</v>
      </c>
      <c r="DA86">
        <f>AI86</f>
        <v>6.48</v>
      </c>
      <c r="DB86">
        <v>0</v>
      </c>
    </row>
    <row r="87" spans="1:106" x14ac:dyDescent="0.2">
      <c r="A87">
        <f>ROW(Source!A44)</f>
        <v>44</v>
      </c>
      <c r="B87">
        <v>39088907</v>
      </c>
      <c r="C87">
        <v>39089023</v>
      </c>
      <c r="D87">
        <v>36804429</v>
      </c>
      <c r="E87">
        <v>1</v>
      </c>
      <c r="F87">
        <v>1</v>
      </c>
      <c r="G87">
        <v>1</v>
      </c>
      <c r="H87">
        <v>3</v>
      </c>
      <c r="I87" t="s">
        <v>330</v>
      </c>
      <c r="J87" t="s">
        <v>331</v>
      </c>
      <c r="K87" t="s">
        <v>332</v>
      </c>
      <c r="L87">
        <v>1348</v>
      </c>
      <c r="N87">
        <v>1009</v>
      </c>
      <c r="O87" t="s">
        <v>152</v>
      </c>
      <c r="P87" t="s">
        <v>152</v>
      </c>
      <c r="Q87">
        <v>1000</v>
      </c>
      <c r="W87">
        <v>0</v>
      </c>
      <c r="X87">
        <v>56621460</v>
      </c>
      <c r="Y87">
        <v>1.1000000000000001E-3</v>
      </c>
      <c r="AA87">
        <v>99293.04</v>
      </c>
      <c r="AB87">
        <v>0</v>
      </c>
      <c r="AC87">
        <v>0</v>
      </c>
      <c r="AD87">
        <v>0</v>
      </c>
      <c r="AE87">
        <v>15323</v>
      </c>
      <c r="AF87">
        <v>0</v>
      </c>
      <c r="AG87">
        <v>0</v>
      </c>
      <c r="AH87">
        <v>0</v>
      </c>
      <c r="AI87">
        <v>6.48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1.1000000000000001E-3</v>
      </c>
      <c r="AU87" t="s">
        <v>3</v>
      </c>
      <c r="AV87">
        <v>0</v>
      </c>
      <c r="AW87">
        <v>2</v>
      </c>
      <c r="AX87">
        <v>39089030</v>
      </c>
      <c r="AY87">
        <v>1</v>
      </c>
      <c r="AZ87">
        <v>0</v>
      </c>
      <c r="BA87">
        <v>100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Y87*Source!I44</f>
        <v>0.2772</v>
      </c>
      <c r="CY87">
        <f>AA87</f>
        <v>99293.04</v>
      </c>
      <c r="CZ87">
        <f>AE87</f>
        <v>15323</v>
      </c>
      <c r="DA87">
        <f>AI87</f>
        <v>6.48</v>
      </c>
      <c r="DB87">
        <v>0</v>
      </c>
    </row>
    <row r="88" spans="1:106" x14ac:dyDescent="0.2">
      <c r="A88">
        <f>ROW(Source!A44)</f>
        <v>44</v>
      </c>
      <c r="B88">
        <v>39088907</v>
      </c>
      <c r="C88">
        <v>39089023</v>
      </c>
      <c r="D88">
        <v>36845056</v>
      </c>
      <c r="E88">
        <v>1</v>
      </c>
      <c r="F88">
        <v>1</v>
      </c>
      <c r="G88">
        <v>1</v>
      </c>
      <c r="H88">
        <v>3</v>
      </c>
      <c r="I88" t="s">
        <v>119</v>
      </c>
      <c r="J88" t="s">
        <v>121</v>
      </c>
      <c r="K88" t="s">
        <v>120</v>
      </c>
      <c r="L88">
        <v>1354</v>
      </c>
      <c r="N88">
        <v>1010</v>
      </c>
      <c r="O88" t="s">
        <v>48</v>
      </c>
      <c r="P88" t="s">
        <v>48</v>
      </c>
      <c r="Q88">
        <v>1</v>
      </c>
      <c r="W88">
        <v>0</v>
      </c>
      <c r="X88">
        <v>1838485345</v>
      </c>
      <c r="Y88">
        <v>1</v>
      </c>
      <c r="AA88">
        <v>505.31</v>
      </c>
      <c r="AB88">
        <v>0</v>
      </c>
      <c r="AC88">
        <v>0</v>
      </c>
      <c r="AD88">
        <v>0</v>
      </c>
      <c r="AE88">
        <v>77.98</v>
      </c>
      <c r="AF88">
        <v>0</v>
      </c>
      <c r="AG88">
        <v>0</v>
      </c>
      <c r="AH88">
        <v>0</v>
      </c>
      <c r="AI88">
        <v>6.48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3</v>
      </c>
      <c r="AT88">
        <v>1</v>
      </c>
      <c r="AU88" t="s">
        <v>3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3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Y88*Source!I44</f>
        <v>252</v>
      </c>
      <c r="CY88">
        <f>AA88</f>
        <v>505.31</v>
      </c>
      <c r="CZ88">
        <f>AE88</f>
        <v>77.98</v>
      </c>
      <c r="DA88">
        <f>AI88</f>
        <v>6.48</v>
      </c>
      <c r="DB88">
        <v>0</v>
      </c>
    </row>
    <row r="89" spans="1:106" x14ac:dyDescent="0.2">
      <c r="A89">
        <f>ROW(Source!A46)</f>
        <v>46</v>
      </c>
      <c r="B89">
        <v>39088907</v>
      </c>
      <c r="C89">
        <v>39089039</v>
      </c>
      <c r="D89">
        <v>37070202</v>
      </c>
      <c r="E89">
        <v>1</v>
      </c>
      <c r="F89">
        <v>1</v>
      </c>
      <c r="G89">
        <v>1</v>
      </c>
      <c r="H89">
        <v>1</v>
      </c>
      <c r="I89" t="s">
        <v>339</v>
      </c>
      <c r="J89" t="s">
        <v>3</v>
      </c>
      <c r="K89" t="s">
        <v>340</v>
      </c>
      <c r="L89">
        <v>1191</v>
      </c>
      <c r="N89">
        <v>1013</v>
      </c>
      <c r="O89" t="s">
        <v>280</v>
      </c>
      <c r="P89" t="s">
        <v>280</v>
      </c>
      <c r="Q89">
        <v>1</v>
      </c>
      <c r="W89">
        <v>0</v>
      </c>
      <c r="X89">
        <v>1983201532</v>
      </c>
      <c r="Y89">
        <v>41.6</v>
      </c>
      <c r="AA89">
        <v>0</v>
      </c>
      <c r="AB89">
        <v>0</v>
      </c>
      <c r="AC89">
        <v>0</v>
      </c>
      <c r="AD89">
        <v>61.62</v>
      </c>
      <c r="AE89">
        <v>0</v>
      </c>
      <c r="AF89">
        <v>0</v>
      </c>
      <c r="AG89">
        <v>0</v>
      </c>
      <c r="AH89">
        <v>9.51</v>
      </c>
      <c r="AI89">
        <v>1</v>
      </c>
      <c r="AJ89">
        <v>1</v>
      </c>
      <c r="AK89">
        <v>1</v>
      </c>
      <c r="AL89">
        <v>6.48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41.6</v>
      </c>
      <c r="AU89" t="s">
        <v>3</v>
      </c>
      <c r="AV89">
        <v>1</v>
      </c>
      <c r="AW89">
        <v>2</v>
      </c>
      <c r="AX89">
        <v>39089047</v>
      </c>
      <c r="AY89">
        <v>1</v>
      </c>
      <c r="AZ89">
        <v>0</v>
      </c>
      <c r="BA89">
        <v>103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Y89*Source!I46</f>
        <v>104.83200000000001</v>
      </c>
      <c r="CY89">
        <f>AD89</f>
        <v>61.62</v>
      </c>
      <c r="CZ89">
        <f>AH89</f>
        <v>9.51</v>
      </c>
      <c r="DA89">
        <f>AL89</f>
        <v>6.48</v>
      </c>
      <c r="DB89">
        <v>0</v>
      </c>
    </row>
    <row r="90" spans="1:106" x14ac:dyDescent="0.2">
      <c r="A90">
        <f>ROW(Source!A46)</f>
        <v>46</v>
      </c>
      <c r="B90">
        <v>39088907</v>
      </c>
      <c r="C90">
        <v>39089039</v>
      </c>
      <c r="D90">
        <v>37064876</v>
      </c>
      <c r="E90">
        <v>1</v>
      </c>
      <c r="F90">
        <v>1</v>
      </c>
      <c r="G90">
        <v>1</v>
      </c>
      <c r="H90">
        <v>1</v>
      </c>
      <c r="I90" t="s">
        <v>285</v>
      </c>
      <c r="J90" t="s">
        <v>3</v>
      </c>
      <c r="K90" t="s">
        <v>286</v>
      </c>
      <c r="L90">
        <v>1191</v>
      </c>
      <c r="N90">
        <v>1013</v>
      </c>
      <c r="O90" t="s">
        <v>280</v>
      </c>
      <c r="P90" t="s">
        <v>280</v>
      </c>
      <c r="Q90">
        <v>1</v>
      </c>
      <c r="W90">
        <v>0</v>
      </c>
      <c r="X90">
        <v>-1417349443</v>
      </c>
      <c r="Y90">
        <v>0.05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6.48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0.05</v>
      </c>
      <c r="AU90" t="s">
        <v>3</v>
      </c>
      <c r="AV90">
        <v>2</v>
      </c>
      <c r="AW90">
        <v>2</v>
      </c>
      <c r="AX90">
        <v>39089048</v>
      </c>
      <c r="AY90">
        <v>1</v>
      </c>
      <c r="AZ90">
        <v>0</v>
      </c>
      <c r="BA90">
        <v>104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Y90*Source!I46</f>
        <v>0.126</v>
      </c>
      <c r="CY90">
        <f>AD90</f>
        <v>0</v>
      </c>
      <c r="CZ90">
        <f>AH90</f>
        <v>0</v>
      </c>
      <c r="DA90">
        <f>AL90</f>
        <v>1</v>
      </c>
      <c r="DB90">
        <v>0</v>
      </c>
    </row>
    <row r="91" spans="1:106" x14ac:dyDescent="0.2">
      <c r="A91">
        <f>ROW(Source!A46)</f>
        <v>46</v>
      </c>
      <c r="B91">
        <v>39088907</v>
      </c>
      <c r="C91">
        <v>39089039</v>
      </c>
      <c r="D91">
        <v>36882452</v>
      </c>
      <c r="E91">
        <v>1</v>
      </c>
      <c r="F91">
        <v>1</v>
      </c>
      <c r="G91">
        <v>1</v>
      </c>
      <c r="H91">
        <v>2</v>
      </c>
      <c r="I91" t="s">
        <v>310</v>
      </c>
      <c r="J91" t="s">
        <v>311</v>
      </c>
      <c r="K91" t="s">
        <v>312</v>
      </c>
      <c r="L91">
        <v>1368</v>
      </c>
      <c r="N91">
        <v>1011</v>
      </c>
      <c r="O91" t="s">
        <v>290</v>
      </c>
      <c r="P91" t="s">
        <v>290</v>
      </c>
      <c r="Q91">
        <v>1</v>
      </c>
      <c r="W91">
        <v>0</v>
      </c>
      <c r="X91">
        <v>1188625873</v>
      </c>
      <c r="Y91">
        <v>0.05</v>
      </c>
      <c r="AA91">
        <v>0</v>
      </c>
      <c r="AB91">
        <v>202.56</v>
      </c>
      <c r="AC91">
        <v>13.5</v>
      </c>
      <c r="AD91">
        <v>0</v>
      </c>
      <c r="AE91">
        <v>0</v>
      </c>
      <c r="AF91">
        <v>31.26</v>
      </c>
      <c r="AG91">
        <v>13.5</v>
      </c>
      <c r="AH91">
        <v>0</v>
      </c>
      <c r="AI91">
        <v>1</v>
      </c>
      <c r="AJ91">
        <v>6.48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0.05</v>
      </c>
      <c r="AU91" t="s">
        <v>3</v>
      </c>
      <c r="AV91">
        <v>0</v>
      </c>
      <c r="AW91">
        <v>2</v>
      </c>
      <c r="AX91">
        <v>39089049</v>
      </c>
      <c r="AY91">
        <v>1</v>
      </c>
      <c r="AZ91">
        <v>0</v>
      </c>
      <c r="BA91">
        <v>105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Y91*Source!I46</f>
        <v>0.126</v>
      </c>
      <c r="CY91">
        <f>AB91</f>
        <v>202.56</v>
      </c>
      <c r="CZ91">
        <f>AF91</f>
        <v>31.26</v>
      </c>
      <c r="DA91">
        <f>AJ91</f>
        <v>6.48</v>
      </c>
      <c r="DB91">
        <v>0</v>
      </c>
    </row>
    <row r="92" spans="1:106" x14ac:dyDescent="0.2">
      <c r="A92">
        <f>ROW(Source!A46)</f>
        <v>46</v>
      </c>
      <c r="B92">
        <v>39088907</v>
      </c>
      <c r="C92">
        <v>39089039</v>
      </c>
      <c r="D92">
        <v>36802469</v>
      </c>
      <c r="E92">
        <v>1</v>
      </c>
      <c r="F92">
        <v>1</v>
      </c>
      <c r="G92">
        <v>1</v>
      </c>
      <c r="H92">
        <v>3</v>
      </c>
      <c r="I92" t="s">
        <v>341</v>
      </c>
      <c r="J92" t="s">
        <v>342</v>
      </c>
      <c r="K92" t="s">
        <v>343</v>
      </c>
      <c r="L92">
        <v>1346</v>
      </c>
      <c r="N92">
        <v>1009</v>
      </c>
      <c r="O92" t="s">
        <v>344</v>
      </c>
      <c r="P92" t="s">
        <v>344</v>
      </c>
      <c r="Q92">
        <v>1</v>
      </c>
      <c r="W92">
        <v>0</v>
      </c>
      <c r="X92">
        <v>-490687590</v>
      </c>
      <c r="Y92">
        <v>0.36</v>
      </c>
      <c r="AA92">
        <v>241.64</v>
      </c>
      <c r="AB92">
        <v>0</v>
      </c>
      <c r="AC92">
        <v>0</v>
      </c>
      <c r="AD92">
        <v>0</v>
      </c>
      <c r="AE92">
        <v>37.29</v>
      </c>
      <c r="AF92">
        <v>0</v>
      </c>
      <c r="AG92">
        <v>0</v>
      </c>
      <c r="AH92">
        <v>0</v>
      </c>
      <c r="AI92">
        <v>6.48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0.36</v>
      </c>
      <c r="AU92" t="s">
        <v>3</v>
      </c>
      <c r="AV92">
        <v>0</v>
      </c>
      <c r="AW92">
        <v>2</v>
      </c>
      <c r="AX92">
        <v>39089050</v>
      </c>
      <c r="AY92">
        <v>1</v>
      </c>
      <c r="AZ92">
        <v>0</v>
      </c>
      <c r="BA92">
        <v>106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Y92*Source!I46</f>
        <v>0.90720000000000001</v>
      </c>
      <c r="CY92">
        <f>AA92</f>
        <v>241.64</v>
      </c>
      <c r="CZ92">
        <f>AE92</f>
        <v>37.29</v>
      </c>
      <c r="DA92">
        <f>AI92</f>
        <v>6.48</v>
      </c>
      <c r="DB92">
        <v>0</v>
      </c>
    </row>
    <row r="93" spans="1:106" x14ac:dyDescent="0.2">
      <c r="A93">
        <f>ROW(Source!A46)</f>
        <v>46</v>
      </c>
      <c r="B93">
        <v>39088907</v>
      </c>
      <c r="C93">
        <v>39089039</v>
      </c>
      <c r="D93">
        <v>36838223</v>
      </c>
      <c r="E93">
        <v>1</v>
      </c>
      <c r="F93">
        <v>1</v>
      </c>
      <c r="G93">
        <v>1</v>
      </c>
      <c r="H93">
        <v>3</v>
      </c>
      <c r="I93" t="s">
        <v>345</v>
      </c>
      <c r="J93" t="s">
        <v>346</v>
      </c>
      <c r="K93" t="s">
        <v>347</v>
      </c>
      <c r="L93">
        <v>1348</v>
      </c>
      <c r="N93">
        <v>1009</v>
      </c>
      <c r="O93" t="s">
        <v>152</v>
      </c>
      <c r="P93" t="s">
        <v>152</v>
      </c>
      <c r="Q93">
        <v>1000</v>
      </c>
      <c r="W93">
        <v>0</v>
      </c>
      <c r="X93">
        <v>570223526</v>
      </c>
      <c r="Y93">
        <v>8.7000000000000001E-4</v>
      </c>
      <c r="AA93">
        <v>97971.12</v>
      </c>
      <c r="AB93">
        <v>0</v>
      </c>
      <c r="AC93">
        <v>0</v>
      </c>
      <c r="AD93">
        <v>0</v>
      </c>
      <c r="AE93">
        <v>15119</v>
      </c>
      <c r="AF93">
        <v>0</v>
      </c>
      <c r="AG93">
        <v>0</v>
      </c>
      <c r="AH93">
        <v>0</v>
      </c>
      <c r="AI93">
        <v>6.48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8.7000000000000001E-4</v>
      </c>
      <c r="AU93" t="s">
        <v>3</v>
      </c>
      <c r="AV93">
        <v>0</v>
      </c>
      <c r="AW93">
        <v>2</v>
      </c>
      <c r="AX93">
        <v>39089051</v>
      </c>
      <c r="AY93">
        <v>1</v>
      </c>
      <c r="AZ93">
        <v>0</v>
      </c>
      <c r="BA93">
        <v>107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Y93*Source!I46</f>
        <v>2.1924000000000002E-3</v>
      </c>
      <c r="CY93">
        <f>AA93</f>
        <v>97971.12</v>
      </c>
      <c r="CZ93">
        <f>AE93</f>
        <v>15119</v>
      </c>
      <c r="DA93">
        <f>AI93</f>
        <v>6.48</v>
      </c>
      <c r="DB93">
        <v>0</v>
      </c>
    </row>
    <row r="94" spans="1:106" x14ac:dyDescent="0.2">
      <c r="A94">
        <f>ROW(Source!A46)</f>
        <v>46</v>
      </c>
      <c r="B94">
        <v>39088907</v>
      </c>
      <c r="C94">
        <v>39089039</v>
      </c>
      <c r="D94">
        <v>36838951</v>
      </c>
      <c r="E94">
        <v>1</v>
      </c>
      <c r="F94">
        <v>1</v>
      </c>
      <c r="G94">
        <v>1</v>
      </c>
      <c r="H94">
        <v>3</v>
      </c>
      <c r="I94" t="s">
        <v>348</v>
      </c>
      <c r="J94" t="s">
        <v>349</v>
      </c>
      <c r="K94" t="s">
        <v>350</v>
      </c>
      <c r="L94">
        <v>1348</v>
      </c>
      <c r="N94">
        <v>1009</v>
      </c>
      <c r="O94" t="s">
        <v>152</v>
      </c>
      <c r="P94" t="s">
        <v>152</v>
      </c>
      <c r="Q94">
        <v>1000</v>
      </c>
      <c r="W94">
        <v>0</v>
      </c>
      <c r="X94">
        <v>-909021926</v>
      </c>
      <c r="Y94">
        <v>1.6000000000000001E-3</v>
      </c>
      <c r="AA94">
        <v>109836</v>
      </c>
      <c r="AB94">
        <v>0</v>
      </c>
      <c r="AC94">
        <v>0</v>
      </c>
      <c r="AD94">
        <v>0</v>
      </c>
      <c r="AE94">
        <v>16950</v>
      </c>
      <c r="AF94">
        <v>0</v>
      </c>
      <c r="AG94">
        <v>0</v>
      </c>
      <c r="AH94">
        <v>0</v>
      </c>
      <c r="AI94">
        <v>6.48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1.6000000000000001E-3</v>
      </c>
      <c r="AU94" t="s">
        <v>3</v>
      </c>
      <c r="AV94">
        <v>0</v>
      </c>
      <c r="AW94">
        <v>2</v>
      </c>
      <c r="AX94">
        <v>39089052</v>
      </c>
      <c r="AY94">
        <v>1</v>
      </c>
      <c r="AZ94">
        <v>0</v>
      </c>
      <c r="BA94">
        <v>108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Y94*Source!I46</f>
        <v>4.032E-3</v>
      </c>
      <c r="CY94">
        <f>AA94</f>
        <v>109836</v>
      </c>
      <c r="CZ94">
        <f>AE94</f>
        <v>16950</v>
      </c>
      <c r="DA94">
        <f>AI94</f>
        <v>6.48</v>
      </c>
      <c r="DB94">
        <v>0</v>
      </c>
    </row>
    <row r="95" spans="1:106" x14ac:dyDescent="0.2">
      <c r="A95">
        <f>ROW(Source!A46)</f>
        <v>46</v>
      </c>
      <c r="B95">
        <v>39088907</v>
      </c>
      <c r="C95">
        <v>39089039</v>
      </c>
      <c r="D95">
        <v>36864439</v>
      </c>
      <c r="E95">
        <v>1</v>
      </c>
      <c r="F95">
        <v>1</v>
      </c>
      <c r="G95">
        <v>1</v>
      </c>
      <c r="H95">
        <v>3</v>
      </c>
      <c r="I95" t="s">
        <v>132</v>
      </c>
      <c r="J95" t="s">
        <v>134</v>
      </c>
      <c r="K95" t="s">
        <v>133</v>
      </c>
      <c r="L95">
        <v>1354</v>
      </c>
      <c r="N95">
        <v>1010</v>
      </c>
      <c r="O95" t="s">
        <v>48</v>
      </c>
      <c r="P95" t="s">
        <v>48</v>
      </c>
      <c r="Q95">
        <v>1</v>
      </c>
      <c r="W95">
        <v>0</v>
      </c>
      <c r="X95">
        <v>-1811694936</v>
      </c>
      <c r="Y95">
        <v>100</v>
      </c>
      <c r="AA95">
        <v>76.72</v>
      </c>
      <c r="AB95">
        <v>0</v>
      </c>
      <c r="AC95">
        <v>0</v>
      </c>
      <c r="AD95">
        <v>0</v>
      </c>
      <c r="AE95">
        <v>11.84</v>
      </c>
      <c r="AF95">
        <v>0</v>
      </c>
      <c r="AG95">
        <v>0</v>
      </c>
      <c r="AH95">
        <v>0</v>
      </c>
      <c r="AI95">
        <v>6.48</v>
      </c>
      <c r="AJ95">
        <v>1</v>
      </c>
      <c r="AK95">
        <v>1</v>
      </c>
      <c r="AL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3</v>
      </c>
      <c r="AT95">
        <v>100</v>
      </c>
      <c r="AU95" t="s">
        <v>3</v>
      </c>
      <c r="AV95">
        <v>0</v>
      </c>
      <c r="AW95">
        <v>1</v>
      </c>
      <c r="AX95">
        <v>-1</v>
      </c>
      <c r="AY95">
        <v>0</v>
      </c>
      <c r="AZ95">
        <v>0</v>
      </c>
      <c r="BA95" t="s">
        <v>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Y95*Source!I46</f>
        <v>252</v>
      </c>
      <c r="CY95">
        <f>AA95</f>
        <v>76.72</v>
      </c>
      <c r="CZ95">
        <f>AE95</f>
        <v>11.84</v>
      </c>
      <c r="DA95">
        <f>AI95</f>
        <v>6.48</v>
      </c>
      <c r="DB95">
        <v>0</v>
      </c>
    </row>
    <row r="96" spans="1:106" x14ac:dyDescent="0.2">
      <c r="A96">
        <f>ROW(Source!A46)</f>
        <v>46</v>
      </c>
      <c r="B96">
        <v>39088907</v>
      </c>
      <c r="C96">
        <v>39089039</v>
      </c>
      <c r="D96">
        <v>36864441</v>
      </c>
      <c r="E96">
        <v>1</v>
      </c>
      <c r="F96">
        <v>1</v>
      </c>
      <c r="G96">
        <v>1</v>
      </c>
      <c r="H96">
        <v>3</v>
      </c>
      <c r="I96" t="s">
        <v>127</v>
      </c>
      <c r="J96" t="s">
        <v>129</v>
      </c>
      <c r="K96" t="s">
        <v>128</v>
      </c>
      <c r="L96">
        <v>1354</v>
      </c>
      <c r="N96">
        <v>1010</v>
      </c>
      <c r="O96" t="s">
        <v>48</v>
      </c>
      <c r="P96" t="s">
        <v>48</v>
      </c>
      <c r="Q96">
        <v>1</v>
      </c>
      <c r="W96">
        <v>1</v>
      </c>
      <c r="X96">
        <v>-912681129</v>
      </c>
      <c r="Y96">
        <v>-100</v>
      </c>
      <c r="AA96">
        <v>110.55</v>
      </c>
      <c r="AB96">
        <v>0</v>
      </c>
      <c r="AC96">
        <v>0</v>
      </c>
      <c r="AD96">
        <v>0</v>
      </c>
      <c r="AE96">
        <v>17.059999999999999</v>
      </c>
      <c r="AF96">
        <v>0</v>
      </c>
      <c r="AG96">
        <v>0</v>
      </c>
      <c r="AH96">
        <v>0</v>
      </c>
      <c r="AI96">
        <v>6.48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-100</v>
      </c>
      <c r="AU96" t="s">
        <v>3</v>
      </c>
      <c r="AV96">
        <v>0</v>
      </c>
      <c r="AW96">
        <v>2</v>
      </c>
      <c r="AX96">
        <v>39089053</v>
      </c>
      <c r="AY96">
        <v>1</v>
      </c>
      <c r="AZ96">
        <v>6144</v>
      </c>
      <c r="BA96">
        <v>109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Y96*Source!I46</f>
        <v>-252</v>
      </c>
      <c r="CY96">
        <f>AA96</f>
        <v>110.55</v>
      </c>
      <c r="CZ96">
        <f>AE96</f>
        <v>17.059999999999999</v>
      </c>
      <c r="DA96">
        <f>AI96</f>
        <v>6.48</v>
      </c>
      <c r="DB96">
        <v>0</v>
      </c>
    </row>
    <row r="97" spans="1:106" x14ac:dyDescent="0.2">
      <c r="A97">
        <f>ROW(Source!A49)</f>
        <v>49</v>
      </c>
      <c r="B97">
        <v>39088907</v>
      </c>
      <c r="C97">
        <v>39089245</v>
      </c>
      <c r="D97">
        <v>37072767</v>
      </c>
      <c r="E97">
        <v>1</v>
      </c>
      <c r="F97">
        <v>1</v>
      </c>
      <c r="G97">
        <v>1</v>
      </c>
      <c r="H97">
        <v>1</v>
      </c>
      <c r="I97" t="s">
        <v>351</v>
      </c>
      <c r="J97" t="s">
        <v>3</v>
      </c>
      <c r="K97" t="s">
        <v>352</v>
      </c>
      <c r="L97">
        <v>1191</v>
      </c>
      <c r="N97">
        <v>1013</v>
      </c>
      <c r="O97" t="s">
        <v>280</v>
      </c>
      <c r="P97" t="s">
        <v>280</v>
      </c>
      <c r="Q97">
        <v>1</v>
      </c>
      <c r="W97">
        <v>0</v>
      </c>
      <c r="X97">
        <v>-1027537862</v>
      </c>
      <c r="Y97">
        <v>8.1304999999999996</v>
      </c>
      <c r="AA97">
        <v>0</v>
      </c>
      <c r="AB97">
        <v>0</v>
      </c>
      <c r="AC97">
        <v>0</v>
      </c>
      <c r="AD97">
        <v>59.49</v>
      </c>
      <c r="AE97">
        <v>0</v>
      </c>
      <c r="AF97">
        <v>0</v>
      </c>
      <c r="AG97">
        <v>0</v>
      </c>
      <c r="AH97">
        <v>9.18</v>
      </c>
      <c r="AI97">
        <v>1</v>
      </c>
      <c r="AJ97">
        <v>1</v>
      </c>
      <c r="AK97">
        <v>1</v>
      </c>
      <c r="AL97">
        <v>6.48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7.07</v>
      </c>
      <c r="AU97" t="s">
        <v>32</v>
      </c>
      <c r="AV97">
        <v>1</v>
      </c>
      <c r="AW97">
        <v>2</v>
      </c>
      <c r="AX97">
        <v>39089246</v>
      </c>
      <c r="AY97">
        <v>1</v>
      </c>
      <c r="AZ97">
        <v>0</v>
      </c>
      <c r="BA97">
        <v>110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Y97*Source!I49</f>
        <v>105.6965</v>
      </c>
      <c r="CY97">
        <f>AD97</f>
        <v>59.49</v>
      </c>
      <c r="CZ97">
        <f>AH97</f>
        <v>9.18</v>
      </c>
      <c r="DA97">
        <f>AL97</f>
        <v>6.48</v>
      </c>
      <c r="DB97">
        <v>0</v>
      </c>
    </row>
    <row r="98" spans="1:106" x14ac:dyDescent="0.2">
      <c r="A98">
        <f>ROW(Source!A49)</f>
        <v>49</v>
      </c>
      <c r="B98">
        <v>39088907</v>
      </c>
      <c r="C98">
        <v>39089245</v>
      </c>
      <c r="D98">
        <v>37064876</v>
      </c>
      <c r="E98">
        <v>1</v>
      </c>
      <c r="F98">
        <v>1</v>
      </c>
      <c r="G98">
        <v>1</v>
      </c>
      <c r="H98">
        <v>1</v>
      </c>
      <c r="I98" t="s">
        <v>285</v>
      </c>
      <c r="J98" t="s">
        <v>3</v>
      </c>
      <c r="K98" t="s">
        <v>286</v>
      </c>
      <c r="L98">
        <v>1191</v>
      </c>
      <c r="N98">
        <v>1013</v>
      </c>
      <c r="O98" t="s">
        <v>280</v>
      </c>
      <c r="P98" t="s">
        <v>280</v>
      </c>
      <c r="Q98">
        <v>1</v>
      </c>
      <c r="W98">
        <v>0</v>
      </c>
      <c r="X98">
        <v>-1417349443</v>
      </c>
      <c r="Y98">
        <v>0.64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6.48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0.64</v>
      </c>
      <c r="AU98" t="s">
        <v>3</v>
      </c>
      <c r="AV98">
        <v>2</v>
      </c>
      <c r="AW98">
        <v>2</v>
      </c>
      <c r="AX98">
        <v>39089247</v>
      </c>
      <c r="AY98">
        <v>1</v>
      </c>
      <c r="AZ98">
        <v>2048</v>
      </c>
      <c r="BA98">
        <v>111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Y98*Source!I49</f>
        <v>8.32</v>
      </c>
      <c r="CY98">
        <f>AD98</f>
        <v>0</v>
      </c>
      <c r="CZ98">
        <f>AH98</f>
        <v>0</v>
      </c>
      <c r="DA98">
        <f>AL98</f>
        <v>1</v>
      </c>
      <c r="DB98">
        <v>0</v>
      </c>
    </row>
    <row r="99" spans="1:106" x14ac:dyDescent="0.2">
      <c r="A99">
        <f>ROW(Source!A49)</f>
        <v>49</v>
      </c>
      <c r="B99">
        <v>39088907</v>
      </c>
      <c r="C99">
        <v>39089245</v>
      </c>
      <c r="D99">
        <v>36882159</v>
      </c>
      <c r="E99">
        <v>1</v>
      </c>
      <c r="F99">
        <v>1</v>
      </c>
      <c r="G99">
        <v>1</v>
      </c>
      <c r="H99">
        <v>2</v>
      </c>
      <c r="I99" t="s">
        <v>318</v>
      </c>
      <c r="J99" t="s">
        <v>319</v>
      </c>
      <c r="K99" t="s">
        <v>320</v>
      </c>
      <c r="L99">
        <v>1368</v>
      </c>
      <c r="N99">
        <v>1011</v>
      </c>
      <c r="O99" t="s">
        <v>290</v>
      </c>
      <c r="P99" t="s">
        <v>290</v>
      </c>
      <c r="Q99">
        <v>1</v>
      </c>
      <c r="W99">
        <v>0</v>
      </c>
      <c r="X99">
        <v>-1718674368</v>
      </c>
      <c r="Y99">
        <v>8.7500000000000008E-2</v>
      </c>
      <c r="AA99">
        <v>0</v>
      </c>
      <c r="AB99">
        <v>725.7</v>
      </c>
      <c r="AC99">
        <v>13.5</v>
      </c>
      <c r="AD99">
        <v>0</v>
      </c>
      <c r="AE99">
        <v>0</v>
      </c>
      <c r="AF99">
        <v>111.99</v>
      </c>
      <c r="AG99">
        <v>13.5</v>
      </c>
      <c r="AH99">
        <v>0</v>
      </c>
      <c r="AI99">
        <v>1</v>
      </c>
      <c r="AJ99">
        <v>6.48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7.0000000000000007E-2</v>
      </c>
      <c r="AU99" t="s">
        <v>31</v>
      </c>
      <c r="AV99">
        <v>0</v>
      </c>
      <c r="AW99">
        <v>2</v>
      </c>
      <c r="AX99">
        <v>39089248</v>
      </c>
      <c r="AY99">
        <v>1</v>
      </c>
      <c r="AZ99">
        <v>0</v>
      </c>
      <c r="BA99">
        <v>112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Y99*Source!I49</f>
        <v>1.1375000000000002</v>
      </c>
      <c r="CY99">
        <f>AB99</f>
        <v>725.7</v>
      </c>
      <c r="CZ99">
        <f>AF99</f>
        <v>111.99</v>
      </c>
      <c r="DA99">
        <f>AJ99</f>
        <v>6.48</v>
      </c>
      <c r="DB99">
        <v>0</v>
      </c>
    </row>
    <row r="100" spans="1:106" x14ac:dyDescent="0.2">
      <c r="A100">
        <f>ROW(Source!A49)</f>
        <v>49</v>
      </c>
      <c r="B100">
        <v>39088907</v>
      </c>
      <c r="C100">
        <v>39089245</v>
      </c>
      <c r="D100">
        <v>36883239</v>
      </c>
      <c r="E100">
        <v>1</v>
      </c>
      <c r="F100">
        <v>1</v>
      </c>
      <c r="G100">
        <v>1</v>
      </c>
      <c r="H100">
        <v>2</v>
      </c>
      <c r="I100" t="s">
        <v>353</v>
      </c>
      <c r="J100" t="s">
        <v>354</v>
      </c>
      <c r="K100" t="s">
        <v>355</v>
      </c>
      <c r="L100">
        <v>1368</v>
      </c>
      <c r="N100">
        <v>1011</v>
      </c>
      <c r="O100" t="s">
        <v>290</v>
      </c>
      <c r="P100" t="s">
        <v>290</v>
      </c>
      <c r="Q100">
        <v>1</v>
      </c>
      <c r="W100">
        <v>0</v>
      </c>
      <c r="X100">
        <v>-1009212</v>
      </c>
      <c r="Y100">
        <v>0.47499999999999998</v>
      </c>
      <c r="AA100">
        <v>0</v>
      </c>
      <c r="AB100">
        <v>1036.99</v>
      </c>
      <c r="AC100">
        <v>14.4</v>
      </c>
      <c r="AD100">
        <v>0</v>
      </c>
      <c r="AE100">
        <v>0</v>
      </c>
      <c r="AF100">
        <v>160.03</v>
      </c>
      <c r="AG100">
        <v>14.4</v>
      </c>
      <c r="AH100">
        <v>0</v>
      </c>
      <c r="AI100">
        <v>1</v>
      </c>
      <c r="AJ100">
        <v>6.48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3</v>
      </c>
      <c r="AT100">
        <v>0.38</v>
      </c>
      <c r="AU100" t="s">
        <v>31</v>
      </c>
      <c r="AV100">
        <v>0</v>
      </c>
      <c r="AW100">
        <v>2</v>
      </c>
      <c r="AX100">
        <v>39089249</v>
      </c>
      <c r="AY100">
        <v>1</v>
      </c>
      <c r="AZ100">
        <v>0</v>
      </c>
      <c r="BA100">
        <v>113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Y100*Source!I49</f>
        <v>6.1749999999999998</v>
      </c>
      <c r="CY100">
        <f>AB100</f>
        <v>1036.99</v>
      </c>
      <c r="CZ100">
        <f>AF100</f>
        <v>160.03</v>
      </c>
      <c r="DA100">
        <f>AJ100</f>
        <v>6.48</v>
      </c>
      <c r="DB100">
        <v>0</v>
      </c>
    </row>
    <row r="101" spans="1:106" x14ac:dyDescent="0.2">
      <c r="A101">
        <f>ROW(Source!A49)</f>
        <v>49</v>
      </c>
      <c r="B101">
        <v>39088907</v>
      </c>
      <c r="C101">
        <v>39089245</v>
      </c>
      <c r="D101">
        <v>36883554</v>
      </c>
      <c r="E101">
        <v>1</v>
      </c>
      <c r="F101">
        <v>1</v>
      </c>
      <c r="G101">
        <v>1</v>
      </c>
      <c r="H101">
        <v>2</v>
      </c>
      <c r="I101" t="s">
        <v>287</v>
      </c>
      <c r="J101" t="s">
        <v>288</v>
      </c>
      <c r="K101" t="s">
        <v>289</v>
      </c>
      <c r="L101">
        <v>1368</v>
      </c>
      <c r="N101">
        <v>1011</v>
      </c>
      <c r="O101" t="s">
        <v>290</v>
      </c>
      <c r="P101" t="s">
        <v>290</v>
      </c>
      <c r="Q101">
        <v>1</v>
      </c>
      <c r="W101">
        <v>0</v>
      </c>
      <c r="X101">
        <v>1372534845</v>
      </c>
      <c r="Y101">
        <v>0.23749999999999999</v>
      </c>
      <c r="AA101">
        <v>0</v>
      </c>
      <c r="AB101">
        <v>425.8</v>
      </c>
      <c r="AC101">
        <v>11.6</v>
      </c>
      <c r="AD101">
        <v>0</v>
      </c>
      <c r="AE101">
        <v>0</v>
      </c>
      <c r="AF101">
        <v>65.709999999999994</v>
      </c>
      <c r="AG101">
        <v>11.6</v>
      </c>
      <c r="AH101">
        <v>0</v>
      </c>
      <c r="AI101">
        <v>1</v>
      </c>
      <c r="AJ101">
        <v>6.48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0.19</v>
      </c>
      <c r="AU101" t="s">
        <v>31</v>
      </c>
      <c r="AV101">
        <v>0</v>
      </c>
      <c r="AW101">
        <v>2</v>
      </c>
      <c r="AX101">
        <v>39089250</v>
      </c>
      <c r="AY101">
        <v>1</v>
      </c>
      <c r="AZ101">
        <v>0</v>
      </c>
      <c r="BA101">
        <v>114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Y101*Source!I49</f>
        <v>3.0874999999999999</v>
      </c>
      <c r="CY101">
        <f>AB101</f>
        <v>425.8</v>
      </c>
      <c r="CZ101">
        <f>AF101</f>
        <v>65.709999999999994</v>
      </c>
      <c r="DA101">
        <f>AJ101</f>
        <v>6.48</v>
      </c>
      <c r="DB101">
        <v>0</v>
      </c>
    </row>
    <row r="102" spans="1:106" x14ac:dyDescent="0.2">
      <c r="A102">
        <f>ROW(Source!A49)</f>
        <v>49</v>
      </c>
      <c r="B102">
        <v>39088907</v>
      </c>
      <c r="C102">
        <v>39089245</v>
      </c>
      <c r="D102">
        <v>36804432</v>
      </c>
      <c r="E102">
        <v>1</v>
      </c>
      <c r="F102">
        <v>1</v>
      </c>
      <c r="G102">
        <v>1</v>
      </c>
      <c r="H102">
        <v>3</v>
      </c>
      <c r="I102" t="s">
        <v>356</v>
      </c>
      <c r="J102" t="s">
        <v>357</v>
      </c>
      <c r="K102" t="s">
        <v>358</v>
      </c>
      <c r="L102">
        <v>1348</v>
      </c>
      <c r="N102">
        <v>1009</v>
      </c>
      <c r="O102" t="s">
        <v>152</v>
      </c>
      <c r="P102" t="s">
        <v>152</v>
      </c>
      <c r="Q102">
        <v>1000</v>
      </c>
      <c r="W102">
        <v>0</v>
      </c>
      <c r="X102">
        <v>-522069014</v>
      </c>
      <c r="Y102">
        <v>3.8E-3</v>
      </c>
      <c r="AA102">
        <v>82036.800000000003</v>
      </c>
      <c r="AB102">
        <v>0</v>
      </c>
      <c r="AC102">
        <v>0</v>
      </c>
      <c r="AD102">
        <v>0</v>
      </c>
      <c r="AE102">
        <v>12660</v>
      </c>
      <c r="AF102">
        <v>0</v>
      </c>
      <c r="AG102">
        <v>0</v>
      </c>
      <c r="AH102">
        <v>0</v>
      </c>
      <c r="AI102">
        <v>6.48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3.8E-3</v>
      </c>
      <c r="AU102" t="s">
        <v>3</v>
      </c>
      <c r="AV102">
        <v>0</v>
      </c>
      <c r="AW102">
        <v>2</v>
      </c>
      <c r="AX102">
        <v>39089251</v>
      </c>
      <c r="AY102">
        <v>1</v>
      </c>
      <c r="AZ102">
        <v>0</v>
      </c>
      <c r="BA102">
        <v>115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Y102*Source!I49</f>
        <v>4.9399999999999999E-2</v>
      </c>
      <c r="CY102">
        <f>AA102</f>
        <v>82036.800000000003</v>
      </c>
      <c r="CZ102">
        <f>AE102</f>
        <v>12660</v>
      </c>
      <c r="DA102">
        <f>AI102</f>
        <v>6.48</v>
      </c>
      <c r="DB102">
        <v>0</v>
      </c>
    </row>
    <row r="103" spans="1:106" x14ac:dyDescent="0.2">
      <c r="A103">
        <f>ROW(Source!A49)</f>
        <v>49</v>
      </c>
      <c r="B103">
        <v>39088907</v>
      </c>
      <c r="C103">
        <v>39089245</v>
      </c>
      <c r="D103">
        <v>36805330</v>
      </c>
      <c r="E103">
        <v>1</v>
      </c>
      <c r="F103">
        <v>1</v>
      </c>
      <c r="G103">
        <v>1</v>
      </c>
      <c r="H103">
        <v>3</v>
      </c>
      <c r="I103" t="s">
        <v>359</v>
      </c>
      <c r="J103" t="s">
        <v>360</v>
      </c>
      <c r="K103" t="s">
        <v>361</v>
      </c>
      <c r="L103">
        <v>1346</v>
      </c>
      <c r="N103">
        <v>1009</v>
      </c>
      <c r="O103" t="s">
        <v>344</v>
      </c>
      <c r="P103" t="s">
        <v>344</v>
      </c>
      <c r="Q103">
        <v>1</v>
      </c>
      <c r="W103">
        <v>0</v>
      </c>
      <c r="X103">
        <v>-731615568</v>
      </c>
      <c r="Y103">
        <v>0.23</v>
      </c>
      <c r="AA103">
        <v>149.62</v>
      </c>
      <c r="AB103">
        <v>0</v>
      </c>
      <c r="AC103">
        <v>0</v>
      </c>
      <c r="AD103">
        <v>0</v>
      </c>
      <c r="AE103">
        <v>23.09</v>
      </c>
      <c r="AF103">
        <v>0</v>
      </c>
      <c r="AG103">
        <v>0</v>
      </c>
      <c r="AH103">
        <v>0</v>
      </c>
      <c r="AI103">
        <v>6.48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0.23</v>
      </c>
      <c r="AU103" t="s">
        <v>3</v>
      </c>
      <c r="AV103">
        <v>0</v>
      </c>
      <c r="AW103">
        <v>2</v>
      </c>
      <c r="AX103">
        <v>39089252</v>
      </c>
      <c r="AY103">
        <v>1</v>
      </c>
      <c r="AZ103">
        <v>0</v>
      </c>
      <c r="BA103">
        <v>116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Y103*Source!I49</f>
        <v>2.99</v>
      </c>
      <c r="CY103">
        <f>AA103</f>
        <v>149.62</v>
      </c>
      <c r="CZ103">
        <f>AE103</f>
        <v>23.09</v>
      </c>
      <c r="DA103">
        <f>AI103</f>
        <v>6.48</v>
      </c>
      <c r="DB103">
        <v>0</v>
      </c>
    </row>
    <row r="104" spans="1:106" x14ac:dyDescent="0.2">
      <c r="A104">
        <f>ROW(Source!A49)</f>
        <v>49</v>
      </c>
      <c r="B104">
        <v>39088907</v>
      </c>
      <c r="C104">
        <v>39089245</v>
      </c>
      <c r="D104">
        <v>36843996</v>
      </c>
      <c r="E104">
        <v>1</v>
      </c>
      <c r="F104">
        <v>1</v>
      </c>
      <c r="G104">
        <v>1</v>
      </c>
      <c r="H104">
        <v>3</v>
      </c>
      <c r="I104" t="s">
        <v>105</v>
      </c>
      <c r="J104" t="s">
        <v>107</v>
      </c>
      <c r="K104" t="s">
        <v>106</v>
      </c>
      <c r="L104">
        <v>1354</v>
      </c>
      <c r="N104">
        <v>1010</v>
      </c>
      <c r="O104" t="s">
        <v>48</v>
      </c>
      <c r="P104" t="s">
        <v>48</v>
      </c>
      <c r="Q104">
        <v>1</v>
      </c>
      <c r="W104">
        <v>0</v>
      </c>
      <c r="X104">
        <v>-1090113094</v>
      </c>
      <c r="Y104">
        <v>1</v>
      </c>
      <c r="AA104">
        <v>51206.39</v>
      </c>
      <c r="AB104">
        <v>0</v>
      </c>
      <c r="AC104">
        <v>0</v>
      </c>
      <c r="AD104">
        <v>0</v>
      </c>
      <c r="AE104">
        <v>7902.22</v>
      </c>
      <c r="AF104">
        <v>0</v>
      </c>
      <c r="AG104">
        <v>0</v>
      </c>
      <c r="AH104">
        <v>0</v>
      </c>
      <c r="AI104">
        <v>6.48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3</v>
      </c>
      <c r="AT104">
        <v>1</v>
      </c>
      <c r="AU104" t="s">
        <v>3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3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Y104*Source!I49</f>
        <v>13</v>
      </c>
      <c r="CY104">
        <f>AA104</f>
        <v>51206.39</v>
      </c>
      <c r="CZ104">
        <f>AE104</f>
        <v>7902.22</v>
      </c>
      <c r="DA104">
        <f>AI104</f>
        <v>6.48</v>
      </c>
      <c r="DB104">
        <v>0</v>
      </c>
    </row>
    <row r="105" spans="1:106" x14ac:dyDescent="0.2">
      <c r="A105">
        <f>ROW(Source!A51)</f>
        <v>51</v>
      </c>
      <c r="B105">
        <v>39088907</v>
      </c>
      <c r="C105">
        <v>39091206</v>
      </c>
      <c r="D105">
        <v>37064978</v>
      </c>
      <c r="E105">
        <v>1</v>
      </c>
      <c r="F105">
        <v>1</v>
      </c>
      <c r="G105">
        <v>1</v>
      </c>
      <c r="H105">
        <v>1</v>
      </c>
      <c r="I105" t="s">
        <v>362</v>
      </c>
      <c r="J105" t="s">
        <v>3</v>
      </c>
      <c r="K105" t="s">
        <v>363</v>
      </c>
      <c r="L105">
        <v>1191</v>
      </c>
      <c r="N105">
        <v>1013</v>
      </c>
      <c r="O105" t="s">
        <v>280</v>
      </c>
      <c r="P105" t="s">
        <v>280</v>
      </c>
      <c r="Q105">
        <v>1</v>
      </c>
      <c r="W105">
        <v>0</v>
      </c>
      <c r="X105">
        <v>-719309759</v>
      </c>
      <c r="Y105">
        <v>81.718999999999994</v>
      </c>
      <c r="AA105">
        <v>0</v>
      </c>
      <c r="AB105">
        <v>0</v>
      </c>
      <c r="AC105">
        <v>0</v>
      </c>
      <c r="AD105">
        <v>57.41</v>
      </c>
      <c r="AE105">
        <v>0</v>
      </c>
      <c r="AF105">
        <v>0</v>
      </c>
      <c r="AG105">
        <v>0</v>
      </c>
      <c r="AH105">
        <v>8.86</v>
      </c>
      <c r="AI105">
        <v>1</v>
      </c>
      <c r="AJ105">
        <v>1</v>
      </c>
      <c r="AK105">
        <v>1</v>
      </c>
      <c r="AL105">
        <v>6.48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71.06</v>
      </c>
      <c r="AU105" t="s">
        <v>32</v>
      </c>
      <c r="AV105">
        <v>1</v>
      </c>
      <c r="AW105">
        <v>2</v>
      </c>
      <c r="AX105">
        <v>39091207</v>
      </c>
      <c r="AY105">
        <v>1</v>
      </c>
      <c r="AZ105">
        <v>0</v>
      </c>
      <c r="BA105">
        <v>118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Y105*Source!I51</f>
        <v>12.257849999999999</v>
      </c>
      <c r="CY105">
        <f>AD105</f>
        <v>57.41</v>
      </c>
      <c r="CZ105">
        <f>AH105</f>
        <v>8.86</v>
      </c>
      <c r="DA105">
        <f>AL105</f>
        <v>6.48</v>
      </c>
      <c r="DB105">
        <v>0</v>
      </c>
    </row>
    <row r="106" spans="1:106" x14ac:dyDescent="0.2">
      <c r="A106">
        <f>ROW(Source!A51)</f>
        <v>51</v>
      </c>
      <c r="B106">
        <v>39088907</v>
      </c>
      <c r="C106">
        <v>39091206</v>
      </c>
      <c r="D106">
        <v>37064876</v>
      </c>
      <c r="E106">
        <v>1</v>
      </c>
      <c r="F106">
        <v>1</v>
      </c>
      <c r="G106">
        <v>1</v>
      </c>
      <c r="H106">
        <v>1</v>
      </c>
      <c r="I106" t="s">
        <v>285</v>
      </c>
      <c r="J106" t="s">
        <v>3</v>
      </c>
      <c r="K106" t="s">
        <v>286</v>
      </c>
      <c r="L106">
        <v>1191</v>
      </c>
      <c r="N106">
        <v>1013</v>
      </c>
      <c r="O106" t="s">
        <v>280</v>
      </c>
      <c r="P106" t="s">
        <v>280</v>
      </c>
      <c r="Q106">
        <v>1</v>
      </c>
      <c r="W106">
        <v>0</v>
      </c>
      <c r="X106">
        <v>-1417349443</v>
      </c>
      <c r="Y106">
        <v>0.04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6.48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0.04</v>
      </c>
      <c r="AU106" t="s">
        <v>3</v>
      </c>
      <c r="AV106">
        <v>2</v>
      </c>
      <c r="AW106">
        <v>2</v>
      </c>
      <c r="AX106">
        <v>39091208</v>
      </c>
      <c r="AY106">
        <v>1</v>
      </c>
      <c r="AZ106">
        <v>2048</v>
      </c>
      <c r="BA106">
        <v>119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Y106*Source!I51</f>
        <v>6.0000000000000001E-3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ROW(Source!A51)</f>
        <v>51</v>
      </c>
      <c r="B107">
        <v>39088907</v>
      </c>
      <c r="C107">
        <v>39091206</v>
      </c>
      <c r="D107">
        <v>36882452</v>
      </c>
      <c r="E107">
        <v>1</v>
      </c>
      <c r="F107">
        <v>1</v>
      </c>
      <c r="G107">
        <v>1</v>
      </c>
      <c r="H107">
        <v>2</v>
      </c>
      <c r="I107" t="s">
        <v>310</v>
      </c>
      <c r="J107" t="s">
        <v>311</v>
      </c>
      <c r="K107" t="s">
        <v>312</v>
      </c>
      <c r="L107">
        <v>1368</v>
      </c>
      <c r="N107">
        <v>1011</v>
      </c>
      <c r="O107" t="s">
        <v>290</v>
      </c>
      <c r="P107" t="s">
        <v>290</v>
      </c>
      <c r="Q107">
        <v>1</v>
      </c>
      <c r="W107">
        <v>0</v>
      </c>
      <c r="X107">
        <v>1188625873</v>
      </c>
      <c r="Y107">
        <v>1.2500000000000001E-2</v>
      </c>
      <c r="AA107">
        <v>0</v>
      </c>
      <c r="AB107">
        <v>202.56</v>
      </c>
      <c r="AC107">
        <v>13.5</v>
      </c>
      <c r="AD107">
        <v>0</v>
      </c>
      <c r="AE107">
        <v>0</v>
      </c>
      <c r="AF107">
        <v>31.26</v>
      </c>
      <c r="AG107">
        <v>13.5</v>
      </c>
      <c r="AH107">
        <v>0</v>
      </c>
      <c r="AI107">
        <v>1</v>
      </c>
      <c r="AJ107">
        <v>6.48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0.01</v>
      </c>
      <c r="AU107" t="s">
        <v>31</v>
      </c>
      <c r="AV107">
        <v>0</v>
      </c>
      <c r="AW107">
        <v>2</v>
      </c>
      <c r="AX107">
        <v>39091209</v>
      </c>
      <c r="AY107">
        <v>1</v>
      </c>
      <c r="AZ107">
        <v>0</v>
      </c>
      <c r="BA107">
        <v>120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Y107*Source!I51</f>
        <v>1.8749999999999999E-3</v>
      </c>
      <c r="CY107">
        <f>AB107</f>
        <v>202.56</v>
      </c>
      <c r="CZ107">
        <f>AF107</f>
        <v>31.26</v>
      </c>
      <c r="DA107">
        <f>AJ107</f>
        <v>6.48</v>
      </c>
      <c r="DB107">
        <v>0</v>
      </c>
    </row>
    <row r="108" spans="1:106" x14ac:dyDescent="0.2">
      <c r="A108">
        <f>ROW(Source!A51)</f>
        <v>51</v>
      </c>
      <c r="B108">
        <v>39088907</v>
      </c>
      <c r="C108">
        <v>39091206</v>
      </c>
      <c r="D108">
        <v>36883554</v>
      </c>
      <c r="E108">
        <v>1</v>
      </c>
      <c r="F108">
        <v>1</v>
      </c>
      <c r="G108">
        <v>1</v>
      </c>
      <c r="H108">
        <v>2</v>
      </c>
      <c r="I108" t="s">
        <v>287</v>
      </c>
      <c r="J108" t="s">
        <v>288</v>
      </c>
      <c r="K108" t="s">
        <v>289</v>
      </c>
      <c r="L108">
        <v>1368</v>
      </c>
      <c r="N108">
        <v>1011</v>
      </c>
      <c r="O108" t="s">
        <v>290</v>
      </c>
      <c r="P108" t="s">
        <v>290</v>
      </c>
      <c r="Q108">
        <v>1</v>
      </c>
      <c r="W108">
        <v>0</v>
      </c>
      <c r="X108">
        <v>1372534845</v>
      </c>
      <c r="Y108">
        <v>3.7499999999999999E-2</v>
      </c>
      <c r="AA108">
        <v>0</v>
      </c>
      <c r="AB108">
        <v>425.8</v>
      </c>
      <c r="AC108">
        <v>11.6</v>
      </c>
      <c r="AD108">
        <v>0</v>
      </c>
      <c r="AE108">
        <v>0</v>
      </c>
      <c r="AF108">
        <v>65.709999999999994</v>
      </c>
      <c r="AG108">
        <v>11.6</v>
      </c>
      <c r="AH108">
        <v>0</v>
      </c>
      <c r="AI108">
        <v>1</v>
      </c>
      <c r="AJ108">
        <v>6.48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0.03</v>
      </c>
      <c r="AU108" t="s">
        <v>31</v>
      </c>
      <c r="AV108">
        <v>0</v>
      </c>
      <c r="AW108">
        <v>2</v>
      </c>
      <c r="AX108">
        <v>39091210</v>
      </c>
      <c r="AY108">
        <v>1</v>
      </c>
      <c r="AZ108">
        <v>0</v>
      </c>
      <c r="BA108">
        <v>121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Y108*Source!I51</f>
        <v>5.6249999999999998E-3</v>
      </c>
      <c r="CY108">
        <f>AB108</f>
        <v>425.8</v>
      </c>
      <c r="CZ108">
        <f>AF108</f>
        <v>65.709999999999994</v>
      </c>
      <c r="DA108">
        <f>AJ108</f>
        <v>6.48</v>
      </c>
      <c r="DB108">
        <v>0</v>
      </c>
    </row>
    <row r="109" spans="1:106" x14ac:dyDescent="0.2">
      <c r="A109">
        <f>ROW(Source!A51)</f>
        <v>51</v>
      </c>
      <c r="B109">
        <v>39088907</v>
      </c>
      <c r="C109">
        <v>39091206</v>
      </c>
      <c r="D109">
        <v>36805524</v>
      </c>
      <c r="E109">
        <v>1</v>
      </c>
      <c r="F109">
        <v>1</v>
      </c>
      <c r="G109">
        <v>1</v>
      </c>
      <c r="H109">
        <v>3</v>
      </c>
      <c r="I109" t="s">
        <v>364</v>
      </c>
      <c r="J109" t="s">
        <v>365</v>
      </c>
      <c r="K109" t="s">
        <v>366</v>
      </c>
      <c r="L109">
        <v>1346</v>
      </c>
      <c r="N109">
        <v>1009</v>
      </c>
      <c r="O109" t="s">
        <v>344</v>
      </c>
      <c r="P109" t="s">
        <v>344</v>
      </c>
      <c r="Q109">
        <v>1</v>
      </c>
      <c r="W109">
        <v>0</v>
      </c>
      <c r="X109">
        <v>813963326</v>
      </c>
      <c r="Y109">
        <v>0.3</v>
      </c>
      <c r="AA109">
        <v>11.79</v>
      </c>
      <c r="AB109">
        <v>0</v>
      </c>
      <c r="AC109">
        <v>0</v>
      </c>
      <c r="AD109">
        <v>0</v>
      </c>
      <c r="AE109">
        <v>1.82</v>
      </c>
      <c r="AF109">
        <v>0</v>
      </c>
      <c r="AG109">
        <v>0</v>
      </c>
      <c r="AH109">
        <v>0</v>
      </c>
      <c r="AI109">
        <v>6.48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0.3</v>
      </c>
      <c r="AU109" t="s">
        <v>3</v>
      </c>
      <c r="AV109">
        <v>0</v>
      </c>
      <c r="AW109">
        <v>2</v>
      </c>
      <c r="AX109">
        <v>39091211</v>
      </c>
      <c r="AY109">
        <v>1</v>
      </c>
      <c r="AZ109">
        <v>0</v>
      </c>
      <c r="BA109">
        <v>122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Y109*Source!I51</f>
        <v>4.4999999999999998E-2</v>
      </c>
      <c r="CY109">
        <f>AA109</f>
        <v>11.79</v>
      </c>
      <c r="CZ109">
        <f>AE109</f>
        <v>1.82</v>
      </c>
      <c r="DA109">
        <f>AI109</f>
        <v>6.48</v>
      </c>
      <c r="DB109">
        <v>0</v>
      </c>
    </row>
    <row r="110" spans="1:106" x14ac:dyDescent="0.2">
      <c r="A110">
        <f>ROW(Source!A51)</f>
        <v>51</v>
      </c>
      <c r="B110">
        <v>39088907</v>
      </c>
      <c r="C110">
        <v>39091206</v>
      </c>
      <c r="D110">
        <v>36797575</v>
      </c>
      <c r="E110">
        <v>17</v>
      </c>
      <c r="F110">
        <v>1</v>
      </c>
      <c r="G110">
        <v>1</v>
      </c>
      <c r="H110">
        <v>3</v>
      </c>
      <c r="I110" t="s">
        <v>155</v>
      </c>
      <c r="J110" t="s">
        <v>3</v>
      </c>
      <c r="K110" t="s">
        <v>156</v>
      </c>
      <c r="L110">
        <v>1348</v>
      </c>
      <c r="N110">
        <v>1009</v>
      </c>
      <c r="O110" t="s">
        <v>152</v>
      </c>
      <c r="P110" t="s">
        <v>152</v>
      </c>
      <c r="Q110">
        <v>1000</v>
      </c>
      <c r="W110">
        <v>0</v>
      </c>
      <c r="X110">
        <v>84301199</v>
      </c>
      <c r="Y110">
        <v>2.46E-2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6.48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3</v>
      </c>
      <c r="AT110">
        <v>2.46E-2</v>
      </c>
      <c r="AU110" t="s">
        <v>3</v>
      </c>
      <c r="AV110">
        <v>0</v>
      </c>
      <c r="AW110">
        <v>2</v>
      </c>
      <c r="AX110">
        <v>39091212</v>
      </c>
      <c r="AY110">
        <v>1</v>
      </c>
      <c r="AZ110">
        <v>0</v>
      </c>
      <c r="BA110">
        <v>123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Y110*Source!I51</f>
        <v>3.6899999999999997E-3</v>
      </c>
      <c r="CY110">
        <f>AA110</f>
        <v>0</v>
      </c>
      <c r="CZ110">
        <f>AE110</f>
        <v>0</v>
      </c>
      <c r="DA110">
        <f>AI110</f>
        <v>6.48</v>
      </c>
      <c r="DB110">
        <v>0</v>
      </c>
    </row>
    <row r="111" spans="1:106" x14ac:dyDescent="0.2">
      <c r="A111">
        <f>ROW(Source!A51)</f>
        <v>51</v>
      </c>
      <c r="B111">
        <v>39088907</v>
      </c>
      <c r="C111">
        <v>39091206</v>
      </c>
      <c r="D111">
        <v>36838661</v>
      </c>
      <c r="E111">
        <v>1</v>
      </c>
      <c r="F111">
        <v>1</v>
      </c>
      <c r="G111">
        <v>1</v>
      </c>
      <c r="H111">
        <v>3</v>
      </c>
      <c r="I111" t="s">
        <v>150</v>
      </c>
      <c r="J111" t="s">
        <v>153</v>
      </c>
      <c r="K111" t="s">
        <v>151</v>
      </c>
      <c r="L111">
        <v>1348</v>
      </c>
      <c r="N111">
        <v>1009</v>
      </c>
      <c r="O111" t="s">
        <v>152</v>
      </c>
      <c r="P111" t="s">
        <v>152</v>
      </c>
      <c r="Q111">
        <v>1000</v>
      </c>
      <c r="W111">
        <v>0</v>
      </c>
      <c r="X111">
        <v>-2121302356</v>
      </c>
      <c r="Y111">
        <v>2.46E-2</v>
      </c>
      <c r="AA111">
        <v>264747.92</v>
      </c>
      <c r="AB111">
        <v>0</v>
      </c>
      <c r="AC111">
        <v>0</v>
      </c>
      <c r="AD111">
        <v>0</v>
      </c>
      <c r="AE111">
        <v>40856.160000000003</v>
      </c>
      <c r="AF111">
        <v>0</v>
      </c>
      <c r="AG111">
        <v>0</v>
      </c>
      <c r="AH111">
        <v>0</v>
      </c>
      <c r="AI111">
        <v>6.48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3</v>
      </c>
      <c r="AT111">
        <v>2.46E-2</v>
      </c>
      <c r="AU111" t="s">
        <v>3</v>
      </c>
      <c r="AV111">
        <v>0</v>
      </c>
      <c r="AW111">
        <v>1</v>
      </c>
      <c r="AX111">
        <v>-1</v>
      </c>
      <c r="AY111">
        <v>0</v>
      </c>
      <c r="AZ111">
        <v>0</v>
      </c>
      <c r="BA111" t="s">
        <v>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Y111*Source!I51</f>
        <v>3.6899999999999997E-3</v>
      </c>
      <c r="CY111">
        <f>AA111</f>
        <v>264747.92</v>
      </c>
      <c r="CZ111">
        <f>AE111</f>
        <v>40856.160000000003</v>
      </c>
      <c r="DA111">
        <f>AI111</f>
        <v>6.48</v>
      </c>
      <c r="DB111">
        <v>0</v>
      </c>
    </row>
    <row r="112" spans="1:106" x14ac:dyDescent="0.2">
      <c r="A112">
        <f>ROW(Source!A51)</f>
        <v>51</v>
      </c>
      <c r="B112">
        <v>39088907</v>
      </c>
      <c r="C112">
        <v>39091206</v>
      </c>
      <c r="D112">
        <v>36838954</v>
      </c>
      <c r="E112">
        <v>1</v>
      </c>
      <c r="F112">
        <v>1</v>
      </c>
      <c r="G112">
        <v>1</v>
      </c>
      <c r="H112">
        <v>3</v>
      </c>
      <c r="I112" t="s">
        <v>367</v>
      </c>
      <c r="J112" t="s">
        <v>368</v>
      </c>
      <c r="K112" t="s">
        <v>369</v>
      </c>
      <c r="L112">
        <v>1346</v>
      </c>
      <c r="N112">
        <v>1009</v>
      </c>
      <c r="O112" t="s">
        <v>344</v>
      </c>
      <c r="P112" t="s">
        <v>344</v>
      </c>
      <c r="Q112">
        <v>1</v>
      </c>
      <c r="W112">
        <v>0</v>
      </c>
      <c r="X112">
        <v>-608190322</v>
      </c>
      <c r="Y112">
        <v>2.7</v>
      </c>
      <c r="AA112">
        <v>211.25</v>
      </c>
      <c r="AB112">
        <v>0</v>
      </c>
      <c r="AC112">
        <v>0</v>
      </c>
      <c r="AD112">
        <v>0</v>
      </c>
      <c r="AE112">
        <v>32.6</v>
      </c>
      <c r="AF112">
        <v>0</v>
      </c>
      <c r="AG112">
        <v>0</v>
      </c>
      <c r="AH112">
        <v>0</v>
      </c>
      <c r="AI112">
        <v>6.48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2.7</v>
      </c>
      <c r="AU112" t="s">
        <v>3</v>
      </c>
      <c r="AV112">
        <v>0</v>
      </c>
      <c r="AW112">
        <v>2</v>
      </c>
      <c r="AX112">
        <v>39091213</v>
      </c>
      <c r="AY112">
        <v>1</v>
      </c>
      <c r="AZ112">
        <v>0</v>
      </c>
      <c r="BA112">
        <v>124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Y112*Source!I51</f>
        <v>0.40500000000000003</v>
      </c>
      <c r="CY112">
        <f>AA112</f>
        <v>211.25</v>
      </c>
      <c r="CZ112">
        <f>AE112</f>
        <v>32.6</v>
      </c>
      <c r="DA112">
        <f>AI112</f>
        <v>6.48</v>
      </c>
      <c r="DB11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39089260</v>
      </c>
      <c r="C1">
        <v>39089259</v>
      </c>
      <c r="D1">
        <v>37065248</v>
      </c>
      <c r="E1">
        <v>1</v>
      </c>
      <c r="F1">
        <v>1</v>
      </c>
      <c r="G1">
        <v>1</v>
      </c>
      <c r="H1">
        <v>1</v>
      </c>
      <c r="I1" t="s">
        <v>278</v>
      </c>
      <c r="J1" t="s">
        <v>3</v>
      </c>
      <c r="K1" t="s">
        <v>279</v>
      </c>
      <c r="L1">
        <v>1191</v>
      </c>
      <c r="N1">
        <v>1013</v>
      </c>
      <c r="O1" t="s">
        <v>280</v>
      </c>
      <c r="P1" t="s">
        <v>280</v>
      </c>
      <c r="Q1">
        <v>1</v>
      </c>
      <c r="X1">
        <v>1.27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3</v>
      </c>
      <c r="AG1">
        <v>1.27</v>
      </c>
      <c r="AH1">
        <v>2</v>
      </c>
      <c r="AI1">
        <v>39089260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ROW(Source!A25)</f>
        <v>25</v>
      </c>
      <c r="B2">
        <v>39089360</v>
      </c>
      <c r="C2">
        <v>39089359</v>
      </c>
      <c r="D2">
        <v>37065946</v>
      </c>
      <c r="E2">
        <v>1</v>
      </c>
      <c r="F2">
        <v>1</v>
      </c>
      <c r="G2">
        <v>1</v>
      </c>
      <c r="H2">
        <v>1</v>
      </c>
      <c r="I2" t="s">
        <v>281</v>
      </c>
      <c r="J2" t="s">
        <v>3</v>
      </c>
      <c r="K2" t="s">
        <v>282</v>
      </c>
      <c r="L2">
        <v>1191</v>
      </c>
      <c r="N2">
        <v>1013</v>
      </c>
      <c r="O2" t="s">
        <v>280</v>
      </c>
      <c r="P2" t="s">
        <v>280</v>
      </c>
      <c r="Q2">
        <v>1</v>
      </c>
      <c r="X2">
        <v>2.27</v>
      </c>
      <c r="Y2">
        <v>0</v>
      </c>
      <c r="Z2">
        <v>0</v>
      </c>
      <c r="AA2">
        <v>0</v>
      </c>
      <c r="AB2">
        <v>7.87</v>
      </c>
      <c r="AC2">
        <v>0</v>
      </c>
      <c r="AD2">
        <v>1</v>
      </c>
      <c r="AE2">
        <v>1</v>
      </c>
      <c r="AF2" t="s">
        <v>3</v>
      </c>
      <c r="AG2">
        <v>2.27</v>
      </c>
      <c r="AH2">
        <v>2</v>
      </c>
      <c r="AI2">
        <v>39089360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ROW(Source!A26)</f>
        <v>26</v>
      </c>
      <c r="B3">
        <v>39089362</v>
      </c>
      <c r="C3">
        <v>39089361</v>
      </c>
      <c r="D3">
        <v>37069580</v>
      </c>
      <c r="E3">
        <v>1</v>
      </c>
      <c r="F3">
        <v>1</v>
      </c>
      <c r="G3">
        <v>1</v>
      </c>
      <c r="H3">
        <v>1</v>
      </c>
      <c r="I3" t="s">
        <v>283</v>
      </c>
      <c r="J3" t="s">
        <v>3</v>
      </c>
      <c r="K3" t="s">
        <v>284</v>
      </c>
      <c r="L3">
        <v>1191</v>
      </c>
      <c r="N3">
        <v>1013</v>
      </c>
      <c r="O3" t="s">
        <v>280</v>
      </c>
      <c r="P3" t="s">
        <v>280</v>
      </c>
      <c r="Q3">
        <v>1</v>
      </c>
      <c r="X3">
        <v>1.31</v>
      </c>
      <c r="Y3">
        <v>0</v>
      </c>
      <c r="Z3">
        <v>0</v>
      </c>
      <c r="AA3">
        <v>0</v>
      </c>
      <c r="AB3">
        <v>8.64</v>
      </c>
      <c r="AC3">
        <v>0</v>
      </c>
      <c r="AD3">
        <v>1</v>
      </c>
      <c r="AE3">
        <v>1</v>
      </c>
      <c r="AF3" t="s">
        <v>32</v>
      </c>
      <c r="AG3">
        <v>1.5065</v>
      </c>
      <c r="AH3">
        <v>2</v>
      </c>
      <c r="AI3">
        <v>39089362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ROW(Source!A26)</f>
        <v>26</v>
      </c>
      <c r="B4">
        <v>39089363</v>
      </c>
      <c r="C4">
        <v>39089361</v>
      </c>
      <c r="D4">
        <v>37064876</v>
      </c>
      <c r="E4">
        <v>1</v>
      </c>
      <c r="F4">
        <v>1</v>
      </c>
      <c r="G4">
        <v>1</v>
      </c>
      <c r="H4">
        <v>1</v>
      </c>
      <c r="I4" t="s">
        <v>285</v>
      </c>
      <c r="J4" t="s">
        <v>3</v>
      </c>
      <c r="K4" t="s">
        <v>286</v>
      </c>
      <c r="L4">
        <v>1191</v>
      </c>
      <c r="N4">
        <v>1013</v>
      </c>
      <c r="O4" t="s">
        <v>280</v>
      </c>
      <c r="P4" t="s">
        <v>280</v>
      </c>
      <c r="Q4">
        <v>1</v>
      </c>
      <c r="X4">
        <v>7.0000000000000007E-2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31</v>
      </c>
      <c r="AG4">
        <v>8.7500000000000008E-2</v>
      </c>
      <c r="AH4">
        <v>2</v>
      </c>
      <c r="AI4">
        <v>39089363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ROW(Source!A26)</f>
        <v>26</v>
      </c>
      <c r="B5">
        <v>39089364</v>
      </c>
      <c r="C5">
        <v>39089361</v>
      </c>
      <c r="D5">
        <v>36883554</v>
      </c>
      <c r="E5">
        <v>1</v>
      </c>
      <c r="F5">
        <v>1</v>
      </c>
      <c r="G5">
        <v>1</v>
      </c>
      <c r="H5">
        <v>2</v>
      </c>
      <c r="I5" t="s">
        <v>287</v>
      </c>
      <c r="J5" t="s">
        <v>288</v>
      </c>
      <c r="K5" t="s">
        <v>289</v>
      </c>
      <c r="L5">
        <v>1368</v>
      </c>
      <c r="N5">
        <v>1011</v>
      </c>
      <c r="O5" t="s">
        <v>290</v>
      </c>
      <c r="P5" t="s">
        <v>290</v>
      </c>
      <c r="Q5">
        <v>1</v>
      </c>
      <c r="X5">
        <v>7.0000000000000007E-2</v>
      </c>
      <c r="Y5">
        <v>0</v>
      </c>
      <c r="Z5">
        <v>65.709999999999994</v>
      </c>
      <c r="AA5">
        <v>11.6</v>
      </c>
      <c r="AB5">
        <v>0</v>
      </c>
      <c r="AC5">
        <v>0</v>
      </c>
      <c r="AD5">
        <v>1</v>
      </c>
      <c r="AE5">
        <v>0</v>
      </c>
      <c r="AF5" t="s">
        <v>31</v>
      </c>
      <c r="AG5">
        <v>8.7500000000000008E-2</v>
      </c>
      <c r="AH5">
        <v>2</v>
      </c>
      <c r="AI5">
        <v>39089364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ROW(Source!A26)</f>
        <v>26</v>
      </c>
      <c r="B6">
        <v>39089365</v>
      </c>
      <c r="C6">
        <v>39089361</v>
      </c>
      <c r="D6">
        <v>36807097</v>
      </c>
      <c r="E6">
        <v>1</v>
      </c>
      <c r="F6">
        <v>1</v>
      </c>
      <c r="G6">
        <v>1</v>
      </c>
      <c r="H6">
        <v>3</v>
      </c>
      <c r="I6" t="s">
        <v>291</v>
      </c>
      <c r="J6" t="s">
        <v>292</v>
      </c>
      <c r="K6" t="s">
        <v>293</v>
      </c>
      <c r="L6">
        <v>1339</v>
      </c>
      <c r="N6">
        <v>1007</v>
      </c>
      <c r="O6" t="s">
        <v>294</v>
      </c>
      <c r="P6" t="s">
        <v>294</v>
      </c>
      <c r="Q6">
        <v>1</v>
      </c>
      <c r="X6">
        <v>8.0000000000000004E-4</v>
      </c>
      <c r="Y6">
        <v>665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8.0000000000000004E-4</v>
      </c>
      <c r="AH6">
        <v>2</v>
      </c>
      <c r="AI6">
        <v>39089365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39089366</v>
      </c>
      <c r="C7">
        <v>39089361</v>
      </c>
      <c r="D7">
        <v>36796695</v>
      </c>
      <c r="E7">
        <v>17</v>
      </c>
      <c r="F7">
        <v>1</v>
      </c>
      <c r="G7">
        <v>1</v>
      </c>
      <c r="H7">
        <v>3</v>
      </c>
      <c r="I7" t="s">
        <v>370</v>
      </c>
      <c r="J7" t="s">
        <v>3</v>
      </c>
      <c r="K7" t="s">
        <v>371</v>
      </c>
      <c r="L7">
        <v>1354</v>
      </c>
      <c r="N7">
        <v>1010</v>
      </c>
      <c r="O7" t="s">
        <v>48</v>
      </c>
      <c r="P7" t="s">
        <v>48</v>
      </c>
      <c r="Q7">
        <v>1</v>
      </c>
      <c r="X7">
        <v>1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 t="s">
        <v>3</v>
      </c>
      <c r="AG7">
        <v>1</v>
      </c>
      <c r="AH7">
        <v>3</v>
      </c>
      <c r="AI7">
        <v>-1</v>
      </c>
      <c r="AJ7" t="s">
        <v>3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ROW(Source!A27)</f>
        <v>27</v>
      </c>
      <c r="B8">
        <v>39089271</v>
      </c>
      <c r="C8">
        <v>39089270</v>
      </c>
      <c r="D8">
        <v>37064928</v>
      </c>
      <c r="E8">
        <v>1</v>
      </c>
      <c r="F8">
        <v>1</v>
      </c>
      <c r="G8">
        <v>1</v>
      </c>
      <c r="H8">
        <v>1</v>
      </c>
      <c r="I8" t="s">
        <v>295</v>
      </c>
      <c r="J8" t="s">
        <v>3</v>
      </c>
      <c r="K8" t="s">
        <v>296</v>
      </c>
      <c r="L8">
        <v>1191</v>
      </c>
      <c r="N8">
        <v>1013</v>
      </c>
      <c r="O8" t="s">
        <v>280</v>
      </c>
      <c r="P8" t="s">
        <v>280</v>
      </c>
      <c r="Q8">
        <v>1</v>
      </c>
      <c r="X8">
        <v>308</v>
      </c>
      <c r="Y8">
        <v>0</v>
      </c>
      <c r="Z8">
        <v>0</v>
      </c>
      <c r="AA8">
        <v>0</v>
      </c>
      <c r="AB8">
        <v>9.07</v>
      </c>
      <c r="AC8">
        <v>0</v>
      </c>
      <c r="AD8">
        <v>1</v>
      </c>
      <c r="AE8">
        <v>1</v>
      </c>
      <c r="AF8" t="s">
        <v>3</v>
      </c>
      <c r="AG8">
        <v>308</v>
      </c>
      <c r="AH8">
        <v>2</v>
      </c>
      <c r="AI8">
        <v>39089271</v>
      </c>
      <c r="AJ8">
        <v>7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ROW(Source!A27)</f>
        <v>27</v>
      </c>
      <c r="B9">
        <v>39089272</v>
      </c>
      <c r="C9">
        <v>39089270</v>
      </c>
      <c r="D9">
        <v>37064876</v>
      </c>
      <c r="E9">
        <v>1</v>
      </c>
      <c r="F9">
        <v>1</v>
      </c>
      <c r="G9">
        <v>1</v>
      </c>
      <c r="H9">
        <v>1</v>
      </c>
      <c r="I9" t="s">
        <v>285</v>
      </c>
      <c r="J9" t="s">
        <v>3</v>
      </c>
      <c r="K9" t="s">
        <v>286</v>
      </c>
      <c r="L9">
        <v>1191</v>
      </c>
      <c r="N9">
        <v>1013</v>
      </c>
      <c r="O9" t="s">
        <v>280</v>
      </c>
      <c r="P9" t="s">
        <v>280</v>
      </c>
      <c r="Q9">
        <v>1</v>
      </c>
      <c r="X9">
        <v>1.6</v>
      </c>
      <c r="Y9">
        <v>0</v>
      </c>
      <c r="Z9">
        <v>0</v>
      </c>
      <c r="AA9">
        <v>0</v>
      </c>
      <c r="AB9">
        <v>0</v>
      </c>
      <c r="AC9">
        <v>0</v>
      </c>
      <c r="AD9">
        <v>1</v>
      </c>
      <c r="AE9">
        <v>2</v>
      </c>
      <c r="AF9" t="s">
        <v>3</v>
      </c>
      <c r="AG9">
        <v>1.6</v>
      </c>
      <c r="AH9">
        <v>2</v>
      </c>
      <c r="AI9">
        <v>39089272</v>
      </c>
      <c r="AJ9">
        <v>8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ROW(Source!A27)</f>
        <v>27</v>
      </c>
      <c r="B10">
        <v>39089273</v>
      </c>
      <c r="C10">
        <v>39089270</v>
      </c>
      <c r="D10">
        <v>36883554</v>
      </c>
      <c r="E10">
        <v>1</v>
      </c>
      <c r="F10">
        <v>1</v>
      </c>
      <c r="G10">
        <v>1</v>
      </c>
      <c r="H10">
        <v>2</v>
      </c>
      <c r="I10" t="s">
        <v>287</v>
      </c>
      <c r="J10" t="s">
        <v>288</v>
      </c>
      <c r="K10" t="s">
        <v>289</v>
      </c>
      <c r="L10">
        <v>1368</v>
      </c>
      <c r="N10">
        <v>1011</v>
      </c>
      <c r="O10" t="s">
        <v>290</v>
      </c>
      <c r="P10" t="s">
        <v>290</v>
      </c>
      <c r="Q10">
        <v>1</v>
      </c>
      <c r="X10">
        <v>1.6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1.6</v>
      </c>
      <c r="AH10">
        <v>2</v>
      </c>
      <c r="AI10">
        <v>39089273</v>
      </c>
      <c r="AJ10">
        <v>9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ROW(Source!A27)</f>
        <v>27</v>
      </c>
      <c r="B11">
        <v>39089274</v>
      </c>
      <c r="C11">
        <v>39089270</v>
      </c>
      <c r="D11">
        <v>36799773</v>
      </c>
      <c r="E11">
        <v>1</v>
      </c>
      <c r="F11">
        <v>1</v>
      </c>
      <c r="G11">
        <v>1</v>
      </c>
      <c r="H11">
        <v>3</v>
      </c>
      <c r="I11" t="s">
        <v>297</v>
      </c>
      <c r="J11" t="s">
        <v>298</v>
      </c>
      <c r="K11" t="s">
        <v>299</v>
      </c>
      <c r="L11">
        <v>1356</v>
      </c>
      <c r="N11">
        <v>1010</v>
      </c>
      <c r="O11" t="s">
        <v>300</v>
      </c>
      <c r="P11" t="s">
        <v>300</v>
      </c>
      <c r="Q11">
        <v>1000</v>
      </c>
      <c r="X11">
        <v>0.2</v>
      </c>
      <c r="Y11">
        <v>3450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0.2</v>
      </c>
      <c r="AH11">
        <v>2</v>
      </c>
      <c r="AI11">
        <v>39089274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ROW(Source!A27)</f>
        <v>27</v>
      </c>
      <c r="B12">
        <v>39089275</v>
      </c>
      <c r="C12">
        <v>39089270</v>
      </c>
      <c r="D12">
        <v>36799082</v>
      </c>
      <c r="E12">
        <v>17</v>
      </c>
      <c r="F12">
        <v>1</v>
      </c>
      <c r="G12">
        <v>1</v>
      </c>
      <c r="H12">
        <v>3</v>
      </c>
      <c r="I12" t="s">
        <v>372</v>
      </c>
      <c r="J12" t="s">
        <v>3</v>
      </c>
      <c r="K12" t="s">
        <v>373</v>
      </c>
      <c r="L12">
        <v>1348</v>
      </c>
      <c r="N12">
        <v>1009</v>
      </c>
      <c r="O12" t="s">
        <v>152</v>
      </c>
      <c r="P12" t="s">
        <v>152</v>
      </c>
      <c r="Q12">
        <v>1000</v>
      </c>
      <c r="X12">
        <v>1.8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3</v>
      </c>
      <c r="AG12">
        <v>1.8</v>
      </c>
      <c r="AH12">
        <v>3</v>
      </c>
      <c r="AI12">
        <v>-1</v>
      </c>
      <c r="AJ12" t="s">
        <v>3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ROW(Source!A27)</f>
        <v>27</v>
      </c>
      <c r="B13">
        <v>39089276</v>
      </c>
      <c r="C13">
        <v>39089270</v>
      </c>
      <c r="D13">
        <v>36804431</v>
      </c>
      <c r="E13">
        <v>1</v>
      </c>
      <c r="F13">
        <v>1</v>
      </c>
      <c r="G13">
        <v>1</v>
      </c>
      <c r="H13">
        <v>3</v>
      </c>
      <c r="I13" t="s">
        <v>301</v>
      </c>
      <c r="J13" t="s">
        <v>302</v>
      </c>
      <c r="K13" t="s">
        <v>303</v>
      </c>
      <c r="L13">
        <v>1348</v>
      </c>
      <c r="N13">
        <v>1009</v>
      </c>
      <c r="O13" t="s">
        <v>152</v>
      </c>
      <c r="P13" t="s">
        <v>152</v>
      </c>
      <c r="Q13">
        <v>1000</v>
      </c>
      <c r="X13">
        <v>0.11</v>
      </c>
      <c r="Y13">
        <v>13560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0.11</v>
      </c>
      <c r="AH13">
        <v>2</v>
      </c>
      <c r="AI13">
        <v>39089276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ROW(Source!A27)</f>
        <v>27</v>
      </c>
      <c r="B14">
        <v>39089277</v>
      </c>
      <c r="C14">
        <v>39089270</v>
      </c>
      <c r="D14">
        <v>36797677</v>
      </c>
      <c r="E14">
        <v>17</v>
      </c>
      <c r="F14">
        <v>1</v>
      </c>
      <c r="G14">
        <v>1</v>
      </c>
      <c r="H14">
        <v>3</v>
      </c>
      <c r="I14" t="s">
        <v>374</v>
      </c>
      <c r="J14" t="s">
        <v>3</v>
      </c>
      <c r="K14" t="s">
        <v>375</v>
      </c>
      <c r="L14">
        <v>1354</v>
      </c>
      <c r="N14">
        <v>1010</v>
      </c>
      <c r="O14" t="s">
        <v>48</v>
      </c>
      <c r="P14" t="s">
        <v>48</v>
      </c>
      <c r="Q14">
        <v>1</v>
      </c>
      <c r="X14">
        <v>100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3</v>
      </c>
      <c r="AG14">
        <v>100</v>
      </c>
      <c r="AH14">
        <v>3</v>
      </c>
      <c r="AI14">
        <v>-1</v>
      </c>
      <c r="AJ14" t="s">
        <v>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ROW(Source!A29)</f>
        <v>29</v>
      </c>
      <c r="B15">
        <v>39089281</v>
      </c>
      <c r="C15">
        <v>39089280</v>
      </c>
      <c r="D15">
        <v>37064928</v>
      </c>
      <c r="E15">
        <v>1</v>
      </c>
      <c r="F15">
        <v>1</v>
      </c>
      <c r="G15">
        <v>1</v>
      </c>
      <c r="H15">
        <v>1</v>
      </c>
      <c r="I15" t="s">
        <v>295</v>
      </c>
      <c r="J15" t="s">
        <v>3</v>
      </c>
      <c r="K15" t="s">
        <v>296</v>
      </c>
      <c r="L15">
        <v>1191</v>
      </c>
      <c r="N15">
        <v>1013</v>
      </c>
      <c r="O15" t="s">
        <v>280</v>
      </c>
      <c r="P15" t="s">
        <v>280</v>
      </c>
      <c r="Q15">
        <v>1</v>
      </c>
      <c r="X15">
        <v>422</v>
      </c>
      <c r="Y15">
        <v>0</v>
      </c>
      <c r="Z15">
        <v>0</v>
      </c>
      <c r="AA15">
        <v>0</v>
      </c>
      <c r="AB15">
        <v>9.07</v>
      </c>
      <c r="AC15">
        <v>0</v>
      </c>
      <c r="AD15">
        <v>1</v>
      </c>
      <c r="AE15">
        <v>1</v>
      </c>
      <c r="AF15" t="s">
        <v>3</v>
      </c>
      <c r="AG15">
        <v>422</v>
      </c>
      <c r="AH15">
        <v>2</v>
      </c>
      <c r="AI15">
        <v>39089281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ROW(Source!A29)</f>
        <v>29</v>
      </c>
      <c r="B16">
        <v>39089282</v>
      </c>
      <c r="C16">
        <v>39089280</v>
      </c>
      <c r="D16">
        <v>37064876</v>
      </c>
      <c r="E16">
        <v>1</v>
      </c>
      <c r="F16">
        <v>1</v>
      </c>
      <c r="G16">
        <v>1</v>
      </c>
      <c r="H16">
        <v>1</v>
      </c>
      <c r="I16" t="s">
        <v>285</v>
      </c>
      <c r="J16" t="s">
        <v>3</v>
      </c>
      <c r="K16" t="s">
        <v>286</v>
      </c>
      <c r="L16">
        <v>1191</v>
      </c>
      <c r="N16">
        <v>1013</v>
      </c>
      <c r="O16" t="s">
        <v>280</v>
      </c>
      <c r="P16" t="s">
        <v>280</v>
      </c>
      <c r="Q16">
        <v>1</v>
      </c>
      <c r="X16">
        <v>4.2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3</v>
      </c>
      <c r="AG16">
        <v>4.2</v>
      </c>
      <c r="AH16">
        <v>2</v>
      </c>
      <c r="AI16">
        <v>39089282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ROW(Source!A29)</f>
        <v>29</v>
      </c>
      <c r="B17">
        <v>39089283</v>
      </c>
      <c r="C17">
        <v>39089280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287</v>
      </c>
      <c r="J17" t="s">
        <v>288</v>
      </c>
      <c r="K17" t="s">
        <v>289</v>
      </c>
      <c r="L17">
        <v>1368</v>
      </c>
      <c r="N17">
        <v>1011</v>
      </c>
      <c r="O17" t="s">
        <v>290</v>
      </c>
      <c r="P17" t="s">
        <v>290</v>
      </c>
      <c r="Q17">
        <v>1</v>
      </c>
      <c r="X17">
        <v>4.2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4.2</v>
      </c>
      <c r="AH17">
        <v>2</v>
      </c>
      <c r="AI17">
        <v>39089283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ROW(Source!A29)</f>
        <v>29</v>
      </c>
      <c r="B18">
        <v>39089284</v>
      </c>
      <c r="C18">
        <v>39089280</v>
      </c>
      <c r="D18">
        <v>36799774</v>
      </c>
      <c r="E18">
        <v>1</v>
      </c>
      <c r="F18">
        <v>1</v>
      </c>
      <c r="G18">
        <v>1</v>
      </c>
      <c r="H18">
        <v>3</v>
      </c>
      <c r="I18" t="s">
        <v>304</v>
      </c>
      <c r="J18" t="s">
        <v>305</v>
      </c>
      <c r="K18" t="s">
        <v>306</v>
      </c>
      <c r="L18">
        <v>1356</v>
      </c>
      <c r="N18">
        <v>1010</v>
      </c>
      <c r="O18" t="s">
        <v>300</v>
      </c>
      <c r="P18" t="s">
        <v>300</v>
      </c>
      <c r="Q18">
        <v>1000</v>
      </c>
      <c r="X18">
        <v>0.2</v>
      </c>
      <c r="Y18">
        <v>5650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0.2</v>
      </c>
      <c r="AH18">
        <v>2</v>
      </c>
      <c r="AI18">
        <v>39089284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ROW(Source!A29)</f>
        <v>29</v>
      </c>
      <c r="B19">
        <v>39089285</v>
      </c>
      <c r="C19">
        <v>39089280</v>
      </c>
      <c r="D19">
        <v>36799082</v>
      </c>
      <c r="E19">
        <v>17</v>
      </c>
      <c r="F19">
        <v>1</v>
      </c>
      <c r="G19">
        <v>1</v>
      </c>
      <c r="H19">
        <v>3</v>
      </c>
      <c r="I19" t="s">
        <v>372</v>
      </c>
      <c r="J19" t="s">
        <v>3</v>
      </c>
      <c r="K19" t="s">
        <v>373</v>
      </c>
      <c r="L19">
        <v>1348</v>
      </c>
      <c r="N19">
        <v>1009</v>
      </c>
      <c r="O19" t="s">
        <v>152</v>
      </c>
      <c r="P19" t="s">
        <v>152</v>
      </c>
      <c r="Q19">
        <v>1000</v>
      </c>
      <c r="X19">
        <v>3.84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 t="s">
        <v>3</v>
      </c>
      <c r="AG19">
        <v>3.84</v>
      </c>
      <c r="AH19">
        <v>3</v>
      </c>
      <c r="AI19">
        <v>-1</v>
      </c>
      <c r="AJ19" t="s">
        <v>3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ROW(Source!A29)</f>
        <v>29</v>
      </c>
      <c r="B20">
        <v>39089286</v>
      </c>
      <c r="C20">
        <v>39089280</v>
      </c>
      <c r="D20">
        <v>36804431</v>
      </c>
      <c r="E20">
        <v>1</v>
      </c>
      <c r="F20">
        <v>1</v>
      </c>
      <c r="G20">
        <v>1</v>
      </c>
      <c r="H20">
        <v>3</v>
      </c>
      <c r="I20" t="s">
        <v>301</v>
      </c>
      <c r="J20" t="s">
        <v>302</v>
      </c>
      <c r="K20" t="s">
        <v>303</v>
      </c>
      <c r="L20">
        <v>1348</v>
      </c>
      <c r="N20">
        <v>1009</v>
      </c>
      <c r="O20" t="s">
        <v>152</v>
      </c>
      <c r="P20" t="s">
        <v>152</v>
      </c>
      <c r="Q20">
        <v>1000</v>
      </c>
      <c r="X20">
        <v>0.21</v>
      </c>
      <c r="Y20">
        <v>13560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0.21</v>
      </c>
      <c r="AH20">
        <v>2</v>
      </c>
      <c r="AI20">
        <v>39089286</v>
      </c>
      <c r="AJ20">
        <v>17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ROW(Source!A29)</f>
        <v>29</v>
      </c>
      <c r="B21">
        <v>39089287</v>
      </c>
      <c r="C21">
        <v>39089280</v>
      </c>
      <c r="D21">
        <v>36797677</v>
      </c>
      <c r="E21">
        <v>17</v>
      </c>
      <c r="F21">
        <v>1</v>
      </c>
      <c r="G21">
        <v>1</v>
      </c>
      <c r="H21">
        <v>3</v>
      </c>
      <c r="I21" t="s">
        <v>374</v>
      </c>
      <c r="J21" t="s">
        <v>3</v>
      </c>
      <c r="K21" t="s">
        <v>375</v>
      </c>
      <c r="L21">
        <v>1354</v>
      </c>
      <c r="N21">
        <v>1010</v>
      </c>
      <c r="O21" t="s">
        <v>48</v>
      </c>
      <c r="P21" t="s">
        <v>48</v>
      </c>
      <c r="Q21">
        <v>1</v>
      </c>
      <c r="X21">
        <v>100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t="s">
        <v>3</v>
      </c>
      <c r="AG21">
        <v>100</v>
      </c>
      <c r="AH21">
        <v>3</v>
      </c>
      <c r="AI21">
        <v>-1</v>
      </c>
      <c r="AJ21" t="s">
        <v>3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ROW(Source!A31)</f>
        <v>31</v>
      </c>
      <c r="B22">
        <v>39089291</v>
      </c>
      <c r="C22">
        <v>39089290</v>
      </c>
      <c r="D22">
        <v>37064928</v>
      </c>
      <c r="E22">
        <v>1</v>
      </c>
      <c r="F22">
        <v>1</v>
      </c>
      <c r="G22">
        <v>1</v>
      </c>
      <c r="H22">
        <v>1</v>
      </c>
      <c r="I22" t="s">
        <v>295</v>
      </c>
      <c r="J22" t="s">
        <v>3</v>
      </c>
      <c r="K22" t="s">
        <v>296</v>
      </c>
      <c r="L22">
        <v>1191</v>
      </c>
      <c r="N22">
        <v>1013</v>
      </c>
      <c r="O22" t="s">
        <v>280</v>
      </c>
      <c r="P22" t="s">
        <v>280</v>
      </c>
      <c r="Q22">
        <v>1</v>
      </c>
      <c r="X22">
        <v>594</v>
      </c>
      <c r="Y22">
        <v>0</v>
      </c>
      <c r="Z22">
        <v>0</v>
      </c>
      <c r="AA22">
        <v>0</v>
      </c>
      <c r="AB22">
        <v>9.07</v>
      </c>
      <c r="AC22">
        <v>0</v>
      </c>
      <c r="AD22">
        <v>1</v>
      </c>
      <c r="AE22">
        <v>1</v>
      </c>
      <c r="AF22" t="s">
        <v>3</v>
      </c>
      <c r="AG22">
        <v>594</v>
      </c>
      <c r="AH22">
        <v>2</v>
      </c>
      <c r="AI22">
        <v>39089291</v>
      </c>
      <c r="AJ22">
        <v>19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ROW(Source!A31)</f>
        <v>31</v>
      </c>
      <c r="B23">
        <v>39089292</v>
      </c>
      <c r="C23">
        <v>39089290</v>
      </c>
      <c r="D23">
        <v>37064876</v>
      </c>
      <c r="E23">
        <v>1</v>
      </c>
      <c r="F23">
        <v>1</v>
      </c>
      <c r="G23">
        <v>1</v>
      </c>
      <c r="H23">
        <v>1</v>
      </c>
      <c r="I23" t="s">
        <v>285</v>
      </c>
      <c r="J23" t="s">
        <v>3</v>
      </c>
      <c r="K23" t="s">
        <v>286</v>
      </c>
      <c r="L23">
        <v>1191</v>
      </c>
      <c r="N23">
        <v>1013</v>
      </c>
      <c r="O23" t="s">
        <v>280</v>
      </c>
      <c r="P23" t="s">
        <v>280</v>
      </c>
      <c r="Q23">
        <v>1</v>
      </c>
      <c r="X23">
        <v>6.3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3</v>
      </c>
      <c r="AG23">
        <v>6.3</v>
      </c>
      <c r="AH23">
        <v>2</v>
      </c>
      <c r="AI23">
        <v>39089292</v>
      </c>
      <c r="AJ23">
        <v>20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ROW(Source!A31)</f>
        <v>31</v>
      </c>
      <c r="B24">
        <v>39089293</v>
      </c>
      <c r="C24">
        <v>39089290</v>
      </c>
      <c r="D24">
        <v>36883554</v>
      </c>
      <c r="E24">
        <v>1</v>
      </c>
      <c r="F24">
        <v>1</v>
      </c>
      <c r="G24">
        <v>1</v>
      </c>
      <c r="H24">
        <v>2</v>
      </c>
      <c r="I24" t="s">
        <v>287</v>
      </c>
      <c r="J24" t="s">
        <v>288</v>
      </c>
      <c r="K24" t="s">
        <v>289</v>
      </c>
      <c r="L24">
        <v>1368</v>
      </c>
      <c r="N24">
        <v>1011</v>
      </c>
      <c r="O24" t="s">
        <v>290</v>
      </c>
      <c r="P24" t="s">
        <v>290</v>
      </c>
      <c r="Q24">
        <v>1</v>
      </c>
      <c r="X24">
        <v>6.3</v>
      </c>
      <c r="Y24">
        <v>0</v>
      </c>
      <c r="Z24">
        <v>65.709999999999994</v>
      </c>
      <c r="AA24">
        <v>11.6</v>
      </c>
      <c r="AB24">
        <v>0</v>
      </c>
      <c r="AC24">
        <v>0</v>
      </c>
      <c r="AD24">
        <v>1</v>
      </c>
      <c r="AE24">
        <v>0</v>
      </c>
      <c r="AF24" t="s">
        <v>3</v>
      </c>
      <c r="AG24">
        <v>6.3</v>
      </c>
      <c r="AH24">
        <v>2</v>
      </c>
      <c r="AI24">
        <v>39089293</v>
      </c>
      <c r="AJ24">
        <v>21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ROW(Source!A31)</f>
        <v>31</v>
      </c>
      <c r="B25">
        <v>39089294</v>
      </c>
      <c r="C25">
        <v>39089290</v>
      </c>
      <c r="D25">
        <v>36799775</v>
      </c>
      <c r="E25">
        <v>1</v>
      </c>
      <c r="F25">
        <v>1</v>
      </c>
      <c r="G25">
        <v>1</v>
      </c>
      <c r="H25">
        <v>3</v>
      </c>
      <c r="I25" t="s">
        <v>307</v>
      </c>
      <c r="J25" t="s">
        <v>308</v>
      </c>
      <c r="K25" t="s">
        <v>309</v>
      </c>
      <c r="L25">
        <v>1356</v>
      </c>
      <c r="N25">
        <v>1010</v>
      </c>
      <c r="O25" t="s">
        <v>300</v>
      </c>
      <c r="P25" t="s">
        <v>300</v>
      </c>
      <c r="Q25">
        <v>1000</v>
      </c>
      <c r="X25">
        <v>0.2</v>
      </c>
      <c r="Y25">
        <v>7980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0.2</v>
      </c>
      <c r="AH25">
        <v>2</v>
      </c>
      <c r="AI25">
        <v>39089294</v>
      </c>
      <c r="AJ25">
        <v>22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ROW(Source!A31)</f>
        <v>31</v>
      </c>
      <c r="B26">
        <v>39089295</v>
      </c>
      <c r="C26">
        <v>39089290</v>
      </c>
      <c r="D26">
        <v>36799082</v>
      </c>
      <c r="E26">
        <v>17</v>
      </c>
      <c r="F26">
        <v>1</v>
      </c>
      <c r="G26">
        <v>1</v>
      </c>
      <c r="H26">
        <v>3</v>
      </c>
      <c r="I26" t="s">
        <v>372</v>
      </c>
      <c r="J26" t="s">
        <v>3</v>
      </c>
      <c r="K26" t="s">
        <v>373</v>
      </c>
      <c r="L26">
        <v>1348</v>
      </c>
      <c r="N26">
        <v>1009</v>
      </c>
      <c r="O26" t="s">
        <v>152</v>
      </c>
      <c r="P26" t="s">
        <v>152</v>
      </c>
      <c r="Q26">
        <v>1000</v>
      </c>
      <c r="X26">
        <v>7.41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3</v>
      </c>
      <c r="AG26">
        <v>7.41</v>
      </c>
      <c r="AH26">
        <v>3</v>
      </c>
      <c r="AI26">
        <v>-1</v>
      </c>
      <c r="AJ26" t="s">
        <v>3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ROW(Source!A31)</f>
        <v>31</v>
      </c>
      <c r="B27">
        <v>39089296</v>
      </c>
      <c r="C27">
        <v>39089290</v>
      </c>
      <c r="D27">
        <v>36804431</v>
      </c>
      <c r="E27">
        <v>1</v>
      </c>
      <c r="F27">
        <v>1</v>
      </c>
      <c r="G27">
        <v>1</v>
      </c>
      <c r="H27">
        <v>3</v>
      </c>
      <c r="I27" t="s">
        <v>301</v>
      </c>
      <c r="J27" t="s">
        <v>302</v>
      </c>
      <c r="K27" t="s">
        <v>303</v>
      </c>
      <c r="L27">
        <v>1348</v>
      </c>
      <c r="N27">
        <v>1009</v>
      </c>
      <c r="O27" t="s">
        <v>152</v>
      </c>
      <c r="P27" t="s">
        <v>152</v>
      </c>
      <c r="Q27">
        <v>1000</v>
      </c>
      <c r="X27">
        <v>0.51</v>
      </c>
      <c r="Y27">
        <v>13560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0.51</v>
      </c>
      <c r="AH27">
        <v>2</v>
      </c>
      <c r="AI27">
        <v>39089296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ROW(Source!A31)</f>
        <v>31</v>
      </c>
      <c r="B28">
        <v>39089297</v>
      </c>
      <c r="C28">
        <v>39089290</v>
      </c>
      <c r="D28">
        <v>36797677</v>
      </c>
      <c r="E28">
        <v>17</v>
      </c>
      <c r="F28">
        <v>1</v>
      </c>
      <c r="G28">
        <v>1</v>
      </c>
      <c r="H28">
        <v>3</v>
      </c>
      <c r="I28" t="s">
        <v>374</v>
      </c>
      <c r="J28" t="s">
        <v>3</v>
      </c>
      <c r="K28" t="s">
        <v>375</v>
      </c>
      <c r="L28">
        <v>1354</v>
      </c>
      <c r="N28">
        <v>1010</v>
      </c>
      <c r="O28" t="s">
        <v>48</v>
      </c>
      <c r="P28" t="s">
        <v>48</v>
      </c>
      <c r="Q28">
        <v>1</v>
      </c>
      <c r="X28">
        <v>100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 t="s">
        <v>3</v>
      </c>
      <c r="AG28">
        <v>100</v>
      </c>
      <c r="AH28">
        <v>3</v>
      </c>
      <c r="AI28">
        <v>-1</v>
      </c>
      <c r="AJ28" t="s">
        <v>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39088931</v>
      </c>
      <c r="C29">
        <v>39088930</v>
      </c>
      <c r="D29">
        <v>37065248</v>
      </c>
      <c r="E29">
        <v>1</v>
      </c>
      <c r="F29">
        <v>1</v>
      </c>
      <c r="G29">
        <v>1</v>
      </c>
      <c r="H29">
        <v>1</v>
      </c>
      <c r="I29" t="s">
        <v>278</v>
      </c>
      <c r="J29" t="s">
        <v>3</v>
      </c>
      <c r="K29" t="s">
        <v>279</v>
      </c>
      <c r="L29">
        <v>1191</v>
      </c>
      <c r="N29">
        <v>1013</v>
      </c>
      <c r="O29" t="s">
        <v>280</v>
      </c>
      <c r="P29" t="s">
        <v>280</v>
      </c>
      <c r="Q29">
        <v>1</v>
      </c>
      <c r="X29">
        <v>154.69999999999999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3</v>
      </c>
      <c r="AG29">
        <v>154.69999999999999</v>
      </c>
      <c r="AH29">
        <v>2</v>
      </c>
      <c r="AI29">
        <v>39088931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39088932</v>
      </c>
      <c r="C30">
        <v>39088930</v>
      </c>
      <c r="D30">
        <v>37064876</v>
      </c>
      <c r="E30">
        <v>1</v>
      </c>
      <c r="F30">
        <v>1</v>
      </c>
      <c r="G30">
        <v>1</v>
      </c>
      <c r="H30">
        <v>1</v>
      </c>
      <c r="I30" t="s">
        <v>285</v>
      </c>
      <c r="J30" t="s">
        <v>3</v>
      </c>
      <c r="K30" t="s">
        <v>286</v>
      </c>
      <c r="L30">
        <v>1191</v>
      </c>
      <c r="N30">
        <v>1013</v>
      </c>
      <c r="O30" t="s">
        <v>280</v>
      </c>
      <c r="P30" t="s">
        <v>280</v>
      </c>
      <c r="Q30">
        <v>1</v>
      </c>
      <c r="X30">
        <v>0.75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3</v>
      </c>
      <c r="AG30">
        <v>0.75</v>
      </c>
      <c r="AH30">
        <v>2</v>
      </c>
      <c r="AI30">
        <v>39088932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39088933</v>
      </c>
      <c r="C31">
        <v>39088930</v>
      </c>
      <c r="D31">
        <v>36882452</v>
      </c>
      <c r="E31">
        <v>1</v>
      </c>
      <c r="F31">
        <v>1</v>
      </c>
      <c r="G31">
        <v>1</v>
      </c>
      <c r="H31">
        <v>2</v>
      </c>
      <c r="I31" t="s">
        <v>310</v>
      </c>
      <c r="J31" t="s">
        <v>311</v>
      </c>
      <c r="K31" t="s">
        <v>312</v>
      </c>
      <c r="L31">
        <v>1368</v>
      </c>
      <c r="N31">
        <v>1011</v>
      </c>
      <c r="O31" t="s">
        <v>290</v>
      </c>
      <c r="P31" t="s">
        <v>290</v>
      </c>
      <c r="Q31">
        <v>1</v>
      </c>
      <c r="X31">
        <v>0.75</v>
      </c>
      <c r="Y31">
        <v>0</v>
      </c>
      <c r="Z31">
        <v>31.26</v>
      </c>
      <c r="AA31">
        <v>13.5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0.75</v>
      </c>
      <c r="AH31">
        <v>2</v>
      </c>
      <c r="AI31">
        <v>39088933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39088934</v>
      </c>
      <c r="C32">
        <v>39088930</v>
      </c>
      <c r="D32">
        <v>36799082</v>
      </c>
      <c r="E32">
        <v>17</v>
      </c>
      <c r="F32">
        <v>1</v>
      </c>
      <c r="G32">
        <v>1</v>
      </c>
      <c r="H32">
        <v>3</v>
      </c>
      <c r="I32" t="s">
        <v>372</v>
      </c>
      <c r="J32" t="s">
        <v>3</v>
      </c>
      <c r="K32" t="s">
        <v>373</v>
      </c>
      <c r="L32">
        <v>1348</v>
      </c>
      <c r="N32">
        <v>1009</v>
      </c>
      <c r="O32" t="s">
        <v>152</v>
      </c>
      <c r="P32" t="s">
        <v>152</v>
      </c>
      <c r="Q32">
        <v>1000</v>
      </c>
      <c r="X32">
        <v>10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 t="s">
        <v>3</v>
      </c>
      <c r="AG32">
        <v>10</v>
      </c>
      <c r="AH32">
        <v>3</v>
      </c>
      <c r="AI32">
        <v>-1</v>
      </c>
      <c r="AJ32" t="s">
        <v>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ROW(Source!A34)</f>
        <v>34</v>
      </c>
      <c r="B33">
        <v>39089309</v>
      </c>
      <c r="C33">
        <v>39089308</v>
      </c>
      <c r="D33">
        <v>37065248</v>
      </c>
      <c r="E33">
        <v>1</v>
      </c>
      <c r="F33">
        <v>1</v>
      </c>
      <c r="G33">
        <v>1</v>
      </c>
      <c r="H33">
        <v>1</v>
      </c>
      <c r="I33" t="s">
        <v>278</v>
      </c>
      <c r="J33" t="s">
        <v>3</v>
      </c>
      <c r="K33" t="s">
        <v>279</v>
      </c>
      <c r="L33">
        <v>1191</v>
      </c>
      <c r="N33">
        <v>1013</v>
      </c>
      <c r="O33" t="s">
        <v>280</v>
      </c>
      <c r="P33" t="s">
        <v>280</v>
      </c>
      <c r="Q33">
        <v>1</v>
      </c>
      <c r="X33">
        <v>95.3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3</v>
      </c>
      <c r="AG33">
        <v>95.3</v>
      </c>
      <c r="AH33">
        <v>2</v>
      </c>
      <c r="AI33">
        <v>39089309</v>
      </c>
      <c r="AJ33">
        <v>28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ROW(Source!A34)</f>
        <v>34</v>
      </c>
      <c r="B34">
        <v>39089310</v>
      </c>
      <c r="C34">
        <v>39089308</v>
      </c>
      <c r="D34">
        <v>37064876</v>
      </c>
      <c r="E34">
        <v>1</v>
      </c>
      <c r="F34">
        <v>1</v>
      </c>
      <c r="G34">
        <v>1</v>
      </c>
      <c r="H34">
        <v>1</v>
      </c>
      <c r="I34" t="s">
        <v>285</v>
      </c>
      <c r="J34" t="s">
        <v>3</v>
      </c>
      <c r="K34" t="s">
        <v>286</v>
      </c>
      <c r="L34">
        <v>1191</v>
      </c>
      <c r="N34">
        <v>1013</v>
      </c>
      <c r="O34" t="s">
        <v>280</v>
      </c>
      <c r="P34" t="s">
        <v>280</v>
      </c>
      <c r="Q34">
        <v>1</v>
      </c>
      <c r="X34">
        <v>0.25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3</v>
      </c>
      <c r="AG34">
        <v>0.25</v>
      </c>
      <c r="AH34">
        <v>2</v>
      </c>
      <c r="AI34">
        <v>39089310</v>
      </c>
      <c r="AJ34">
        <v>29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ROW(Source!A34)</f>
        <v>34</v>
      </c>
      <c r="B35">
        <v>39089311</v>
      </c>
      <c r="C35">
        <v>39089308</v>
      </c>
      <c r="D35">
        <v>36882452</v>
      </c>
      <c r="E35">
        <v>1</v>
      </c>
      <c r="F35">
        <v>1</v>
      </c>
      <c r="G35">
        <v>1</v>
      </c>
      <c r="H35">
        <v>2</v>
      </c>
      <c r="I35" t="s">
        <v>310</v>
      </c>
      <c r="J35" t="s">
        <v>311</v>
      </c>
      <c r="K35" t="s">
        <v>312</v>
      </c>
      <c r="L35">
        <v>1368</v>
      </c>
      <c r="N35">
        <v>1011</v>
      </c>
      <c r="O35" t="s">
        <v>290</v>
      </c>
      <c r="P35" t="s">
        <v>290</v>
      </c>
      <c r="Q35">
        <v>1</v>
      </c>
      <c r="X35">
        <v>0.25</v>
      </c>
      <c r="Y35">
        <v>0</v>
      </c>
      <c r="Z35">
        <v>31.26</v>
      </c>
      <c r="AA35">
        <v>13.5</v>
      </c>
      <c r="AB35">
        <v>0</v>
      </c>
      <c r="AC35">
        <v>0</v>
      </c>
      <c r="AD35">
        <v>1</v>
      </c>
      <c r="AE35">
        <v>0</v>
      </c>
      <c r="AF35" t="s">
        <v>3</v>
      </c>
      <c r="AG35">
        <v>0.25</v>
      </c>
      <c r="AH35">
        <v>2</v>
      </c>
      <c r="AI35">
        <v>39089311</v>
      </c>
      <c r="AJ35">
        <v>30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ROW(Source!A34)</f>
        <v>34</v>
      </c>
      <c r="B36">
        <v>39089312</v>
      </c>
      <c r="C36">
        <v>39089308</v>
      </c>
      <c r="D36">
        <v>36799082</v>
      </c>
      <c r="E36">
        <v>17</v>
      </c>
      <c r="F36">
        <v>1</v>
      </c>
      <c r="G36">
        <v>1</v>
      </c>
      <c r="H36">
        <v>3</v>
      </c>
      <c r="I36" t="s">
        <v>372</v>
      </c>
      <c r="J36" t="s">
        <v>3</v>
      </c>
      <c r="K36" t="s">
        <v>373</v>
      </c>
      <c r="L36">
        <v>1348</v>
      </c>
      <c r="N36">
        <v>1009</v>
      </c>
      <c r="O36" t="s">
        <v>152</v>
      </c>
      <c r="P36" t="s">
        <v>152</v>
      </c>
      <c r="Q36">
        <v>1000</v>
      </c>
      <c r="X36">
        <v>4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 t="s">
        <v>3</v>
      </c>
      <c r="AG36">
        <v>4</v>
      </c>
      <c r="AH36">
        <v>3</v>
      </c>
      <c r="AI36">
        <v>-1</v>
      </c>
      <c r="AJ36" t="s">
        <v>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ROW(Source!A35)</f>
        <v>35</v>
      </c>
      <c r="B37">
        <v>39088937</v>
      </c>
      <c r="C37">
        <v>39088936</v>
      </c>
      <c r="D37">
        <v>37070164</v>
      </c>
      <c r="E37">
        <v>1</v>
      </c>
      <c r="F37">
        <v>1</v>
      </c>
      <c r="G37">
        <v>1</v>
      </c>
      <c r="H37">
        <v>1</v>
      </c>
      <c r="I37" t="s">
        <v>313</v>
      </c>
      <c r="J37" t="s">
        <v>3</v>
      </c>
      <c r="K37" t="s">
        <v>314</v>
      </c>
      <c r="L37">
        <v>1191</v>
      </c>
      <c r="N37">
        <v>1013</v>
      </c>
      <c r="O37" t="s">
        <v>280</v>
      </c>
      <c r="P37" t="s">
        <v>280</v>
      </c>
      <c r="Q37">
        <v>1</v>
      </c>
      <c r="X37">
        <v>10.74</v>
      </c>
      <c r="Y37">
        <v>0</v>
      </c>
      <c r="Z37">
        <v>0</v>
      </c>
      <c r="AA37">
        <v>0</v>
      </c>
      <c r="AB37">
        <v>9.2899999999999991</v>
      </c>
      <c r="AC37">
        <v>0</v>
      </c>
      <c r="AD37">
        <v>1</v>
      </c>
      <c r="AE37">
        <v>1</v>
      </c>
      <c r="AF37" t="s">
        <v>84</v>
      </c>
      <c r="AG37">
        <v>4.2960000000000003</v>
      </c>
      <c r="AH37">
        <v>2</v>
      </c>
      <c r="AI37">
        <v>39088937</v>
      </c>
      <c r="AJ37">
        <v>31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ROW(Source!A35)</f>
        <v>35</v>
      </c>
      <c r="B38">
        <v>39088938</v>
      </c>
      <c r="C38">
        <v>39088936</v>
      </c>
      <c r="D38">
        <v>37064876</v>
      </c>
      <c r="E38">
        <v>1</v>
      </c>
      <c r="F38">
        <v>1</v>
      </c>
      <c r="G38">
        <v>1</v>
      </c>
      <c r="H38">
        <v>1</v>
      </c>
      <c r="I38" t="s">
        <v>285</v>
      </c>
      <c r="J38" t="s">
        <v>3</v>
      </c>
      <c r="K38" t="s">
        <v>286</v>
      </c>
      <c r="L38">
        <v>1191</v>
      </c>
      <c r="N38">
        <v>1013</v>
      </c>
      <c r="O38" t="s">
        <v>280</v>
      </c>
      <c r="P38" t="s">
        <v>280</v>
      </c>
      <c r="Q38">
        <v>1</v>
      </c>
      <c r="X38">
        <v>0.22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2</v>
      </c>
      <c r="AF38" t="s">
        <v>84</v>
      </c>
      <c r="AG38">
        <v>8.8000000000000009E-2</v>
      </c>
      <c r="AH38">
        <v>2</v>
      </c>
      <c r="AI38">
        <v>39088938</v>
      </c>
      <c r="AJ38">
        <v>32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ROW(Source!A35)</f>
        <v>35</v>
      </c>
      <c r="B39">
        <v>39088939</v>
      </c>
      <c r="C39">
        <v>39088936</v>
      </c>
      <c r="D39">
        <v>36882057</v>
      </c>
      <c r="E39">
        <v>1</v>
      </c>
      <c r="F39">
        <v>1</v>
      </c>
      <c r="G39">
        <v>1</v>
      </c>
      <c r="H39">
        <v>2</v>
      </c>
      <c r="I39" t="s">
        <v>315</v>
      </c>
      <c r="J39" t="s">
        <v>316</v>
      </c>
      <c r="K39" t="s">
        <v>317</v>
      </c>
      <c r="L39">
        <v>1368</v>
      </c>
      <c r="N39">
        <v>1011</v>
      </c>
      <c r="O39" t="s">
        <v>290</v>
      </c>
      <c r="P39" t="s">
        <v>290</v>
      </c>
      <c r="Q39">
        <v>1</v>
      </c>
      <c r="X39">
        <v>0.06</v>
      </c>
      <c r="Y39">
        <v>0</v>
      </c>
      <c r="Z39">
        <v>86.4</v>
      </c>
      <c r="AA39">
        <v>13.5</v>
      </c>
      <c r="AB39">
        <v>0</v>
      </c>
      <c r="AC39">
        <v>0</v>
      </c>
      <c r="AD39">
        <v>1</v>
      </c>
      <c r="AE39">
        <v>0</v>
      </c>
      <c r="AF39" t="s">
        <v>84</v>
      </c>
      <c r="AG39">
        <v>2.4E-2</v>
      </c>
      <c r="AH39">
        <v>2</v>
      </c>
      <c r="AI39">
        <v>39088939</v>
      </c>
      <c r="AJ39">
        <v>33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ROW(Source!A35)</f>
        <v>35</v>
      </c>
      <c r="B40">
        <v>39088940</v>
      </c>
      <c r="C40">
        <v>39088936</v>
      </c>
      <c r="D40">
        <v>36882159</v>
      </c>
      <c r="E40">
        <v>1</v>
      </c>
      <c r="F40">
        <v>1</v>
      </c>
      <c r="G40">
        <v>1</v>
      </c>
      <c r="H40">
        <v>2</v>
      </c>
      <c r="I40" t="s">
        <v>318</v>
      </c>
      <c r="J40" t="s">
        <v>319</v>
      </c>
      <c r="K40" t="s">
        <v>320</v>
      </c>
      <c r="L40">
        <v>1368</v>
      </c>
      <c r="N40">
        <v>1011</v>
      </c>
      <c r="O40" t="s">
        <v>290</v>
      </c>
      <c r="P40" t="s">
        <v>290</v>
      </c>
      <c r="Q40">
        <v>1</v>
      </c>
      <c r="X40">
        <v>0.04</v>
      </c>
      <c r="Y40">
        <v>0</v>
      </c>
      <c r="Z40">
        <v>111.99</v>
      </c>
      <c r="AA40">
        <v>13.5</v>
      </c>
      <c r="AB40">
        <v>0</v>
      </c>
      <c r="AC40">
        <v>0</v>
      </c>
      <c r="AD40">
        <v>1</v>
      </c>
      <c r="AE40">
        <v>0</v>
      </c>
      <c r="AF40" t="s">
        <v>84</v>
      </c>
      <c r="AG40">
        <v>1.6E-2</v>
      </c>
      <c r="AH40">
        <v>2</v>
      </c>
      <c r="AI40">
        <v>39088940</v>
      </c>
      <c r="AJ40">
        <v>34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ROW(Source!A35)</f>
        <v>35</v>
      </c>
      <c r="B41">
        <v>39088941</v>
      </c>
      <c r="C41">
        <v>39088936</v>
      </c>
      <c r="D41">
        <v>36883554</v>
      </c>
      <c r="E41">
        <v>1</v>
      </c>
      <c r="F41">
        <v>1</v>
      </c>
      <c r="G41">
        <v>1</v>
      </c>
      <c r="H41">
        <v>2</v>
      </c>
      <c r="I41" t="s">
        <v>287</v>
      </c>
      <c r="J41" t="s">
        <v>288</v>
      </c>
      <c r="K41" t="s">
        <v>289</v>
      </c>
      <c r="L41">
        <v>1368</v>
      </c>
      <c r="N41">
        <v>1011</v>
      </c>
      <c r="O41" t="s">
        <v>290</v>
      </c>
      <c r="P41" t="s">
        <v>290</v>
      </c>
      <c r="Q41">
        <v>1</v>
      </c>
      <c r="X41">
        <v>0.12</v>
      </c>
      <c r="Y41">
        <v>0</v>
      </c>
      <c r="Z41">
        <v>65.709999999999994</v>
      </c>
      <c r="AA41">
        <v>11.6</v>
      </c>
      <c r="AB41">
        <v>0</v>
      </c>
      <c r="AC41">
        <v>0</v>
      </c>
      <c r="AD41">
        <v>1</v>
      </c>
      <c r="AE41">
        <v>0</v>
      </c>
      <c r="AF41" t="s">
        <v>84</v>
      </c>
      <c r="AG41">
        <v>4.8000000000000001E-2</v>
      </c>
      <c r="AH41">
        <v>2</v>
      </c>
      <c r="AI41">
        <v>39088941</v>
      </c>
      <c r="AJ41">
        <v>35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ROW(Source!A35)</f>
        <v>35</v>
      </c>
      <c r="B42">
        <v>39088942</v>
      </c>
      <c r="C42">
        <v>39088936</v>
      </c>
      <c r="D42">
        <v>36883858</v>
      </c>
      <c r="E42">
        <v>1</v>
      </c>
      <c r="F42">
        <v>1</v>
      </c>
      <c r="G42">
        <v>1</v>
      </c>
      <c r="H42">
        <v>2</v>
      </c>
      <c r="I42" t="s">
        <v>321</v>
      </c>
      <c r="J42" t="s">
        <v>322</v>
      </c>
      <c r="K42" t="s">
        <v>323</v>
      </c>
      <c r="L42">
        <v>1368</v>
      </c>
      <c r="N42">
        <v>1011</v>
      </c>
      <c r="O42" t="s">
        <v>290</v>
      </c>
      <c r="P42" t="s">
        <v>290</v>
      </c>
      <c r="Q42">
        <v>1</v>
      </c>
      <c r="X42">
        <v>1.79</v>
      </c>
      <c r="Y42">
        <v>0</v>
      </c>
      <c r="Z42">
        <v>8.1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84</v>
      </c>
      <c r="AG42">
        <v>0.71600000000000008</v>
      </c>
      <c r="AH42">
        <v>2</v>
      </c>
      <c r="AI42">
        <v>39088942</v>
      </c>
      <c r="AJ42">
        <v>36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ROW(Source!A35)</f>
        <v>35</v>
      </c>
      <c r="B43">
        <v>39088943</v>
      </c>
      <c r="C43">
        <v>39088936</v>
      </c>
      <c r="D43">
        <v>36799778</v>
      </c>
      <c r="E43">
        <v>1</v>
      </c>
      <c r="F43">
        <v>1</v>
      </c>
      <c r="G43">
        <v>1</v>
      </c>
      <c r="H43">
        <v>3</v>
      </c>
      <c r="I43" t="s">
        <v>324</v>
      </c>
      <c r="J43" t="s">
        <v>325</v>
      </c>
      <c r="K43" t="s">
        <v>326</v>
      </c>
      <c r="L43">
        <v>1356</v>
      </c>
      <c r="N43">
        <v>1010</v>
      </c>
      <c r="O43" t="s">
        <v>300</v>
      </c>
      <c r="P43" t="s">
        <v>300</v>
      </c>
      <c r="Q43">
        <v>1000</v>
      </c>
      <c r="X43">
        <v>2E-3</v>
      </c>
      <c r="Y43">
        <v>15270.7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83</v>
      </c>
      <c r="AG43">
        <v>0</v>
      </c>
      <c r="AH43">
        <v>2</v>
      </c>
      <c r="AI43">
        <v>39088943</v>
      </c>
      <c r="AJ43">
        <v>37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ROW(Source!A35)</f>
        <v>35</v>
      </c>
      <c r="B44">
        <v>39088944</v>
      </c>
      <c r="C44">
        <v>39088936</v>
      </c>
      <c r="D44">
        <v>36803269</v>
      </c>
      <c r="E44">
        <v>1</v>
      </c>
      <c r="F44">
        <v>1</v>
      </c>
      <c r="G44">
        <v>1</v>
      </c>
      <c r="H44">
        <v>3</v>
      </c>
      <c r="I44" t="s">
        <v>327</v>
      </c>
      <c r="J44" t="s">
        <v>328</v>
      </c>
      <c r="K44" t="s">
        <v>329</v>
      </c>
      <c r="L44">
        <v>1348</v>
      </c>
      <c r="N44">
        <v>1009</v>
      </c>
      <c r="O44" t="s">
        <v>152</v>
      </c>
      <c r="P44" t="s">
        <v>152</v>
      </c>
      <c r="Q44">
        <v>1000</v>
      </c>
      <c r="X44">
        <v>1.4E-3</v>
      </c>
      <c r="Y44">
        <v>10362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83</v>
      </c>
      <c r="AG44">
        <v>0</v>
      </c>
      <c r="AH44">
        <v>2</v>
      </c>
      <c r="AI44">
        <v>39088944</v>
      </c>
      <c r="AJ44">
        <v>38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ROW(Source!A35)</f>
        <v>35</v>
      </c>
      <c r="B45">
        <v>39088945</v>
      </c>
      <c r="C45">
        <v>39088936</v>
      </c>
      <c r="D45">
        <v>36804431</v>
      </c>
      <c r="E45">
        <v>1</v>
      </c>
      <c r="F45">
        <v>1</v>
      </c>
      <c r="G45">
        <v>1</v>
      </c>
      <c r="H45">
        <v>3</v>
      </c>
      <c r="I45" t="s">
        <v>301</v>
      </c>
      <c r="J45" t="s">
        <v>302</v>
      </c>
      <c r="K45" t="s">
        <v>303</v>
      </c>
      <c r="L45">
        <v>1348</v>
      </c>
      <c r="N45">
        <v>1009</v>
      </c>
      <c r="O45" t="s">
        <v>152</v>
      </c>
      <c r="P45" t="s">
        <v>152</v>
      </c>
      <c r="Q45">
        <v>1000</v>
      </c>
      <c r="X45">
        <v>7.8600000000000007E-3</v>
      </c>
      <c r="Y45">
        <v>13560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83</v>
      </c>
      <c r="AG45">
        <v>0</v>
      </c>
      <c r="AH45">
        <v>2</v>
      </c>
      <c r="AI45">
        <v>39088945</v>
      </c>
      <c r="AJ45">
        <v>39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ROW(Source!A35)</f>
        <v>35</v>
      </c>
      <c r="B46">
        <v>39088946</v>
      </c>
      <c r="C46">
        <v>39088936</v>
      </c>
      <c r="D46">
        <v>36797677</v>
      </c>
      <c r="E46">
        <v>17</v>
      </c>
      <c r="F46">
        <v>1</v>
      </c>
      <c r="G46">
        <v>1</v>
      </c>
      <c r="H46">
        <v>3</v>
      </c>
      <c r="I46" t="s">
        <v>374</v>
      </c>
      <c r="J46" t="s">
        <v>3</v>
      </c>
      <c r="K46" t="s">
        <v>375</v>
      </c>
      <c r="L46">
        <v>1354</v>
      </c>
      <c r="N46">
        <v>1010</v>
      </c>
      <c r="O46" t="s">
        <v>48</v>
      </c>
      <c r="P46" t="s">
        <v>48</v>
      </c>
      <c r="Q46">
        <v>1</v>
      </c>
      <c r="X46">
        <v>1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 t="s">
        <v>83</v>
      </c>
      <c r="AG46">
        <v>0</v>
      </c>
      <c r="AH46">
        <v>3</v>
      </c>
      <c r="AI46">
        <v>-1</v>
      </c>
      <c r="AJ46" t="s">
        <v>3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ROW(Source!A35)</f>
        <v>35</v>
      </c>
      <c r="B47">
        <v>39088947</v>
      </c>
      <c r="C47">
        <v>39088936</v>
      </c>
      <c r="D47">
        <v>36797638</v>
      </c>
      <c r="E47">
        <v>17</v>
      </c>
      <c r="F47">
        <v>1</v>
      </c>
      <c r="G47">
        <v>1</v>
      </c>
      <c r="H47">
        <v>3</v>
      </c>
      <c r="I47" t="s">
        <v>376</v>
      </c>
      <c r="J47" t="s">
        <v>3</v>
      </c>
      <c r="K47" t="s">
        <v>377</v>
      </c>
      <c r="L47">
        <v>1354</v>
      </c>
      <c r="N47">
        <v>1010</v>
      </c>
      <c r="O47" t="s">
        <v>48</v>
      </c>
      <c r="P47" t="s">
        <v>48</v>
      </c>
      <c r="Q47">
        <v>1</v>
      </c>
      <c r="X47">
        <v>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83</v>
      </c>
      <c r="AG47">
        <v>0</v>
      </c>
      <c r="AH47">
        <v>3</v>
      </c>
      <c r="AI47">
        <v>-1</v>
      </c>
      <c r="AJ47" t="s">
        <v>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ROW(Source!A36)</f>
        <v>36</v>
      </c>
      <c r="B48">
        <v>39089064</v>
      </c>
      <c r="C48">
        <v>39089063</v>
      </c>
      <c r="D48">
        <v>37069580</v>
      </c>
      <c r="E48">
        <v>1</v>
      </c>
      <c r="F48">
        <v>1</v>
      </c>
      <c r="G48">
        <v>1</v>
      </c>
      <c r="H48">
        <v>1</v>
      </c>
      <c r="I48" t="s">
        <v>283</v>
      </c>
      <c r="J48" t="s">
        <v>3</v>
      </c>
      <c r="K48" t="s">
        <v>284</v>
      </c>
      <c r="L48">
        <v>1191</v>
      </c>
      <c r="N48">
        <v>1013</v>
      </c>
      <c r="O48" t="s">
        <v>280</v>
      </c>
      <c r="P48" t="s">
        <v>280</v>
      </c>
      <c r="Q48">
        <v>1</v>
      </c>
      <c r="X48">
        <v>3.27</v>
      </c>
      <c r="Y48">
        <v>0</v>
      </c>
      <c r="Z48">
        <v>0</v>
      </c>
      <c r="AA48">
        <v>0</v>
      </c>
      <c r="AB48">
        <v>8.64</v>
      </c>
      <c r="AC48">
        <v>0</v>
      </c>
      <c r="AD48">
        <v>1</v>
      </c>
      <c r="AE48">
        <v>1</v>
      </c>
      <c r="AF48" t="s">
        <v>3</v>
      </c>
      <c r="AG48">
        <v>3.27</v>
      </c>
      <c r="AH48">
        <v>2</v>
      </c>
      <c r="AI48">
        <v>39089064</v>
      </c>
      <c r="AJ48">
        <v>40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ROW(Source!A36)</f>
        <v>36</v>
      </c>
      <c r="B49">
        <v>39089065</v>
      </c>
      <c r="C49">
        <v>39089063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285</v>
      </c>
      <c r="J49" t="s">
        <v>3</v>
      </c>
      <c r="K49" t="s">
        <v>286</v>
      </c>
      <c r="L49">
        <v>1191</v>
      </c>
      <c r="N49">
        <v>1013</v>
      </c>
      <c r="O49" t="s">
        <v>280</v>
      </c>
      <c r="P49" t="s">
        <v>280</v>
      </c>
      <c r="Q49">
        <v>1</v>
      </c>
      <c r="X49">
        <v>1.1000000000000001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3</v>
      </c>
      <c r="AG49">
        <v>1.1000000000000001</v>
      </c>
      <c r="AH49">
        <v>2</v>
      </c>
      <c r="AI49">
        <v>39089065</v>
      </c>
      <c r="AJ49">
        <v>41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ROW(Source!A36)</f>
        <v>36</v>
      </c>
      <c r="B50">
        <v>39089066</v>
      </c>
      <c r="C50">
        <v>39089063</v>
      </c>
      <c r="D50">
        <v>36882159</v>
      </c>
      <c r="E50">
        <v>1</v>
      </c>
      <c r="F50">
        <v>1</v>
      </c>
      <c r="G50">
        <v>1</v>
      </c>
      <c r="H50">
        <v>2</v>
      </c>
      <c r="I50" t="s">
        <v>318</v>
      </c>
      <c r="J50" t="s">
        <v>319</v>
      </c>
      <c r="K50" t="s">
        <v>320</v>
      </c>
      <c r="L50">
        <v>1368</v>
      </c>
      <c r="N50">
        <v>1011</v>
      </c>
      <c r="O50" t="s">
        <v>290</v>
      </c>
      <c r="P50" t="s">
        <v>290</v>
      </c>
      <c r="Q50">
        <v>1</v>
      </c>
      <c r="X50">
        <v>1</v>
      </c>
      <c r="Y50">
        <v>0</v>
      </c>
      <c r="Z50">
        <v>111.99</v>
      </c>
      <c r="AA50">
        <v>13.5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1</v>
      </c>
      <c r="AH50">
        <v>2</v>
      </c>
      <c r="AI50">
        <v>39089066</v>
      </c>
      <c r="AJ50">
        <v>42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ROW(Source!A36)</f>
        <v>36</v>
      </c>
      <c r="B51">
        <v>39089067</v>
      </c>
      <c r="C51">
        <v>39089063</v>
      </c>
      <c r="D51">
        <v>36883554</v>
      </c>
      <c r="E51">
        <v>1</v>
      </c>
      <c r="F51">
        <v>1</v>
      </c>
      <c r="G51">
        <v>1</v>
      </c>
      <c r="H51">
        <v>2</v>
      </c>
      <c r="I51" t="s">
        <v>287</v>
      </c>
      <c r="J51" t="s">
        <v>288</v>
      </c>
      <c r="K51" t="s">
        <v>289</v>
      </c>
      <c r="L51">
        <v>1368</v>
      </c>
      <c r="N51">
        <v>1011</v>
      </c>
      <c r="O51" t="s">
        <v>290</v>
      </c>
      <c r="P51" t="s">
        <v>290</v>
      </c>
      <c r="Q51">
        <v>1</v>
      </c>
      <c r="X51">
        <v>0.1</v>
      </c>
      <c r="Y51">
        <v>0</v>
      </c>
      <c r="Z51">
        <v>65.709999999999994</v>
      </c>
      <c r="AA51">
        <v>11.6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0.1</v>
      </c>
      <c r="AH51">
        <v>2</v>
      </c>
      <c r="AI51">
        <v>39089067</v>
      </c>
      <c r="AJ51">
        <v>43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ROW(Source!A37)</f>
        <v>37</v>
      </c>
      <c r="B52">
        <v>39088952</v>
      </c>
      <c r="C52">
        <v>39088951</v>
      </c>
      <c r="D52">
        <v>37064928</v>
      </c>
      <c r="E52">
        <v>1</v>
      </c>
      <c r="F52">
        <v>1</v>
      </c>
      <c r="G52">
        <v>1</v>
      </c>
      <c r="H52">
        <v>1</v>
      </c>
      <c r="I52" t="s">
        <v>295</v>
      </c>
      <c r="J52" t="s">
        <v>3</v>
      </c>
      <c r="K52" t="s">
        <v>296</v>
      </c>
      <c r="L52">
        <v>1191</v>
      </c>
      <c r="N52">
        <v>1013</v>
      </c>
      <c r="O52" t="s">
        <v>280</v>
      </c>
      <c r="P52" t="s">
        <v>280</v>
      </c>
      <c r="Q52">
        <v>1</v>
      </c>
      <c r="X52">
        <v>1.47</v>
      </c>
      <c r="Y52">
        <v>0</v>
      </c>
      <c r="Z52">
        <v>0</v>
      </c>
      <c r="AA52">
        <v>0</v>
      </c>
      <c r="AB52">
        <v>9.07</v>
      </c>
      <c r="AC52">
        <v>0</v>
      </c>
      <c r="AD52">
        <v>1</v>
      </c>
      <c r="AE52">
        <v>1</v>
      </c>
      <c r="AF52" t="s">
        <v>84</v>
      </c>
      <c r="AG52">
        <v>0.58799999999999997</v>
      </c>
      <c r="AH52">
        <v>2</v>
      </c>
      <c r="AI52">
        <v>39088952</v>
      </c>
      <c r="AJ52">
        <v>44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ROW(Source!A37)</f>
        <v>37</v>
      </c>
      <c r="B53">
        <v>39088953</v>
      </c>
      <c r="C53">
        <v>39088951</v>
      </c>
      <c r="D53">
        <v>37064876</v>
      </c>
      <c r="E53">
        <v>1</v>
      </c>
      <c r="F53">
        <v>1</v>
      </c>
      <c r="G53">
        <v>1</v>
      </c>
      <c r="H53">
        <v>1</v>
      </c>
      <c r="I53" t="s">
        <v>285</v>
      </c>
      <c r="J53" t="s">
        <v>3</v>
      </c>
      <c r="K53" t="s">
        <v>286</v>
      </c>
      <c r="L53">
        <v>1191</v>
      </c>
      <c r="N53">
        <v>1013</v>
      </c>
      <c r="O53" t="s">
        <v>280</v>
      </c>
      <c r="P53" t="s">
        <v>280</v>
      </c>
      <c r="Q53">
        <v>1</v>
      </c>
      <c r="X53">
        <v>0.01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2</v>
      </c>
      <c r="AF53" t="s">
        <v>84</v>
      </c>
      <c r="AG53">
        <v>4.0000000000000001E-3</v>
      </c>
      <c r="AH53">
        <v>2</v>
      </c>
      <c r="AI53">
        <v>39088953</v>
      </c>
      <c r="AJ53">
        <v>45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ROW(Source!A37)</f>
        <v>37</v>
      </c>
      <c r="B54">
        <v>39088954</v>
      </c>
      <c r="C54">
        <v>39088951</v>
      </c>
      <c r="D54">
        <v>36883554</v>
      </c>
      <c r="E54">
        <v>1</v>
      </c>
      <c r="F54">
        <v>1</v>
      </c>
      <c r="G54">
        <v>1</v>
      </c>
      <c r="H54">
        <v>2</v>
      </c>
      <c r="I54" t="s">
        <v>287</v>
      </c>
      <c r="J54" t="s">
        <v>288</v>
      </c>
      <c r="K54" t="s">
        <v>289</v>
      </c>
      <c r="L54">
        <v>1368</v>
      </c>
      <c r="N54">
        <v>1011</v>
      </c>
      <c r="O54" t="s">
        <v>290</v>
      </c>
      <c r="P54" t="s">
        <v>290</v>
      </c>
      <c r="Q54">
        <v>1</v>
      </c>
      <c r="X54">
        <v>0.01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84</v>
      </c>
      <c r="AG54">
        <v>4.0000000000000001E-3</v>
      </c>
      <c r="AH54">
        <v>2</v>
      </c>
      <c r="AI54">
        <v>39088954</v>
      </c>
      <c r="AJ54">
        <v>46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ROW(Source!A37)</f>
        <v>37</v>
      </c>
      <c r="B55">
        <v>39088955</v>
      </c>
      <c r="C55">
        <v>39088951</v>
      </c>
      <c r="D55">
        <v>36883858</v>
      </c>
      <c r="E55">
        <v>1</v>
      </c>
      <c r="F55">
        <v>1</v>
      </c>
      <c r="G55">
        <v>1</v>
      </c>
      <c r="H55">
        <v>2</v>
      </c>
      <c r="I55" t="s">
        <v>321</v>
      </c>
      <c r="J55" t="s">
        <v>322</v>
      </c>
      <c r="K55" t="s">
        <v>323</v>
      </c>
      <c r="L55">
        <v>1368</v>
      </c>
      <c r="N55">
        <v>1011</v>
      </c>
      <c r="O55" t="s">
        <v>290</v>
      </c>
      <c r="P55" t="s">
        <v>290</v>
      </c>
      <c r="Q55">
        <v>1</v>
      </c>
      <c r="X55">
        <v>0.35</v>
      </c>
      <c r="Y55">
        <v>0</v>
      </c>
      <c r="Z55">
        <v>8.1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84</v>
      </c>
      <c r="AG55">
        <v>0.13999999999999999</v>
      </c>
      <c r="AH55">
        <v>2</v>
      </c>
      <c r="AI55">
        <v>39088955</v>
      </c>
      <c r="AJ55">
        <v>47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ROW(Source!A37)</f>
        <v>37</v>
      </c>
      <c r="B56">
        <v>39088956</v>
      </c>
      <c r="C56">
        <v>39088951</v>
      </c>
      <c r="D56">
        <v>36799773</v>
      </c>
      <c r="E56">
        <v>1</v>
      </c>
      <c r="F56">
        <v>1</v>
      </c>
      <c r="G56">
        <v>1</v>
      </c>
      <c r="H56">
        <v>3</v>
      </c>
      <c r="I56" t="s">
        <v>297</v>
      </c>
      <c r="J56" t="s">
        <v>298</v>
      </c>
      <c r="K56" t="s">
        <v>299</v>
      </c>
      <c r="L56">
        <v>1356</v>
      </c>
      <c r="N56">
        <v>1010</v>
      </c>
      <c r="O56" t="s">
        <v>300</v>
      </c>
      <c r="P56" t="s">
        <v>300</v>
      </c>
      <c r="Q56">
        <v>1000</v>
      </c>
      <c r="X56">
        <v>2E-3</v>
      </c>
      <c r="Y56">
        <v>3450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83</v>
      </c>
      <c r="AG56">
        <v>0</v>
      </c>
      <c r="AH56">
        <v>2</v>
      </c>
      <c r="AI56">
        <v>39088956</v>
      </c>
      <c r="AJ56">
        <v>48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ROW(Source!A37)</f>
        <v>37</v>
      </c>
      <c r="B57">
        <v>39088957</v>
      </c>
      <c r="C57">
        <v>39088951</v>
      </c>
      <c r="D57">
        <v>36803269</v>
      </c>
      <c r="E57">
        <v>1</v>
      </c>
      <c r="F57">
        <v>1</v>
      </c>
      <c r="G57">
        <v>1</v>
      </c>
      <c r="H57">
        <v>3</v>
      </c>
      <c r="I57" t="s">
        <v>327</v>
      </c>
      <c r="J57" t="s">
        <v>328</v>
      </c>
      <c r="K57" t="s">
        <v>329</v>
      </c>
      <c r="L57">
        <v>1348</v>
      </c>
      <c r="N57">
        <v>1009</v>
      </c>
      <c r="O57" t="s">
        <v>152</v>
      </c>
      <c r="P57" t="s">
        <v>152</v>
      </c>
      <c r="Q57">
        <v>1000</v>
      </c>
      <c r="X57">
        <v>1.3999999999999999E-4</v>
      </c>
      <c r="Y57">
        <v>10362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83</v>
      </c>
      <c r="AG57">
        <v>0</v>
      </c>
      <c r="AH57">
        <v>2</v>
      </c>
      <c r="AI57">
        <v>39088957</v>
      </c>
      <c r="AJ57">
        <v>49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ROW(Source!A37)</f>
        <v>37</v>
      </c>
      <c r="B58">
        <v>39088958</v>
      </c>
      <c r="C58">
        <v>39088951</v>
      </c>
      <c r="D58">
        <v>36804429</v>
      </c>
      <c r="E58">
        <v>1</v>
      </c>
      <c r="F58">
        <v>1</v>
      </c>
      <c r="G58">
        <v>1</v>
      </c>
      <c r="H58">
        <v>3</v>
      </c>
      <c r="I58" t="s">
        <v>330</v>
      </c>
      <c r="J58" t="s">
        <v>331</v>
      </c>
      <c r="K58" t="s">
        <v>332</v>
      </c>
      <c r="L58">
        <v>1348</v>
      </c>
      <c r="N58">
        <v>1009</v>
      </c>
      <c r="O58" t="s">
        <v>152</v>
      </c>
      <c r="P58" t="s">
        <v>152</v>
      </c>
      <c r="Q58">
        <v>1000</v>
      </c>
      <c r="X58">
        <v>1.1000000000000001E-3</v>
      </c>
      <c r="Y58">
        <v>15323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83</v>
      </c>
      <c r="AG58">
        <v>0</v>
      </c>
      <c r="AH58">
        <v>2</v>
      </c>
      <c r="AI58">
        <v>39088958</v>
      </c>
      <c r="AJ58">
        <v>50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ROW(Source!A37)</f>
        <v>37</v>
      </c>
      <c r="B59">
        <v>39088959</v>
      </c>
      <c r="C59">
        <v>39088951</v>
      </c>
      <c r="D59">
        <v>36797677</v>
      </c>
      <c r="E59">
        <v>17</v>
      </c>
      <c r="F59">
        <v>1</v>
      </c>
      <c r="G59">
        <v>1</v>
      </c>
      <c r="H59">
        <v>3</v>
      </c>
      <c r="I59" t="s">
        <v>374</v>
      </c>
      <c r="J59" t="s">
        <v>3</v>
      </c>
      <c r="K59" t="s">
        <v>375</v>
      </c>
      <c r="L59">
        <v>1354</v>
      </c>
      <c r="N59">
        <v>1010</v>
      </c>
      <c r="O59" t="s">
        <v>48</v>
      </c>
      <c r="P59" t="s">
        <v>48</v>
      </c>
      <c r="Q59">
        <v>1</v>
      </c>
      <c r="X59">
        <v>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83</v>
      </c>
      <c r="AG59">
        <v>0</v>
      </c>
      <c r="AH59">
        <v>3</v>
      </c>
      <c r="AI59">
        <v>-1</v>
      </c>
      <c r="AJ59" t="s">
        <v>3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ROW(Source!A37)</f>
        <v>37</v>
      </c>
      <c r="B60">
        <v>39088960</v>
      </c>
      <c r="C60">
        <v>39088951</v>
      </c>
      <c r="D60">
        <v>36797638</v>
      </c>
      <c r="E60">
        <v>17</v>
      </c>
      <c r="F60">
        <v>1</v>
      </c>
      <c r="G60">
        <v>1</v>
      </c>
      <c r="H60">
        <v>3</v>
      </c>
      <c r="I60" t="s">
        <v>376</v>
      </c>
      <c r="J60" t="s">
        <v>3</v>
      </c>
      <c r="K60" t="s">
        <v>377</v>
      </c>
      <c r="L60">
        <v>1354</v>
      </c>
      <c r="N60">
        <v>1010</v>
      </c>
      <c r="O60" t="s">
        <v>48</v>
      </c>
      <c r="P60" t="s">
        <v>48</v>
      </c>
      <c r="Q60">
        <v>1</v>
      </c>
      <c r="X60">
        <v>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83</v>
      </c>
      <c r="AG60">
        <v>0</v>
      </c>
      <c r="AH60">
        <v>3</v>
      </c>
      <c r="AI60">
        <v>-1</v>
      </c>
      <c r="AJ60" t="s">
        <v>3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ROW(Source!A38)</f>
        <v>38</v>
      </c>
      <c r="B61">
        <v>39088982</v>
      </c>
      <c r="C61">
        <v>39088981</v>
      </c>
      <c r="D61">
        <v>37064928</v>
      </c>
      <c r="E61">
        <v>1</v>
      </c>
      <c r="F61">
        <v>1</v>
      </c>
      <c r="G61">
        <v>1</v>
      </c>
      <c r="H61">
        <v>1</v>
      </c>
      <c r="I61" t="s">
        <v>295</v>
      </c>
      <c r="J61" t="s">
        <v>3</v>
      </c>
      <c r="K61" t="s">
        <v>296</v>
      </c>
      <c r="L61">
        <v>1191</v>
      </c>
      <c r="N61">
        <v>1013</v>
      </c>
      <c r="O61" t="s">
        <v>280</v>
      </c>
      <c r="P61" t="s">
        <v>280</v>
      </c>
      <c r="Q61">
        <v>1</v>
      </c>
      <c r="X61">
        <v>2.91</v>
      </c>
      <c r="Y61">
        <v>0</v>
      </c>
      <c r="Z61">
        <v>0</v>
      </c>
      <c r="AA61">
        <v>0</v>
      </c>
      <c r="AB61">
        <v>9.07</v>
      </c>
      <c r="AC61">
        <v>0</v>
      </c>
      <c r="AD61">
        <v>1</v>
      </c>
      <c r="AE61">
        <v>1</v>
      </c>
      <c r="AF61" t="s">
        <v>32</v>
      </c>
      <c r="AG61">
        <v>3.3464999999999998</v>
      </c>
      <c r="AH61">
        <v>2</v>
      </c>
      <c r="AI61">
        <v>39088982</v>
      </c>
      <c r="AJ61">
        <v>51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ROW(Source!A38)</f>
        <v>38</v>
      </c>
      <c r="B62">
        <v>39088983</v>
      </c>
      <c r="C62">
        <v>39088981</v>
      </c>
      <c r="D62">
        <v>37064876</v>
      </c>
      <c r="E62">
        <v>1</v>
      </c>
      <c r="F62">
        <v>1</v>
      </c>
      <c r="G62">
        <v>1</v>
      </c>
      <c r="H62">
        <v>1</v>
      </c>
      <c r="I62" t="s">
        <v>285</v>
      </c>
      <c r="J62" t="s">
        <v>3</v>
      </c>
      <c r="K62" t="s">
        <v>286</v>
      </c>
      <c r="L62">
        <v>1191</v>
      </c>
      <c r="N62">
        <v>1013</v>
      </c>
      <c r="O62" t="s">
        <v>280</v>
      </c>
      <c r="P62" t="s">
        <v>280</v>
      </c>
      <c r="Q62">
        <v>1</v>
      </c>
      <c r="X62">
        <v>0.04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31</v>
      </c>
      <c r="AG62">
        <v>0.05</v>
      </c>
      <c r="AH62">
        <v>2</v>
      </c>
      <c r="AI62">
        <v>39088983</v>
      </c>
      <c r="AJ62">
        <v>52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ROW(Source!A38)</f>
        <v>38</v>
      </c>
      <c r="B63">
        <v>39088984</v>
      </c>
      <c r="C63">
        <v>39088981</v>
      </c>
      <c r="D63">
        <v>36882057</v>
      </c>
      <c r="E63">
        <v>1</v>
      </c>
      <c r="F63">
        <v>1</v>
      </c>
      <c r="G63">
        <v>1</v>
      </c>
      <c r="H63">
        <v>2</v>
      </c>
      <c r="I63" t="s">
        <v>315</v>
      </c>
      <c r="J63" t="s">
        <v>316</v>
      </c>
      <c r="K63" t="s">
        <v>317</v>
      </c>
      <c r="L63">
        <v>1368</v>
      </c>
      <c r="N63">
        <v>1011</v>
      </c>
      <c r="O63" t="s">
        <v>290</v>
      </c>
      <c r="P63" t="s">
        <v>290</v>
      </c>
      <c r="Q63">
        <v>1</v>
      </c>
      <c r="X63">
        <v>0.01</v>
      </c>
      <c r="Y63">
        <v>0</v>
      </c>
      <c r="Z63">
        <v>86.4</v>
      </c>
      <c r="AA63">
        <v>13.5</v>
      </c>
      <c r="AB63">
        <v>0</v>
      </c>
      <c r="AC63">
        <v>0</v>
      </c>
      <c r="AD63">
        <v>1</v>
      </c>
      <c r="AE63">
        <v>0</v>
      </c>
      <c r="AF63" t="s">
        <v>31</v>
      </c>
      <c r="AG63">
        <v>1.2500000000000001E-2</v>
      </c>
      <c r="AH63">
        <v>2</v>
      </c>
      <c r="AI63">
        <v>39088984</v>
      </c>
      <c r="AJ63">
        <v>53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ROW(Source!A38)</f>
        <v>38</v>
      </c>
      <c r="B64">
        <v>39088985</v>
      </c>
      <c r="C64">
        <v>39088981</v>
      </c>
      <c r="D64">
        <v>36882159</v>
      </c>
      <c r="E64">
        <v>1</v>
      </c>
      <c r="F64">
        <v>1</v>
      </c>
      <c r="G64">
        <v>1</v>
      </c>
      <c r="H64">
        <v>2</v>
      </c>
      <c r="I64" t="s">
        <v>318</v>
      </c>
      <c r="J64" t="s">
        <v>319</v>
      </c>
      <c r="K64" t="s">
        <v>320</v>
      </c>
      <c r="L64">
        <v>1368</v>
      </c>
      <c r="N64">
        <v>1011</v>
      </c>
      <c r="O64" t="s">
        <v>290</v>
      </c>
      <c r="P64" t="s">
        <v>290</v>
      </c>
      <c r="Q64">
        <v>1</v>
      </c>
      <c r="X64">
        <v>0.01</v>
      </c>
      <c r="Y64">
        <v>0</v>
      </c>
      <c r="Z64">
        <v>111.99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31</v>
      </c>
      <c r="AG64">
        <v>1.2500000000000001E-2</v>
      </c>
      <c r="AH64">
        <v>2</v>
      </c>
      <c r="AI64">
        <v>39088985</v>
      </c>
      <c r="AJ64">
        <v>54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ROW(Source!A38)</f>
        <v>38</v>
      </c>
      <c r="B65">
        <v>39088986</v>
      </c>
      <c r="C65">
        <v>39088981</v>
      </c>
      <c r="D65">
        <v>36883554</v>
      </c>
      <c r="E65">
        <v>1</v>
      </c>
      <c r="F65">
        <v>1</v>
      </c>
      <c r="G65">
        <v>1</v>
      </c>
      <c r="H65">
        <v>2</v>
      </c>
      <c r="I65" t="s">
        <v>287</v>
      </c>
      <c r="J65" t="s">
        <v>288</v>
      </c>
      <c r="K65" t="s">
        <v>289</v>
      </c>
      <c r="L65">
        <v>1368</v>
      </c>
      <c r="N65">
        <v>1011</v>
      </c>
      <c r="O65" t="s">
        <v>290</v>
      </c>
      <c r="P65" t="s">
        <v>290</v>
      </c>
      <c r="Q65">
        <v>1</v>
      </c>
      <c r="X65">
        <v>0.02</v>
      </c>
      <c r="Y65">
        <v>0</v>
      </c>
      <c r="Z65">
        <v>65.709999999999994</v>
      </c>
      <c r="AA65">
        <v>11.6</v>
      </c>
      <c r="AB65">
        <v>0</v>
      </c>
      <c r="AC65">
        <v>0</v>
      </c>
      <c r="AD65">
        <v>1</v>
      </c>
      <c r="AE65">
        <v>0</v>
      </c>
      <c r="AF65" t="s">
        <v>31</v>
      </c>
      <c r="AG65">
        <v>2.5000000000000001E-2</v>
      </c>
      <c r="AH65">
        <v>2</v>
      </c>
      <c r="AI65">
        <v>39088986</v>
      </c>
      <c r="AJ65">
        <v>55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ROW(Source!A38)</f>
        <v>38</v>
      </c>
      <c r="B66">
        <v>39088987</v>
      </c>
      <c r="C66">
        <v>39088981</v>
      </c>
      <c r="D66">
        <v>36883858</v>
      </c>
      <c r="E66">
        <v>1</v>
      </c>
      <c r="F66">
        <v>1</v>
      </c>
      <c r="G66">
        <v>1</v>
      </c>
      <c r="H66">
        <v>2</v>
      </c>
      <c r="I66" t="s">
        <v>321</v>
      </c>
      <c r="J66" t="s">
        <v>322</v>
      </c>
      <c r="K66" t="s">
        <v>323</v>
      </c>
      <c r="L66">
        <v>1368</v>
      </c>
      <c r="N66">
        <v>1011</v>
      </c>
      <c r="O66" t="s">
        <v>290</v>
      </c>
      <c r="P66" t="s">
        <v>290</v>
      </c>
      <c r="Q66">
        <v>1</v>
      </c>
      <c r="X66">
        <v>0.63</v>
      </c>
      <c r="Y66">
        <v>0</v>
      </c>
      <c r="Z66">
        <v>8.1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31</v>
      </c>
      <c r="AG66">
        <v>0.78749999999999998</v>
      </c>
      <c r="AH66">
        <v>2</v>
      </c>
      <c r="AI66">
        <v>39088987</v>
      </c>
      <c r="AJ66">
        <v>56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ROW(Source!A38)</f>
        <v>38</v>
      </c>
      <c r="B67">
        <v>39088988</v>
      </c>
      <c r="C67">
        <v>39088981</v>
      </c>
      <c r="D67">
        <v>36799774</v>
      </c>
      <c r="E67">
        <v>1</v>
      </c>
      <c r="F67">
        <v>1</v>
      </c>
      <c r="G67">
        <v>1</v>
      </c>
      <c r="H67">
        <v>3</v>
      </c>
      <c r="I67" t="s">
        <v>304</v>
      </c>
      <c r="J67" t="s">
        <v>305</v>
      </c>
      <c r="K67" t="s">
        <v>306</v>
      </c>
      <c r="L67">
        <v>1356</v>
      </c>
      <c r="N67">
        <v>1010</v>
      </c>
      <c r="O67" t="s">
        <v>300</v>
      </c>
      <c r="P67" t="s">
        <v>300</v>
      </c>
      <c r="Q67">
        <v>1000</v>
      </c>
      <c r="X67">
        <v>2E-3</v>
      </c>
      <c r="Y67">
        <v>5650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2E-3</v>
      </c>
      <c r="AH67">
        <v>2</v>
      </c>
      <c r="AI67">
        <v>39088988</v>
      </c>
      <c r="AJ67">
        <v>57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ROW(Source!A38)</f>
        <v>38</v>
      </c>
      <c r="B68">
        <v>39088989</v>
      </c>
      <c r="C68">
        <v>39088981</v>
      </c>
      <c r="D68">
        <v>36803269</v>
      </c>
      <c r="E68">
        <v>1</v>
      </c>
      <c r="F68">
        <v>1</v>
      </c>
      <c r="G68">
        <v>1</v>
      </c>
      <c r="H68">
        <v>3</v>
      </c>
      <c r="I68" t="s">
        <v>327</v>
      </c>
      <c r="J68" t="s">
        <v>328</v>
      </c>
      <c r="K68" t="s">
        <v>329</v>
      </c>
      <c r="L68">
        <v>1348</v>
      </c>
      <c r="N68">
        <v>1009</v>
      </c>
      <c r="O68" t="s">
        <v>152</v>
      </c>
      <c r="P68" t="s">
        <v>152</v>
      </c>
      <c r="Q68">
        <v>1000</v>
      </c>
      <c r="X68">
        <v>3.3E-4</v>
      </c>
      <c r="Y68">
        <v>10362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3.3E-4</v>
      </c>
      <c r="AH68">
        <v>2</v>
      </c>
      <c r="AI68">
        <v>39088989</v>
      </c>
      <c r="AJ68">
        <v>58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ROW(Source!A38)</f>
        <v>38</v>
      </c>
      <c r="B69">
        <v>39088990</v>
      </c>
      <c r="C69">
        <v>39088981</v>
      </c>
      <c r="D69">
        <v>36804430</v>
      </c>
      <c r="E69">
        <v>1</v>
      </c>
      <c r="F69">
        <v>1</v>
      </c>
      <c r="G69">
        <v>1</v>
      </c>
      <c r="H69">
        <v>3</v>
      </c>
      <c r="I69" t="s">
        <v>333</v>
      </c>
      <c r="J69" t="s">
        <v>334</v>
      </c>
      <c r="K69" t="s">
        <v>335</v>
      </c>
      <c r="L69">
        <v>1348</v>
      </c>
      <c r="N69">
        <v>1009</v>
      </c>
      <c r="O69" t="s">
        <v>152</v>
      </c>
      <c r="P69" t="s">
        <v>152</v>
      </c>
      <c r="Q69">
        <v>1000</v>
      </c>
      <c r="X69">
        <v>2.0699999999999998E-3</v>
      </c>
      <c r="Y69">
        <v>14830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2.0699999999999998E-3</v>
      </c>
      <c r="AH69">
        <v>2</v>
      </c>
      <c r="AI69">
        <v>39088990</v>
      </c>
      <c r="AJ69">
        <v>59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ROW(Source!A38)</f>
        <v>38</v>
      </c>
      <c r="B70">
        <v>39088991</v>
      </c>
      <c r="C70">
        <v>39088981</v>
      </c>
      <c r="D70">
        <v>36797677</v>
      </c>
      <c r="E70">
        <v>17</v>
      </c>
      <c r="F70">
        <v>1</v>
      </c>
      <c r="G70">
        <v>1</v>
      </c>
      <c r="H70">
        <v>3</v>
      </c>
      <c r="I70" t="s">
        <v>374</v>
      </c>
      <c r="J70" t="s">
        <v>3</v>
      </c>
      <c r="K70" t="s">
        <v>375</v>
      </c>
      <c r="L70">
        <v>1354</v>
      </c>
      <c r="N70">
        <v>1010</v>
      </c>
      <c r="O70" t="s">
        <v>48</v>
      </c>
      <c r="P70" t="s">
        <v>48</v>
      </c>
      <c r="Q70">
        <v>1</v>
      </c>
      <c r="X70">
        <v>1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 t="s">
        <v>3</v>
      </c>
      <c r="AG70">
        <v>1</v>
      </c>
      <c r="AH70">
        <v>3</v>
      </c>
      <c r="AI70">
        <v>-1</v>
      </c>
      <c r="AJ70" t="s">
        <v>3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ROW(Source!A38)</f>
        <v>38</v>
      </c>
      <c r="B71">
        <v>39088992</v>
      </c>
      <c r="C71">
        <v>39088981</v>
      </c>
      <c r="D71">
        <v>36797638</v>
      </c>
      <c r="E71">
        <v>17</v>
      </c>
      <c r="F71">
        <v>1</v>
      </c>
      <c r="G71">
        <v>1</v>
      </c>
      <c r="H71">
        <v>3</v>
      </c>
      <c r="I71" t="s">
        <v>376</v>
      </c>
      <c r="J71" t="s">
        <v>3</v>
      </c>
      <c r="K71" t="s">
        <v>377</v>
      </c>
      <c r="L71">
        <v>1354</v>
      </c>
      <c r="N71">
        <v>1010</v>
      </c>
      <c r="O71" t="s">
        <v>48</v>
      </c>
      <c r="P71" t="s">
        <v>48</v>
      </c>
      <c r="Q71">
        <v>1</v>
      </c>
      <c r="X71">
        <v>2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 t="s">
        <v>3</v>
      </c>
      <c r="AG71">
        <v>2</v>
      </c>
      <c r="AH71">
        <v>3</v>
      </c>
      <c r="AI71">
        <v>-1</v>
      </c>
      <c r="AJ71" t="s">
        <v>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ROW(Source!A40)</f>
        <v>40</v>
      </c>
      <c r="B72">
        <v>39089316</v>
      </c>
      <c r="C72">
        <v>39089315</v>
      </c>
      <c r="D72">
        <v>37070164</v>
      </c>
      <c r="E72">
        <v>1</v>
      </c>
      <c r="F72">
        <v>1</v>
      </c>
      <c r="G72">
        <v>1</v>
      </c>
      <c r="H72">
        <v>1</v>
      </c>
      <c r="I72" t="s">
        <v>313</v>
      </c>
      <c r="J72" t="s">
        <v>3</v>
      </c>
      <c r="K72" t="s">
        <v>314</v>
      </c>
      <c r="L72">
        <v>1191</v>
      </c>
      <c r="N72">
        <v>1013</v>
      </c>
      <c r="O72" t="s">
        <v>280</v>
      </c>
      <c r="P72" t="s">
        <v>280</v>
      </c>
      <c r="Q72">
        <v>1</v>
      </c>
      <c r="X72">
        <v>10.74</v>
      </c>
      <c r="Y72">
        <v>0</v>
      </c>
      <c r="Z72">
        <v>0</v>
      </c>
      <c r="AA72">
        <v>0</v>
      </c>
      <c r="AB72">
        <v>9.2899999999999991</v>
      </c>
      <c r="AC72">
        <v>0</v>
      </c>
      <c r="AD72">
        <v>1</v>
      </c>
      <c r="AE72">
        <v>1</v>
      </c>
      <c r="AF72" t="s">
        <v>32</v>
      </c>
      <c r="AG72">
        <v>12.350999999999999</v>
      </c>
      <c r="AH72">
        <v>2</v>
      </c>
      <c r="AI72">
        <v>39089316</v>
      </c>
      <c r="AJ72">
        <v>61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ROW(Source!A40)</f>
        <v>40</v>
      </c>
      <c r="B73">
        <v>39089317</v>
      </c>
      <c r="C73">
        <v>39089315</v>
      </c>
      <c r="D73">
        <v>37064876</v>
      </c>
      <c r="E73">
        <v>1</v>
      </c>
      <c r="F73">
        <v>1</v>
      </c>
      <c r="G73">
        <v>1</v>
      </c>
      <c r="H73">
        <v>1</v>
      </c>
      <c r="I73" t="s">
        <v>285</v>
      </c>
      <c r="J73" t="s">
        <v>3</v>
      </c>
      <c r="K73" t="s">
        <v>286</v>
      </c>
      <c r="L73">
        <v>1191</v>
      </c>
      <c r="N73">
        <v>1013</v>
      </c>
      <c r="O73" t="s">
        <v>280</v>
      </c>
      <c r="P73" t="s">
        <v>280</v>
      </c>
      <c r="Q73">
        <v>1</v>
      </c>
      <c r="X73">
        <v>0.22</v>
      </c>
      <c r="Y73">
        <v>0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2</v>
      </c>
      <c r="AF73" t="s">
        <v>31</v>
      </c>
      <c r="AG73">
        <v>0.27500000000000002</v>
      </c>
      <c r="AH73">
        <v>2</v>
      </c>
      <c r="AI73">
        <v>39089317</v>
      </c>
      <c r="AJ73">
        <v>62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ROW(Source!A40)</f>
        <v>40</v>
      </c>
      <c r="B74">
        <v>39089318</v>
      </c>
      <c r="C74">
        <v>39089315</v>
      </c>
      <c r="D74">
        <v>36882057</v>
      </c>
      <c r="E74">
        <v>1</v>
      </c>
      <c r="F74">
        <v>1</v>
      </c>
      <c r="G74">
        <v>1</v>
      </c>
      <c r="H74">
        <v>2</v>
      </c>
      <c r="I74" t="s">
        <v>315</v>
      </c>
      <c r="J74" t="s">
        <v>316</v>
      </c>
      <c r="K74" t="s">
        <v>317</v>
      </c>
      <c r="L74">
        <v>1368</v>
      </c>
      <c r="N74">
        <v>1011</v>
      </c>
      <c r="O74" t="s">
        <v>290</v>
      </c>
      <c r="P74" t="s">
        <v>290</v>
      </c>
      <c r="Q74">
        <v>1</v>
      </c>
      <c r="X74">
        <v>0.06</v>
      </c>
      <c r="Y74">
        <v>0</v>
      </c>
      <c r="Z74">
        <v>86.4</v>
      </c>
      <c r="AA74">
        <v>13.5</v>
      </c>
      <c r="AB74">
        <v>0</v>
      </c>
      <c r="AC74">
        <v>0</v>
      </c>
      <c r="AD74">
        <v>1</v>
      </c>
      <c r="AE74">
        <v>0</v>
      </c>
      <c r="AF74" t="s">
        <v>31</v>
      </c>
      <c r="AG74">
        <v>7.4999999999999997E-2</v>
      </c>
      <c r="AH74">
        <v>2</v>
      </c>
      <c r="AI74">
        <v>39089318</v>
      </c>
      <c r="AJ74">
        <v>63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ROW(Source!A40)</f>
        <v>40</v>
      </c>
      <c r="B75">
        <v>39089319</v>
      </c>
      <c r="C75">
        <v>39089315</v>
      </c>
      <c r="D75">
        <v>36882159</v>
      </c>
      <c r="E75">
        <v>1</v>
      </c>
      <c r="F75">
        <v>1</v>
      </c>
      <c r="G75">
        <v>1</v>
      </c>
      <c r="H75">
        <v>2</v>
      </c>
      <c r="I75" t="s">
        <v>318</v>
      </c>
      <c r="J75" t="s">
        <v>319</v>
      </c>
      <c r="K75" t="s">
        <v>320</v>
      </c>
      <c r="L75">
        <v>1368</v>
      </c>
      <c r="N75">
        <v>1011</v>
      </c>
      <c r="O75" t="s">
        <v>290</v>
      </c>
      <c r="P75" t="s">
        <v>290</v>
      </c>
      <c r="Q75">
        <v>1</v>
      </c>
      <c r="X75">
        <v>0.04</v>
      </c>
      <c r="Y75">
        <v>0</v>
      </c>
      <c r="Z75">
        <v>111.99</v>
      </c>
      <c r="AA75">
        <v>13.5</v>
      </c>
      <c r="AB75">
        <v>0</v>
      </c>
      <c r="AC75">
        <v>0</v>
      </c>
      <c r="AD75">
        <v>1</v>
      </c>
      <c r="AE75">
        <v>0</v>
      </c>
      <c r="AF75" t="s">
        <v>31</v>
      </c>
      <c r="AG75">
        <v>0.05</v>
      </c>
      <c r="AH75">
        <v>2</v>
      </c>
      <c r="AI75">
        <v>39089319</v>
      </c>
      <c r="AJ75">
        <v>64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ROW(Source!A40)</f>
        <v>40</v>
      </c>
      <c r="B76">
        <v>39089320</v>
      </c>
      <c r="C76">
        <v>39089315</v>
      </c>
      <c r="D76">
        <v>36883554</v>
      </c>
      <c r="E76">
        <v>1</v>
      </c>
      <c r="F76">
        <v>1</v>
      </c>
      <c r="G76">
        <v>1</v>
      </c>
      <c r="H76">
        <v>2</v>
      </c>
      <c r="I76" t="s">
        <v>287</v>
      </c>
      <c r="J76" t="s">
        <v>288</v>
      </c>
      <c r="K76" t="s">
        <v>289</v>
      </c>
      <c r="L76">
        <v>1368</v>
      </c>
      <c r="N76">
        <v>1011</v>
      </c>
      <c r="O76" t="s">
        <v>290</v>
      </c>
      <c r="P76" t="s">
        <v>290</v>
      </c>
      <c r="Q76">
        <v>1</v>
      </c>
      <c r="X76">
        <v>0.12</v>
      </c>
      <c r="Y76">
        <v>0</v>
      </c>
      <c r="Z76">
        <v>65.709999999999994</v>
      </c>
      <c r="AA76">
        <v>11.6</v>
      </c>
      <c r="AB76">
        <v>0</v>
      </c>
      <c r="AC76">
        <v>0</v>
      </c>
      <c r="AD76">
        <v>1</v>
      </c>
      <c r="AE76">
        <v>0</v>
      </c>
      <c r="AF76" t="s">
        <v>31</v>
      </c>
      <c r="AG76">
        <v>0.15</v>
      </c>
      <c r="AH76">
        <v>2</v>
      </c>
      <c r="AI76">
        <v>39089320</v>
      </c>
      <c r="AJ76">
        <v>65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ROW(Source!A40)</f>
        <v>40</v>
      </c>
      <c r="B77">
        <v>39089321</v>
      </c>
      <c r="C77">
        <v>39089315</v>
      </c>
      <c r="D77">
        <v>36883858</v>
      </c>
      <c r="E77">
        <v>1</v>
      </c>
      <c r="F77">
        <v>1</v>
      </c>
      <c r="G77">
        <v>1</v>
      </c>
      <c r="H77">
        <v>2</v>
      </c>
      <c r="I77" t="s">
        <v>321</v>
      </c>
      <c r="J77" t="s">
        <v>322</v>
      </c>
      <c r="K77" t="s">
        <v>323</v>
      </c>
      <c r="L77">
        <v>1368</v>
      </c>
      <c r="N77">
        <v>1011</v>
      </c>
      <c r="O77" t="s">
        <v>290</v>
      </c>
      <c r="P77" t="s">
        <v>290</v>
      </c>
      <c r="Q77">
        <v>1</v>
      </c>
      <c r="X77">
        <v>1.79</v>
      </c>
      <c r="Y77">
        <v>0</v>
      </c>
      <c r="Z77">
        <v>8.1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31</v>
      </c>
      <c r="AG77">
        <v>2.2374999999999998</v>
      </c>
      <c r="AH77">
        <v>2</v>
      </c>
      <c r="AI77">
        <v>39089321</v>
      </c>
      <c r="AJ77">
        <v>66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ROW(Source!A40)</f>
        <v>40</v>
      </c>
      <c r="B78">
        <v>39089322</v>
      </c>
      <c r="C78">
        <v>39089315</v>
      </c>
      <c r="D78">
        <v>36799778</v>
      </c>
      <c r="E78">
        <v>1</v>
      </c>
      <c r="F78">
        <v>1</v>
      </c>
      <c r="G78">
        <v>1</v>
      </c>
      <c r="H78">
        <v>3</v>
      </c>
      <c r="I78" t="s">
        <v>324</v>
      </c>
      <c r="J78" t="s">
        <v>325</v>
      </c>
      <c r="K78" t="s">
        <v>326</v>
      </c>
      <c r="L78">
        <v>1356</v>
      </c>
      <c r="N78">
        <v>1010</v>
      </c>
      <c r="O78" t="s">
        <v>300</v>
      </c>
      <c r="P78" t="s">
        <v>300</v>
      </c>
      <c r="Q78">
        <v>1000</v>
      </c>
      <c r="X78">
        <v>2E-3</v>
      </c>
      <c r="Y78">
        <v>15270.7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2E-3</v>
      </c>
      <c r="AH78">
        <v>2</v>
      </c>
      <c r="AI78">
        <v>39089322</v>
      </c>
      <c r="AJ78">
        <v>67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ROW(Source!A40)</f>
        <v>40</v>
      </c>
      <c r="B79">
        <v>39089323</v>
      </c>
      <c r="C79">
        <v>39089315</v>
      </c>
      <c r="D79">
        <v>36803269</v>
      </c>
      <c r="E79">
        <v>1</v>
      </c>
      <c r="F79">
        <v>1</v>
      </c>
      <c r="G79">
        <v>1</v>
      </c>
      <c r="H79">
        <v>3</v>
      </c>
      <c r="I79" t="s">
        <v>327</v>
      </c>
      <c r="J79" t="s">
        <v>328</v>
      </c>
      <c r="K79" t="s">
        <v>329</v>
      </c>
      <c r="L79">
        <v>1348</v>
      </c>
      <c r="N79">
        <v>1009</v>
      </c>
      <c r="O79" t="s">
        <v>152</v>
      </c>
      <c r="P79" t="s">
        <v>152</v>
      </c>
      <c r="Q79">
        <v>1000</v>
      </c>
      <c r="X79">
        <v>1.4E-3</v>
      </c>
      <c r="Y79">
        <v>10362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1.4E-3</v>
      </c>
      <c r="AH79">
        <v>2</v>
      </c>
      <c r="AI79">
        <v>39089323</v>
      </c>
      <c r="AJ79">
        <v>68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ROW(Source!A40)</f>
        <v>40</v>
      </c>
      <c r="B80">
        <v>39089324</v>
      </c>
      <c r="C80">
        <v>39089315</v>
      </c>
      <c r="D80">
        <v>36804431</v>
      </c>
      <c r="E80">
        <v>1</v>
      </c>
      <c r="F80">
        <v>1</v>
      </c>
      <c r="G80">
        <v>1</v>
      </c>
      <c r="H80">
        <v>3</v>
      </c>
      <c r="I80" t="s">
        <v>301</v>
      </c>
      <c r="J80" t="s">
        <v>302</v>
      </c>
      <c r="K80" t="s">
        <v>303</v>
      </c>
      <c r="L80">
        <v>1348</v>
      </c>
      <c r="N80">
        <v>1009</v>
      </c>
      <c r="O80" t="s">
        <v>152</v>
      </c>
      <c r="P80" t="s">
        <v>152</v>
      </c>
      <c r="Q80">
        <v>1000</v>
      </c>
      <c r="X80">
        <v>7.8600000000000007E-3</v>
      </c>
      <c r="Y80">
        <v>13560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7.8600000000000007E-3</v>
      </c>
      <c r="AH80">
        <v>2</v>
      </c>
      <c r="AI80">
        <v>39089324</v>
      </c>
      <c r="AJ80">
        <v>69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ROW(Source!A40)</f>
        <v>40</v>
      </c>
      <c r="B81">
        <v>39089325</v>
      </c>
      <c r="C81">
        <v>39089315</v>
      </c>
      <c r="D81">
        <v>36797677</v>
      </c>
      <c r="E81">
        <v>17</v>
      </c>
      <c r="F81">
        <v>1</v>
      </c>
      <c r="G81">
        <v>1</v>
      </c>
      <c r="H81">
        <v>3</v>
      </c>
      <c r="I81" t="s">
        <v>374</v>
      </c>
      <c r="J81" t="s">
        <v>3</v>
      </c>
      <c r="K81" t="s">
        <v>375</v>
      </c>
      <c r="L81">
        <v>1354</v>
      </c>
      <c r="N81">
        <v>1010</v>
      </c>
      <c r="O81" t="s">
        <v>48</v>
      </c>
      <c r="P81" t="s">
        <v>48</v>
      </c>
      <c r="Q81">
        <v>1</v>
      </c>
      <c r="X81">
        <v>1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3</v>
      </c>
      <c r="AG81">
        <v>1</v>
      </c>
      <c r="AH81">
        <v>3</v>
      </c>
      <c r="AI81">
        <v>-1</v>
      </c>
      <c r="AJ81" t="s">
        <v>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ROW(Source!A40)</f>
        <v>40</v>
      </c>
      <c r="B82">
        <v>39089326</v>
      </c>
      <c r="C82">
        <v>39089315</v>
      </c>
      <c r="D82">
        <v>36797638</v>
      </c>
      <c r="E82">
        <v>17</v>
      </c>
      <c r="F82">
        <v>1</v>
      </c>
      <c r="G82">
        <v>1</v>
      </c>
      <c r="H82">
        <v>3</v>
      </c>
      <c r="I82" t="s">
        <v>376</v>
      </c>
      <c r="J82" t="s">
        <v>3</v>
      </c>
      <c r="K82" t="s">
        <v>377</v>
      </c>
      <c r="L82">
        <v>1354</v>
      </c>
      <c r="N82">
        <v>1010</v>
      </c>
      <c r="O82" t="s">
        <v>48</v>
      </c>
      <c r="P82" t="s">
        <v>48</v>
      </c>
      <c r="Q82">
        <v>1</v>
      </c>
      <c r="X82">
        <v>2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 t="s">
        <v>3</v>
      </c>
      <c r="AG82">
        <v>2</v>
      </c>
      <c r="AH82">
        <v>3</v>
      </c>
      <c r="AI82">
        <v>-1</v>
      </c>
      <c r="AJ82" t="s">
        <v>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ROW(Source!A42)</f>
        <v>42</v>
      </c>
      <c r="B83">
        <v>39089338</v>
      </c>
      <c r="C83">
        <v>39089337</v>
      </c>
      <c r="D83">
        <v>37064928</v>
      </c>
      <c r="E83">
        <v>1</v>
      </c>
      <c r="F83">
        <v>1</v>
      </c>
      <c r="G83">
        <v>1</v>
      </c>
      <c r="H83">
        <v>1</v>
      </c>
      <c r="I83" t="s">
        <v>295</v>
      </c>
      <c r="J83" t="s">
        <v>3</v>
      </c>
      <c r="K83" t="s">
        <v>296</v>
      </c>
      <c r="L83">
        <v>1191</v>
      </c>
      <c r="N83">
        <v>1013</v>
      </c>
      <c r="O83" t="s">
        <v>280</v>
      </c>
      <c r="P83" t="s">
        <v>280</v>
      </c>
      <c r="Q83">
        <v>1</v>
      </c>
      <c r="X83">
        <v>8.61</v>
      </c>
      <c r="Y83">
        <v>0</v>
      </c>
      <c r="Z83">
        <v>0</v>
      </c>
      <c r="AA83">
        <v>0</v>
      </c>
      <c r="AB83">
        <v>9.07</v>
      </c>
      <c r="AC83">
        <v>0</v>
      </c>
      <c r="AD83">
        <v>1</v>
      </c>
      <c r="AE83">
        <v>1</v>
      </c>
      <c r="AF83" t="s">
        <v>32</v>
      </c>
      <c r="AG83">
        <v>9.9014999999999986</v>
      </c>
      <c r="AH83">
        <v>2</v>
      </c>
      <c r="AI83">
        <v>39089338</v>
      </c>
      <c r="AJ83">
        <v>71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ROW(Source!A42)</f>
        <v>42</v>
      </c>
      <c r="B84">
        <v>39089339</v>
      </c>
      <c r="C84">
        <v>39089337</v>
      </c>
      <c r="D84">
        <v>37064876</v>
      </c>
      <c r="E84">
        <v>1</v>
      </c>
      <c r="F84">
        <v>1</v>
      </c>
      <c r="G84">
        <v>1</v>
      </c>
      <c r="H84">
        <v>1</v>
      </c>
      <c r="I84" t="s">
        <v>285</v>
      </c>
      <c r="J84" t="s">
        <v>3</v>
      </c>
      <c r="K84" t="s">
        <v>286</v>
      </c>
      <c r="L84">
        <v>1191</v>
      </c>
      <c r="N84">
        <v>1013</v>
      </c>
      <c r="O84" t="s">
        <v>280</v>
      </c>
      <c r="P84" t="s">
        <v>280</v>
      </c>
      <c r="Q84">
        <v>1</v>
      </c>
      <c r="X84">
        <v>0.16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31</v>
      </c>
      <c r="AG84">
        <v>0.2</v>
      </c>
      <c r="AH84">
        <v>2</v>
      </c>
      <c r="AI84">
        <v>39089339</v>
      </c>
      <c r="AJ84">
        <v>72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ROW(Source!A42)</f>
        <v>42</v>
      </c>
      <c r="B85">
        <v>39089340</v>
      </c>
      <c r="C85">
        <v>39089337</v>
      </c>
      <c r="D85">
        <v>36882057</v>
      </c>
      <c r="E85">
        <v>1</v>
      </c>
      <c r="F85">
        <v>1</v>
      </c>
      <c r="G85">
        <v>1</v>
      </c>
      <c r="H85">
        <v>2</v>
      </c>
      <c r="I85" t="s">
        <v>315</v>
      </c>
      <c r="J85" t="s">
        <v>316</v>
      </c>
      <c r="K85" t="s">
        <v>317</v>
      </c>
      <c r="L85">
        <v>1368</v>
      </c>
      <c r="N85">
        <v>1011</v>
      </c>
      <c r="O85" t="s">
        <v>290</v>
      </c>
      <c r="P85" t="s">
        <v>290</v>
      </c>
      <c r="Q85">
        <v>1</v>
      </c>
      <c r="X85">
        <v>0.04</v>
      </c>
      <c r="Y85">
        <v>0</v>
      </c>
      <c r="Z85">
        <v>86.4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31</v>
      </c>
      <c r="AG85">
        <v>0.05</v>
      </c>
      <c r="AH85">
        <v>2</v>
      </c>
      <c r="AI85">
        <v>39089340</v>
      </c>
      <c r="AJ85">
        <v>73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ROW(Source!A42)</f>
        <v>42</v>
      </c>
      <c r="B86">
        <v>39089341</v>
      </c>
      <c r="C86">
        <v>39089337</v>
      </c>
      <c r="D86">
        <v>36882159</v>
      </c>
      <c r="E86">
        <v>1</v>
      </c>
      <c r="F86">
        <v>1</v>
      </c>
      <c r="G86">
        <v>1</v>
      </c>
      <c r="H86">
        <v>2</v>
      </c>
      <c r="I86" t="s">
        <v>318</v>
      </c>
      <c r="J86" t="s">
        <v>319</v>
      </c>
      <c r="K86" t="s">
        <v>320</v>
      </c>
      <c r="L86">
        <v>1368</v>
      </c>
      <c r="N86">
        <v>1011</v>
      </c>
      <c r="O86" t="s">
        <v>290</v>
      </c>
      <c r="P86" t="s">
        <v>290</v>
      </c>
      <c r="Q86">
        <v>1</v>
      </c>
      <c r="X86">
        <v>0.03</v>
      </c>
      <c r="Y86">
        <v>0</v>
      </c>
      <c r="Z86">
        <v>111.99</v>
      </c>
      <c r="AA86">
        <v>13.5</v>
      </c>
      <c r="AB86">
        <v>0</v>
      </c>
      <c r="AC86">
        <v>0</v>
      </c>
      <c r="AD86">
        <v>1</v>
      </c>
      <c r="AE86">
        <v>0</v>
      </c>
      <c r="AF86" t="s">
        <v>31</v>
      </c>
      <c r="AG86">
        <v>3.7499999999999999E-2</v>
      </c>
      <c r="AH86">
        <v>2</v>
      </c>
      <c r="AI86">
        <v>39089341</v>
      </c>
      <c r="AJ86">
        <v>74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ROW(Source!A42)</f>
        <v>42</v>
      </c>
      <c r="B87">
        <v>39089342</v>
      </c>
      <c r="C87">
        <v>39089337</v>
      </c>
      <c r="D87">
        <v>36883554</v>
      </c>
      <c r="E87">
        <v>1</v>
      </c>
      <c r="F87">
        <v>1</v>
      </c>
      <c r="G87">
        <v>1</v>
      </c>
      <c r="H87">
        <v>2</v>
      </c>
      <c r="I87" t="s">
        <v>287</v>
      </c>
      <c r="J87" t="s">
        <v>288</v>
      </c>
      <c r="K87" t="s">
        <v>289</v>
      </c>
      <c r="L87">
        <v>1368</v>
      </c>
      <c r="N87">
        <v>1011</v>
      </c>
      <c r="O87" t="s">
        <v>290</v>
      </c>
      <c r="P87" t="s">
        <v>290</v>
      </c>
      <c r="Q87">
        <v>1</v>
      </c>
      <c r="X87">
        <v>0.09</v>
      </c>
      <c r="Y87">
        <v>0</v>
      </c>
      <c r="Z87">
        <v>65.709999999999994</v>
      </c>
      <c r="AA87">
        <v>11.6</v>
      </c>
      <c r="AB87">
        <v>0</v>
      </c>
      <c r="AC87">
        <v>0</v>
      </c>
      <c r="AD87">
        <v>1</v>
      </c>
      <c r="AE87">
        <v>0</v>
      </c>
      <c r="AF87" t="s">
        <v>31</v>
      </c>
      <c r="AG87">
        <v>0.11249999999999999</v>
      </c>
      <c r="AH87">
        <v>2</v>
      </c>
      <c r="AI87">
        <v>39089342</v>
      </c>
      <c r="AJ87">
        <v>75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ROW(Source!A42)</f>
        <v>42</v>
      </c>
      <c r="B88">
        <v>39089343</v>
      </c>
      <c r="C88">
        <v>39089337</v>
      </c>
      <c r="D88">
        <v>36883858</v>
      </c>
      <c r="E88">
        <v>1</v>
      </c>
      <c r="F88">
        <v>1</v>
      </c>
      <c r="G88">
        <v>1</v>
      </c>
      <c r="H88">
        <v>2</v>
      </c>
      <c r="I88" t="s">
        <v>321</v>
      </c>
      <c r="J88" t="s">
        <v>322</v>
      </c>
      <c r="K88" t="s">
        <v>323</v>
      </c>
      <c r="L88">
        <v>1368</v>
      </c>
      <c r="N88">
        <v>1011</v>
      </c>
      <c r="O88" t="s">
        <v>290</v>
      </c>
      <c r="P88" t="s">
        <v>290</v>
      </c>
      <c r="Q88">
        <v>1</v>
      </c>
      <c r="X88">
        <v>1.25</v>
      </c>
      <c r="Y88">
        <v>0</v>
      </c>
      <c r="Z88">
        <v>8.1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31</v>
      </c>
      <c r="AG88">
        <v>1.5625</v>
      </c>
      <c r="AH88">
        <v>2</v>
      </c>
      <c r="AI88">
        <v>39089343</v>
      </c>
      <c r="AJ88">
        <v>76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ROW(Source!A42)</f>
        <v>42</v>
      </c>
      <c r="B89">
        <v>39089344</v>
      </c>
      <c r="C89">
        <v>39089337</v>
      </c>
      <c r="D89">
        <v>36799776</v>
      </c>
      <c r="E89">
        <v>1</v>
      </c>
      <c r="F89">
        <v>1</v>
      </c>
      <c r="G89">
        <v>1</v>
      </c>
      <c r="H89">
        <v>3</v>
      </c>
      <c r="I89" t="s">
        <v>336</v>
      </c>
      <c r="J89" t="s">
        <v>337</v>
      </c>
      <c r="K89" t="s">
        <v>338</v>
      </c>
      <c r="L89">
        <v>1356</v>
      </c>
      <c r="N89">
        <v>1010</v>
      </c>
      <c r="O89" t="s">
        <v>300</v>
      </c>
      <c r="P89" t="s">
        <v>300</v>
      </c>
      <c r="Q89">
        <v>1000</v>
      </c>
      <c r="X89">
        <v>2E-3</v>
      </c>
      <c r="Y89">
        <v>10374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2E-3</v>
      </c>
      <c r="AH89">
        <v>2</v>
      </c>
      <c r="AI89">
        <v>39089344</v>
      </c>
      <c r="AJ89">
        <v>77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ROW(Source!A42)</f>
        <v>42</v>
      </c>
      <c r="B90">
        <v>39089345</v>
      </c>
      <c r="C90">
        <v>39089337</v>
      </c>
      <c r="D90">
        <v>36803269</v>
      </c>
      <c r="E90">
        <v>1</v>
      </c>
      <c r="F90">
        <v>1</v>
      </c>
      <c r="G90">
        <v>1</v>
      </c>
      <c r="H90">
        <v>3</v>
      </c>
      <c r="I90" t="s">
        <v>327</v>
      </c>
      <c r="J90" t="s">
        <v>328</v>
      </c>
      <c r="K90" t="s">
        <v>329</v>
      </c>
      <c r="L90">
        <v>1348</v>
      </c>
      <c r="N90">
        <v>1009</v>
      </c>
      <c r="O90" t="s">
        <v>152</v>
      </c>
      <c r="P90" t="s">
        <v>152</v>
      </c>
      <c r="Q90">
        <v>1000</v>
      </c>
      <c r="X90">
        <v>7.9000000000000001E-4</v>
      </c>
      <c r="Y90">
        <v>10362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7.9000000000000001E-4</v>
      </c>
      <c r="AH90">
        <v>2</v>
      </c>
      <c r="AI90">
        <v>39089345</v>
      </c>
      <c r="AJ90">
        <v>78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ROW(Source!A42)</f>
        <v>42</v>
      </c>
      <c r="B91">
        <v>39089346</v>
      </c>
      <c r="C91">
        <v>39089337</v>
      </c>
      <c r="D91">
        <v>36804431</v>
      </c>
      <c r="E91">
        <v>1</v>
      </c>
      <c r="F91">
        <v>1</v>
      </c>
      <c r="G91">
        <v>1</v>
      </c>
      <c r="H91">
        <v>3</v>
      </c>
      <c r="I91" t="s">
        <v>301</v>
      </c>
      <c r="J91" t="s">
        <v>302</v>
      </c>
      <c r="K91" t="s">
        <v>303</v>
      </c>
      <c r="L91">
        <v>1348</v>
      </c>
      <c r="N91">
        <v>1009</v>
      </c>
      <c r="O91" t="s">
        <v>152</v>
      </c>
      <c r="P91" t="s">
        <v>152</v>
      </c>
      <c r="Q91">
        <v>1000</v>
      </c>
      <c r="X91">
        <v>5.0400000000000002E-3</v>
      </c>
      <c r="Y91">
        <v>13560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5.0400000000000002E-3</v>
      </c>
      <c r="AH91">
        <v>2</v>
      </c>
      <c r="AI91">
        <v>39089346</v>
      </c>
      <c r="AJ91">
        <v>79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ROW(Source!A42)</f>
        <v>42</v>
      </c>
      <c r="B92">
        <v>39089347</v>
      </c>
      <c r="C92">
        <v>39089337</v>
      </c>
      <c r="D92">
        <v>36797677</v>
      </c>
      <c r="E92">
        <v>17</v>
      </c>
      <c r="F92">
        <v>1</v>
      </c>
      <c r="G92">
        <v>1</v>
      </c>
      <c r="H92">
        <v>3</v>
      </c>
      <c r="I92" t="s">
        <v>374</v>
      </c>
      <c r="J92" t="s">
        <v>3</v>
      </c>
      <c r="K92" t="s">
        <v>375</v>
      </c>
      <c r="L92">
        <v>1354</v>
      </c>
      <c r="N92">
        <v>1010</v>
      </c>
      <c r="O92" t="s">
        <v>48</v>
      </c>
      <c r="P92" t="s">
        <v>48</v>
      </c>
      <c r="Q92">
        <v>1</v>
      </c>
      <c r="X92">
        <v>1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 t="s">
        <v>3</v>
      </c>
      <c r="AG92">
        <v>1</v>
      </c>
      <c r="AH92">
        <v>3</v>
      </c>
      <c r="AI92">
        <v>-1</v>
      </c>
      <c r="AJ92" t="s">
        <v>3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ROW(Source!A42)</f>
        <v>42</v>
      </c>
      <c r="B93">
        <v>39089348</v>
      </c>
      <c r="C93">
        <v>39089337</v>
      </c>
      <c r="D93">
        <v>36797638</v>
      </c>
      <c r="E93">
        <v>17</v>
      </c>
      <c r="F93">
        <v>1</v>
      </c>
      <c r="G93">
        <v>1</v>
      </c>
      <c r="H93">
        <v>3</v>
      </c>
      <c r="I93" t="s">
        <v>376</v>
      </c>
      <c r="J93" t="s">
        <v>3</v>
      </c>
      <c r="K93" t="s">
        <v>377</v>
      </c>
      <c r="L93">
        <v>1354</v>
      </c>
      <c r="N93">
        <v>1010</v>
      </c>
      <c r="O93" t="s">
        <v>48</v>
      </c>
      <c r="P93" t="s">
        <v>48</v>
      </c>
      <c r="Q93">
        <v>1</v>
      </c>
      <c r="X93">
        <v>2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3</v>
      </c>
      <c r="AG93">
        <v>2</v>
      </c>
      <c r="AH93">
        <v>3</v>
      </c>
      <c r="AI93">
        <v>-1</v>
      </c>
      <c r="AJ93" t="s">
        <v>3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ROW(Source!A44)</f>
        <v>44</v>
      </c>
      <c r="B94">
        <v>39089024</v>
      </c>
      <c r="C94">
        <v>39089023</v>
      </c>
      <c r="D94">
        <v>37064928</v>
      </c>
      <c r="E94">
        <v>1</v>
      </c>
      <c r="F94">
        <v>1</v>
      </c>
      <c r="G94">
        <v>1</v>
      </c>
      <c r="H94">
        <v>1</v>
      </c>
      <c r="I94" t="s">
        <v>295</v>
      </c>
      <c r="J94" t="s">
        <v>3</v>
      </c>
      <c r="K94" t="s">
        <v>296</v>
      </c>
      <c r="L94">
        <v>1191</v>
      </c>
      <c r="N94">
        <v>1013</v>
      </c>
      <c r="O94" t="s">
        <v>280</v>
      </c>
      <c r="P94" t="s">
        <v>280</v>
      </c>
      <c r="Q94">
        <v>1</v>
      </c>
      <c r="X94">
        <v>1.47</v>
      </c>
      <c r="Y94">
        <v>0</v>
      </c>
      <c r="Z94">
        <v>0</v>
      </c>
      <c r="AA94">
        <v>0</v>
      </c>
      <c r="AB94">
        <v>9.07</v>
      </c>
      <c r="AC94">
        <v>0</v>
      </c>
      <c r="AD94">
        <v>1</v>
      </c>
      <c r="AE94">
        <v>1</v>
      </c>
      <c r="AF94" t="s">
        <v>32</v>
      </c>
      <c r="AG94">
        <v>1.6904999999999999</v>
      </c>
      <c r="AH94">
        <v>2</v>
      </c>
      <c r="AI94">
        <v>39089024</v>
      </c>
      <c r="AJ94">
        <v>81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ROW(Source!A44)</f>
        <v>44</v>
      </c>
      <c r="B95">
        <v>39089025</v>
      </c>
      <c r="C95">
        <v>39089023</v>
      </c>
      <c r="D95">
        <v>37064876</v>
      </c>
      <c r="E95">
        <v>1</v>
      </c>
      <c r="F95">
        <v>1</v>
      </c>
      <c r="G95">
        <v>1</v>
      </c>
      <c r="H95">
        <v>1</v>
      </c>
      <c r="I95" t="s">
        <v>285</v>
      </c>
      <c r="J95" t="s">
        <v>3</v>
      </c>
      <c r="K95" t="s">
        <v>286</v>
      </c>
      <c r="L95">
        <v>1191</v>
      </c>
      <c r="N95">
        <v>1013</v>
      </c>
      <c r="O95" t="s">
        <v>280</v>
      </c>
      <c r="P95" t="s">
        <v>280</v>
      </c>
      <c r="Q95">
        <v>1</v>
      </c>
      <c r="X95">
        <v>0.01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2</v>
      </c>
      <c r="AF95" t="s">
        <v>31</v>
      </c>
      <c r="AG95">
        <v>1.2500000000000001E-2</v>
      </c>
      <c r="AH95">
        <v>2</v>
      </c>
      <c r="AI95">
        <v>39089025</v>
      </c>
      <c r="AJ95">
        <v>82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ROW(Source!A44)</f>
        <v>44</v>
      </c>
      <c r="B96">
        <v>39089026</v>
      </c>
      <c r="C96">
        <v>39089023</v>
      </c>
      <c r="D96">
        <v>36883554</v>
      </c>
      <c r="E96">
        <v>1</v>
      </c>
      <c r="F96">
        <v>1</v>
      </c>
      <c r="G96">
        <v>1</v>
      </c>
      <c r="H96">
        <v>2</v>
      </c>
      <c r="I96" t="s">
        <v>287</v>
      </c>
      <c r="J96" t="s">
        <v>288</v>
      </c>
      <c r="K96" t="s">
        <v>289</v>
      </c>
      <c r="L96">
        <v>1368</v>
      </c>
      <c r="N96">
        <v>1011</v>
      </c>
      <c r="O96" t="s">
        <v>290</v>
      </c>
      <c r="P96" t="s">
        <v>290</v>
      </c>
      <c r="Q96">
        <v>1</v>
      </c>
      <c r="X96">
        <v>0.01</v>
      </c>
      <c r="Y96">
        <v>0</v>
      </c>
      <c r="Z96">
        <v>65.709999999999994</v>
      </c>
      <c r="AA96">
        <v>11.6</v>
      </c>
      <c r="AB96">
        <v>0</v>
      </c>
      <c r="AC96">
        <v>0</v>
      </c>
      <c r="AD96">
        <v>1</v>
      </c>
      <c r="AE96">
        <v>0</v>
      </c>
      <c r="AF96" t="s">
        <v>31</v>
      </c>
      <c r="AG96">
        <v>1.2500000000000001E-2</v>
      </c>
      <c r="AH96">
        <v>2</v>
      </c>
      <c r="AI96">
        <v>39089026</v>
      </c>
      <c r="AJ96">
        <v>83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ROW(Source!A44)</f>
        <v>44</v>
      </c>
      <c r="B97">
        <v>39089027</v>
      </c>
      <c r="C97">
        <v>39089023</v>
      </c>
      <c r="D97">
        <v>36883858</v>
      </c>
      <c r="E97">
        <v>1</v>
      </c>
      <c r="F97">
        <v>1</v>
      </c>
      <c r="G97">
        <v>1</v>
      </c>
      <c r="H97">
        <v>2</v>
      </c>
      <c r="I97" t="s">
        <v>321</v>
      </c>
      <c r="J97" t="s">
        <v>322</v>
      </c>
      <c r="K97" t="s">
        <v>323</v>
      </c>
      <c r="L97">
        <v>1368</v>
      </c>
      <c r="N97">
        <v>1011</v>
      </c>
      <c r="O97" t="s">
        <v>290</v>
      </c>
      <c r="P97" t="s">
        <v>290</v>
      </c>
      <c r="Q97">
        <v>1</v>
      </c>
      <c r="X97">
        <v>0.35</v>
      </c>
      <c r="Y97">
        <v>0</v>
      </c>
      <c r="Z97">
        <v>8.1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31</v>
      </c>
      <c r="AG97">
        <v>0.4375</v>
      </c>
      <c r="AH97">
        <v>2</v>
      </c>
      <c r="AI97">
        <v>39089027</v>
      </c>
      <c r="AJ97">
        <v>84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ROW(Source!A44)</f>
        <v>44</v>
      </c>
      <c r="B98">
        <v>39089028</v>
      </c>
      <c r="C98">
        <v>39089023</v>
      </c>
      <c r="D98">
        <v>36799773</v>
      </c>
      <c r="E98">
        <v>1</v>
      </c>
      <c r="F98">
        <v>1</v>
      </c>
      <c r="G98">
        <v>1</v>
      </c>
      <c r="H98">
        <v>3</v>
      </c>
      <c r="I98" t="s">
        <v>297</v>
      </c>
      <c r="J98" t="s">
        <v>298</v>
      </c>
      <c r="K98" t="s">
        <v>299</v>
      </c>
      <c r="L98">
        <v>1356</v>
      </c>
      <c r="N98">
        <v>1010</v>
      </c>
      <c r="O98" t="s">
        <v>300</v>
      </c>
      <c r="P98" t="s">
        <v>300</v>
      </c>
      <c r="Q98">
        <v>1000</v>
      </c>
      <c r="X98">
        <v>2E-3</v>
      </c>
      <c r="Y98">
        <v>3450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2E-3</v>
      </c>
      <c r="AH98">
        <v>2</v>
      </c>
      <c r="AI98">
        <v>39089028</v>
      </c>
      <c r="AJ98">
        <v>85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ROW(Source!A44)</f>
        <v>44</v>
      </c>
      <c r="B99">
        <v>39089029</v>
      </c>
      <c r="C99">
        <v>39089023</v>
      </c>
      <c r="D99">
        <v>36803269</v>
      </c>
      <c r="E99">
        <v>1</v>
      </c>
      <c r="F99">
        <v>1</v>
      </c>
      <c r="G99">
        <v>1</v>
      </c>
      <c r="H99">
        <v>3</v>
      </c>
      <c r="I99" t="s">
        <v>327</v>
      </c>
      <c r="J99" t="s">
        <v>328</v>
      </c>
      <c r="K99" t="s">
        <v>329</v>
      </c>
      <c r="L99">
        <v>1348</v>
      </c>
      <c r="N99">
        <v>1009</v>
      </c>
      <c r="O99" t="s">
        <v>152</v>
      </c>
      <c r="P99" t="s">
        <v>152</v>
      </c>
      <c r="Q99">
        <v>1000</v>
      </c>
      <c r="X99">
        <v>1.3999999999999999E-4</v>
      </c>
      <c r="Y99">
        <v>10362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1.3999999999999999E-4</v>
      </c>
      <c r="AH99">
        <v>2</v>
      </c>
      <c r="AI99">
        <v>39089029</v>
      </c>
      <c r="AJ99">
        <v>86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ROW(Source!A44)</f>
        <v>44</v>
      </c>
      <c r="B100">
        <v>39089030</v>
      </c>
      <c r="C100">
        <v>39089023</v>
      </c>
      <c r="D100">
        <v>36804429</v>
      </c>
      <c r="E100">
        <v>1</v>
      </c>
      <c r="F100">
        <v>1</v>
      </c>
      <c r="G100">
        <v>1</v>
      </c>
      <c r="H100">
        <v>3</v>
      </c>
      <c r="I100" t="s">
        <v>330</v>
      </c>
      <c r="J100" t="s">
        <v>331</v>
      </c>
      <c r="K100" t="s">
        <v>332</v>
      </c>
      <c r="L100">
        <v>1348</v>
      </c>
      <c r="N100">
        <v>1009</v>
      </c>
      <c r="O100" t="s">
        <v>152</v>
      </c>
      <c r="P100" t="s">
        <v>152</v>
      </c>
      <c r="Q100">
        <v>1000</v>
      </c>
      <c r="X100">
        <v>1.1000000000000001E-3</v>
      </c>
      <c r="Y100">
        <v>15323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</v>
      </c>
      <c r="AG100">
        <v>1.1000000000000001E-3</v>
      </c>
      <c r="AH100">
        <v>2</v>
      </c>
      <c r="AI100">
        <v>39089030</v>
      </c>
      <c r="AJ100">
        <v>87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ROW(Source!A44)</f>
        <v>44</v>
      </c>
      <c r="B101">
        <v>39089031</v>
      </c>
      <c r="C101">
        <v>39089023</v>
      </c>
      <c r="D101">
        <v>36797677</v>
      </c>
      <c r="E101">
        <v>17</v>
      </c>
      <c r="F101">
        <v>1</v>
      </c>
      <c r="G101">
        <v>1</v>
      </c>
      <c r="H101">
        <v>3</v>
      </c>
      <c r="I101" t="s">
        <v>374</v>
      </c>
      <c r="J101" t="s">
        <v>3</v>
      </c>
      <c r="K101" t="s">
        <v>375</v>
      </c>
      <c r="L101">
        <v>1354</v>
      </c>
      <c r="N101">
        <v>1010</v>
      </c>
      <c r="O101" t="s">
        <v>48</v>
      </c>
      <c r="P101" t="s">
        <v>48</v>
      </c>
      <c r="Q101">
        <v>1</v>
      </c>
      <c r="X101">
        <v>1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 t="s">
        <v>3</v>
      </c>
      <c r="AG101">
        <v>1</v>
      </c>
      <c r="AH101">
        <v>3</v>
      </c>
      <c r="AI101">
        <v>-1</v>
      </c>
      <c r="AJ101" t="s">
        <v>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ROW(Source!A44)</f>
        <v>44</v>
      </c>
      <c r="B102">
        <v>39089032</v>
      </c>
      <c r="C102">
        <v>39089023</v>
      </c>
      <c r="D102">
        <v>36797638</v>
      </c>
      <c r="E102">
        <v>17</v>
      </c>
      <c r="F102">
        <v>1</v>
      </c>
      <c r="G102">
        <v>1</v>
      </c>
      <c r="H102">
        <v>3</v>
      </c>
      <c r="I102" t="s">
        <v>376</v>
      </c>
      <c r="J102" t="s">
        <v>3</v>
      </c>
      <c r="K102" t="s">
        <v>377</v>
      </c>
      <c r="L102">
        <v>1354</v>
      </c>
      <c r="N102">
        <v>1010</v>
      </c>
      <c r="O102" t="s">
        <v>48</v>
      </c>
      <c r="P102" t="s">
        <v>48</v>
      </c>
      <c r="Q102">
        <v>1</v>
      </c>
      <c r="X102">
        <v>2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 t="s">
        <v>3</v>
      </c>
      <c r="AG102">
        <v>2</v>
      </c>
      <c r="AH102">
        <v>3</v>
      </c>
      <c r="AI102">
        <v>-1</v>
      </c>
      <c r="AJ102" t="s">
        <v>3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ROW(Source!A46)</f>
        <v>46</v>
      </c>
      <c r="B103">
        <v>39089047</v>
      </c>
      <c r="C103">
        <v>39089039</v>
      </c>
      <c r="D103">
        <v>37070202</v>
      </c>
      <c r="E103">
        <v>1</v>
      </c>
      <c r="F103">
        <v>1</v>
      </c>
      <c r="G103">
        <v>1</v>
      </c>
      <c r="H103">
        <v>1</v>
      </c>
      <c r="I103" t="s">
        <v>339</v>
      </c>
      <c r="J103" t="s">
        <v>3</v>
      </c>
      <c r="K103" t="s">
        <v>340</v>
      </c>
      <c r="L103">
        <v>1191</v>
      </c>
      <c r="N103">
        <v>1013</v>
      </c>
      <c r="O103" t="s">
        <v>280</v>
      </c>
      <c r="P103" t="s">
        <v>280</v>
      </c>
      <c r="Q103">
        <v>1</v>
      </c>
      <c r="X103">
        <v>41.6</v>
      </c>
      <c r="Y103">
        <v>0</v>
      </c>
      <c r="Z103">
        <v>0</v>
      </c>
      <c r="AA103">
        <v>0</v>
      </c>
      <c r="AB103">
        <v>9.51</v>
      </c>
      <c r="AC103">
        <v>0</v>
      </c>
      <c r="AD103">
        <v>1</v>
      </c>
      <c r="AE103">
        <v>1</v>
      </c>
      <c r="AF103" t="s">
        <v>3</v>
      </c>
      <c r="AG103">
        <v>41.6</v>
      </c>
      <c r="AH103">
        <v>2</v>
      </c>
      <c r="AI103">
        <v>39089040</v>
      </c>
      <c r="AJ103">
        <v>89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ROW(Source!A46)</f>
        <v>46</v>
      </c>
      <c r="B104">
        <v>39089048</v>
      </c>
      <c r="C104">
        <v>39089039</v>
      </c>
      <c r="D104">
        <v>37064876</v>
      </c>
      <c r="E104">
        <v>1</v>
      </c>
      <c r="F104">
        <v>1</v>
      </c>
      <c r="G104">
        <v>1</v>
      </c>
      <c r="H104">
        <v>1</v>
      </c>
      <c r="I104" t="s">
        <v>285</v>
      </c>
      <c r="J104" t="s">
        <v>3</v>
      </c>
      <c r="K104" t="s">
        <v>286</v>
      </c>
      <c r="L104">
        <v>1191</v>
      </c>
      <c r="N104">
        <v>1013</v>
      </c>
      <c r="O104" t="s">
        <v>280</v>
      </c>
      <c r="P104" t="s">
        <v>280</v>
      </c>
      <c r="Q104">
        <v>1</v>
      </c>
      <c r="X104">
        <v>0.05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3</v>
      </c>
      <c r="AG104">
        <v>0.05</v>
      </c>
      <c r="AH104">
        <v>2</v>
      </c>
      <c r="AI104">
        <v>39089041</v>
      </c>
      <c r="AJ104">
        <v>90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ROW(Source!A46)</f>
        <v>46</v>
      </c>
      <c r="B105">
        <v>39089049</v>
      </c>
      <c r="C105">
        <v>39089039</v>
      </c>
      <c r="D105">
        <v>36882452</v>
      </c>
      <c r="E105">
        <v>1</v>
      </c>
      <c r="F105">
        <v>1</v>
      </c>
      <c r="G105">
        <v>1</v>
      </c>
      <c r="H105">
        <v>2</v>
      </c>
      <c r="I105" t="s">
        <v>310</v>
      </c>
      <c r="J105" t="s">
        <v>311</v>
      </c>
      <c r="K105" t="s">
        <v>312</v>
      </c>
      <c r="L105">
        <v>1368</v>
      </c>
      <c r="N105">
        <v>1011</v>
      </c>
      <c r="O105" t="s">
        <v>290</v>
      </c>
      <c r="P105" t="s">
        <v>290</v>
      </c>
      <c r="Q105">
        <v>1</v>
      </c>
      <c r="X105">
        <v>0.05</v>
      </c>
      <c r="Y105">
        <v>0</v>
      </c>
      <c r="Z105">
        <v>31.26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0.05</v>
      </c>
      <c r="AH105">
        <v>2</v>
      </c>
      <c r="AI105">
        <v>39089042</v>
      </c>
      <c r="AJ105">
        <v>91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ROW(Source!A46)</f>
        <v>46</v>
      </c>
      <c r="B106">
        <v>39089050</v>
      </c>
      <c r="C106">
        <v>39089039</v>
      </c>
      <c r="D106">
        <v>36802469</v>
      </c>
      <c r="E106">
        <v>1</v>
      </c>
      <c r="F106">
        <v>1</v>
      </c>
      <c r="G106">
        <v>1</v>
      </c>
      <c r="H106">
        <v>3</v>
      </c>
      <c r="I106" t="s">
        <v>341</v>
      </c>
      <c r="J106" t="s">
        <v>342</v>
      </c>
      <c r="K106" t="s">
        <v>343</v>
      </c>
      <c r="L106">
        <v>1346</v>
      </c>
      <c r="N106">
        <v>1009</v>
      </c>
      <c r="O106" t="s">
        <v>344</v>
      </c>
      <c r="P106" t="s">
        <v>344</v>
      </c>
      <c r="Q106">
        <v>1</v>
      </c>
      <c r="X106">
        <v>0.36</v>
      </c>
      <c r="Y106">
        <v>37.29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0.36</v>
      </c>
      <c r="AH106">
        <v>2</v>
      </c>
      <c r="AI106">
        <v>39089043</v>
      </c>
      <c r="AJ106">
        <v>92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ROW(Source!A46)</f>
        <v>46</v>
      </c>
      <c r="B107">
        <v>39089051</v>
      </c>
      <c r="C107">
        <v>39089039</v>
      </c>
      <c r="D107">
        <v>36838223</v>
      </c>
      <c r="E107">
        <v>1</v>
      </c>
      <c r="F107">
        <v>1</v>
      </c>
      <c r="G107">
        <v>1</v>
      </c>
      <c r="H107">
        <v>3</v>
      </c>
      <c r="I107" t="s">
        <v>345</v>
      </c>
      <c r="J107" t="s">
        <v>346</v>
      </c>
      <c r="K107" t="s">
        <v>347</v>
      </c>
      <c r="L107">
        <v>1348</v>
      </c>
      <c r="N107">
        <v>1009</v>
      </c>
      <c r="O107" t="s">
        <v>152</v>
      </c>
      <c r="P107" t="s">
        <v>152</v>
      </c>
      <c r="Q107">
        <v>1000</v>
      </c>
      <c r="X107">
        <v>8.7000000000000001E-4</v>
      </c>
      <c r="Y107">
        <v>15119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8.7000000000000001E-4</v>
      </c>
      <c r="AH107">
        <v>2</v>
      </c>
      <c r="AI107">
        <v>39089044</v>
      </c>
      <c r="AJ107">
        <v>93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ROW(Source!A46)</f>
        <v>46</v>
      </c>
      <c r="B108">
        <v>39089052</v>
      </c>
      <c r="C108">
        <v>39089039</v>
      </c>
      <c r="D108">
        <v>36838951</v>
      </c>
      <c r="E108">
        <v>1</v>
      </c>
      <c r="F108">
        <v>1</v>
      </c>
      <c r="G108">
        <v>1</v>
      </c>
      <c r="H108">
        <v>3</v>
      </c>
      <c r="I108" t="s">
        <v>348</v>
      </c>
      <c r="J108" t="s">
        <v>349</v>
      </c>
      <c r="K108" t="s">
        <v>350</v>
      </c>
      <c r="L108">
        <v>1348</v>
      </c>
      <c r="N108">
        <v>1009</v>
      </c>
      <c r="O108" t="s">
        <v>152</v>
      </c>
      <c r="P108" t="s">
        <v>152</v>
      </c>
      <c r="Q108">
        <v>1000</v>
      </c>
      <c r="X108">
        <v>1.6000000000000001E-3</v>
      </c>
      <c r="Y108">
        <v>16950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1.6000000000000001E-3</v>
      </c>
      <c r="AH108">
        <v>2</v>
      </c>
      <c r="AI108">
        <v>39089045</v>
      </c>
      <c r="AJ108">
        <v>94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ROW(Source!A46)</f>
        <v>46</v>
      </c>
      <c r="B109">
        <v>39089053</v>
      </c>
      <c r="C109">
        <v>39089039</v>
      </c>
      <c r="D109">
        <v>36864441</v>
      </c>
      <c r="E109">
        <v>1</v>
      </c>
      <c r="F109">
        <v>1</v>
      </c>
      <c r="G109">
        <v>1</v>
      </c>
      <c r="H109">
        <v>3</v>
      </c>
      <c r="I109" t="s">
        <v>127</v>
      </c>
      <c r="J109" t="s">
        <v>129</v>
      </c>
      <c r="K109" t="s">
        <v>128</v>
      </c>
      <c r="L109">
        <v>1354</v>
      </c>
      <c r="N109">
        <v>1010</v>
      </c>
      <c r="O109" t="s">
        <v>48</v>
      </c>
      <c r="P109" t="s">
        <v>48</v>
      </c>
      <c r="Q109">
        <v>1</v>
      </c>
      <c r="X109">
        <v>100</v>
      </c>
      <c r="Y109">
        <v>17.059999999999999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100</v>
      </c>
      <c r="AH109">
        <v>2</v>
      </c>
      <c r="AI109">
        <v>39089046</v>
      </c>
      <c r="AJ109">
        <v>96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ROW(Source!A49)</f>
        <v>49</v>
      </c>
      <c r="B110">
        <v>39089246</v>
      </c>
      <c r="C110">
        <v>39089245</v>
      </c>
      <c r="D110">
        <v>37072767</v>
      </c>
      <c r="E110">
        <v>1</v>
      </c>
      <c r="F110">
        <v>1</v>
      </c>
      <c r="G110">
        <v>1</v>
      </c>
      <c r="H110">
        <v>1</v>
      </c>
      <c r="I110" t="s">
        <v>351</v>
      </c>
      <c r="J110" t="s">
        <v>3</v>
      </c>
      <c r="K110" t="s">
        <v>352</v>
      </c>
      <c r="L110">
        <v>1191</v>
      </c>
      <c r="N110">
        <v>1013</v>
      </c>
      <c r="O110" t="s">
        <v>280</v>
      </c>
      <c r="P110" t="s">
        <v>280</v>
      </c>
      <c r="Q110">
        <v>1</v>
      </c>
      <c r="X110">
        <v>7.07</v>
      </c>
      <c r="Y110">
        <v>0</v>
      </c>
      <c r="Z110">
        <v>0</v>
      </c>
      <c r="AA110">
        <v>0</v>
      </c>
      <c r="AB110">
        <v>9.18</v>
      </c>
      <c r="AC110">
        <v>0</v>
      </c>
      <c r="AD110">
        <v>1</v>
      </c>
      <c r="AE110">
        <v>1</v>
      </c>
      <c r="AF110" t="s">
        <v>32</v>
      </c>
      <c r="AG110">
        <v>8.1304999999999996</v>
      </c>
      <c r="AH110">
        <v>2</v>
      </c>
      <c r="AI110">
        <v>39089246</v>
      </c>
      <c r="AJ110">
        <v>97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ROW(Source!A49)</f>
        <v>49</v>
      </c>
      <c r="B111">
        <v>39089247</v>
      </c>
      <c r="C111">
        <v>39089245</v>
      </c>
      <c r="D111">
        <v>37064876</v>
      </c>
      <c r="E111">
        <v>1</v>
      </c>
      <c r="F111">
        <v>1</v>
      </c>
      <c r="G111">
        <v>1</v>
      </c>
      <c r="H111">
        <v>1</v>
      </c>
      <c r="I111" t="s">
        <v>285</v>
      </c>
      <c r="J111" t="s">
        <v>3</v>
      </c>
      <c r="K111" t="s">
        <v>286</v>
      </c>
      <c r="L111">
        <v>1191</v>
      </c>
      <c r="N111">
        <v>1013</v>
      </c>
      <c r="O111" t="s">
        <v>280</v>
      </c>
      <c r="P111" t="s">
        <v>280</v>
      </c>
      <c r="Q111">
        <v>1</v>
      </c>
      <c r="X111">
        <v>0.64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2</v>
      </c>
      <c r="AF111" t="s">
        <v>31</v>
      </c>
      <c r="AG111">
        <v>0.8</v>
      </c>
      <c r="AH111">
        <v>2</v>
      </c>
      <c r="AI111">
        <v>39089247</v>
      </c>
      <c r="AJ111">
        <v>98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ROW(Source!A49)</f>
        <v>49</v>
      </c>
      <c r="B112">
        <v>39089248</v>
      </c>
      <c r="C112">
        <v>39089245</v>
      </c>
      <c r="D112">
        <v>36882159</v>
      </c>
      <c r="E112">
        <v>1</v>
      </c>
      <c r="F112">
        <v>1</v>
      </c>
      <c r="G112">
        <v>1</v>
      </c>
      <c r="H112">
        <v>2</v>
      </c>
      <c r="I112" t="s">
        <v>318</v>
      </c>
      <c r="J112" t="s">
        <v>319</v>
      </c>
      <c r="K112" t="s">
        <v>320</v>
      </c>
      <c r="L112">
        <v>1368</v>
      </c>
      <c r="N112">
        <v>1011</v>
      </c>
      <c r="O112" t="s">
        <v>290</v>
      </c>
      <c r="P112" t="s">
        <v>290</v>
      </c>
      <c r="Q112">
        <v>1</v>
      </c>
      <c r="X112">
        <v>7.0000000000000007E-2</v>
      </c>
      <c r="Y112">
        <v>0</v>
      </c>
      <c r="Z112">
        <v>111.99</v>
      </c>
      <c r="AA112">
        <v>13.5</v>
      </c>
      <c r="AB112">
        <v>0</v>
      </c>
      <c r="AC112">
        <v>0</v>
      </c>
      <c r="AD112">
        <v>1</v>
      </c>
      <c r="AE112">
        <v>0</v>
      </c>
      <c r="AF112" t="s">
        <v>31</v>
      </c>
      <c r="AG112">
        <v>8.7500000000000008E-2</v>
      </c>
      <c r="AH112">
        <v>2</v>
      </c>
      <c r="AI112">
        <v>39089248</v>
      </c>
      <c r="AJ112">
        <v>99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ROW(Source!A49)</f>
        <v>49</v>
      </c>
      <c r="B113">
        <v>39089249</v>
      </c>
      <c r="C113">
        <v>39089245</v>
      </c>
      <c r="D113">
        <v>36883239</v>
      </c>
      <c r="E113">
        <v>1</v>
      </c>
      <c r="F113">
        <v>1</v>
      </c>
      <c r="G113">
        <v>1</v>
      </c>
      <c r="H113">
        <v>2</v>
      </c>
      <c r="I113" t="s">
        <v>353</v>
      </c>
      <c r="J113" t="s">
        <v>354</v>
      </c>
      <c r="K113" t="s">
        <v>355</v>
      </c>
      <c r="L113">
        <v>1368</v>
      </c>
      <c r="N113">
        <v>1011</v>
      </c>
      <c r="O113" t="s">
        <v>290</v>
      </c>
      <c r="P113" t="s">
        <v>290</v>
      </c>
      <c r="Q113">
        <v>1</v>
      </c>
      <c r="X113">
        <v>0.38</v>
      </c>
      <c r="Y113">
        <v>0</v>
      </c>
      <c r="Z113">
        <v>160.03</v>
      </c>
      <c r="AA113">
        <v>14.4</v>
      </c>
      <c r="AB113">
        <v>0</v>
      </c>
      <c r="AC113">
        <v>0</v>
      </c>
      <c r="AD113">
        <v>1</v>
      </c>
      <c r="AE113">
        <v>0</v>
      </c>
      <c r="AF113" t="s">
        <v>31</v>
      </c>
      <c r="AG113">
        <v>0.47499999999999998</v>
      </c>
      <c r="AH113">
        <v>2</v>
      </c>
      <c r="AI113">
        <v>39089249</v>
      </c>
      <c r="AJ113">
        <v>100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ROW(Source!A49)</f>
        <v>49</v>
      </c>
      <c r="B114">
        <v>39089250</v>
      </c>
      <c r="C114">
        <v>39089245</v>
      </c>
      <c r="D114">
        <v>36883554</v>
      </c>
      <c r="E114">
        <v>1</v>
      </c>
      <c r="F114">
        <v>1</v>
      </c>
      <c r="G114">
        <v>1</v>
      </c>
      <c r="H114">
        <v>2</v>
      </c>
      <c r="I114" t="s">
        <v>287</v>
      </c>
      <c r="J114" t="s">
        <v>288</v>
      </c>
      <c r="K114" t="s">
        <v>289</v>
      </c>
      <c r="L114">
        <v>1368</v>
      </c>
      <c r="N114">
        <v>1011</v>
      </c>
      <c r="O114" t="s">
        <v>290</v>
      </c>
      <c r="P114" t="s">
        <v>290</v>
      </c>
      <c r="Q114">
        <v>1</v>
      </c>
      <c r="X114">
        <v>0.19</v>
      </c>
      <c r="Y114">
        <v>0</v>
      </c>
      <c r="Z114">
        <v>65.709999999999994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31</v>
      </c>
      <c r="AG114">
        <v>0.23749999999999999</v>
      </c>
      <c r="AH114">
        <v>2</v>
      </c>
      <c r="AI114">
        <v>39089250</v>
      </c>
      <c r="AJ114">
        <v>101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ROW(Source!A49)</f>
        <v>49</v>
      </c>
      <c r="B115">
        <v>39089251</v>
      </c>
      <c r="C115">
        <v>39089245</v>
      </c>
      <c r="D115">
        <v>36804432</v>
      </c>
      <c r="E115">
        <v>1</v>
      </c>
      <c r="F115">
        <v>1</v>
      </c>
      <c r="G115">
        <v>1</v>
      </c>
      <c r="H115">
        <v>3</v>
      </c>
      <c r="I115" t="s">
        <v>356</v>
      </c>
      <c r="J115" t="s">
        <v>357</v>
      </c>
      <c r="K115" t="s">
        <v>358</v>
      </c>
      <c r="L115">
        <v>1348</v>
      </c>
      <c r="N115">
        <v>1009</v>
      </c>
      <c r="O115" t="s">
        <v>152</v>
      </c>
      <c r="P115" t="s">
        <v>152</v>
      </c>
      <c r="Q115">
        <v>1000</v>
      </c>
      <c r="X115">
        <v>3.8E-3</v>
      </c>
      <c r="Y115">
        <v>12660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3.8E-3</v>
      </c>
      <c r="AH115">
        <v>2</v>
      </c>
      <c r="AI115">
        <v>39089251</v>
      </c>
      <c r="AJ115">
        <v>102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ROW(Source!A49)</f>
        <v>49</v>
      </c>
      <c r="B116">
        <v>39089252</v>
      </c>
      <c r="C116">
        <v>39089245</v>
      </c>
      <c r="D116">
        <v>36805330</v>
      </c>
      <c r="E116">
        <v>1</v>
      </c>
      <c r="F116">
        <v>1</v>
      </c>
      <c r="G116">
        <v>1</v>
      </c>
      <c r="H116">
        <v>3</v>
      </c>
      <c r="I116" t="s">
        <v>359</v>
      </c>
      <c r="J116" t="s">
        <v>360</v>
      </c>
      <c r="K116" t="s">
        <v>361</v>
      </c>
      <c r="L116">
        <v>1346</v>
      </c>
      <c r="N116">
        <v>1009</v>
      </c>
      <c r="O116" t="s">
        <v>344</v>
      </c>
      <c r="P116" t="s">
        <v>344</v>
      </c>
      <c r="Q116">
        <v>1</v>
      </c>
      <c r="X116">
        <v>0.23</v>
      </c>
      <c r="Y116">
        <v>23.09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0.23</v>
      </c>
      <c r="AH116">
        <v>2</v>
      </c>
      <c r="AI116">
        <v>39089252</v>
      </c>
      <c r="AJ116">
        <v>103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ROW(Source!A49)</f>
        <v>49</v>
      </c>
      <c r="B117">
        <v>39089253</v>
      </c>
      <c r="C117">
        <v>39089245</v>
      </c>
      <c r="D117">
        <v>36797961</v>
      </c>
      <c r="E117">
        <v>17</v>
      </c>
      <c r="F117">
        <v>1</v>
      </c>
      <c r="G117">
        <v>1</v>
      </c>
      <c r="H117">
        <v>3</v>
      </c>
      <c r="I117" t="s">
        <v>378</v>
      </c>
      <c r="J117" t="s">
        <v>3</v>
      </c>
      <c r="K117" t="s">
        <v>379</v>
      </c>
      <c r="L117">
        <v>1354</v>
      </c>
      <c r="N117">
        <v>1010</v>
      </c>
      <c r="O117" t="s">
        <v>48</v>
      </c>
      <c r="P117" t="s">
        <v>48</v>
      </c>
      <c r="Q117">
        <v>1</v>
      </c>
      <c r="X117">
        <v>1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 t="s">
        <v>3</v>
      </c>
      <c r="AG117">
        <v>1</v>
      </c>
      <c r="AH117">
        <v>3</v>
      </c>
      <c r="AI117">
        <v>-1</v>
      </c>
      <c r="AJ117" t="s">
        <v>3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ROW(Source!A51)</f>
        <v>51</v>
      </c>
      <c r="B118">
        <v>39091207</v>
      </c>
      <c r="C118">
        <v>39091206</v>
      </c>
      <c r="D118">
        <v>37064978</v>
      </c>
      <c r="E118">
        <v>1</v>
      </c>
      <c r="F118">
        <v>1</v>
      </c>
      <c r="G118">
        <v>1</v>
      </c>
      <c r="H118">
        <v>1</v>
      </c>
      <c r="I118" t="s">
        <v>362</v>
      </c>
      <c r="J118" t="s">
        <v>3</v>
      </c>
      <c r="K118" t="s">
        <v>363</v>
      </c>
      <c r="L118">
        <v>1191</v>
      </c>
      <c r="N118">
        <v>1013</v>
      </c>
      <c r="O118" t="s">
        <v>280</v>
      </c>
      <c r="P118" t="s">
        <v>280</v>
      </c>
      <c r="Q118">
        <v>1</v>
      </c>
      <c r="X118">
        <v>71.06</v>
      </c>
      <c r="Y118">
        <v>0</v>
      </c>
      <c r="Z118">
        <v>0</v>
      </c>
      <c r="AA118">
        <v>0</v>
      </c>
      <c r="AB118">
        <v>8.86</v>
      </c>
      <c r="AC118">
        <v>0</v>
      </c>
      <c r="AD118">
        <v>1</v>
      </c>
      <c r="AE118">
        <v>1</v>
      </c>
      <c r="AF118" t="s">
        <v>32</v>
      </c>
      <c r="AG118">
        <v>81.718999999999994</v>
      </c>
      <c r="AH118">
        <v>2</v>
      </c>
      <c r="AI118">
        <v>39091207</v>
      </c>
      <c r="AJ118">
        <v>105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ROW(Source!A51)</f>
        <v>51</v>
      </c>
      <c r="B119">
        <v>39091208</v>
      </c>
      <c r="C119">
        <v>39091206</v>
      </c>
      <c r="D119">
        <v>37064876</v>
      </c>
      <c r="E119">
        <v>1</v>
      </c>
      <c r="F119">
        <v>1</v>
      </c>
      <c r="G119">
        <v>1</v>
      </c>
      <c r="H119">
        <v>1</v>
      </c>
      <c r="I119" t="s">
        <v>285</v>
      </c>
      <c r="J119" t="s">
        <v>3</v>
      </c>
      <c r="K119" t="s">
        <v>286</v>
      </c>
      <c r="L119">
        <v>1191</v>
      </c>
      <c r="N119">
        <v>1013</v>
      </c>
      <c r="O119" t="s">
        <v>280</v>
      </c>
      <c r="P119" t="s">
        <v>280</v>
      </c>
      <c r="Q119">
        <v>1</v>
      </c>
      <c r="X119">
        <v>0.04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2</v>
      </c>
      <c r="AF119" t="s">
        <v>31</v>
      </c>
      <c r="AG119">
        <v>0.05</v>
      </c>
      <c r="AH119">
        <v>2</v>
      </c>
      <c r="AI119">
        <v>39091208</v>
      </c>
      <c r="AJ119">
        <v>106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ROW(Source!A51)</f>
        <v>51</v>
      </c>
      <c r="B120">
        <v>39091209</v>
      </c>
      <c r="C120">
        <v>39091206</v>
      </c>
      <c r="D120">
        <v>36882452</v>
      </c>
      <c r="E120">
        <v>1</v>
      </c>
      <c r="F120">
        <v>1</v>
      </c>
      <c r="G120">
        <v>1</v>
      </c>
      <c r="H120">
        <v>2</v>
      </c>
      <c r="I120" t="s">
        <v>310</v>
      </c>
      <c r="J120" t="s">
        <v>311</v>
      </c>
      <c r="K120" t="s">
        <v>312</v>
      </c>
      <c r="L120">
        <v>1368</v>
      </c>
      <c r="N120">
        <v>1011</v>
      </c>
      <c r="O120" t="s">
        <v>290</v>
      </c>
      <c r="P120" t="s">
        <v>290</v>
      </c>
      <c r="Q120">
        <v>1</v>
      </c>
      <c r="X120">
        <v>0.01</v>
      </c>
      <c r="Y120">
        <v>0</v>
      </c>
      <c r="Z120">
        <v>31.26</v>
      </c>
      <c r="AA120">
        <v>13.5</v>
      </c>
      <c r="AB120">
        <v>0</v>
      </c>
      <c r="AC120">
        <v>0</v>
      </c>
      <c r="AD120">
        <v>1</v>
      </c>
      <c r="AE120">
        <v>0</v>
      </c>
      <c r="AF120" t="s">
        <v>31</v>
      </c>
      <c r="AG120">
        <v>1.2500000000000001E-2</v>
      </c>
      <c r="AH120">
        <v>2</v>
      </c>
      <c r="AI120">
        <v>39091209</v>
      </c>
      <c r="AJ120">
        <v>107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ROW(Source!A51)</f>
        <v>51</v>
      </c>
      <c r="B121">
        <v>39091210</v>
      </c>
      <c r="C121">
        <v>39091206</v>
      </c>
      <c r="D121">
        <v>36883554</v>
      </c>
      <c r="E121">
        <v>1</v>
      </c>
      <c r="F121">
        <v>1</v>
      </c>
      <c r="G121">
        <v>1</v>
      </c>
      <c r="H121">
        <v>2</v>
      </c>
      <c r="I121" t="s">
        <v>287</v>
      </c>
      <c r="J121" t="s">
        <v>288</v>
      </c>
      <c r="K121" t="s">
        <v>289</v>
      </c>
      <c r="L121">
        <v>1368</v>
      </c>
      <c r="N121">
        <v>1011</v>
      </c>
      <c r="O121" t="s">
        <v>290</v>
      </c>
      <c r="P121" t="s">
        <v>290</v>
      </c>
      <c r="Q121">
        <v>1</v>
      </c>
      <c r="X121">
        <v>0.03</v>
      </c>
      <c r="Y121">
        <v>0</v>
      </c>
      <c r="Z121">
        <v>65.709999999999994</v>
      </c>
      <c r="AA121">
        <v>11.6</v>
      </c>
      <c r="AB121">
        <v>0</v>
      </c>
      <c r="AC121">
        <v>0</v>
      </c>
      <c r="AD121">
        <v>1</v>
      </c>
      <c r="AE121">
        <v>0</v>
      </c>
      <c r="AF121" t="s">
        <v>31</v>
      </c>
      <c r="AG121">
        <v>3.7499999999999999E-2</v>
      </c>
      <c r="AH121">
        <v>2</v>
      </c>
      <c r="AI121">
        <v>39091210</v>
      </c>
      <c r="AJ121">
        <v>108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ROW(Source!A51)</f>
        <v>51</v>
      </c>
      <c r="B122">
        <v>39091211</v>
      </c>
      <c r="C122">
        <v>39091206</v>
      </c>
      <c r="D122">
        <v>36805524</v>
      </c>
      <c r="E122">
        <v>1</v>
      </c>
      <c r="F122">
        <v>1</v>
      </c>
      <c r="G122">
        <v>1</v>
      </c>
      <c r="H122">
        <v>3</v>
      </c>
      <c r="I122" t="s">
        <v>364</v>
      </c>
      <c r="J122" t="s">
        <v>365</v>
      </c>
      <c r="K122" t="s">
        <v>366</v>
      </c>
      <c r="L122">
        <v>1346</v>
      </c>
      <c r="N122">
        <v>1009</v>
      </c>
      <c r="O122" t="s">
        <v>344</v>
      </c>
      <c r="P122" t="s">
        <v>344</v>
      </c>
      <c r="Q122">
        <v>1</v>
      </c>
      <c r="X122">
        <v>0.3</v>
      </c>
      <c r="Y122">
        <v>1.82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0.3</v>
      </c>
      <c r="AH122">
        <v>2</v>
      </c>
      <c r="AI122">
        <v>39091211</v>
      </c>
      <c r="AJ122">
        <v>109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ROW(Source!A51)</f>
        <v>51</v>
      </c>
      <c r="B123">
        <v>39091212</v>
      </c>
      <c r="C123">
        <v>39091206</v>
      </c>
      <c r="D123">
        <v>36797575</v>
      </c>
      <c r="E123">
        <v>17</v>
      </c>
      <c r="F123">
        <v>1</v>
      </c>
      <c r="G123">
        <v>1</v>
      </c>
      <c r="H123">
        <v>3</v>
      </c>
      <c r="I123" t="s">
        <v>155</v>
      </c>
      <c r="J123" t="s">
        <v>3</v>
      </c>
      <c r="K123" t="s">
        <v>156</v>
      </c>
      <c r="L123">
        <v>1348</v>
      </c>
      <c r="N123">
        <v>1009</v>
      </c>
      <c r="O123" t="s">
        <v>152</v>
      </c>
      <c r="P123" t="s">
        <v>152</v>
      </c>
      <c r="Q123">
        <v>1000</v>
      </c>
      <c r="X123">
        <v>2.46E-2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 t="s">
        <v>3</v>
      </c>
      <c r="AG123">
        <v>2.46E-2</v>
      </c>
      <c r="AH123">
        <v>2</v>
      </c>
      <c r="AI123">
        <v>39091212</v>
      </c>
      <c r="AJ123">
        <v>110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ROW(Source!A51)</f>
        <v>51</v>
      </c>
      <c r="B124">
        <v>39091213</v>
      </c>
      <c r="C124">
        <v>39091206</v>
      </c>
      <c r="D124">
        <v>36838954</v>
      </c>
      <c r="E124">
        <v>1</v>
      </c>
      <c r="F124">
        <v>1</v>
      </c>
      <c r="G124">
        <v>1</v>
      </c>
      <c r="H124">
        <v>3</v>
      </c>
      <c r="I124" t="s">
        <v>367</v>
      </c>
      <c r="J124" t="s">
        <v>368</v>
      </c>
      <c r="K124" t="s">
        <v>369</v>
      </c>
      <c r="L124">
        <v>1346</v>
      </c>
      <c r="N124">
        <v>1009</v>
      </c>
      <c r="O124" t="s">
        <v>344</v>
      </c>
      <c r="P124" t="s">
        <v>344</v>
      </c>
      <c r="Q124">
        <v>1</v>
      </c>
      <c r="X124">
        <v>2.7</v>
      </c>
      <c r="Y124">
        <v>32.6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2.7</v>
      </c>
      <c r="AH124">
        <v>2</v>
      </c>
      <c r="AI124">
        <v>39091213</v>
      </c>
      <c r="AJ124">
        <v>112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2018-03-05T12:54:16Z</cp:lastPrinted>
  <dcterms:created xsi:type="dcterms:W3CDTF">2018-03-05T12:51:40Z</dcterms:created>
  <dcterms:modified xsi:type="dcterms:W3CDTF">2018-07-05T09:10:40Z</dcterms:modified>
</cp:coreProperties>
</file>