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КР ЖТ 1 этаж\"/>
    </mc:Choice>
  </mc:AlternateContent>
  <bookViews>
    <workbookView xWindow="0" yWindow="0" windowWidth="23775" windowHeight="10710"/>
  </bookViews>
  <sheets>
    <sheet name="Смета 12 гр. по ФЕР" sheetId="5" r:id="rId1"/>
    <sheet name="Акт КС-2 13 гр. по ФЕР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13 гр. по ФЕР'!$34:$34</definedName>
    <definedName name="_xlnm.Print_Titles" localSheetId="0">'Смета 12 гр. по ФЕР'!$25:$25</definedName>
    <definedName name="_xlnm.Print_Area" localSheetId="1">'Акт КС-2 13 гр. по ФЕР'!$A$1:$M$386</definedName>
    <definedName name="_xlnm.Print_Area" localSheetId="0">'Смета 12 гр. по ФЕР'!$A$1:$L$373</definedName>
  </definedNames>
  <calcPr calcId="152511"/>
</workbook>
</file>

<file path=xl/calcChain.xml><?xml version="1.0" encoding="utf-8"?>
<calcChain xmlns="http://schemas.openxmlformats.org/spreadsheetml/2006/main">
  <c r="B9" i="5" l="1"/>
  <c r="A1" i="7"/>
  <c r="AD17" i="6"/>
  <c r="J383" i="6"/>
  <c r="J380" i="6"/>
  <c r="E383" i="6"/>
  <c r="E380" i="6"/>
  <c r="K377" i="6"/>
  <c r="D377" i="6"/>
  <c r="K376" i="6"/>
  <c r="D376" i="6"/>
  <c r="K375" i="6"/>
  <c r="D375" i="6"/>
  <c r="M372" i="6"/>
  <c r="K372" i="6"/>
  <c r="H372" i="6"/>
  <c r="A372" i="6"/>
  <c r="Q370" i="6"/>
  <c r="P370" i="6"/>
  <c r="O370" i="6"/>
  <c r="M370" i="6"/>
  <c r="K370" i="6"/>
  <c r="H370" i="6"/>
  <c r="Z370" i="6"/>
  <c r="Y370" i="6"/>
  <c r="X370" i="6"/>
  <c r="W370" i="6"/>
  <c r="L366" i="6"/>
  <c r="I366" i="6"/>
  <c r="L365" i="6"/>
  <c r="I365" i="6"/>
  <c r="L369" i="6"/>
  <c r="K369" i="6"/>
  <c r="Z369" i="6"/>
  <c r="Y369" i="6"/>
  <c r="X369" i="6"/>
  <c r="W369" i="6"/>
  <c r="I369" i="6"/>
  <c r="G369" i="6"/>
  <c r="V369" i="6"/>
  <c r="T369" i="6"/>
  <c r="U369" i="6"/>
  <c r="S369" i="6"/>
  <c r="F369" i="6"/>
  <c r="E369" i="6"/>
  <c r="D369" i="6"/>
  <c r="C369" i="6"/>
  <c r="B369" i="6"/>
  <c r="L368" i="6"/>
  <c r="K368" i="6"/>
  <c r="Z368" i="6"/>
  <c r="Y368" i="6"/>
  <c r="X368" i="6"/>
  <c r="W368" i="6"/>
  <c r="I368" i="6"/>
  <c r="G368" i="6"/>
  <c r="V368" i="6"/>
  <c r="T368" i="6"/>
  <c r="U368" i="6"/>
  <c r="S368" i="6"/>
  <c r="F368" i="6"/>
  <c r="E368" i="6"/>
  <c r="D368" i="6"/>
  <c r="C368" i="6"/>
  <c r="B368" i="6"/>
  <c r="M367" i="6"/>
  <c r="H367" i="6"/>
  <c r="F367" i="6"/>
  <c r="K366" i="6"/>
  <c r="G366" i="6"/>
  <c r="F366" i="6"/>
  <c r="K365" i="6"/>
  <c r="G365" i="6"/>
  <c r="F365" i="6"/>
  <c r="L364" i="6"/>
  <c r="K364" i="6"/>
  <c r="I364" i="6"/>
  <c r="H364" i="6"/>
  <c r="G364" i="6"/>
  <c r="L363" i="6"/>
  <c r="K363" i="6"/>
  <c r="R363" i="6"/>
  <c r="I363" i="6"/>
  <c r="H363" i="6"/>
  <c r="G363" i="6"/>
  <c r="L362" i="6"/>
  <c r="K362" i="6"/>
  <c r="I362" i="6"/>
  <c r="H362" i="6"/>
  <c r="G362" i="6"/>
  <c r="L361" i="6"/>
  <c r="K361" i="6"/>
  <c r="R361" i="6"/>
  <c r="I361" i="6"/>
  <c r="H361" i="6"/>
  <c r="G361" i="6"/>
  <c r="D360" i="6"/>
  <c r="V359" i="6"/>
  <c r="T359" i="6"/>
  <c r="U359" i="6"/>
  <c r="S359" i="6"/>
  <c r="G359" i="6"/>
  <c r="F359" i="6"/>
  <c r="E359" i="6"/>
  <c r="J359" i="6"/>
  <c r="D359" i="6"/>
  <c r="C359" i="6"/>
  <c r="B359" i="6"/>
  <c r="Q358" i="6"/>
  <c r="P358" i="6"/>
  <c r="O358" i="6"/>
  <c r="M358" i="6"/>
  <c r="K358" i="6"/>
  <c r="H358" i="6"/>
  <c r="Z358" i="6"/>
  <c r="Y358" i="6"/>
  <c r="X358" i="6"/>
  <c r="W358" i="6"/>
  <c r="L356" i="6"/>
  <c r="I356" i="6"/>
  <c r="L355" i="6"/>
  <c r="I355" i="6"/>
  <c r="M357" i="6"/>
  <c r="H357" i="6"/>
  <c r="F357" i="6"/>
  <c r="K356" i="6"/>
  <c r="F356" i="6"/>
  <c r="K355" i="6"/>
  <c r="F355" i="6"/>
  <c r="L354" i="6"/>
  <c r="K354" i="6"/>
  <c r="I354" i="6"/>
  <c r="H354" i="6"/>
  <c r="G354" i="6"/>
  <c r="L353" i="6"/>
  <c r="K353" i="6"/>
  <c r="R353" i="6"/>
  <c r="I353" i="6"/>
  <c r="H353" i="6"/>
  <c r="G353" i="6"/>
  <c r="L352" i="6"/>
  <c r="K352" i="6"/>
  <c r="I352" i="6"/>
  <c r="H352" i="6"/>
  <c r="G352" i="6"/>
  <c r="L351" i="6"/>
  <c r="K351" i="6"/>
  <c r="R351" i="6"/>
  <c r="I351" i="6"/>
  <c r="H351" i="6"/>
  <c r="G351" i="6"/>
  <c r="D350" i="6"/>
  <c r="V349" i="6"/>
  <c r="T349" i="6"/>
  <c r="U349" i="6"/>
  <c r="S349" i="6"/>
  <c r="G349" i="6"/>
  <c r="F349" i="6"/>
  <c r="E349" i="6"/>
  <c r="J349" i="6"/>
  <c r="D349" i="6"/>
  <c r="C349" i="6"/>
  <c r="B349" i="6"/>
  <c r="Q348" i="6"/>
  <c r="P348" i="6"/>
  <c r="O348" i="6"/>
  <c r="M348" i="6"/>
  <c r="K348" i="6"/>
  <c r="H348" i="6"/>
  <c r="Z348" i="6"/>
  <c r="Y348" i="6"/>
  <c r="X348" i="6"/>
  <c r="W348" i="6"/>
  <c r="L343" i="6"/>
  <c r="I343" i="6"/>
  <c r="L342" i="6"/>
  <c r="I342" i="6"/>
  <c r="L347" i="6"/>
  <c r="K347" i="6"/>
  <c r="Z347" i="6"/>
  <c r="Y347" i="6"/>
  <c r="X347" i="6"/>
  <c r="W347" i="6"/>
  <c r="I347" i="6"/>
  <c r="G347" i="6"/>
  <c r="V347" i="6"/>
  <c r="T347" i="6"/>
  <c r="U347" i="6"/>
  <c r="S347" i="6"/>
  <c r="F347" i="6"/>
  <c r="E347" i="6"/>
  <c r="D347" i="6"/>
  <c r="C347" i="6"/>
  <c r="B347" i="6"/>
  <c r="L346" i="6"/>
  <c r="K346" i="6"/>
  <c r="Z346" i="6"/>
  <c r="Y346" i="6"/>
  <c r="X346" i="6"/>
  <c r="W346" i="6"/>
  <c r="I346" i="6"/>
  <c r="G346" i="6"/>
  <c r="V346" i="6"/>
  <c r="T346" i="6"/>
  <c r="U346" i="6"/>
  <c r="S346" i="6"/>
  <c r="F346" i="6"/>
  <c r="E346" i="6"/>
  <c r="D346" i="6"/>
  <c r="C346" i="6"/>
  <c r="B346" i="6"/>
  <c r="L345" i="6"/>
  <c r="K345" i="6"/>
  <c r="Z345" i="6"/>
  <c r="Y345" i="6"/>
  <c r="X345" i="6"/>
  <c r="W345" i="6"/>
  <c r="I345" i="6"/>
  <c r="G345" i="6"/>
  <c r="V345" i="6"/>
  <c r="T345" i="6"/>
  <c r="U345" i="6"/>
  <c r="S345" i="6"/>
  <c r="F345" i="6"/>
  <c r="E345" i="6"/>
  <c r="D345" i="6"/>
  <c r="C345" i="6"/>
  <c r="B345" i="6"/>
  <c r="M344" i="6"/>
  <c r="H344" i="6"/>
  <c r="F344" i="6"/>
  <c r="K343" i="6"/>
  <c r="F343" i="6"/>
  <c r="K342" i="6"/>
  <c r="F342" i="6"/>
  <c r="L341" i="6"/>
  <c r="K341" i="6"/>
  <c r="I341" i="6"/>
  <c r="H341" i="6"/>
  <c r="G341" i="6"/>
  <c r="L340" i="6"/>
  <c r="K340" i="6"/>
  <c r="R340" i="6"/>
  <c r="I340" i="6"/>
  <c r="H340" i="6"/>
  <c r="G340" i="6"/>
  <c r="L339" i="6"/>
  <c r="K339" i="6"/>
  <c r="I339" i="6"/>
  <c r="H339" i="6"/>
  <c r="G339" i="6"/>
  <c r="L338" i="6"/>
  <c r="K338" i="6"/>
  <c r="R338" i="6"/>
  <c r="I338" i="6"/>
  <c r="H338" i="6"/>
  <c r="G338" i="6"/>
  <c r="D337" i="6"/>
  <c r="V336" i="6"/>
  <c r="T336" i="6"/>
  <c r="U336" i="6"/>
  <c r="S336" i="6"/>
  <c r="G336" i="6"/>
  <c r="F336" i="6"/>
  <c r="E336" i="6"/>
  <c r="J336" i="6"/>
  <c r="D336" i="6"/>
  <c r="C336" i="6"/>
  <c r="B336" i="6"/>
  <c r="Q335" i="6"/>
  <c r="P335" i="6"/>
  <c r="O335" i="6"/>
  <c r="M335" i="6"/>
  <c r="K335" i="6"/>
  <c r="H335" i="6"/>
  <c r="Z335" i="6"/>
  <c r="Y335" i="6"/>
  <c r="X335" i="6"/>
  <c r="W335" i="6"/>
  <c r="L332" i="6"/>
  <c r="I332" i="6"/>
  <c r="L331" i="6"/>
  <c r="I331" i="6"/>
  <c r="L334" i="6"/>
  <c r="K334" i="6"/>
  <c r="Z334" i="6"/>
  <c r="Y334" i="6"/>
  <c r="X334" i="6"/>
  <c r="W334" i="6"/>
  <c r="I334" i="6"/>
  <c r="G334" i="6"/>
  <c r="V334" i="6"/>
  <c r="T334" i="6"/>
  <c r="U334" i="6"/>
  <c r="S334" i="6"/>
  <c r="F334" i="6"/>
  <c r="E334" i="6"/>
  <c r="D334" i="6"/>
  <c r="C334" i="6"/>
  <c r="B334" i="6"/>
  <c r="M333" i="6"/>
  <c r="H333" i="6"/>
  <c r="F333" i="6"/>
  <c r="K332" i="6"/>
  <c r="G332" i="6"/>
  <c r="F332" i="6"/>
  <c r="K331" i="6"/>
  <c r="G331" i="6"/>
  <c r="F331" i="6"/>
  <c r="L330" i="6"/>
  <c r="K330" i="6"/>
  <c r="I330" i="6"/>
  <c r="H330" i="6"/>
  <c r="G330" i="6"/>
  <c r="L329" i="6"/>
  <c r="K329" i="6"/>
  <c r="R329" i="6"/>
  <c r="I329" i="6"/>
  <c r="H329" i="6"/>
  <c r="G329" i="6"/>
  <c r="L328" i="6"/>
  <c r="K328" i="6"/>
  <c r="I328" i="6"/>
  <c r="H328" i="6"/>
  <c r="G328" i="6"/>
  <c r="L327" i="6"/>
  <c r="K327" i="6"/>
  <c r="R327" i="6"/>
  <c r="I327" i="6"/>
  <c r="H327" i="6"/>
  <c r="G327" i="6"/>
  <c r="D326" i="6"/>
  <c r="V325" i="6"/>
  <c r="T325" i="6"/>
  <c r="U325" i="6"/>
  <c r="S325" i="6"/>
  <c r="G325" i="6"/>
  <c r="F325" i="6"/>
  <c r="E325" i="6"/>
  <c r="J325" i="6"/>
  <c r="D325" i="6"/>
  <c r="C325" i="6"/>
  <c r="B325" i="6"/>
  <c r="Q324" i="6"/>
  <c r="P324" i="6"/>
  <c r="O324" i="6"/>
  <c r="M324" i="6"/>
  <c r="K324" i="6"/>
  <c r="H324" i="6"/>
  <c r="Z324" i="6"/>
  <c r="Y324" i="6"/>
  <c r="X324" i="6"/>
  <c r="W324" i="6"/>
  <c r="L321" i="6"/>
  <c r="I321" i="6"/>
  <c r="L320" i="6"/>
  <c r="I320" i="6"/>
  <c r="L323" i="6"/>
  <c r="K323" i="6"/>
  <c r="Z323" i="6"/>
  <c r="Y323" i="6"/>
  <c r="X323" i="6"/>
  <c r="W323" i="6"/>
  <c r="I323" i="6"/>
  <c r="G323" i="6"/>
  <c r="V323" i="6"/>
  <c r="T323" i="6"/>
  <c r="U323" i="6"/>
  <c r="S323" i="6"/>
  <c r="F323" i="6"/>
  <c r="E323" i="6"/>
  <c r="D323" i="6"/>
  <c r="C323" i="6"/>
  <c r="B323" i="6"/>
  <c r="M322" i="6"/>
  <c r="H322" i="6"/>
  <c r="F322" i="6"/>
  <c r="K321" i="6"/>
  <c r="F321" i="6"/>
  <c r="K320" i="6"/>
  <c r="F320" i="6"/>
  <c r="L319" i="6"/>
  <c r="K319" i="6"/>
  <c r="R319" i="6"/>
  <c r="I319" i="6"/>
  <c r="H319" i="6"/>
  <c r="G319" i="6"/>
  <c r="L318" i="6"/>
  <c r="K318" i="6"/>
  <c r="I318" i="6"/>
  <c r="H318" i="6"/>
  <c r="G318" i="6"/>
  <c r="L317" i="6"/>
  <c r="K317" i="6"/>
  <c r="R317" i="6"/>
  <c r="I317" i="6"/>
  <c r="H317" i="6"/>
  <c r="G317" i="6"/>
  <c r="D316" i="6"/>
  <c r="V315" i="6"/>
  <c r="T315" i="6"/>
  <c r="U315" i="6"/>
  <c r="S315" i="6"/>
  <c r="G315" i="6"/>
  <c r="F315" i="6"/>
  <c r="E315" i="6"/>
  <c r="J315" i="6"/>
  <c r="D315" i="6"/>
  <c r="C315" i="6"/>
  <c r="B315" i="6"/>
  <c r="Q314" i="6"/>
  <c r="P314" i="6"/>
  <c r="O314" i="6"/>
  <c r="M314" i="6"/>
  <c r="K314" i="6"/>
  <c r="H314" i="6"/>
  <c r="Z314" i="6"/>
  <c r="Y314" i="6"/>
  <c r="X314" i="6"/>
  <c r="W314" i="6"/>
  <c r="L311" i="6"/>
  <c r="I311" i="6"/>
  <c r="L310" i="6"/>
  <c r="I310" i="6"/>
  <c r="L313" i="6"/>
  <c r="K313" i="6"/>
  <c r="Z313" i="6"/>
  <c r="Y313" i="6"/>
  <c r="X313" i="6"/>
  <c r="W313" i="6"/>
  <c r="I313" i="6"/>
  <c r="G313" i="6"/>
  <c r="V313" i="6"/>
  <c r="T313" i="6"/>
  <c r="U313" i="6"/>
  <c r="S313" i="6"/>
  <c r="F313" i="6"/>
  <c r="E313" i="6"/>
  <c r="D313" i="6"/>
  <c r="C313" i="6"/>
  <c r="B313" i="6"/>
  <c r="M312" i="6"/>
  <c r="H312" i="6"/>
  <c r="F312" i="6"/>
  <c r="K311" i="6"/>
  <c r="F311" i="6"/>
  <c r="K310" i="6"/>
  <c r="F310" i="6"/>
  <c r="L309" i="6"/>
  <c r="K309" i="6"/>
  <c r="I309" i="6"/>
  <c r="H309" i="6"/>
  <c r="G309" i="6"/>
  <c r="L308" i="6"/>
  <c r="K308" i="6"/>
  <c r="R308" i="6"/>
  <c r="I308" i="6"/>
  <c r="H308" i="6"/>
  <c r="G308" i="6"/>
  <c r="L307" i="6"/>
  <c r="K307" i="6"/>
  <c r="I307" i="6"/>
  <c r="H307" i="6"/>
  <c r="G307" i="6"/>
  <c r="L306" i="6"/>
  <c r="K306" i="6"/>
  <c r="R306" i="6"/>
  <c r="I306" i="6"/>
  <c r="H306" i="6"/>
  <c r="G306" i="6"/>
  <c r="D305" i="6"/>
  <c r="V304" i="6"/>
  <c r="T304" i="6"/>
  <c r="U304" i="6"/>
  <c r="S304" i="6"/>
  <c r="G304" i="6"/>
  <c r="F304" i="6"/>
  <c r="E304" i="6"/>
  <c r="J304" i="6"/>
  <c r="D304" i="6"/>
  <c r="C304" i="6"/>
  <c r="B304" i="6"/>
  <c r="Q303" i="6"/>
  <c r="P303" i="6"/>
  <c r="O303" i="6"/>
  <c r="M303" i="6"/>
  <c r="K303" i="6"/>
  <c r="H303" i="6"/>
  <c r="Z303" i="6"/>
  <c r="Y303" i="6"/>
  <c r="X303" i="6"/>
  <c r="W303" i="6"/>
  <c r="L302" i="6"/>
  <c r="I302" i="6"/>
  <c r="K302" i="6"/>
  <c r="H302" i="6"/>
  <c r="G302" i="6"/>
  <c r="V302" i="6"/>
  <c r="T302" i="6"/>
  <c r="U302" i="6"/>
  <c r="S302" i="6"/>
  <c r="F302" i="6"/>
  <c r="E302" i="6"/>
  <c r="J302" i="6"/>
  <c r="D302" i="6"/>
  <c r="C302" i="6"/>
  <c r="B302" i="6"/>
  <c r="Q301" i="6"/>
  <c r="P301" i="6"/>
  <c r="O301" i="6"/>
  <c r="M301" i="6"/>
  <c r="K301" i="6"/>
  <c r="H301" i="6"/>
  <c r="Z301" i="6"/>
  <c r="Y301" i="6"/>
  <c r="X301" i="6"/>
  <c r="W301" i="6"/>
  <c r="L300" i="6"/>
  <c r="I300" i="6"/>
  <c r="K300" i="6"/>
  <c r="H300" i="6"/>
  <c r="G300" i="6"/>
  <c r="V300" i="6"/>
  <c r="T300" i="6"/>
  <c r="U300" i="6"/>
  <c r="S300" i="6"/>
  <c r="F300" i="6"/>
  <c r="E300" i="6"/>
  <c r="J300" i="6"/>
  <c r="D300" i="6"/>
  <c r="C300" i="6"/>
  <c r="B300" i="6"/>
  <c r="Q299" i="6"/>
  <c r="P299" i="6"/>
  <c r="O299" i="6"/>
  <c r="M299" i="6"/>
  <c r="K299" i="6"/>
  <c r="H299" i="6"/>
  <c r="Z299" i="6"/>
  <c r="Y299" i="6"/>
  <c r="X299" i="6"/>
  <c r="W299" i="6"/>
  <c r="L296" i="6"/>
  <c r="I296" i="6"/>
  <c r="L295" i="6"/>
  <c r="I295" i="6"/>
  <c r="L298" i="6"/>
  <c r="K298" i="6"/>
  <c r="Z298" i="6"/>
  <c r="Y298" i="6"/>
  <c r="X298" i="6"/>
  <c r="W298" i="6"/>
  <c r="I298" i="6"/>
  <c r="G298" i="6"/>
  <c r="V298" i="6"/>
  <c r="T298" i="6"/>
  <c r="U298" i="6"/>
  <c r="S298" i="6"/>
  <c r="F298" i="6"/>
  <c r="E298" i="6"/>
  <c r="D298" i="6"/>
  <c r="C298" i="6"/>
  <c r="B298" i="6"/>
  <c r="M297" i="6"/>
  <c r="H297" i="6"/>
  <c r="F297" i="6"/>
  <c r="K296" i="6"/>
  <c r="G296" i="6"/>
  <c r="F296" i="6"/>
  <c r="K295" i="6"/>
  <c r="G295" i="6"/>
  <c r="F295" i="6"/>
  <c r="L294" i="6"/>
  <c r="K294" i="6"/>
  <c r="I294" i="6"/>
  <c r="H294" i="6"/>
  <c r="G294" i="6"/>
  <c r="L293" i="6"/>
  <c r="K293" i="6"/>
  <c r="R293" i="6"/>
  <c r="I293" i="6"/>
  <c r="H293" i="6"/>
  <c r="G293" i="6"/>
  <c r="L292" i="6"/>
  <c r="K292" i="6"/>
  <c r="I292" i="6"/>
  <c r="H292" i="6"/>
  <c r="G292" i="6"/>
  <c r="L291" i="6"/>
  <c r="K291" i="6"/>
  <c r="R291" i="6"/>
  <c r="I291" i="6"/>
  <c r="H291" i="6"/>
  <c r="G291" i="6"/>
  <c r="V290" i="6"/>
  <c r="T290" i="6"/>
  <c r="U290" i="6"/>
  <c r="S290" i="6"/>
  <c r="G290" i="6"/>
  <c r="F290" i="6"/>
  <c r="E290" i="6"/>
  <c r="J290" i="6"/>
  <c r="D290" i="6"/>
  <c r="C290" i="6"/>
  <c r="B290" i="6"/>
  <c r="Q289" i="6"/>
  <c r="P289" i="6"/>
  <c r="O289" i="6"/>
  <c r="M289" i="6"/>
  <c r="K289" i="6"/>
  <c r="H289" i="6"/>
  <c r="Z289" i="6"/>
  <c r="Y289" i="6"/>
  <c r="X289" i="6"/>
  <c r="W289" i="6"/>
  <c r="L287" i="6"/>
  <c r="I287" i="6"/>
  <c r="L286" i="6"/>
  <c r="I286" i="6"/>
  <c r="M288" i="6"/>
  <c r="H288" i="6"/>
  <c r="F288" i="6"/>
  <c r="K287" i="6"/>
  <c r="G287" i="6"/>
  <c r="F287" i="6"/>
  <c r="K286" i="6"/>
  <c r="G286" i="6"/>
  <c r="F286" i="6"/>
  <c r="L285" i="6"/>
  <c r="K285" i="6"/>
  <c r="I285" i="6"/>
  <c r="H285" i="6"/>
  <c r="G285" i="6"/>
  <c r="L284" i="6"/>
  <c r="K284" i="6"/>
  <c r="R284" i="6"/>
  <c r="I284" i="6"/>
  <c r="H284" i="6"/>
  <c r="G284" i="6"/>
  <c r="L283" i="6"/>
  <c r="K283" i="6"/>
  <c r="I283" i="6"/>
  <c r="H283" i="6"/>
  <c r="G283" i="6"/>
  <c r="L282" i="6"/>
  <c r="K282" i="6"/>
  <c r="R282" i="6"/>
  <c r="I282" i="6"/>
  <c r="H282" i="6"/>
  <c r="G282" i="6"/>
  <c r="D281" i="6"/>
  <c r="V280" i="6"/>
  <c r="T280" i="6"/>
  <c r="U280" i="6"/>
  <c r="S280" i="6"/>
  <c r="G280" i="6"/>
  <c r="F280" i="6"/>
  <c r="E280" i="6"/>
  <c r="J280" i="6"/>
  <c r="D280" i="6"/>
  <c r="C280" i="6"/>
  <c r="B280" i="6"/>
  <c r="Q279" i="6"/>
  <c r="P279" i="6"/>
  <c r="O279" i="6"/>
  <c r="M279" i="6"/>
  <c r="K279" i="6"/>
  <c r="H279" i="6"/>
  <c r="Z279" i="6"/>
  <c r="Y279" i="6"/>
  <c r="X279" i="6"/>
  <c r="W279" i="6"/>
  <c r="L277" i="6"/>
  <c r="I277" i="6"/>
  <c r="L276" i="6"/>
  <c r="I276" i="6"/>
  <c r="M278" i="6"/>
  <c r="H278" i="6"/>
  <c r="F278" i="6"/>
  <c r="K277" i="6"/>
  <c r="G277" i="6"/>
  <c r="F277" i="6"/>
  <c r="K276" i="6"/>
  <c r="G276" i="6"/>
  <c r="F276" i="6"/>
  <c r="L275" i="6"/>
  <c r="K275" i="6"/>
  <c r="I275" i="6"/>
  <c r="H275" i="6"/>
  <c r="G275" i="6"/>
  <c r="L274" i="6"/>
  <c r="K274" i="6"/>
  <c r="R274" i="6"/>
  <c r="I274" i="6"/>
  <c r="H274" i="6"/>
  <c r="G274" i="6"/>
  <c r="L273" i="6"/>
  <c r="K273" i="6"/>
  <c r="I273" i="6"/>
  <c r="H273" i="6"/>
  <c r="G273" i="6"/>
  <c r="L272" i="6"/>
  <c r="K272" i="6"/>
  <c r="R272" i="6"/>
  <c r="I272" i="6"/>
  <c r="H272" i="6"/>
  <c r="G272" i="6"/>
  <c r="D271" i="6"/>
  <c r="V270" i="6"/>
  <c r="T270" i="6"/>
  <c r="U270" i="6"/>
  <c r="S270" i="6"/>
  <c r="G270" i="6"/>
  <c r="F270" i="6"/>
  <c r="E270" i="6"/>
  <c r="J270" i="6"/>
  <c r="D270" i="6"/>
  <c r="C270" i="6"/>
  <c r="B270" i="6"/>
  <c r="Q269" i="6"/>
  <c r="P269" i="6"/>
  <c r="O269" i="6"/>
  <c r="M269" i="6"/>
  <c r="K269" i="6"/>
  <c r="H269" i="6"/>
  <c r="Z269" i="6"/>
  <c r="Y269" i="6"/>
  <c r="X269" i="6"/>
  <c r="W269" i="6"/>
  <c r="L267" i="6"/>
  <c r="I267" i="6"/>
  <c r="L266" i="6"/>
  <c r="I266" i="6"/>
  <c r="M268" i="6"/>
  <c r="H268" i="6"/>
  <c r="F268" i="6"/>
  <c r="K267" i="6"/>
  <c r="G267" i="6"/>
  <c r="F267" i="6"/>
  <c r="K266" i="6"/>
  <c r="G266" i="6"/>
  <c r="F266" i="6"/>
  <c r="L265" i="6"/>
  <c r="K265" i="6"/>
  <c r="I265" i="6"/>
  <c r="H265" i="6"/>
  <c r="G265" i="6"/>
  <c r="L264" i="6"/>
  <c r="K264" i="6"/>
  <c r="R264" i="6"/>
  <c r="I264" i="6"/>
  <c r="H264" i="6"/>
  <c r="G264" i="6"/>
  <c r="L263" i="6"/>
  <c r="K263" i="6"/>
  <c r="I263" i="6"/>
  <c r="H263" i="6"/>
  <c r="G263" i="6"/>
  <c r="L262" i="6"/>
  <c r="K262" i="6"/>
  <c r="R262" i="6"/>
  <c r="I262" i="6"/>
  <c r="H262" i="6"/>
  <c r="G262" i="6"/>
  <c r="V261" i="6"/>
  <c r="T261" i="6"/>
  <c r="U261" i="6"/>
  <c r="S261" i="6"/>
  <c r="G261" i="6"/>
  <c r="F261" i="6"/>
  <c r="E261" i="6"/>
  <c r="J261" i="6"/>
  <c r="D261" i="6"/>
  <c r="C261" i="6"/>
  <c r="B261" i="6"/>
  <c r="Q260" i="6"/>
  <c r="P260" i="6"/>
  <c r="O260" i="6"/>
  <c r="M260" i="6"/>
  <c r="K260" i="6"/>
  <c r="H260" i="6"/>
  <c r="Z260" i="6"/>
  <c r="Y260" i="6"/>
  <c r="X260" i="6"/>
  <c r="W260" i="6"/>
  <c r="L256" i="6"/>
  <c r="I256" i="6"/>
  <c r="L255" i="6"/>
  <c r="I255" i="6"/>
  <c r="L259" i="6"/>
  <c r="K259" i="6"/>
  <c r="Z259" i="6"/>
  <c r="Y259" i="6"/>
  <c r="X259" i="6"/>
  <c r="W259" i="6"/>
  <c r="I259" i="6"/>
  <c r="G259" i="6"/>
  <c r="V259" i="6"/>
  <c r="T259" i="6"/>
  <c r="U259" i="6"/>
  <c r="S259" i="6"/>
  <c r="F259" i="6"/>
  <c r="E259" i="6"/>
  <c r="D259" i="6"/>
  <c r="C259" i="6"/>
  <c r="B259" i="6"/>
  <c r="L258" i="6"/>
  <c r="K258" i="6"/>
  <c r="Z258" i="6"/>
  <c r="Y258" i="6"/>
  <c r="X258" i="6"/>
  <c r="W258" i="6"/>
  <c r="I258" i="6"/>
  <c r="G258" i="6"/>
  <c r="V258" i="6"/>
  <c r="T258" i="6"/>
  <c r="U258" i="6"/>
  <c r="S258" i="6"/>
  <c r="F258" i="6"/>
  <c r="E258" i="6"/>
  <c r="D258" i="6"/>
  <c r="C258" i="6"/>
  <c r="B258" i="6"/>
  <c r="M257" i="6"/>
  <c r="H257" i="6"/>
  <c r="F257" i="6"/>
  <c r="K256" i="6"/>
  <c r="G256" i="6"/>
  <c r="F256" i="6"/>
  <c r="K255" i="6"/>
  <c r="G255" i="6"/>
  <c r="F255" i="6"/>
  <c r="L254" i="6"/>
  <c r="K254" i="6"/>
  <c r="I254" i="6"/>
  <c r="H254" i="6"/>
  <c r="G254" i="6"/>
  <c r="L253" i="6"/>
  <c r="K253" i="6"/>
  <c r="R253" i="6"/>
  <c r="I253" i="6"/>
  <c r="H253" i="6"/>
  <c r="G253" i="6"/>
  <c r="D252" i="6"/>
  <c r="V251" i="6"/>
  <c r="T251" i="6"/>
  <c r="U251" i="6"/>
  <c r="S251" i="6"/>
  <c r="G251" i="6"/>
  <c r="F251" i="6"/>
  <c r="E251" i="6"/>
  <c r="J251" i="6"/>
  <c r="D251" i="6"/>
  <c r="C251" i="6"/>
  <c r="B251" i="6"/>
  <c r="Q250" i="6"/>
  <c r="P250" i="6"/>
  <c r="O250" i="6"/>
  <c r="M250" i="6"/>
  <c r="K250" i="6"/>
  <c r="H250" i="6"/>
  <c r="Z250" i="6"/>
  <c r="Y250" i="6"/>
  <c r="X250" i="6"/>
  <c r="W250" i="6"/>
  <c r="L247" i="6"/>
  <c r="I247" i="6"/>
  <c r="L246" i="6"/>
  <c r="I246" i="6"/>
  <c r="L249" i="6"/>
  <c r="K249" i="6"/>
  <c r="Z249" i="6"/>
  <c r="Y249" i="6"/>
  <c r="X249" i="6"/>
  <c r="W249" i="6"/>
  <c r="I249" i="6"/>
  <c r="G249" i="6"/>
  <c r="V249" i="6"/>
  <c r="T249" i="6"/>
  <c r="U249" i="6"/>
  <c r="S249" i="6"/>
  <c r="F249" i="6"/>
  <c r="E249" i="6"/>
  <c r="D249" i="6"/>
  <c r="C249" i="6"/>
  <c r="B249" i="6"/>
  <c r="M248" i="6"/>
  <c r="H248" i="6"/>
  <c r="F248" i="6"/>
  <c r="K247" i="6"/>
  <c r="F247" i="6"/>
  <c r="K246" i="6"/>
  <c r="F246" i="6"/>
  <c r="L245" i="6"/>
  <c r="K245" i="6"/>
  <c r="I245" i="6"/>
  <c r="H245" i="6"/>
  <c r="G245" i="6"/>
  <c r="L244" i="6"/>
  <c r="K244" i="6"/>
  <c r="R244" i="6"/>
  <c r="I244" i="6"/>
  <c r="H244" i="6"/>
  <c r="G244" i="6"/>
  <c r="D243" i="6"/>
  <c r="V242" i="6"/>
  <c r="T242" i="6"/>
  <c r="U242" i="6"/>
  <c r="S242" i="6"/>
  <c r="G242" i="6"/>
  <c r="F242" i="6"/>
  <c r="E242" i="6"/>
  <c r="J242" i="6"/>
  <c r="D242" i="6"/>
  <c r="C242" i="6"/>
  <c r="B242" i="6"/>
  <c r="Q241" i="6"/>
  <c r="P241" i="6"/>
  <c r="O241" i="6"/>
  <c r="M241" i="6"/>
  <c r="K241" i="6"/>
  <c r="H241" i="6"/>
  <c r="Z241" i="6"/>
  <c r="Y241" i="6"/>
  <c r="X241" i="6"/>
  <c r="W241" i="6"/>
  <c r="L238" i="6"/>
  <c r="I238" i="6"/>
  <c r="L237" i="6"/>
  <c r="I237" i="6"/>
  <c r="L240" i="6"/>
  <c r="K240" i="6"/>
  <c r="Z240" i="6"/>
  <c r="Y240" i="6"/>
  <c r="X240" i="6"/>
  <c r="W240" i="6"/>
  <c r="I240" i="6"/>
  <c r="G240" i="6"/>
  <c r="V240" i="6"/>
  <c r="T240" i="6"/>
  <c r="U240" i="6"/>
  <c r="S240" i="6"/>
  <c r="F240" i="6"/>
  <c r="E240" i="6"/>
  <c r="D240" i="6"/>
  <c r="C240" i="6"/>
  <c r="B240" i="6"/>
  <c r="M239" i="6"/>
  <c r="H239" i="6"/>
  <c r="F239" i="6"/>
  <c r="K238" i="6"/>
  <c r="F238" i="6"/>
  <c r="K237" i="6"/>
  <c r="F237" i="6"/>
  <c r="L236" i="6"/>
  <c r="K236" i="6"/>
  <c r="I236" i="6"/>
  <c r="H236" i="6"/>
  <c r="G236" i="6"/>
  <c r="L235" i="6"/>
  <c r="K235" i="6"/>
  <c r="R235" i="6"/>
  <c r="I235" i="6"/>
  <c r="H235" i="6"/>
  <c r="G235" i="6"/>
  <c r="L234" i="6"/>
  <c r="K234" i="6"/>
  <c r="I234" i="6"/>
  <c r="H234" i="6"/>
  <c r="G234" i="6"/>
  <c r="L233" i="6"/>
  <c r="K233" i="6"/>
  <c r="R233" i="6"/>
  <c r="I233" i="6"/>
  <c r="H233" i="6"/>
  <c r="G233" i="6"/>
  <c r="D232" i="6"/>
  <c r="V231" i="6"/>
  <c r="T231" i="6"/>
  <c r="U231" i="6"/>
  <c r="S231" i="6"/>
  <c r="G231" i="6"/>
  <c r="F231" i="6"/>
  <c r="E231" i="6"/>
  <c r="J231" i="6"/>
  <c r="D231" i="6"/>
  <c r="C231" i="6"/>
  <c r="B231" i="6"/>
  <c r="Q230" i="6"/>
  <c r="P230" i="6"/>
  <c r="O230" i="6"/>
  <c r="M230" i="6"/>
  <c r="K230" i="6"/>
  <c r="H230" i="6"/>
  <c r="Z230" i="6"/>
  <c r="Y230" i="6"/>
  <c r="X230" i="6"/>
  <c r="W230" i="6"/>
  <c r="L228" i="6"/>
  <c r="I228" i="6"/>
  <c r="L227" i="6"/>
  <c r="I227" i="6"/>
  <c r="M229" i="6"/>
  <c r="H229" i="6"/>
  <c r="F229" i="6"/>
  <c r="K228" i="6"/>
  <c r="F228" i="6"/>
  <c r="K227" i="6"/>
  <c r="F227" i="6"/>
  <c r="L226" i="6"/>
  <c r="K226" i="6"/>
  <c r="I226" i="6"/>
  <c r="H226" i="6"/>
  <c r="G226" i="6"/>
  <c r="L225" i="6"/>
  <c r="K225" i="6"/>
  <c r="R225" i="6"/>
  <c r="I225" i="6"/>
  <c r="H225" i="6"/>
  <c r="G225" i="6"/>
  <c r="L224" i="6"/>
  <c r="K224" i="6"/>
  <c r="I224" i="6"/>
  <c r="H224" i="6"/>
  <c r="G224" i="6"/>
  <c r="L223" i="6"/>
  <c r="K223" i="6"/>
  <c r="R223" i="6"/>
  <c r="I223" i="6"/>
  <c r="H223" i="6"/>
  <c r="G223" i="6"/>
  <c r="D222" i="6"/>
  <c r="V221" i="6"/>
  <c r="T221" i="6"/>
  <c r="U221" i="6"/>
  <c r="S221" i="6"/>
  <c r="G221" i="6"/>
  <c r="F221" i="6"/>
  <c r="E221" i="6"/>
  <c r="J221" i="6"/>
  <c r="D221" i="6"/>
  <c r="C221" i="6"/>
  <c r="B221" i="6"/>
  <c r="Q220" i="6"/>
  <c r="P220" i="6"/>
  <c r="O220" i="6"/>
  <c r="M220" i="6"/>
  <c r="K220" i="6"/>
  <c r="H220" i="6"/>
  <c r="Z220" i="6"/>
  <c r="Y220" i="6"/>
  <c r="X220" i="6"/>
  <c r="W220" i="6"/>
  <c r="L215" i="6"/>
  <c r="I215" i="6"/>
  <c r="L214" i="6"/>
  <c r="I214" i="6"/>
  <c r="L219" i="6"/>
  <c r="K219" i="6"/>
  <c r="Z219" i="6"/>
  <c r="Y219" i="6"/>
  <c r="X219" i="6"/>
  <c r="W219" i="6"/>
  <c r="I219" i="6"/>
  <c r="G219" i="6"/>
  <c r="V219" i="6"/>
  <c r="T219" i="6"/>
  <c r="U219" i="6"/>
  <c r="S219" i="6"/>
  <c r="F219" i="6"/>
  <c r="E219" i="6"/>
  <c r="D219" i="6"/>
  <c r="C219" i="6"/>
  <c r="B219" i="6"/>
  <c r="L218" i="6"/>
  <c r="K218" i="6"/>
  <c r="Z218" i="6"/>
  <c r="Y218" i="6"/>
  <c r="X218" i="6"/>
  <c r="W218" i="6"/>
  <c r="I218" i="6"/>
  <c r="G218" i="6"/>
  <c r="V218" i="6"/>
  <c r="T218" i="6"/>
  <c r="U218" i="6"/>
  <c r="S218" i="6"/>
  <c r="F218" i="6"/>
  <c r="E218" i="6"/>
  <c r="D218" i="6"/>
  <c r="C218" i="6"/>
  <c r="B218" i="6"/>
  <c r="L217" i="6"/>
  <c r="K217" i="6"/>
  <c r="Z217" i="6"/>
  <c r="Y217" i="6"/>
  <c r="X217" i="6"/>
  <c r="W217" i="6"/>
  <c r="I217" i="6"/>
  <c r="G217" i="6"/>
  <c r="V217" i="6"/>
  <c r="T217" i="6"/>
  <c r="U217" i="6"/>
  <c r="S217" i="6"/>
  <c r="F217" i="6"/>
  <c r="E217" i="6"/>
  <c r="D217" i="6"/>
  <c r="C217" i="6"/>
  <c r="B217" i="6"/>
  <c r="M216" i="6"/>
  <c r="H216" i="6"/>
  <c r="F216" i="6"/>
  <c r="K215" i="6"/>
  <c r="G215" i="6"/>
  <c r="F215" i="6"/>
  <c r="K214" i="6"/>
  <c r="G214" i="6"/>
  <c r="F214" i="6"/>
  <c r="L213" i="6"/>
  <c r="K213" i="6"/>
  <c r="I213" i="6"/>
  <c r="H213" i="6"/>
  <c r="G213" i="6"/>
  <c r="L212" i="6"/>
  <c r="K212" i="6"/>
  <c r="R212" i="6"/>
  <c r="I212" i="6"/>
  <c r="H212" i="6"/>
  <c r="G212" i="6"/>
  <c r="L211" i="6"/>
  <c r="K211" i="6"/>
  <c r="I211" i="6"/>
  <c r="H211" i="6"/>
  <c r="G211" i="6"/>
  <c r="L210" i="6"/>
  <c r="K210" i="6"/>
  <c r="R210" i="6"/>
  <c r="I210" i="6"/>
  <c r="H210" i="6"/>
  <c r="G210" i="6"/>
  <c r="D209" i="6"/>
  <c r="V208" i="6"/>
  <c r="T208" i="6"/>
  <c r="U208" i="6"/>
  <c r="S208" i="6"/>
  <c r="G208" i="6"/>
  <c r="F208" i="6"/>
  <c r="E208" i="6"/>
  <c r="J208" i="6"/>
  <c r="D208" i="6"/>
  <c r="C208" i="6"/>
  <c r="B208" i="6"/>
  <c r="Q207" i="6"/>
  <c r="P207" i="6"/>
  <c r="O207" i="6"/>
  <c r="M207" i="6"/>
  <c r="K207" i="6"/>
  <c r="H207" i="6"/>
  <c r="Z207" i="6"/>
  <c r="Y207" i="6"/>
  <c r="X207" i="6"/>
  <c r="W207" i="6"/>
  <c r="L205" i="6"/>
  <c r="I205" i="6"/>
  <c r="L204" i="6"/>
  <c r="I204" i="6"/>
  <c r="M206" i="6"/>
  <c r="H206" i="6"/>
  <c r="F206" i="6"/>
  <c r="K205" i="6"/>
  <c r="F205" i="6"/>
  <c r="K204" i="6"/>
  <c r="F204" i="6"/>
  <c r="L203" i="6"/>
  <c r="K203" i="6"/>
  <c r="R203" i="6"/>
  <c r="I203" i="6"/>
  <c r="H203" i="6"/>
  <c r="G203" i="6"/>
  <c r="L202" i="6"/>
  <c r="K202" i="6"/>
  <c r="I202" i="6"/>
  <c r="H202" i="6"/>
  <c r="G202" i="6"/>
  <c r="L201" i="6"/>
  <c r="K201" i="6"/>
  <c r="R201" i="6"/>
  <c r="I201" i="6"/>
  <c r="H201" i="6"/>
  <c r="G201" i="6"/>
  <c r="D200" i="6"/>
  <c r="V199" i="6"/>
  <c r="T199" i="6"/>
  <c r="U199" i="6"/>
  <c r="S199" i="6"/>
  <c r="G199" i="6"/>
  <c r="F199" i="6"/>
  <c r="E199" i="6"/>
  <c r="J199" i="6"/>
  <c r="D199" i="6"/>
  <c r="C199" i="6"/>
  <c r="B199" i="6"/>
  <c r="Q198" i="6"/>
  <c r="P198" i="6"/>
  <c r="O198" i="6"/>
  <c r="M198" i="6"/>
  <c r="K198" i="6"/>
  <c r="H198" i="6"/>
  <c r="Z198" i="6"/>
  <c r="Y198" i="6"/>
  <c r="X198" i="6"/>
  <c r="W198" i="6"/>
  <c r="L195" i="6"/>
  <c r="I195" i="6"/>
  <c r="L194" i="6"/>
  <c r="I194" i="6"/>
  <c r="L197" i="6"/>
  <c r="K197" i="6"/>
  <c r="Z197" i="6"/>
  <c r="Y197" i="6"/>
  <c r="X197" i="6"/>
  <c r="W197" i="6"/>
  <c r="I197" i="6"/>
  <c r="G197" i="6"/>
  <c r="V197" i="6"/>
  <c r="T197" i="6"/>
  <c r="U197" i="6"/>
  <c r="S197" i="6"/>
  <c r="F197" i="6"/>
  <c r="E197" i="6"/>
  <c r="D197" i="6"/>
  <c r="C197" i="6"/>
  <c r="B197" i="6"/>
  <c r="M196" i="6"/>
  <c r="H196" i="6"/>
  <c r="F196" i="6"/>
  <c r="K195" i="6"/>
  <c r="F195" i="6"/>
  <c r="K194" i="6"/>
  <c r="F194" i="6"/>
  <c r="L193" i="6"/>
  <c r="K193" i="6"/>
  <c r="I193" i="6"/>
  <c r="H193" i="6"/>
  <c r="G193" i="6"/>
  <c r="L192" i="6"/>
  <c r="K192" i="6"/>
  <c r="R192" i="6"/>
  <c r="I192" i="6"/>
  <c r="H192" i="6"/>
  <c r="G192" i="6"/>
  <c r="L191" i="6"/>
  <c r="K191" i="6"/>
  <c r="I191" i="6"/>
  <c r="H191" i="6"/>
  <c r="G191" i="6"/>
  <c r="L190" i="6"/>
  <c r="K190" i="6"/>
  <c r="R190" i="6"/>
  <c r="I190" i="6"/>
  <c r="H190" i="6"/>
  <c r="G190" i="6"/>
  <c r="D189" i="6"/>
  <c r="V188" i="6"/>
  <c r="T188" i="6"/>
  <c r="U188" i="6"/>
  <c r="S188" i="6"/>
  <c r="G188" i="6"/>
  <c r="F188" i="6"/>
  <c r="E188" i="6"/>
  <c r="J188" i="6"/>
  <c r="D188" i="6"/>
  <c r="C188" i="6"/>
  <c r="B188" i="6"/>
  <c r="Q187" i="6"/>
  <c r="P187" i="6"/>
  <c r="O187" i="6"/>
  <c r="M187" i="6"/>
  <c r="K187" i="6"/>
  <c r="H187" i="6"/>
  <c r="Z187" i="6"/>
  <c r="Y187" i="6"/>
  <c r="X187" i="6"/>
  <c r="W187" i="6"/>
  <c r="L184" i="6"/>
  <c r="I184" i="6"/>
  <c r="L183" i="6"/>
  <c r="I183" i="6"/>
  <c r="L186" i="6"/>
  <c r="K186" i="6"/>
  <c r="Z186" i="6"/>
  <c r="Y186" i="6"/>
  <c r="X186" i="6"/>
  <c r="W186" i="6"/>
  <c r="I186" i="6"/>
  <c r="G186" i="6"/>
  <c r="V186" i="6"/>
  <c r="T186" i="6"/>
  <c r="U186" i="6"/>
  <c r="S186" i="6"/>
  <c r="F186" i="6"/>
  <c r="E186" i="6"/>
  <c r="D186" i="6"/>
  <c r="C186" i="6"/>
  <c r="B186" i="6"/>
  <c r="M185" i="6"/>
  <c r="H185" i="6"/>
  <c r="F185" i="6"/>
  <c r="K184" i="6"/>
  <c r="G184" i="6"/>
  <c r="F184" i="6"/>
  <c r="K183" i="6"/>
  <c r="G183" i="6"/>
  <c r="F183" i="6"/>
  <c r="L182" i="6"/>
  <c r="K182" i="6"/>
  <c r="I182" i="6"/>
  <c r="H182" i="6"/>
  <c r="G182" i="6"/>
  <c r="L181" i="6"/>
  <c r="K181" i="6"/>
  <c r="R181" i="6"/>
  <c r="I181" i="6"/>
  <c r="H181" i="6"/>
  <c r="G181" i="6"/>
  <c r="L180" i="6"/>
  <c r="K180" i="6"/>
  <c r="I180" i="6"/>
  <c r="H180" i="6"/>
  <c r="G180" i="6"/>
  <c r="L179" i="6"/>
  <c r="K179" i="6"/>
  <c r="R179" i="6"/>
  <c r="I179" i="6"/>
  <c r="H179" i="6"/>
  <c r="G179" i="6"/>
  <c r="D178" i="6"/>
  <c r="V177" i="6"/>
  <c r="T177" i="6"/>
  <c r="U177" i="6"/>
  <c r="S177" i="6"/>
  <c r="G177" i="6"/>
  <c r="F177" i="6"/>
  <c r="E177" i="6"/>
  <c r="J177" i="6"/>
  <c r="D177" i="6"/>
  <c r="C177" i="6"/>
  <c r="B177" i="6"/>
  <c r="Q176" i="6"/>
  <c r="P176" i="6"/>
  <c r="O176" i="6"/>
  <c r="M176" i="6"/>
  <c r="K176" i="6"/>
  <c r="H176" i="6"/>
  <c r="Z176" i="6"/>
  <c r="Y176" i="6"/>
  <c r="X176" i="6"/>
  <c r="W176" i="6"/>
  <c r="L174" i="6"/>
  <c r="I174" i="6"/>
  <c r="L173" i="6"/>
  <c r="I173" i="6"/>
  <c r="M175" i="6"/>
  <c r="H175" i="6"/>
  <c r="F175" i="6"/>
  <c r="K174" i="6"/>
  <c r="F174" i="6"/>
  <c r="K173" i="6"/>
  <c r="F173" i="6"/>
  <c r="L172" i="6"/>
  <c r="K172" i="6"/>
  <c r="R172" i="6"/>
  <c r="I172" i="6"/>
  <c r="H172" i="6"/>
  <c r="G172" i="6"/>
  <c r="D171" i="6"/>
  <c r="V170" i="6"/>
  <c r="T170" i="6"/>
  <c r="U170" i="6"/>
  <c r="S170" i="6"/>
  <c r="G170" i="6"/>
  <c r="F170" i="6"/>
  <c r="E170" i="6"/>
  <c r="J170" i="6"/>
  <c r="D170" i="6"/>
  <c r="C170" i="6"/>
  <c r="B170" i="6"/>
  <c r="Q169" i="6"/>
  <c r="P169" i="6"/>
  <c r="O169" i="6"/>
  <c r="M169" i="6"/>
  <c r="K169" i="6"/>
  <c r="H169" i="6"/>
  <c r="Z169" i="6"/>
  <c r="Y169" i="6"/>
  <c r="X169" i="6"/>
  <c r="W169" i="6"/>
  <c r="L164" i="6"/>
  <c r="I164" i="6"/>
  <c r="L163" i="6"/>
  <c r="I163" i="6"/>
  <c r="L168" i="6"/>
  <c r="K168" i="6"/>
  <c r="Z168" i="6"/>
  <c r="Y168" i="6"/>
  <c r="X168" i="6"/>
  <c r="W168" i="6"/>
  <c r="I168" i="6"/>
  <c r="G168" i="6"/>
  <c r="V168" i="6"/>
  <c r="T168" i="6"/>
  <c r="U168" i="6"/>
  <c r="S168" i="6"/>
  <c r="F168" i="6"/>
  <c r="E168" i="6"/>
  <c r="D168" i="6"/>
  <c r="C168" i="6"/>
  <c r="B168" i="6"/>
  <c r="L167" i="6"/>
  <c r="K167" i="6"/>
  <c r="Z167" i="6"/>
  <c r="Y167" i="6"/>
  <c r="X167" i="6"/>
  <c r="W167" i="6"/>
  <c r="I167" i="6"/>
  <c r="G167" i="6"/>
  <c r="V167" i="6"/>
  <c r="T167" i="6"/>
  <c r="U167" i="6"/>
  <c r="S167" i="6"/>
  <c r="F167" i="6"/>
  <c r="E167" i="6"/>
  <c r="D167" i="6"/>
  <c r="C167" i="6"/>
  <c r="B167" i="6"/>
  <c r="L166" i="6"/>
  <c r="K166" i="6"/>
  <c r="Z166" i="6"/>
  <c r="Y166" i="6"/>
  <c r="X166" i="6"/>
  <c r="W166" i="6"/>
  <c r="I166" i="6"/>
  <c r="G166" i="6"/>
  <c r="V166" i="6"/>
  <c r="T166" i="6"/>
  <c r="U166" i="6"/>
  <c r="S166" i="6"/>
  <c r="F166" i="6"/>
  <c r="E166" i="6"/>
  <c r="D166" i="6"/>
  <c r="C166" i="6"/>
  <c r="B166" i="6"/>
  <c r="M165" i="6"/>
  <c r="H165" i="6"/>
  <c r="F165" i="6"/>
  <c r="K164" i="6"/>
  <c r="G164" i="6"/>
  <c r="F164" i="6"/>
  <c r="K163" i="6"/>
  <c r="G163" i="6"/>
  <c r="F163" i="6"/>
  <c r="L162" i="6"/>
  <c r="K162" i="6"/>
  <c r="I162" i="6"/>
  <c r="H162" i="6"/>
  <c r="G162" i="6"/>
  <c r="L161" i="6"/>
  <c r="K161" i="6"/>
  <c r="R161" i="6"/>
  <c r="I161" i="6"/>
  <c r="H161" i="6"/>
  <c r="G161" i="6"/>
  <c r="L160" i="6"/>
  <c r="K160" i="6"/>
  <c r="I160" i="6"/>
  <c r="H160" i="6"/>
  <c r="G160" i="6"/>
  <c r="L159" i="6"/>
  <c r="K159" i="6"/>
  <c r="R159" i="6"/>
  <c r="I159" i="6"/>
  <c r="H159" i="6"/>
  <c r="G159" i="6"/>
  <c r="D158" i="6"/>
  <c r="V157" i="6"/>
  <c r="T157" i="6"/>
  <c r="U157" i="6"/>
  <c r="S157" i="6"/>
  <c r="G157" i="6"/>
  <c r="F157" i="6"/>
  <c r="E157" i="6"/>
  <c r="J157" i="6"/>
  <c r="D157" i="6"/>
  <c r="C157" i="6"/>
  <c r="B157" i="6"/>
  <c r="Q156" i="6"/>
  <c r="P156" i="6"/>
  <c r="O156" i="6"/>
  <c r="M156" i="6"/>
  <c r="K156" i="6"/>
  <c r="H156" i="6"/>
  <c r="Z156" i="6"/>
  <c r="Y156" i="6"/>
  <c r="X156" i="6"/>
  <c r="W156" i="6"/>
  <c r="L154" i="6"/>
  <c r="I154" i="6"/>
  <c r="L153" i="6"/>
  <c r="I153" i="6"/>
  <c r="M155" i="6"/>
  <c r="H155" i="6"/>
  <c r="F155" i="6"/>
  <c r="K154" i="6"/>
  <c r="G154" i="6"/>
  <c r="F154" i="6"/>
  <c r="K153" i="6"/>
  <c r="G153" i="6"/>
  <c r="F153" i="6"/>
  <c r="L152" i="6"/>
  <c r="K152" i="6"/>
  <c r="I152" i="6"/>
  <c r="H152" i="6"/>
  <c r="G152" i="6"/>
  <c r="L151" i="6"/>
  <c r="K151" i="6"/>
  <c r="R151" i="6"/>
  <c r="I151" i="6"/>
  <c r="H151" i="6"/>
  <c r="G151" i="6"/>
  <c r="L150" i="6"/>
  <c r="K150" i="6"/>
  <c r="I150" i="6"/>
  <c r="H150" i="6"/>
  <c r="G150" i="6"/>
  <c r="L149" i="6"/>
  <c r="K149" i="6"/>
  <c r="R149" i="6"/>
  <c r="I149" i="6"/>
  <c r="H149" i="6"/>
  <c r="G149" i="6"/>
  <c r="D148" i="6"/>
  <c r="V147" i="6"/>
  <c r="T147" i="6"/>
  <c r="U147" i="6"/>
  <c r="S147" i="6"/>
  <c r="G147" i="6"/>
  <c r="F147" i="6"/>
  <c r="E147" i="6"/>
  <c r="J147" i="6"/>
  <c r="D147" i="6"/>
  <c r="C147" i="6"/>
  <c r="B147" i="6"/>
  <c r="Q146" i="6"/>
  <c r="P146" i="6"/>
  <c r="O146" i="6"/>
  <c r="M146" i="6"/>
  <c r="K146" i="6"/>
  <c r="H146" i="6"/>
  <c r="Z146" i="6"/>
  <c r="Y146" i="6"/>
  <c r="X146" i="6"/>
  <c r="W146" i="6"/>
  <c r="L143" i="6"/>
  <c r="I143" i="6"/>
  <c r="L142" i="6"/>
  <c r="I142" i="6"/>
  <c r="L145" i="6"/>
  <c r="K145" i="6"/>
  <c r="Z145" i="6"/>
  <c r="Y145" i="6"/>
  <c r="X145" i="6"/>
  <c r="W145" i="6"/>
  <c r="I145" i="6"/>
  <c r="G145" i="6"/>
  <c r="V145" i="6"/>
  <c r="T145" i="6"/>
  <c r="U145" i="6"/>
  <c r="S145" i="6"/>
  <c r="F145" i="6"/>
  <c r="E145" i="6"/>
  <c r="D145" i="6"/>
  <c r="C145" i="6"/>
  <c r="B145" i="6"/>
  <c r="M144" i="6"/>
  <c r="H144" i="6"/>
  <c r="F144" i="6"/>
  <c r="K143" i="6"/>
  <c r="G143" i="6"/>
  <c r="F143" i="6"/>
  <c r="K142" i="6"/>
  <c r="G142" i="6"/>
  <c r="F142" i="6"/>
  <c r="L141" i="6"/>
  <c r="K141" i="6"/>
  <c r="I141" i="6"/>
  <c r="H141" i="6"/>
  <c r="G141" i="6"/>
  <c r="L140" i="6"/>
  <c r="K140" i="6"/>
  <c r="R140" i="6"/>
  <c r="I140" i="6"/>
  <c r="H140" i="6"/>
  <c r="G140" i="6"/>
  <c r="L139" i="6"/>
  <c r="K139" i="6"/>
  <c r="I139" i="6"/>
  <c r="H139" i="6"/>
  <c r="G139" i="6"/>
  <c r="L138" i="6"/>
  <c r="K138" i="6"/>
  <c r="R138" i="6"/>
  <c r="I138" i="6"/>
  <c r="H138" i="6"/>
  <c r="G138" i="6"/>
  <c r="D137" i="6"/>
  <c r="V136" i="6"/>
  <c r="T136" i="6"/>
  <c r="U136" i="6"/>
  <c r="S136" i="6"/>
  <c r="G136" i="6"/>
  <c r="F136" i="6"/>
  <c r="E136" i="6"/>
  <c r="J136" i="6"/>
  <c r="D136" i="6"/>
  <c r="C136" i="6"/>
  <c r="B136" i="6"/>
  <c r="Q135" i="6"/>
  <c r="P135" i="6"/>
  <c r="O135" i="6"/>
  <c r="M135" i="6"/>
  <c r="K135" i="6"/>
  <c r="H135" i="6"/>
  <c r="Z135" i="6"/>
  <c r="Y135" i="6"/>
  <c r="X135" i="6"/>
  <c r="W135" i="6"/>
  <c r="L133" i="6"/>
  <c r="I133" i="6"/>
  <c r="L132" i="6"/>
  <c r="I132" i="6"/>
  <c r="M134" i="6"/>
  <c r="H134" i="6"/>
  <c r="F134" i="6"/>
  <c r="K133" i="6"/>
  <c r="F133" i="6"/>
  <c r="K132" i="6"/>
  <c r="F132" i="6"/>
  <c r="L131" i="6"/>
  <c r="K131" i="6"/>
  <c r="R131" i="6"/>
  <c r="I131" i="6"/>
  <c r="H131" i="6"/>
  <c r="G131" i="6"/>
  <c r="D130" i="6"/>
  <c r="V129" i="6"/>
  <c r="T129" i="6"/>
  <c r="U129" i="6"/>
  <c r="S129" i="6"/>
  <c r="G129" i="6"/>
  <c r="F129" i="6"/>
  <c r="E129" i="6"/>
  <c r="J129" i="6"/>
  <c r="D129" i="6"/>
  <c r="C129" i="6"/>
  <c r="B129" i="6"/>
  <c r="Q128" i="6"/>
  <c r="P128" i="6"/>
  <c r="O128" i="6"/>
  <c r="M128" i="6"/>
  <c r="K128" i="6"/>
  <c r="H128" i="6"/>
  <c r="Z128" i="6"/>
  <c r="Y128" i="6"/>
  <c r="X128" i="6"/>
  <c r="W128" i="6"/>
  <c r="L126" i="6"/>
  <c r="I126" i="6"/>
  <c r="L125" i="6"/>
  <c r="I125" i="6"/>
  <c r="M127" i="6"/>
  <c r="H127" i="6"/>
  <c r="F127" i="6"/>
  <c r="K126" i="6"/>
  <c r="F126" i="6"/>
  <c r="K125" i="6"/>
  <c r="F125" i="6"/>
  <c r="L124" i="6"/>
  <c r="K124" i="6"/>
  <c r="R124" i="6"/>
  <c r="I124" i="6"/>
  <c r="H124" i="6"/>
  <c r="G124" i="6"/>
  <c r="L123" i="6"/>
  <c r="K123" i="6"/>
  <c r="I123" i="6"/>
  <c r="H123" i="6"/>
  <c r="G123" i="6"/>
  <c r="L122" i="6"/>
  <c r="K122" i="6"/>
  <c r="R122" i="6"/>
  <c r="I122" i="6"/>
  <c r="H122" i="6"/>
  <c r="G122" i="6"/>
  <c r="D121" i="6"/>
  <c r="V120" i="6"/>
  <c r="T120" i="6"/>
  <c r="U120" i="6"/>
  <c r="S120" i="6"/>
  <c r="G120" i="6"/>
  <c r="F120" i="6"/>
  <c r="E120" i="6"/>
  <c r="J120" i="6"/>
  <c r="D120" i="6"/>
  <c r="C120" i="6"/>
  <c r="B120" i="6"/>
  <c r="Q119" i="6"/>
  <c r="P119" i="6"/>
  <c r="O119" i="6"/>
  <c r="M119" i="6"/>
  <c r="K119" i="6"/>
  <c r="H119" i="6"/>
  <c r="Z119" i="6"/>
  <c r="Y119" i="6"/>
  <c r="X119" i="6"/>
  <c r="W119" i="6"/>
  <c r="L115" i="6"/>
  <c r="I115" i="6"/>
  <c r="L114" i="6"/>
  <c r="I114" i="6"/>
  <c r="L118" i="6"/>
  <c r="K118" i="6"/>
  <c r="Z118" i="6"/>
  <c r="Y118" i="6"/>
  <c r="X118" i="6"/>
  <c r="W118" i="6"/>
  <c r="I118" i="6"/>
  <c r="G118" i="6"/>
  <c r="V118" i="6"/>
  <c r="T118" i="6"/>
  <c r="U118" i="6"/>
  <c r="S118" i="6"/>
  <c r="F118" i="6"/>
  <c r="E118" i="6"/>
  <c r="D118" i="6"/>
  <c r="C118" i="6"/>
  <c r="B118" i="6"/>
  <c r="L117" i="6"/>
  <c r="K117" i="6"/>
  <c r="Z117" i="6"/>
  <c r="Y117" i="6"/>
  <c r="X117" i="6"/>
  <c r="W117" i="6"/>
  <c r="I117" i="6"/>
  <c r="G117" i="6"/>
  <c r="V117" i="6"/>
  <c r="T117" i="6"/>
  <c r="U117" i="6"/>
  <c r="S117" i="6"/>
  <c r="F117" i="6"/>
  <c r="E117" i="6"/>
  <c r="D117" i="6"/>
  <c r="C117" i="6"/>
  <c r="B117" i="6"/>
  <c r="M116" i="6"/>
  <c r="H116" i="6"/>
  <c r="F116" i="6"/>
  <c r="K115" i="6"/>
  <c r="F115" i="6"/>
  <c r="K114" i="6"/>
  <c r="F114" i="6"/>
  <c r="L113" i="6"/>
  <c r="K113" i="6"/>
  <c r="I113" i="6"/>
  <c r="H113" i="6"/>
  <c r="G113" i="6"/>
  <c r="L112" i="6"/>
  <c r="K112" i="6"/>
  <c r="R112" i="6"/>
  <c r="I112" i="6"/>
  <c r="H112" i="6"/>
  <c r="G112" i="6"/>
  <c r="L111" i="6"/>
  <c r="K111" i="6"/>
  <c r="I111" i="6"/>
  <c r="H111" i="6"/>
  <c r="G111" i="6"/>
  <c r="L110" i="6"/>
  <c r="K110" i="6"/>
  <c r="R110" i="6"/>
  <c r="I110" i="6"/>
  <c r="H110" i="6"/>
  <c r="G110" i="6"/>
  <c r="D109" i="6"/>
  <c r="V108" i="6"/>
  <c r="T108" i="6"/>
  <c r="U108" i="6"/>
  <c r="S108" i="6"/>
  <c r="G108" i="6"/>
  <c r="F108" i="6"/>
  <c r="E108" i="6"/>
  <c r="J108" i="6"/>
  <c r="D108" i="6"/>
  <c r="C108" i="6"/>
  <c r="B108" i="6"/>
  <c r="Q107" i="6"/>
  <c r="P107" i="6"/>
  <c r="O107" i="6"/>
  <c r="M107" i="6"/>
  <c r="K107" i="6"/>
  <c r="H107" i="6"/>
  <c r="Z107" i="6"/>
  <c r="Y107" i="6"/>
  <c r="X107" i="6"/>
  <c r="W107" i="6"/>
  <c r="L103" i="6"/>
  <c r="I103" i="6"/>
  <c r="L102" i="6"/>
  <c r="I102" i="6"/>
  <c r="L106" i="6"/>
  <c r="K106" i="6"/>
  <c r="Z106" i="6"/>
  <c r="Y106" i="6"/>
  <c r="X106" i="6"/>
  <c r="W106" i="6"/>
  <c r="I106" i="6"/>
  <c r="G106" i="6"/>
  <c r="V106" i="6"/>
  <c r="T106" i="6"/>
  <c r="U106" i="6"/>
  <c r="S106" i="6"/>
  <c r="F106" i="6"/>
  <c r="E106" i="6"/>
  <c r="D106" i="6"/>
  <c r="C106" i="6"/>
  <c r="B106" i="6"/>
  <c r="L105" i="6"/>
  <c r="K105" i="6"/>
  <c r="Z105" i="6"/>
  <c r="Y105" i="6"/>
  <c r="X105" i="6"/>
  <c r="W105" i="6"/>
  <c r="I105" i="6"/>
  <c r="G105" i="6"/>
  <c r="V105" i="6"/>
  <c r="T105" i="6"/>
  <c r="U105" i="6"/>
  <c r="S105" i="6"/>
  <c r="F105" i="6"/>
  <c r="E105" i="6"/>
  <c r="D105" i="6"/>
  <c r="C105" i="6"/>
  <c r="B105" i="6"/>
  <c r="M104" i="6"/>
  <c r="H104" i="6"/>
  <c r="F104" i="6"/>
  <c r="K103" i="6"/>
  <c r="F103" i="6"/>
  <c r="K102" i="6"/>
  <c r="F102" i="6"/>
  <c r="L101" i="6"/>
  <c r="K101" i="6"/>
  <c r="I101" i="6"/>
  <c r="H101" i="6"/>
  <c r="G101" i="6"/>
  <c r="L100" i="6"/>
  <c r="K100" i="6"/>
  <c r="R100" i="6"/>
  <c r="I100" i="6"/>
  <c r="H100" i="6"/>
  <c r="G100" i="6"/>
  <c r="L99" i="6"/>
  <c r="K99" i="6"/>
  <c r="I99" i="6"/>
  <c r="H99" i="6"/>
  <c r="G99" i="6"/>
  <c r="L98" i="6"/>
  <c r="K98" i="6"/>
  <c r="R98" i="6"/>
  <c r="I98" i="6"/>
  <c r="H98" i="6"/>
  <c r="G98" i="6"/>
  <c r="D97" i="6"/>
  <c r="V96" i="6"/>
  <c r="T96" i="6"/>
  <c r="U96" i="6"/>
  <c r="S96" i="6"/>
  <c r="G96" i="6"/>
  <c r="F96" i="6"/>
  <c r="E96" i="6"/>
  <c r="J96" i="6"/>
  <c r="D96" i="6"/>
  <c r="C96" i="6"/>
  <c r="B96" i="6"/>
  <c r="Q95" i="6"/>
  <c r="P95" i="6"/>
  <c r="O95" i="6"/>
  <c r="M95" i="6"/>
  <c r="K95" i="6"/>
  <c r="H95" i="6"/>
  <c r="Z95" i="6"/>
  <c r="Y95" i="6"/>
  <c r="X95" i="6"/>
  <c r="W95" i="6"/>
  <c r="L93" i="6"/>
  <c r="I93" i="6"/>
  <c r="L92" i="6"/>
  <c r="I92" i="6"/>
  <c r="M94" i="6"/>
  <c r="H94" i="6"/>
  <c r="F94" i="6"/>
  <c r="K93" i="6"/>
  <c r="G93" i="6"/>
  <c r="F93" i="6"/>
  <c r="K92" i="6"/>
  <c r="G92" i="6"/>
  <c r="F92" i="6"/>
  <c r="L91" i="6"/>
  <c r="K91" i="6"/>
  <c r="R91" i="6"/>
  <c r="I91" i="6"/>
  <c r="H91" i="6"/>
  <c r="G91" i="6"/>
  <c r="L90" i="6"/>
  <c r="K90" i="6"/>
  <c r="I90" i="6"/>
  <c r="H90" i="6"/>
  <c r="G90" i="6"/>
  <c r="L89" i="6"/>
  <c r="K89" i="6"/>
  <c r="R89" i="6"/>
  <c r="I89" i="6"/>
  <c r="H89" i="6"/>
  <c r="G89" i="6"/>
  <c r="V88" i="6"/>
  <c r="T88" i="6"/>
  <c r="U88" i="6"/>
  <c r="S88" i="6"/>
  <c r="G88" i="6"/>
  <c r="F88" i="6"/>
  <c r="E88" i="6"/>
  <c r="J88" i="6"/>
  <c r="D88" i="6"/>
  <c r="C88" i="6"/>
  <c r="B88" i="6"/>
  <c r="Q87" i="6"/>
  <c r="P87" i="6"/>
  <c r="O87" i="6"/>
  <c r="M87" i="6"/>
  <c r="K87" i="6"/>
  <c r="H87" i="6"/>
  <c r="Z87" i="6"/>
  <c r="Y87" i="6"/>
  <c r="X87" i="6"/>
  <c r="W87" i="6"/>
  <c r="L84" i="6"/>
  <c r="I84" i="6"/>
  <c r="L83" i="6"/>
  <c r="I83" i="6"/>
  <c r="L86" i="6"/>
  <c r="K86" i="6"/>
  <c r="Z86" i="6"/>
  <c r="Y86" i="6"/>
  <c r="X86" i="6"/>
  <c r="W86" i="6"/>
  <c r="I86" i="6"/>
  <c r="G86" i="6"/>
  <c r="V86" i="6"/>
  <c r="T86" i="6"/>
  <c r="U86" i="6"/>
  <c r="S86" i="6"/>
  <c r="F86" i="6"/>
  <c r="E86" i="6"/>
  <c r="D86" i="6"/>
  <c r="C86" i="6"/>
  <c r="B86" i="6"/>
  <c r="M85" i="6"/>
  <c r="H85" i="6"/>
  <c r="F85" i="6"/>
  <c r="K84" i="6"/>
  <c r="G84" i="6"/>
  <c r="F84" i="6"/>
  <c r="K83" i="6"/>
  <c r="G83" i="6"/>
  <c r="F83" i="6"/>
  <c r="L82" i="6"/>
  <c r="K82" i="6"/>
  <c r="I82" i="6"/>
  <c r="H82" i="6"/>
  <c r="G82" i="6"/>
  <c r="L81" i="6"/>
  <c r="K81" i="6"/>
  <c r="R81" i="6"/>
  <c r="I81" i="6"/>
  <c r="H81" i="6"/>
  <c r="G81" i="6"/>
  <c r="D80" i="6"/>
  <c r="V79" i="6"/>
  <c r="T79" i="6"/>
  <c r="U79" i="6"/>
  <c r="S79" i="6"/>
  <c r="G79" i="6"/>
  <c r="F79" i="6"/>
  <c r="E79" i="6"/>
  <c r="J79" i="6"/>
  <c r="D79" i="6"/>
  <c r="C79" i="6"/>
  <c r="B79" i="6"/>
  <c r="Q78" i="6"/>
  <c r="P78" i="6"/>
  <c r="O78" i="6"/>
  <c r="M78" i="6"/>
  <c r="K78" i="6"/>
  <c r="H78" i="6"/>
  <c r="Z78" i="6"/>
  <c r="Y78" i="6"/>
  <c r="X78" i="6"/>
  <c r="W78" i="6"/>
  <c r="L73" i="6"/>
  <c r="I73" i="6"/>
  <c r="L72" i="6"/>
  <c r="I72" i="6"/>
  <c r="L77" i="6"/>
  <c r="K77" i="6"/>
  <c r="Z77" i="6"/>
  <c r="Y77" i="6"/>
  <c r="X77" i="6"/>
  <c r="W77" i="6"/>
  <c r="I77" i="6"/>
  <c r="G77" i="6"/>
  <c r="V77" i="6"/>
  <c r="T77" i="6"/>
  <c r="U77" i="6"/>
  <c r="S77" i="6"/>
  <c r="F77" i="6"/>
  <c r="E77" i="6"/>
  <c r="D77" i="6"/>
  <c r="C77" i="6"/>
  <c r="B77" i="6"/>
  <c r="L76" i="6"/>
  <c r="K76" i="6"/>
  <c r="Z76" i="6"/>
  <c r="Y76" i="6"/>
  <c r="X76" i="6"/>
  <c r="W76" i="6"/>
  <c r="I76" i="6"/>
  <c r="G76" i="6"/>
  <c r="V76" i="6"/>
  <c r="T76" i="6"/>
  <c r="U76" i="6"/>
  <c r="S76" i="6"/>
  <c r="F76" i="6"/>
  <c r="E76" i="6"/>
  <c r="D76" i="6"/>
  <c r="C76" i="6"/>
  <c r="B76" i="6"/>
  <c r="L75" i="6"/>
  <c r="K75" i="6"/>
  <c r="Z75" i="6"/>
  <c r="Y75" i="6"/>
  <c r="X75" i="6"/>
  <c r="W75" i="6"/>
  <c r="I75" i="6"/>
  <c r="G75" i="6"/>
  <c r="V75" i="6"/>
  <c r="T75" i="6"/>
  <c r="U75" i="6"/>
  <c r="S75" i="6"/>
  <c r="F75" i="6"/>
  <c r="E75" i="6"/>
  <c r="D75" i="6"/>
  <c r="C75" i="6"/>
  <c r="B75" i="6"/>
  <c r="M74" i="6"/>
  <c r="H74" i="6"/>
  <c r="F74" i="6"/>
  <c r="K73" i="6"/>
  <c r="G73" i="6"/>
  <c r="F73" i="6"/>
  <c r="K72" i="6"/>
  <c r="G72" i="6"/>
  <c r="F72" i="6"/>
  <c r="L71" i="6"/>
  <c r="K71" i="6"/>
  <c r="I71" i="6"/>
  <c r="H71" i="6"/>
  <c r="G71" i="6"/>
  <c r="L70" i="6"/>
  <c r="K70" i="6"/>
  <c r="R70" i="6"/>
  <c r="I70" i="6"/>
  <c r="H70" i="6"/>
  <c r="G70" i="6"/>
  <c r="L69" i="6"/>
  <c r="K69" i="6"/>
  <c r="I69" i="6"/>
  <c r="H69" i="6"/>
  <c r="G69" i="6"/>
  <c r="L68" i="6"/>
  <c r="K68" i="6"/>
  <c r="R68" i="6"/>
  <c r="I68" i="6"/>
  <c r="H68" i="6"/>
  <c r="G68" i="6"/>
  <c r="D67" i="6"/>
  <c r="V66" i="6"/>
  <c r="T66" i="6"/>
  <c r="U66" i="6"/>
  <c r="S66" i="6"/>
  <c r="G66" i="6"/>
  <c r="F66" i="6"/>
  <c r="E66" i="6"/>
  <c r="J66" i="6"/>
  <c r="D66" i="6"/>
  <c r="C66" i="6"/>
  <c r="B66" i="6"/>
  <c r="Q65" i="6"/>
  <c r="P65" i="6"/>
  <c r="O65" i="6"/>
  <c r="M65" i="6"/>
  <c r="K65" i="6"/>
  <c r="H65" i="6"/>
  <c r="Z65" i="6"/>
  <c r="Y65" i="6"/>
  <c r="X65" i="6"/>
  <c r="W65" i="6"/>
  <c r="L62" i="6"/>
  <c r="I62" i="6"/>
  <c r="L61" i="6"/>
  <c r="I61" i="6"/>
  <c r="L64" i="6"/>
  <c r="K64" i="6"/>
  <c r="Z64" i="6"/>
  <c r="Y64" i="6"/>
  <c r="X64" i="6"/>
  <c r="W64" i="6"/>
  <c r="I64" i="6"/>
  <c r="G64" i="6"/>
  <c r="V64" i="6"/>
  <c r="T64" i="6"/>
  <c r="U64" i="6"/>
  <c r="S64" i="6"/>
  <c r="F64" i="6"/>
  <c r="E64" i="6"/>
  <c r="D64" i="6"/>
  <c r="C64" i="6"/>
  <c r="B64" i="6"/>
  <c r="M63" i="6"/>
  <c r="H63" i="6"/>
  <c r="F63" i="6"/>
  <c r="K62" i="6"/>
  <c r="G62" i="6"/>
  <c r="F62" i="6"/>
  <c r="K61" i="6"/>
  <c r="G61" i="6"/>
  <c r="F61" i="6"/>
  <c r="L60" i="6"/>
  <c r="K60" i="6"/>
  <c r="I60" i="6"/>
  <c r="H60" i="6"/>
  <c r="G60" i="6"/>
  <c r="L59" i="6"/>
  <c r="K59" i="6"/>
  <c r="R59" i="6"/>
  <c r="I59" i="6"/>
  <c r="H59" i="6"/>
  <c r="G59" i="6"/>
  <c r="L58" i="6"/>
  <c r="K58" i="6"/>
  <c r="I58" i="6"/>
  <c r="H58" i="6"/>
  <c r="G58" i="6"/>
  <c r="L57" i="6"/>
  <c r="K57" i="6"/>
  <c r="R57" i="6"/>
  <c r="I57" i="6"/>
  <c r="H57" i="6"/>
  <c r="G57" i="6"/>
  <c r="D56" i="6"/>
  <c r="V55" i="6"/>
  <c r="T55" i="6"/>
  <c r="U55" i="6"/>
  <c r="S55" i="6"/>
  <c r="G55" i="6"/>
  <c r="F55" i="6"/>
  <c r="E55" i="6"/>
  <c r="J55" i="6"/>
  <c r="D55" i="6"/>
  <c r="C55" i="6"/>
  <c r="B55" i="6"/>
  <c r="Q54" i="6"/>
  <c r="P54" i="6"/>
  <c r="O54" i="6"/>
  <c r="M54" i="6"/>
  <c r="K54" i="6"/>
  <c r="H54" i="6"/>
  <c r="Z54" i="6"/>
  <c r="Y54" i="6"/>
  <c r="X54" i="6"/>
  <c r="W54" i="6"/>
  <c r="L51" i="6"/>
  <c r="I51" i="6"/>
  <c r="L50" i="6"/>
  <c r="I50" i="6"/>
  <c r="L53" i="6"/>
  <c r="K53" i="6"/>
  <c r="Z53" i="6"/>
  <c r="Y53" i="6"/>
  <c r="X53" i="6"/>
  <c r="W53" i="6"/>
  <c r="I53" i="6"/>
  <c r="G53" i="6"/>
  <c r="V53" i="6"/>
  <c r="T53" i="6"/>
  <c r="U53" i="6"/>
  <c r="S53" i="6"/>
  <c r="F53" i="6"/>
  <c r="E53" i="6"/>
  <c r="D53" i="6"/>
  <c r="C53" i="6"/>
  <c r="B53" i="6"/>
  <c r="M52" i="6"/>
  <c r="H52" i="6"/>
  <c r="F52" i="6"/>
  <c r="K51" i="6"/>
  <c r="G51" i="6"/>
  <c r="F51" i="6"/>
  <c r="K50" i="6"/>
  <c r="G50" i="6"/>
  <c r="F50" i="6"/>
  <c r="L49" i="6"/>
  <c r="K49" i="6"/>
  <c r="I49" i="6"/>
  <c r="H49" i="6"/>
  <c r="G49" i="6"/>
  <c r="L48" i="6"/>
  <c r="K48" i="6"/>
  <c r="R48" i="6"/>
  <c r="I48" i="6"/>
  <c r="H48" i="6"/>
  <c r="G48" i="6"/>
  <c r="L47" i="6"/>
  <c r="K47" i="6"/>
  <c r="I47" i="6"/>
  <c r="H47" i="6"/>
  <c r="G47" i="6"/>
  <c r="L46" i="6"/>
  <c r="K46" i="6"/>
  <c r="R46" i="6"/>
  <c r="I46" i="6"/>
  <c r="H46" i="6"/>
  <c r="G46" i="6"/>
  <c r="D45" i="6"/>
  <c r="V44" i="6"/>
  <c r="T44" i="6"/>
  <c r="U44" i="6"/>
  <c r="S44" i="6"/>
  <c r="G44" i="6"/>
  <c r="F44" i="6"/>
  <c r="E44" i="6"/>
  <c r="J44" i="6"/>
  <c r="D44" i="6"/>
  <c r="C44" i="6"/>
  <c r="B44" i="6"/>
  <c r="Q43" i="6"/>
  <c r="P43" i="6"/>
  <c r="O43" i="6"/>
  <c r="M43" i="6"/>
  <c r="K43" i="6"/>
  <c r="H43" i="6"/>
  <c r="Z43" i="6"/>
  <c r="Y43" i="6"/>
  <c r="X43" i="6"/>
  <c r="W43" i="6"/>
  <c r="L41" i="6"/>
  <c r="I41" i="6"/>
  <c r="L40" i="6"/>
  <c r="I40" i="6"/>
  <c r="M42" i="6"/>
  <c r="H42" i="6"/>
  <c r="F42" i="6"/>
  <c r="K41" i="6"/>
  <c r="G41" i="6"/>
  <c r="F41" i="6"/>
  <c r="K40" i="6"/>
  <c r="G40" i="6"/>
  <c r="F40" i="6"/>
  <c r="L39" i="6"/>
  <c r="K39" i="6"/>
  <c r="R39" i="6"/>
  <c r="I39" i="6"/>
  <c r="H39" i="6"/>
  <c r="G39" i="6"/>
  <c r="L38" i="6"/>
  <c r="K38" i="6"/>
  <c r="I38" i="6"/>
  <c r="H38" i="6"/>
  <c r="G38" i="6"/>
  <c r="L37" i="6"/>
  <c r="K37" i="6"/>
  <c r="R37" i="6"/>
  <c r="I37" i="6"/>
  <c r="H37" i="6"/>
  <c r="G37" i="6"/>
  <c r="D36" i="6"/>
  <c r="V35" i="6"/>
  <c r="T35" i="6"/>
  <c r="U35" i="6"/>
  <c r="S35" i="6"/>
  <c r="G35" i="6"/>
  <c r="F35" i="6"/>
  <c r="E35" i="6"/>
  <c r="J35" i="6"/>
  <c r="D35" i="6"/>
  <c r="C35" i="6"/>
  <c r="B35" i="6"/>
  <c r="G26" i="6"/>
  <c r="K22" i="6"/>
  <c r="K21" i="6"/>
  <c r="K20" i="6"/>
  <c r="K19" i="6"/>
  <c r="K16" i="6"/>
  <c r="C17" i="6"/>
  <c r="K14" i="6"/>
  <c r="K12" i="6"/>
  <c r="C13" i="6"/>
  <c r="K10" i="6"/>
  <c r="C11" i="6"/>
  <c r="K8" i="6"/>
  <c r="C9" i="6"/>
  <c r="A1" i="6"/>
  <c r="AD13" i="5"/>
  <c r="J365" i="5"/>
  <c r="C365" i="5"/>
  <c r="J364" i="5"/>
  <c r="C364" i="5"/>
  <c r="I21" i="5"/>
  <c r="I20" i="5"/>
  <c r="G20" i="5" s="1"/>
  <c r="I19" i="5"/>
  <c r="I18" i="5"/>
  <c r="I17" i="5"/>
  <c r="A363" i="5"/>
  <c r="L361" i="5"/>
  <c r="Q361" i="5" s="1"/>
  <c r="Z361" i="5"/>
  <c r="Y361" i="5"/>
  <c r="X361" i="5"/>
  <c r="K360" i="5"/>
  <c r="J360" i="5"/>
  <c r="Z360" i="5"/>
  <c r="Y360" i="5"/>
  <c r="X360" i="5"/>
  <c r="H360" i="5"/>
  <c r="W360" i="5" s="1"/>
  <c r="F360" i="5"/>
  <c r="V360" i="5"/>
  <c r="T360" i="5"/>
  <c r="U360" i="5"/>
  <c r="S360" i="5"/>
  <c r="E360" i="5"/>
  <c r="D360" i="5"/>
  <c r="C360" i="5"/>
  <c r="B360" i="5"/>
  <c r="A360" i="5"/>
  <c r="K359" i="5"/>
  <c r="J359" i="5"/>
  <c r="Z359" i="5"/>
  <c r="Y359" i="5"/>
  <c r="X359" i="5"/>
  <c r="H359" i="5"/>
  <c r="W359" i="5" s="1"/>
  <c r="F359" i="5"/>
  <c r="V359" i="5"/>
  <c r="T359" i="5"/>
  <c r="U359" i="5"/>
  <c r="S359" i="5"/>
  <c r="E359" i="5"/>
  <c r="D359" i="5"/>
  <c r="C359" i="5"/>
  <c r="B359" i="5"/>
  <c r="A359" i="5"/>
  <c r="L358" i="5"/>
  <c r="G358" i="5"/>
  <c r="E358" i="5"/>
  <c r="J357" i="5"/>
  <c r="F357" i="5"/>
  <c r="E357" i="5"/>
  <c r="J356" i="5"/>
  <c r="F356" i="5"/>
  <c r="E356" i="5"/>
  <c r="K355" i="5"/>
  <c r="J355" i="5"/>
  <c r="H355" i="5"/>
  <c r="G355" i="5"/>
  <c r="F355" i="5"/>
  <c r="K354" i="5"/>
  <c r="J354" i="5"/>
  <c r="H354" i="5"/>
  <c r="R354" i="5" s="1"/>
  <c r="G354" i="5"/>
  <c r="F354" i="5"/>
  <c r="K353" i="5"/>
  <c r="J353" i="5"/>
  <c r="H353" i="5"/>
  <c r="G353" i="5"/>
  <c r="F353" i="5"/>
  <c r="K352" i="5"/>
  <c r="J352" i="5"/>
  <c r="H352" i="5"/>
  <c r="R352" i="5" s="1"/>
  <c r="G352" i="5"/>
  <c r="F352" i="5"/>
  <c r="C351" i="5"/>
  <c r="V350" i="5"/>
  <c r="K357" i="5" s="1"/>
  <c r="T350" i="5"/>
  <c r="K356" i="5" s="1"/>
  <c r="U350" i="5"/>
  <c r="S350" i="5"/>
  <c r="F350" i="5"/>
  <c r="E350" i="5"/>
  <c r="D350" i="5"/>
  <c r="I350" i="5"/>
  <c r="C350" i="5"/>
  <c r="B350" i="5"/>
  <c r="A350" i="5"/>
  <c r="Q349" i="5"/>
  <c r="L349" i="5"/>
  <c r="Z349" i="5"/>
  <c r="Y349" i="5"/>
  <c r="X349" i="5"/>
  <c r="L348" i="5"/>
  <c r="G348" i="5"/>
  <c r="E348" i="5"/>
  <c r="J347" i="5"/>
  <c r="E347" i="5"/>
  <c r="J346" i="5"/>
  <c r="E346" i="5"/>
  <c r="K345" i="5"/>
  <c r="J345" i="5"/>
  <c r="H345" i="5"/>
  <c r="G345" i="5"/>
  <c r="F345" i="5"/>
  <c r="K344" i="5"/>
  <c r="J344" i="5"/>
  <c r="H344" i="5"/>
  <c r="R344" i="5" s="1"/>
  <c r="G344" i="5"/>
  <c r="F344" i="5"/>
  <c r="K343" i="5"/>
  <c r="J343" i="5"/>
  <c r="H343" i="5"/>
  <c r="G343" i="5"/>
  <c r="F343" i="5"/>
  <c r="K342" i="5"/>
  <c r="J342" i="5"/>
  <c r="H342" i="5"/>
  <c r="G342" i="5"/>
  <c r="F342" i="5"/>
  <c r="C341" i="5"/>
  <c r="V340" i="5"/>
  <c r="K347" i="5" s="1"/>
  <c r="T340" i="5"/>
  <c r="K346" i="5" s="1"/>
  <c r="U340" i="5"/>
  <c r="H347" i="5" s="1"/>
  <c r="S340" i="5"/>
  <c r="H346" i="5" s="1"/>
  <c r="F340" i="5"/>
  <c r="E340" i="5"/>
  <c r="D340" i="5"/>
  <c r="I340" i="5"/>
  <c r="C340" i="5"/>
  <c r="B340" i="5"/>
  <c r="A340" i="5"/>
  <c r="L339" i="5"/>
  <c r="Q339" i="5" s="1"/>
  <c r="Z339" i="5"/>
  <c r="Y339" i="5"/>
  <c r="X339" i="5"/>
  <c r="K338" i="5"/>
  <c r="J338" i="5"/>
  <c r="Z338" i="5"/>
  <c r="Y338" i="5"/>
  <c r="X338" i="5"/>
  <c r="H338" i="5"/>
  <c r="W338" i="5" s="1"/>
  <c r="F338" i="5"/>
  <c r="V338" i="5"/>
  <c r="T338" i="5"/>
  <c r="U338" i="5"/>
  <c r="S338" i="5"/>
  <c r="E338" i="5"/>
  <c r="D338" i="5"/>
  <c r="C338" i="5"/>
  <c r="B338" i="5"/>
  <c r="A338" i="5"/>
  <c r="K337" i="5"/>
  <c r="J337" i="5"/>
  <c r="Z337" i="5"/>
  <c r="Y337" i="5"/>
  <c r="X337" i="5"/>
  <c r="H337" i="5"/>
  <c r="W337" i="5" s="1"/>
  <c r="F337" i="5"/>
  <c r="V337" i="5"/>
  <c r="T337" i="5"/>
  <c r="U337" i="5"/>
  <c r="S337" i="5"/>
  <c r="E337" i="5"/>
  <c r="D337" i="5"/>
  <c r="C337" i="5"/>
  <c r="B337" i="5"/>
  <c r="A337" i="5"/>
  <c r="K336" i="5"/>
  <c r="J336" i="5"/>
  <c r="Z336" i="5"/>
  <c r="Y336" i="5"/>
  <c r="X336" i="5"/>
  <c r="H336" i="5"/>
  <c r="W336" i="5" s="1"/>
  <c r="F336" i="5"/>
  <c r="V336" i="5"/>
  <c r="T336" i="5"/>
  <c r="U336" i="5"/>
  <c r="S336" i="5"/>
  <c r="E336" i="5"/>
  <c r="D336" i="5"/>
  <c r="C336" i="5"/>
  <c r="B336" i="5"/>
  <c r="A336" i="5"/>
  <c r="L335" i="5"/>
  <c r="G335" i="5"/>
  <c r="E335" i="5"/>
  <c r="J334" i="5"/>
  <c r="E334" i="5"/>
  <c r="J333" i="5"/>
  <c r="E333" i="5"/>
  <c r="K332" i="5"/>
  <c r="J332" i="5"/>
  <c r="H332" i="5"/>
  <c r="G332" i="5"/>
  <c r="F332" i="5"/>
  <c r="K331" i="5"/>
  <c r="J331" i="5"/>
  <c r="H331" i="5"/>
  <c r="R331" i="5" s="1"/>
  <c r="G331" i="5"/>
  <c r="F331" i="5"/>
  <c r="K330" i="5"/>
  <c r="J330" i="5"/>
  <c r="H330" i="5"/>
  <c r="G330" i="5"/>
  <c r="F330" i="5"/>
  <c r="K329" i="5"/>
  <c r="J329" i="5"/>
  <c r="H329" i="5"/>
  <c r="G329" i="5"/>
  <c r="F329" i="5"/>
  <c r="C328" i="5"/>
  <c r="V327" i="5"/>
  <c r="T327" i="5"/>
  <c r="U327" i="5"/>
  <c r="H334" i="5" s="1"/>
  <c r="S327" i="5"/>
  <c r="F327" i="5"/>
  <c r="E327" i="5"/>
  <c r="D327" i="5"/>
  <c r="I327" i="5"/>
  <c r="C327" i="5"/>
  <c r="B327" i="5"/>
  <c r="A327" i="5"/>
  <c r="L326" i="5"/>
  <c r="Q326" i="5" s="1"/>
  <c r="Z326" i="5"/>
  <c r="Y326" i="5"/>
  <c r="X326" i="5"/>
  <c r="K325" i="5"/>
  <c r="J325" i="5"/>
  <c r="Z325" i="5"/>
  <c r="Y325" i="5"/>
  <c r="X325" i="5"/>
  <c r="H325" i="5"/>
  <c r="W325" i="5" s="1"/>
  <c r="F325" i="5"/>
  <c r="V325" i="5"/>
  <c r="T325" i="5"/>
  <c r="U325" i="5"/>
  <c r="S325" i="5"/>
  <c r="E325" i="5"/>
  <c r="D325" i="5"/>
  <c r="C325" i="5"/>
  <c r="B325" i="5"/>
  <c r="A325" i="5"/>
  <c r="L324" i="5"/>
  <c r="G324" i="5"/>
  <c r="E324" i="5"/>
  <c r="J323" i="5"/>
  <c r="F323" i="5"/>
  <c r="E323" i="5"/>
  <c r="J322" i="5"/>
  <c r="F322" i="5"/>
  <c r="E322" i="5"/>
  <c r="K321" i="5"/>
  <c r="J321" i="5"/>
  <c r="H321" i="5"/>
  <c r="G321" i="5"/>
  <c r="F321" i="5"/>
  <c r="K320" i="5"/>
  <c r="J320" i="5"/>
  <c r="H320" i="5"/>
  <c r="R320" i="5" s="1"/>
  <c r="G320" i="5"/>
  <c r="F320" i="5"/>
  <c r="K319" i="5"/>
  <c r="J319" i="5"/>
  <c r="H319" i="5"/>
  <c r="G319" i="5"/>
  <c r="F319" i="5"/>
  <c r="K318" i="5"/>
  <c r="J318" i="5"/>
  <c r="H318" i="5"/>
  <c r="R318" i="5" s="1"/>
  <c r="G318" i="5"/>
  <c r="F318" i="5"/>
  <c r="C317" i="5"/>
  <c r="V316" i="5"/>
  <c r="T316" i="5"/>
  <c r="K322" i="5" s="1"/>
  <c r="U316" i="5"/>
  <c r="H323" i="5" s="1"/>
  <c r="S316" i="5"/>
  <c r="H322" i="5" s="1"/>
  <c r="F316" i="5"/>
  <c r="E316" i="5"/>
  <c r="D316" i="5"/>
  <c r="I316" i="5"/>
  <c r="C316" i="5"/>
  <c r="B316" i="5"/>
  <c r="A316" i="5"/>
  <c r="L315" i="5"/>
  <c r="Q315" i="5" s="1"/>
  <c r="Z315" i="5"/>
  <c r="Y315" i="5"/>
  <c r="X315" i="5"/>
  <c r="K314" i="5"/>
  <c r="J314" i="5"/>
  <c r="Z314" i="5"/>
  <c r="Y314" i="5"/>
  <c r="X314" i="5"/>
  <c r="H314" i="5"/>
  <c r="W314" i="5" s="1"/>
  <c r="F314" i="5"/>
  <c r="V314" i="5"/>
  <c r="T314" i="5"/>
  <c r="U314" i="5"/>
  <c r="S314" i="5"/>
  <c r="E314" i="5"/>
  <c r="D314" i="5"/>
  <c r="C314" i="5"/>
  <c r="B314" i="5"/>
  <c r="A314" i="5"/>
  <c r="L313" i="5"/>
  <c r="G313" i="5"/>
  <c r="E313" i="5"/>
  <c r="J312" i="5"/>
  <c r="E312" i="5"/>
  <c r="J311" i="5"/>
  <c r="E311" i="5"/>
  <c r="K310" i="5"/>
  <c r="J310" i="5"/>
  <c r="H310" i="5"/>
  <c r="R310" i="5" s="1"/>
  <c r="G310" i="5"/>
  <c r="F310" i="5"/>
  <c r="K309" i="5"/>
  <c r="J309" i="5"/>
  <c r="H309" i="5"/>
  <c r="G309" i="5"/>
  <c r="F309" i="5"/>
  <c r="K308" i="5"/>
  <c r="J308" i="5"/>
  <c r="H308" i="5"/>
  <c r="R308" i="5" s="1"/>
  <c r="G308" i="5"/>
  <c r="F308" i="5"/>
  <c r="C307" i="5"/>
  <c r="V306" i="5"/>
  <c r="T306" i="5"/>
  <c r="U306" i="5"/>
  <c r="H312" i="5" s="1"/>
  <c r="S306" i="5"/>
  <c r="F306" i="5"/>
  <c r="E306" i="5"/>
  <c r="D306" i="5"/>
  <c r="I306" i="5"/>
  <c r="C306" i="5"/>
  <c r="B306" i="5"/>
  <c r="A306" i="5"/>
  <c r="Q305" i="5"/>
  <c r="L305" i="5"/>
  <c r="Z305" i="5"/>
  <c r="Y305" i="5"/>
  <c r="W305" i="5"/>
  <c r="K304" i="5"/>
  <c r="J304" i="5"/>
  <c r="Z304" i="5"/>
  <c r="Y304" i="5"/>
  <c r="W304" i="5"/>
  <c r="H304" i="5"/>
  <c r="X304" i="5" s="1"/>
  <c r="F304" i="5"/>
  <c r="V304" i="5"/>
  <c r="T304" i="5"/>
  <c r="U304" i="5"/>
  <c r="S304" i="5"/>
  <c r="E304" i="5"/>
  <c r="D304" i="5"/>
  <c r="C304" i="5"/>
  <c r="B304" i="5"/>
  <c r="A304" i="5"/>
  <c r="L303" i="5"/>
  <c r="G303" i="5"/>
  <c r="E303" i="5"/>
  <c r="J302" i="5"/>
  <c r="E302" i="5"/>
  <c r="J301" i="5"/>
  <c r="E301" i="5"/>
  <c r="K300" i="5"/>
  <c r="J300" i="5"/>
  <c r="H300" i="5"/>
  <c r="G300" i="5"/>
  <c r="F300" i="5"/>
  <c r="K299" i="5"/>
  <c r="J299" i="5"/>
  <c r="H299" i="5"/>
  <c r="R299" i="5" s="1"/>
  <c r="G299" i="5"/>
  <c r="F299" i="5"/>
  <c r="K298" i="5"/>
  <c r="J298" i="5"/>
  <c r="H298" i="5"/>
  <c r="G298" i="5"/>
  <c r="F298" i="5"/>
  <c r="K297" i="5"/>
  <c r="J297" i="5"/>
  <c r="H297" i="5"/>
  <c r="R297" i="5" s="1"/>
  <c r="G297" i="5"/>
  <c r="F297" i="5"/>
  <c r="C296" i="5"/>
  <c r="V295" i="5"/>
  <c r="T295" i="5"/>
  <c r="K301" i="5" s="1"/>
  <c r="U295" i="5"/>
  <c r="S295" i="5"/>
  <c r="F295" i="5"/>
  <c r="E295" i="5"/>
  <c r="D295" i="5"/>
  <c r="I295" i="5"/>
  <c r="C295" i="5"/>
  <c r="B295" i="5"/>
  <c r="A295" i="5"/>
  <c r="L294" i="5"/>
  <c r="Q294" i="5" s="1"/>
  <c r="Z294" i="5"/>
  <c r="Y294" i="5"/>
  <c r="X294" i="5"/>
  <c r="K293" i="5"/>
  <c r="J294" i="5" s="1"/>
  <c r="P294" i="5" s="1"/>
  <c r="H293" i="5"/>
  <c r="G294" i="5" s="1"/>
  <c r="O294" i="5" s="1"/>
  <c r="J293" i="5"/>
  <c r="G293" i="5"/>
  <c r="F293" i="5"/>
  <c r="V293" i="5"/>
  <c r="T293" i="5"/>
  <c r="U293" i="5"/>
  <c r="S293" i="5"/>
  <c r="E293" i="5"/>
  <c r="D293" i="5"/>
  <c r="I293" i="5"/>
  <c r="C293" i="5"/>
  <c r="B293" i="5"/>
  <c r="A293" i="5"/>
  <c r="L292" i="5"/>
  <c r="Q292" i="5" s="1"/>
  <c r="Z292" i="5"/>
  <c r="Y292" i="5"/>
  <c r="X292" i="5"/>
  <c r="K291" i="5"/>
  <c r="J292" i="5" s="1"/>
  <c r="P292" i="5" s="1"/>
  <c r="H291" i="5"/>
  <c r="J291" i="5"/>
  <c r="G291" i="5"/>
  <c r="F291" i="5"/>
  <c r="V291" i="5"/>
  <c r="T291" i="5"/>
  <c r="U291" i="5"/>
  <c r="S291" i="5"/>
  <c r="E291" i="5"/>
  <c r="D291" i="5"/>
  <c r="I291" i="5"/>
  <c r="C291" i="5"/>
  <c r="B291" i="5"/>
  <c r="A291" i="5"/>
  <c r="L290" i="5"/>
  <c r="Q290" i="5" s="1"/>
  <c r="Z290" i="5"/>
  <c r="Y290" i="5"/>
  <c r="X290" i="5"/>
  <c r="K289" i="5"/>
  <c r="J289" i="5"/>
  <c r="Z289" i="5"/>
  <c r="Y289" i="5"/>
  <c r="X289" i="5"/>
  <c r="H289" i="5"/>
  <c r="W289" i="5" s="1"/>
  <c r="F289" i="5"/>
  <c r="V289" i="5"/>
  <c r="T289" i="5"/>
  <c r="U289" i="5"/>
  <c r="S289" i="5"/>
  <c r="E289" i="5"/>
  <c r="D289" i="5"/>
  <c r="C289" i="5"/>
  <c r="B289" i="5"/>
  <c r="A289" i="5"/>
  <c r="L288" i="5"/>
  <c r="G288" i="5"/>
  <c r="E288" i="5"/>
  <c r="J287" i="5"/>
  <c r="F287" i="5"/>
  <c r="E287" i="5"/>
  <c r="J286" i="5"/>
  <c r="F286" i="5"/>
  <c r="E286" i="5"/>
  <c r="K285" i="5"/>
  <c r="J285" i="5"/>
  <c r="H285" i="5"/>
  <c r="G285" i="5"/>
  <c r="F285" i="5"/>
  <c r="K284" i="5"/>
  <c r="J284" i="5"/>
  <c r="H284" i="5"/>
  <c r="R284" i="5" s="1"/>
  <c r="G284" i="5"/>
  <c r="F284" i="5"/>
  <c r="K283" i="5"/>
  <c r="J283" i="5"/>
  <c r="H283" i="5"/>
  <c r="G283" i="5"/>
  <c r="F283" i="5"/>
  <c r="K282" i="5"/>
  <c r="J282" i="5"/>
  <c r="H282" i="5"/>
  <c r="R282" i="5" s="1"/>
  <c r="G282" i="5"/>
  <c r="F282" i="5"/>
  <c r="V281" i="5"/>
  <c r="T281" i="5"/>
  <c r="U281" i="5"/>
  <c r="S281" i="5"/>
  <c r="H286" i="5" s="1"/>
  <c r="F281" i="5"/>
  <c r="E281" i="5"/>
  <c r="D281" i="5"/>
  <c r="I281" i="5"/>
  <c r="C281" i="5"/>
  <c r="B281" i="5"/>
  <c r="A281" i="5"/>
  <c r="L280" i="5"/>
  <c r="Q280" i="5" s="1"/>
  <c r="Z280" i="5"/>
  <c r="Y280" i="5"/>
  <c r="X280" i="5"/>
  <c r="L279" i="5"/>
  <c r="G279" i="5"/>
  <c r="E279" i="5"/>
  <c r="J278" i="5"/>
  <c r="F278" i="5"/>
  <c r="E278" i="5"/>
  <c r="J277" i="5"/>
  <c r="F277" i="5"/>
  <c r="E277" i="5"/>
  <c r="K276" i="5"/>
  <c r="J276" i="5"/>
  <c r="H276" i="5"/>
  <c r="G276" i="5"/>
  <c r="F276" i="5"/>
  <c r="K275" i="5"/>
  <c r="J275" i="5"/>
  <c r="H275" i="5"/>
  <c r="R275" i="5" s="1"/>
  <c r="G275" i="5"/>
  <c r="F275" i="5"/>
  <c r="K274" i="5"/>
  <c r="J274" i="5"/>
  <c r="H274" i="5"/>
  <c r="G274" i="5"/>
  <c r="F274" i="5"/>
  <c r="K273" i="5"/>
  <c r="J273" i="5"/>
  <c r="H273" i="5"/>
  <c r="R273" i="5" s="1"/>
  <c r="G273" i="5"/>
  <c r="F273" i="5"/>
  <c r="C272" i="5"/>
  <c r="V271" i="5"/>
  <c r="K278" i="5" s="1"/>
  <c r="T271" i="5"/>
  <c r="K277" i="5" s="1"/>
  <c r="U271" i="5"/>
  <c r="H278" i="5" s="1"/>
  <c r="S271" i="5"/>
  <c r="H277" i="5" s="1"/>
  <c r="F271" i="5"/>
  <c r="E271" i="5"/>
  <c r="D271" i="5"/>
  <c r="I271" i="5"/>
  <c r="C271" i="5"/>
  <c r="B271" i="5"/>
  <c r="A271" i="5"/>
  <c r="L270" i="5"/>
  <c r="Q270" i="5" s="1"/>
  <c r="Z270" i="5"/>
  <c r="Y270" i="5"/>
  <c r="X270" i="5"/>
  <c r="L269" i="5"/>
  <c r="G269" i="5"/>
  <c r="E269" i="5"/>
  <c r="J268" i="5"/>
  <c r="F268" i="5"/>
  <c r="E268" i="5"/>
  <c r="J267" i="5"/>
  <c r="F267" i="5"/>
  <c r="E267" i="5"/>
  <c r="K266" i="5"/>
  <c r="J266" i="5"/>
  <c r="H266" i="5"/>
  <c r="G266" i="5"/>
  <c r="F266" i="5"/>
  <c r="K265" i="5"/>
  <c r="J265" i="5"/>
  <c r="H265" i="5"/>
  <c r="R265" i="5" s="1"/>
  <c r="G265" i="5"/>
  <c r="F265" i="5"/>
  <c r="K264" i="5"/>
  <c r="J264" i="5"/>
  <c r="H264" i="5"/>
  <c r="G264" i="5"/>
  <c r="F264" i="5"/>
  <c r="K263" i="5"/>
  <c r="J263" i="5"/>
  <c r="H263" i="5"/>
  <c r="G263" i="5"/>
  <c r="F263" i="5"/>
  <c r="C262" i="5"/>
  <c r="V261" i="5"/>
  <c r="K268" i="5" s="1"/>
  <c r="T261" i="5"/>
  <c r="K267" i="5" s="1"/>
  <c r="U261" i="5"/>
  <c r="H268" i="5" s="1"/>
  <c r="S261" i="5"/>
  <c r="H267" i="5" s="1"/>
  <c r="F261" i="5"/>
  <c r="E261" i="5"/>
  <c r="D261" i="5"/>
  <c r="I261" i="5"/>
  <c r="C261" i="5"/>
  <c r="B261" i="5"/>
  <c r="A261" i="5"/>
  <c r="L260" i="5"/>
  <c r="Q260" i="5" s="1"/>
  <c r="Z260" i="5"/>
  <c r="Y260" i="5"/>
  <c r="X260" i="5"/>
  <c r="L259" i="5"/>
  <c r="G259" i="5"/>
  <c r="E259" i="5"/>
  <c r="J258" i="5"/>
  <c r="F258" i="5"/>
  <c r="E258" i="5"/>
  <c r="J257" i="5"/>
  <c r="F257" i="5"/>
  <c r="E257" i="5"/>
  <c r="K256" i="5"/>
  <c r="J256" i="5"/>
  <c r="H256" i="5"/>
  <c r="G256" i="5"/>
  <c r="F256" i="5"/>
  <c r="K255" i="5"/>
  <c r="J255" i="5"/>
  <c r="H255" i="5"/>
  <c r="R255" i="5" s="1"/>
  <c r="G255" i="5"/>
  <c r="F255" i="5"/>
  <c r="K254" i="5"/>
  <c r="J254" i="5"/>
  <c r="H254" i="5"/>
  <c r="G254" i="5"/>
  <c r="F254" i="5"/>
  <c r="K253" i="5"/>
  <c r="J253" i="5"/>
  <c r="H253" i="5"/>
  <c r="G253" i="5"/>
  <c r="F253" i="5"/>
  <c r="V252" i="5"/>
  <c r="K258" i="5" s="1"/>
  <c r="T252" i="5"/>
  <c r="K257" i="5" s="1"/>
  <c r="U252" i="5"/>
  <c r="H258" i="5" s="1"/>
  <c r="S252" i="5"/>
  <c r="H257" i="5" s="1"/>
  <c r="F252" i="5"/>
  <c r="E252" i="5"/>
  <c r="D252" i="5"/>
  <c r="I252" i="5"/>
  <c r="C252" i="5"/>
  <c r="B252" i="5"/>
  <c r="A252" i="5"/>
  <c r="L251" i="5"/>
  <c r="Q251" i="5" s="1"/>
  <c r="Z251" i="5"/>
  <c r="Y251" i="5"/>
  <c r="X251" i="5"/>
  <c r="K250" i="5"/>
  <c r="J250" i="5"/>
  <c r="Z250" i="5"/>
  <c r="Y250" i="5"/>
  <c r="X250" i="5"/>
  <c r="H250" i="5"/>
  <c r="W250" i="5" s="1"/>
  <c r="F250" i="5"/>
  <c r="V250" i="5"/>
  <c r="T250" i="5"/>
  <c r="U250" i="5"/>
  <c r="S250" i="5"/>
  <c r="E250" i="5"/>
  <c r="D250" i="5"/>
  <c r="C250" i="5"/>
  <c r="B250" i="5"/>
  <c r="A250" i="5"/>
  <c r="K249" i="5"/>
  <c r="J249" i="5"/>
  <c r="Z249" i="5"/>
  <c r="Y249" i="5"/>
  <c r="X249" i="5"/>
  <c r="H249" i="5"/>
  <c r="W249" i="5" s="1"/>
  <c r="F249" i="5"/>
  <c r="V249" i="5"/>
  <c r="T249" i="5"/>
  <c r="U249" i="5"/>
  <c r="S249" i="5"/>
  <c r="E249" i="5"/>
  <c r="D249" i="5"/>
  <c r="C249" i="5"/>
  <c r="B249" i="5"/>
  <c r="A249" i="5"/>
  <c r="L248" i="5"/>
  <c r="G248" i="5"/>
  <c r="E248" i="5"/>
  <c r="J247" i="5"/>
  <c r="F247" i="5"/>
  <c r="E247" i="5"/>
  <c r="J246" i="5"/>
  <c r="F246" i="5"/>
  <c r="E246" i="5"/>
  <c r="K245" i="5"/>
  <c r="J245" i="5"/>
  <c r="H245" i="5"/>
  <c r="G245" i="5"/>
  <c r="F245" i="5"/>
  <c r="K244" i="5"/>
  <c r="J244" i="5"/>
  <c r="H244" i="5"/>
  <c r="G244" i="5"/>
  <c r="F244" i="5"/>
  <c r="C243" i="5"/>
  <c r="V242" i="5"/>
  <c r="T242" i="5"/>
  <c r="U242" i="5"/>
  <c r="H247" i="5" s="1"/>
  <c r="S242" i="5"/>
  <c r="F242" i="5"/>
  <c r="E242" i="5"/>
  <c r="D242" i="5"/>
  <c r="I242" i="5"/>
  <c r="C242" i="5"/>
  <c r="B242" i="5"/>
  <c r="A242" i="5"/>
  <c r="L241" i="5"/>
  <c r="Q241" i="5" s="1"/>
  <c r="Z241" i="5"/>
  <c r="Y241" i="5"/>
  <c r="X241" i="5"/>
  <c r="K240" i="5"/>
  <c r="J240" i="5"/>
  <c r="Z240" i="5"/>
  <c r="Y240" i="5"/>
  <c r="X240" i="5"/>
  <c r="H240" i="5"/>
  <c r="W240" i="5" s="1"/>
  <c r="F240" i="5"/>
  <c r="V240" i="5"/>
  <c r="T240" i="5"/>
  <c r="U240" i="5"/>
  <c r="S240" i="5"/>
  <c r="E240" i="5"/>
  <c r="D240" i="5"/>
  <c r="C240" i="5"/>
  <c r="B240" i="5"/>
  <c r="A240" i="5"/>
  <c r="L239" i="5"/>
  <c r="G239" i="5"/>
  <c r="E239" i="5"/>
  <c r="J238" i="5"/>
  <c r="E238" i="5"/>
  <c r="J237" i="5"/>
  <c r="E237" i="5"/>
  <c r="K236" i="5"/>
  <c r="J236" i="5"/>
  <c r="H236" i="5"/>
  <c r="G236" i="5"/>
  <c r="F236" i="5"/>
  <c r="K235" i="5"/>
  <c r="J235" i="5"/>
  <c r="H235" i="5"/>
  <c r="R235" i="5" s="1"/>
  <c r="G235" i="5"/>
  <c r="F235" i="5"/>
  <c r="C234" i="5"/>
  <c r="V233" i="5"/>
  <c r="K238" i="5" s="1"/>
  <c r="T233" i="5"/>
  <c r="K237" i="5" s="1"/>
  <c r="U233" i="5"/>
  <c r="H238" i="5" s="1"/>
  <c r="S233" i="5"/>
  <c r="H237" i="5" s="1"/>
  <c r="F233" i="5"/>
  <c r="E233" i="5"/>
  <c r="D233" i="5"/>
  <c r="I233" i="5"/>
  <c r="C233" i="5"/>
  <c r="B233" i="5"/>
  <c r="A233" i="5"/>
  <c r="L232" i="5"/>
  <c r="Q232" i="5" s="1"/>
  <c r="Z232" i="5"/>
  <c r="Y232" i="5"/>
  <c r="X232" i="5"/>
  <c r="K231" i="5"/>
  <c r="J231" i="5"/>
  <c r="Z231" i="5"/>
  <c r="Y231" i="5"/>
  <c r="X231" i="5"/>
  <c r="H231" i="5"/>
  <c r="W231" i="5" s="1"/>
  <c r="F231" i="5"/>
  <c r="V231" i="5"/>
  <c r="T231" i="5"/>
  <c r="U231" i="5"/>
  <c r="S231" i="5"/>
  <c r="E231" i="5"/>
  <c r="D231" i="5"/>
  <c r="C231" i="5"/>
  <c r="B231" i="5"/>
  <c r="A231" i="5"/>
  <c r="L230" i="5"/>
  <c r="G230" i="5"/>
  <c r="E230" i="5"/>
  <c r="J229" i="5"/>
  <c r="E229" i="5"/>
  <c r="J228" i="5"/>
  <c r="E228" i="5"/>
  <c r="K227" i="5"/>
  <c r="J227" i="5"/>
  <c r="H227" i="5"/>
  <c r="G227" i="5"/>
  <c r="F227" i="5"/>
  <c r="K226" i="5"/>
  <c r="J226" i="5"/>
  <c r="H226" i="5"/>
  <c r="R226" i="5" s="1"/>
  <c r="G226" i="5"/>
  <c r="F226" i="5"/>
  <c r="K225" i="5"/>
  <c r="J225" i="5"/>
  <c r="H225" i="5"/>
  <c r="G225" i="5"/>
  <c r="F225" i="5"/>
  <c r="K224" i="5"/>
  <c r="J224" i="5"/>
  <c r="H224" i="5"/>
  <c r="R224" i="5" s="1"/>
  <c r="G224" i="5"/>
  <c r="F224" i="5"/>
  <c r="C223" i="5"/>
  <c r="V222" i="5"/>
  <c r="T222" i="5"/>
  <c r="U222" i="5"/>
  <c r="H229" i="5" s="1"/>
  <c r="S222" i="5"/>
  <c r="H228" i="5" s="1"/>
  <c r="F222" i="5"/>
  <c r="E222" i="5"/>
  <c r="D222" i="5"/>
  <c r="I222" i="5"/>
  <c r="C222" i="5"/>
  <c r="B222" i="5"/>
  <c r="A222" i="5"/>
  <c r="L221" i="5"/>
  <c r="Q221" i="5" s="1"/>
  <c r="Z221" i="5"/>
  <c r="Y221" i="5"/>
  <c r="X221" i="5"/>
  <c r="L220" i="5"/>
  <c r="G220" i="5"/>
  <c r="E220" i="5"/>
  <c r="J219" i="5"/>
  <c r="E219" i="5"/>
  <c r="J218" i="5"/>
  <c r="E218" i="5"/>
  <c r="K217" i="5"/>
  <c r="J217" i="5"/>
  <c r="H217" i="5"/>
  <c r="G217" i="5"/>
  <c r="F217" i="5"/>
  <c r="K216" i="5"/>
  <c r="J216" i="5"/>
  <c r="H216" i="5"/>
  <c r="R216" i="5" s="1"/>
  <c r="G216" i="5"/>
  <c r="F216" i="5"/>
  <c r="K215" i="5"/>
  <c r="J215" i="5"/>
  <c r="H215" i="5"/>
  <c r="G215" i="5"/>
  <c r="F215" i="5"/>
  <c r="K214" i="5"/>
  <c r="J214" i="5"/>
  <c r="H214" i="5"/>
  <c r="G214" i="5"/>
  <c r="F214" i="5"/>
  <c r="C213" i="5"/>
  <c r="V212" i="5"/>
  <c r="K219" i="5" s="1"/>
  <c r="T212" i="5"/>
  <c r="K218" i="5" s="1"/>
  <c r="U212" i="5"/>
  <c r="H219" i="5" s="1"/>
  <c r="S212" i="5"/>
  <c r="H218" i="5" s="1"/>
  <c r="F212" i="5"/>
  <c r="E212" i="5"/>
  <c r="D212" i="5"/>
  <c r="I212" i="5"/>
  <c r="C212" i="5"/>
  <c r="B212" i="5"/>
  <c r="A212" i="5"/>
  <c r="L211" i="5"/>
  <c r="Q211" i="5" s="1"/>
  <c r="Z211" i="5"/>
  <c r="Y211" i="5"/>
  <c r="X211" i="5"/>
  <c r="K210" i="5"/>
  <c r="J210" i="5"/>
  <c r="Z210" i="5"/>
  <c r="Y210" i="5"/>
  <c r="X210" i="5"/>
  <c r="H210" i="5"/>
  <c r="W210" i="5" s="1"/>
  <c r="F210" i="5"/>
  <c r="V210" i="5"/>
  <c r="T210" i="5"/>
  <c r="U210" i="5"/>
  <c r="S210" i="5"/>
  <c r="E210" i="5"/>
  <c r="D210" i="5"/>
  <c r="C210" i="5"/>
  <c r="B210" i="5"/>
  <c r="A210" i="5"/>
  <c r="K209" i="5"/>
  <c r="J209" i="5"/>
  <c r="Z209" i="5"/>
  <c r="Y209" i="5"/>
  <c r="X209" i="5"/>
  <c r="H209" i="5"/>
  <c r="W209" i="5" s="1"/>
  <c r="F209" i="5"/>
  <c r="V209" i="5"/>
  <c r="T209" i="5"/>
  <c r="U209" i="5"/>
  <c r="S209" i="5"/>
  <c r="E209" i="5"/>
  <c r="D209" i="5"/>
  <c r="C209" i="5"/>
  <c r="B209" i="5"/>
  <c r="A209" i="5"/>
  <c r="K208" i="5"/>
  <c r="J208" i="5"/>
  <c r="Z208" i="5"/>
  <c r="Y208" i="5"/>
  <c r="X208" i="5"/>
  <c r="H208" i="5"/>
  <c r="W208" i="5" s="1"/>
  <c r="F208" i="5"/>
  <c r="V208" i="5"/>
  <c r="T208" i="5"/>
  <c r="U208" i="5"/>
  <c r="S208" i="5"/>
  <c r="E208" i="5"/>
  <c r="D208" i="5"/>
  <c r="C208" i="5"/>
  <c r="B208" i="5"/>
  <c r="A208" i="5"/>
  <c r="L207" i="5"/>
  <c r="G207" i="5"/>
  <c r="E207" i="5"/>
  <c r="J206" i="5"/>
  <c r="F206" i="5"/>
  <c r="E206" i="5"/>
  <c r="J205" i="5"/>
  <c r="F205" i="5"/>
  <c r="E205" i="5"/>
  <c r="K204" i="5"/>
  <c r="J204" i="5"/>
  <c r="H204" i="5"/>
  <c r="G204" i="5"/>
  <c r="F204" i="5"/>
  <c r="K203" i="5"/>
  <c r="J203" i="5"/>
  <c r="H203" i="5"/>
  <c r="R203" i="5" s="1"/>
  <c r="G203" i="5"/>
  <c r="F203" i="5"/>
  <c r="K202" i="5"/>
  <c r="J202" i="5"/>
  <c r="H202" i="5"/>
  <c r="G202" i="5"/>
  <c r="F202" i="5"/>
  <c r="K201" i="5"/>
  <c r="J201" i="5"/>
  <c r="H201" i="5"/>
  <c r="G201" i="5"/>
  <c r="F201" i="5"/>
  <c r="C200" i="5"/>
  <c r="V199" i="5"/>
  <c r="T199" i="5"/>
  <c r="U199" i="5"/>
  <c r="S199" i="5"/>
  <c r="F199" i="5"/>
  <c r="E199" i="5"/>
  <c r="D199" i="5"/>
  <c r="I199" i="5"/>
  <c r="C199" i="5"/>
  <c r="B199" i="5"/>
  <c r="A199" i="5"/>
  <c r="L198" i="5"/>
  <c r="Q198" i="5" s="1"/>
  <c r="Z198" i="5"/>
  <c r="Y198" i="5"/>
  <c r="X198" i="5"/>
  <c r="L197" i="5"/>
  <c r="G197" i="5"/>
  <c r="E197" i="5"/>
  <c r="J196" i="5"/>
  <c r="E196" i="5"/>
  <c r="J195" i="5"/>
  <c r="E195" i="5"/>
  <c r="K194" i="5"/>
  <c r="J194" i="5"/>
  <c r="H194" i="5"/>
  <c r="R194" i="5" s="1"/>
  <c r="G194" i="5"/>
  <c r="F194" i="5"/>
  <c r="K193" i="5"/>
  <c r="J193" i="5"/>
  <c r="H193" i="5"/>
  <c r="G193" i="5"/>
  <c r="F193" i="5"/>
  <c r="K192" i="5"/>
  <c r="J192" i="5"/>
  <c r="H192" i="5"/>
  <c r="G192" i="5"/>
  <c r="F192" i="5"/>
  <c r="C191" i="5"/>
  <c r="V190" i="5"/>
  <c r="K196" i="5" s="1"/>
  <c r="T190" i="5"/>
  <c r="K195" i="5" s="1"/>
  <c r="U190" i="5"/>
  <c r="H196" i="5" s="1"/>
  <c r="S190" i="5"/>
  <c r="H195" i="5" s="1"/>
  <c r="F190" i="5"/>
  <c r="E190" i="5"/>
  <c r="D190" i="5"/>
  <c r="I190" i="5"/>
  <c r="C190" i="5"/>
  <c r="B190" i="5"/>
  <c r="A190" i="5"/>
  <c r="L189" i="5"/>
  <c r="Q189" i="5" s="1"/>
  <c r="Z189" i="5"/>
  <c r="Y189" i="5"/>
  <c r="X189" i="5"/>
  <c r="K188" i="5"/>
  <c r="J188" i="5"/>
  <c r="Z188" i="5"/>
  <c r="Y188" i="5"/>
  <c r="X188" i="5"/>
  <c r="H188" i="5"/>
  <c r="W188" i="5" s="1"/>
  <c r="F188" i="5"/>
  <c r="V188" i="5"/>
  <c r="T188" i="5"/>
  <c r="U188" i="5"/>
  <c r="S188" i="5"/>
  <c r="E188" i="5"/>
  <c r="D188" i="5"/>
  <c r="C188" i="5"/>
  <c r="B188" i="5"/>
  <c r="A188" i="5"/>
  <c r="L187" i="5"/>
  <c r="G187" i="5"/>
  <c r="E187" i="5"/>
  <c r="J186" i="5"/>
  <c r="E186" i="5"/>
  <c r="J185" i="5"/>
  <c r="E185" i="5"/>
  <c r="K184" i="5"/>
  <c r="J184" i="5"/>
  <c r="H184" i="5"/>
  <c r="G184" i="5"/>
  <c r="F184" i="5"/>
  <c r="K183" i="5"/>
  <c r="J183" i="5"/>
  <c r="H183" i="5"/>
  <c r="R183" i="5" s="1"/>
  <c r="G183" i="5"/>
  <c r="F183" i="5"/>
  <c r="K182" i="5"/>
  <c r="J182" i="5"/>
  <c r="H182" i="5"/>
  <c r="G182" i="5"/>
  <c r="F182" i="5"/>
  <c r="K181" i="5"/>
  <c r="J181" i="5"/>
  <c r="H181" i="5"/>
  <c r="R181" i="5" s="1"/>
  <c r="G181" i="5"/>
  <c r="F181" i="5"/>
  <c r="C180" i="5"/>
  <c r="V179" i="5"/>
  <c r="K186" i="5" s="1"/>
  <c r="T179" i="5"/>
  <c r="K185" i="5" s="1"/>
  <c r="U179" i="5"/>
  <c r="S179" i="5"/>
  <c r="F179" i="5"/>
  <c r="E179" i="5"/>
  <c r="D179" i="5"/>
  <c r="I179" i="5"/>
  <c r="C179" i="5"/>
  <c r="B179" i="5"/>
  <c r="A179" i="5"/>
  <c r="L178" i="5"/>
  <c r="Q178" i="5" s="1"/>
  <c r="Z178" i="5"/>
  <c r="Y178" i="5"/>
  <c r="X178" i="5"/>
  <c r="K177" i="5"/>
  <c r="J177" i="5"/>
  <c r="Z177" i="5"/>
  <c r="Y177" i="5"/>
  <c r="X177" i="5"/>
  <c r="H177" i="5"/>
  <c r="W177" i="5" s="1"/>
  <c r="F177" i="5"/>
  <c r="V177" i="5"/>
  <c r="T177" i="5"/>
  <c r="U177" i="5"/>
  <c r="S177" i="5"/>
  <c r="E177" i="5"/>
  <c r="D177" i="5"/>
  <c r="C177" i="5"/>
  <c r="B177" i="5"/>
  <c r="A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G173" i="5"/>
  <c r="F173" i="5"/>
  <c r="K172" i="5"/>
  <c r="J172" i="5"/>
  <c r="H172" i="5"/>
  <c r="R172" i="5" s="1"/>
  <c r="G172" i="5"/>
  <c r="F172" i="5"/>
  <c r="K171" i="5"/>
  <c r="J171" i="5"/>
  <c r="H171" i="5"/>
  <c r="G171" i="5"/>
  <c r="F171" i="5"/>
  <c r="K170" i="5"/>
  <c r="J170" i="5"/>
  <c r="H170" i="5"/>
  <c r="R170" i="5" s="1"/>
  <c r="G170" i="5"/>
  <c r="F170" i="5"/>
  <c r="C169" i="5"/>
  <c r="V168" i="5"/>
  <c r="K175" i="5" s="1"/>
  <c r="T168" i="5"/>
  <c r="U168" i="5"/>
  <c r="S168" i="5"/>
  <c r="F168" i="5"/>
  <c r="E168" i="5"/>
  <c r="D168" i="5"/>
  <c r="I168" i="5"/>
  <c r="C168" i="5"/>
  <c r="B168" i="5"/>
  <c r="A168" i="5"/>
  <c r="L167" i="5"/>
  <c r="Q167" i="5" s="1"/>
  <c r="Z167" i="5"/>
  <c r="Y167" i="5"/>
  <c r="X167" i="5"/>
  <c r="L166" i="5"/>
  <c r="G166" i="5"/>
  <c r="E166" i="5"/>
  <c r="J165" i="5"/>
  <c r="E165" i="5"/>
  <c r="J164" i="5"/>
  <c r="E164" i="5"/>
  <c r="K163" i="5"/>
  <c r="J163" i="5"/>
  <c r="H163" i="5"/>
  <c r="G163" i="5"/>
  <c r="F163" i="5"/>
  <c r="C162" i="5"/>
  <c r="V161" i="5"/>
  <c r="K165" i="5" s="1"/>
  <c r="T161" i="5"/>
  <c r="K164" i="5" s="1"/>
  <c r="U161" i="5"/>
  <c r="H165" i="5" s="1"/>
  <c r="S161" i="5"/>
  <c r="H164" i="5" s="1"/>
  <c r="F161" i="5"/>
  <c r="E161" i="5"/>
  <c r="D161" i="5"/>
  <c r="I161" i="5"/>
  <c r="C161" i="5"/>
  <c r="B161" i="5"/>
  <c r="A161" i="5"/>
  <c r="Q160" i="5"/>
  <c r="L160" i="5"/>
  <c r="Z160" i="5"/>
  <c r="Y160" i="5"/>
  <c r="X160" i="5"/>
  <c r="K159" i="5"/>
  <c r="J159" i="5"/>
  <c r="Z159" i="5"/>
  <c r="Y159" i="5"/>
  <c r="X159" i="5"/>
  <c r="H159" i="5"/>
  <c r="W159" i="5" s="1"/>
  <c r="F159" i="5"/>
  <c r="V159" i="5"/>
  <c r="T159" i="5"/>
  <c r="U159" i="5"/>
  <c r="S159" i="5"/>
  <c r="E159" i="5"/>
  <c r="D159" i="5"/>
  <c r="C159" i="5"/>
  <c r="B159" i="5"/>
  <c r="A159" i="5"/>
  <c r="K158" i="5"/>
  <c r="J158" i="5"/>
  <c r="Z158" i="5"/>
  <c r="Y158" i="5"/>
  <c r="X158" i="5"/>
  <c r="H158" i="5"/>
  <c r="W158" i="5" s="1"/>
  <c r="F158" i="5"/>
  <c r="V158" i="5"/>
  <c r="T158" i="5"/>
  <c r="U158" i="5"/>
  <c r="S158" i="5"/>
  <c r="E158" i="5"/>
  <c r="D158" i="5"/>
  <c r="C158" i="5"/>
  <c r="B158" i="5"/>
  <c r="A158" i="5"/>
  <c r="K157" i="5"/>
  <c r="J157" i="5"/>
  <c r="Z157" i="5"/>
  <c r="Y157" i="5"/>
  <c r="X157" i="5"/>
  <c r="W157" i="5"/>
  <c r="H157" i="5"/>
  <c r="F157" i="5"/>
  <c r="V157" i="5"/>
  <c r="T157" i="5"/>
  <c r="U157" i="5"/>
  <c r="S157" i="5"/>
  <c r="E157" i="5"/>
  <c r="D157" i="5"/>
  <c r="C157" i="5"/>
  <c r="B157" i="5"/>
  <c r="A157" i="5"/>
  <c r="L156" i="5"/>
  <c r="G156" i="5"/>
  <c r="E156" i="5"/>
  <c r="J155" i="5"/>
  <c r="F155" i="5"/>
  <c r="E155" i="5"/>
  <c r="J154" i="5"/>
  <c r="F154" i="5"/>
  <c r="E154" i="5"/>
  <c r="K153" i="5"/>
  <c r="J153" i="5"/>
  <c r="H153" i="5"/>
  <c r="G153" i="5"/>
  <c r="F153" i="5"/>
  <c r="K152" i="5"/>
  <c r="J152" i="5"/>
  <c r="R152" i="5"/>
  <c r="H152" i="5"/>
  <c r="G152" i="5"/>
  <c r="F152" i="5"/>
  <c r="K151" i="5"/>
  <c r="J151" i="5"/>
  <c r="H151" i="5"/>
  <c r="G151" i="5"/>
  <c r="F151" i="5"/>
  <c r="K150" i="5"/>
  <c r="J150" i="5"/>
  <c r="H150" i="5"/>
  <c r="R150" i="5" s="1"/>
  <c r="G150" i="5"/>
  <c r="F150" i="5"/>
  <c r="C149" i="5"/>
  <c r="V148" i="5"/>
  <c r="T148" i="5"/>
  <c r="K154" i="5" s="1"/>
  <c r="U148" i="5"/>
  <c r="S148" i="5"/>
  <c r="F148" i="5"/>
  <c r="E148" i="5"/>
  <c r="D148" i="5"/>
  <c r="I148" i="5"/>
  <c r="C148" i="5"/>
  <c r="B148" i="5"/>
  <c r="A148" i="5"/>
  <c r="Q147" i="5"/>
  <c r="L147" i="5"/>
  <c r="Z147" i="5"/>
  <c r="Y147" i="5"/>
  <c r="X147" i="5"/>
  <c r="L146" i="5"/>
  <c r="G146" i="5"/>
  <c r="E146" i="5"/>
  <c r="J145" i="5"/>
  <c r="F145" i="5"/>
  <c r="E145" i="5"/>
  <c r="J144" i="5"/>
  <c r="F144" i="5"/>
  <c r="E144" i="5"/>
  <c r="K143" i="5"/>
  <c r="J143" i="5"/>
  <c r="H143" i="5"/>
  <c r="G143" i="5"/>
  <c r="F143" i="5"/>
  <c r="K142" i="5"/>
  <c r="J142" i="5"/>
  <c r="H142" i="5"/>
  <c r="R142" i="5" s="1"/>
  <c r="G142" i="5"/>
  <c r="F142" i="5"/>
  <c r="K141" i="5"/>
  <c r="J141" i="5"/>
  <c r="H141" i="5"/>
  <c r="G141" i="5"/>
  <c r="F141" i="5"/>
  <c r="K140" i="5"/>
  <c r="J140" i="5"/>
  <c r="H140" i="5"/>
  <c r="R140" i="5" s="1"/>
  <c r="G140" i="5"/>
  <c r="F140" i="5"/>
  <c r="C139" i="5"/>
  <c r="V138" i="5"/>
  <c r="K145" i="5" s="1"/>
  <c r="T138" i="5"/>
  <c r="K144" i="5" s="1"/>
  <c r="U138" i="5"/>
  <c r="H145" i="5" s="1"/>
  <c r="S138" i="5"/>
  <c r="H144" i="5" s="1"/>
  <c r="F138" i="5"/>
  <c r="E138" i="5"/>
  <c r="D138" i="5"/>
  <c r="I138" i="5"/>
  <c r="C138" i="5"/>
  <c r="B138" i="5"/>
  <c r="A138" i="5"/>
  <c r="L137" i="5"/>
  <c r="Q137" i="5" s="1"/>
  <c r="Z137" i="5"/>
  <c r="Y137" i="5"/>
  <c r="X137" i="5"/>
  <c r="K136" i="5"/>
  <c r="J136" i="5"/>
  <c r="Z136" i="5"/>
  <c r="Y136" i="5"/>
  <c r="X136" i="5"/>
  <c r="H136" i="5"/>
  <c r="W136" i="5" s="1"/>
  <c r="F136" i="5"/>
  <c r="V136" i="5"/>
  <c r="T136" i="5"/>
  <c r="U136" i="5"/>
  <c r="S136" i="5"/>
  <c r="E136" i="5"/>
  <c r="D136" i="5"/>
  <c r="C136" i="5"/>
  <c r="B136" i="5"/>
  <c r="A136" i="5"/>
  <c r="L135" i="5"/>
  <c r="G135" i="5"/>
  <c r="E135" i="5"/>
  <c r="J134" i="5"/>
  <c r="F134" i="5"/>
  <c r="E134" i="5"/>
  <c r="J133" i="5"/>
  <c r="F133" i="5"/>
  <c r="E133" i="5"/>
  <c r="K132" i="5"/>
  <c r="J132" i="5"/>
  <c r="H132" i="5"/>
  <c r="G132" i="5"/>
  <c r="F132" i="5"/>
  <c r="K131" i="5"/>
  <c r="J131" i="5"/>
  <c r="H131" i="5"/>
  <c r="R131" i="5" s="1"/>
  <c r="G131" i="5"/>
  <c r="F131" i="5"/>
  <c r="K130" i="5"/>
  <c r="J130" i="5"/>
  <c r="H130" i="5"/>
  <c r="G130" i="5"/>
  <c r="F130" i="5"/>
  <c r="K129" i="5"/>
  <c r="J129" i="5"/>
  <c r="H129" i="5"/>
  <c r="G129" i="5"/>
  <c r="F129" i="5"/>
  <c r="C128" i="5"/>
  <c r="V127" i="5"/>
  <c r="K134" i="5" s="1"/>
  <c r="T127" i="5"/>
  <c r="U127" i="5"/>
  <c r="H134" i="5" s="1"/>
  <c r="S127" i="5"/>
  <c r="H133" i="5" s="1"/>
  <c r="F127" i="5"/>
  <c r="E127" i="5"/>
  <c r="D127" i="5"/>
  <c r="I127" i="5"/>
  <c r="C127" i="5"/>
  <c r="B127" i="5"/>
  <c r="A127" i="5"/>
  <c r="Q126" i="5"/>
  <c r="L126" i="5"/>
  <c r="Z126" i="5"/>
  <c r="Y126" i="5"/>
  <c r="X126" i="5"/>
  <c r="L125" i="5"/>
  <c r="G125" i="5"/>
  <c r="E125" i="5"/>
  <c r="J124" i="5"/>
  <c r="E124" i="5"/>
  <c r="J123" i="5"/>
  <c r="E123" i="5"/>
  <c r="K122" i="5"/>
  <c r="J122" i="5"/>
  <c r="H122" i="5"/>
  <c r="R122" i="5" s="1"/>
  <c r="G122" i="5"/>
  <c r="F122" i="5"/>
  <c r="C121" i="5"/>
  <c r="V120" i="5"/>
  <c r="K124" i="5" s="1"/>
  <c r="T120" i="5"/>
  <c r="K123" i="5" s="1"/>
  <c r="U120" i="5"/>
  <c r="H124" i="5" s="1"/>
  <c r="S120" i="5"/>
  <c r="H123" i="5" s="1"/>
  <c r="F120" i="5"/>
  <c r="E120" i="5"/>
  <c r="D120" i="5"/>
  <c r="I120" i="5"/>
  <c r="C120" i="5"/>
  <c r="B120" i="5"/>
  <c r="A120" i="5"/>
  <c r="L119" i="5"/>
  <c r="Q119" i="5" s="1"/>
  <c r="Z119" i="5"/>
  <c r="Y119" i="5"/>
  <c r="X119" i="5"/>
  <c r="L118" i="5"/>
  <c r="G118" i="5"/>
  <c r="E118" i="5"/>
  <c r="J117" i="5"/>
  <c r="E117" i="5"/>
  <c r="J116" i="5"/>
  <c r="E116" i="5"/>
  <c r="K115" i="5"/>
  <c r="J115" i="5"/>
  <c r="H115" i="5"/>
  <c r="R115" i="5" s="1"/>
  <c r="G115" i="5"/>
  <c r="F115" i="5"/>
  <c r="K114" i="5"/>
  <c r="J114" i="5"/>
  <c r="H114" i="5"/>
  <c r="G114" i="5"/>
  <c r="F114" i="5"/>
  <c r="K113" i="5"/>
  <c r="J113" i="5"/>
  <c r="H113" i="5"/>
  <c r="R113" i="5" s="1"/>
  <c r="G113" i="5"/>
  <c r="F113" i="5"/>
  <c r="C112" i="5"/>
  <c r="V111" i="5"/>
  <c r="K117" i="5" s="1"/>
  <c r="T111" i="5"/>
  <c r="K116" i="5" s="1"/>
  <c r="U111" i="5"/>
  <c r="H117" i="5" s="1"/>
  <c r="S111" i="5"/>
  <c r="H116" i="5" s="1"/>
  <c r="F111" i="5"/>
  <c r="E111" i="5"/>
  <c r="D111" i="5"/>
  <c r="I111" i="5"/>
  <c r="C111" i="5"/>
  <c r="B111" i="5"/>
  <c r="A111" i="5"/>
  <c r="Q110" i="5"/>
  <c r="L110" i="5"/>
  <c r="Z110" i="5"/>
  <c r="Y110" i="5"/>
  <c r="X110" i="5"/>
  <c r="K109" i="5"/>
  <c r="J109" i="5"/>
  <c r="Z109" i="5"/>
  <c r="Y109" i="5"/>
  <c r="X109" i="5"/>
  <c r="H109" i="5"/>
  <c r="W109" i="5" s="1"/>
  <c r="F109" i="5"/>
  <c r="V109" i="5"/>
  <c r="T109" i="5"/>
  <c r="U109" i="5"/>
  <c r="S109" i="5"/>
  <c r="E109" i="5"/>
  <c r="D109" i="5"/>
  <c r="C109" i="5"/>
  <c r="B109" i="5"/>
  <c r="A109" i="5"/>
  <c r="K108" i="5"/>
  <c r="J108" i="5"/>
  <c r="Z108" i="5"/>
  <c r="Y108" i="5"/>
  <c r="X108" i="5"/>
  <c r="H108" i="5"/>
  <c r="W108" i="5" s="1"/>
  <c r="F108" i="5"/>
  <c r="V108" i="5"/>
  <c r="T108" i="5"/>
  <c r="U108" i="5"/>
  <c r="S108" i="5"/>
  <c r="E108" i="5"/>
  <c r="D108" i="5"/>
  <c r="C108" i="5"/>
  <c r="B108" i="5"/>
  <c r="A108" i="5"/>
  <c r="L107" i="5"/>
  <c r="G107" i="5"/>
  <c r="E107" i="5"/>
  <c r="J106" i="5"/>
  <c r="E106" i="5"/>
  <c r="J105" i="5"/>
  <c r="E105" i="5"/>
  <c r="K104" i="5"/>
  <c r="J104" i="5"/>
  <c r="H104" i="5"/>
  <c r="G104" i="5"/>
  <c r="F104" i="5"/>
  <c r="K103" i="5"/>
  <c r="J103" i="5"/>
  <c r="H103" i="5"/>
  <c r="R103" i="5" s="1"/>
  <c r="G103" i="5"/>
  <c r="F103" i="5"/>
  <c r="K102" i="5"/>
  <c r="J102" i="5"/>
  <c r="H102" i="5"/>
  <c r="G102" i="5"/>
  <c r="F102" i="5"/>
  <c r="K101" i="5"/>
  <c r="J101" i="5"/>
  <c r="H101" i="5"/>
  <c r="R101" i="5" s="1"/>
  <c r="G101" i="5"/>
  <c r="F101" i="5"/>
  <c r="C100" i="5"/>
  <c r="V99" i="5"/>
  <c r="K106" i="5" s="1"/>
  <c r="T99" i="5"/>
  <c r="K105" i="5" s="1"/>
  <c r="J110" i="5" s="1"/>
  <c r="P110" i="5" s="1"/>
  <c r="U99" i="5"/>
  <c r="S99" i="5"/>
  <c r="F99" i="5"/>
  <c r="E99" i="5"/>
  <c r="D99" i="5"/>
  <c r="I99" i="5"/>
  <c r="C99" i="5"/>
  <c r="B99" i="5"/>
  <c r="A99" i="5"/>
  <c r="L98" i="5"/>
  <c r="Q98" i="5" s="1"/>
  <c r="Z98" i="5"/>
  <c r="Y98" i="5"/>
  <c r="X98" i="5"/>
  <c r="K97" i="5"/>
  <c r="J97" i="5"/>
  <c r="Z97" i="5"/>
  <c r="Y97" i="5"/>
  <c r="X97" i="5"/>
  <c r="H97" i="5"/>
  <c r="W97" i="5" s="1"/>
  <c r="F97" i="5"/>
  <c r="V97" i="5"/>
  <c r="T97" i="5"/>
  <c r="U97" i="5"/>
  <c r="S97" i="5"/>
  <c r="E97" i="5"/>
  <c r="D97" i="5"/>
  <c r="C97" i="5"/>
  <c r="B97" i="5"/>
  <c r="A97" i="5"/>
  <c r="K96" i="5"/>
  <c r="J96" i="5"/>
  <c r="Z96" i="5"/>
  <c r="Y96" i="5"/>
  <c r="X96" i="5"/>
  <c r="H96" i="5"/>
  <c r="W96" i="5" s="1"/>
  <c r="F96" i="5"/>
  <c r="V96" i="5"/>
  <c r="T96" i="5"/>
  <c r="U96" i="5"/>
  <c r="S96" i="5"/>
  <c r="E96" i="5"/>
  <c r="D96" i="5"/>
  <c r="C96" i="5"/>
  <c r="B96" i="5"/>
  <c r="A96" i="5"/>
  <c r="L95" i="5"/>
  <c r="G95" i="5"/>
  <c r="E95" i="5"/>
  <c r="J94" i="5"/>
  <c r="E94" i="5"/>
  <c r="J93" i="5"/>
  <c r="E93" i="5"/>
  <c r="K92" i="5"/>
  <c r="J92" i="5"/>
  <c r="H92" i="5"/>
  <c r="G92" i="5"/>
  <c r="F92" i="5"/>
  <c r="K91" i="5"/>
  <c r="J91" i="5"/>
  <c r="H91" i="5"/>
  <c r="R91" i="5" s="1"/>
  <c r="G91" i="5"/>
  <c r="F91" i="5"/>
  <c r="K90" i="5"/>
  <c r="J90" i="5"/>
  <c r="H90" i="5"/>
  <c r="G90" i="5"/>
  <c r="F90" i="5"/>
  <c r="K89" i="5"/>
  <c r="J89" i="5"/>
  <c r="H89" i="5"/>
  <c r="R89" i="5" s="1"/>
  <c r="G89" i="5"/>
  <c r="F89" i="5"/>
  <c r="C88" i="5"/>
  <c r="V87" i="5"/>
  <c r="T87" i="5"/>
  <c r="K93" i="5" s="1"/>
  <c r="U87" i="5"/>
  <c r="H94" i="5" s="1"/>
  <c r="S87" i="5"/>
  <c r="F87" i="5"/>
  <c r="E87" i="5"/>
  <c r="D87" i="5"/>
  <c r="I87" i="5"/>
  <c r="C87" i="5"/>
  <c r="B87" i="5"/>
  <c r="A87" i="5"/>
  <c r="L86" i="5"/>
  <c r="Q86" i="5" s="1"/>
  <c r="Z86" i="5"/>
  <c r="Y86" i="5"/>
  <c r="X86" i="5"/>
  <c r="L85" i="5"/>
  <c r="G85" i="5"/>
  <c r="E85" i="5"/>
  <c r="J84" i="5"/>
  <c r="F84" i="5"/>
  <c r="E84" i="5"/>
  <c r="J83" i="5"/>
  <c r="F83" i="5"/>
  <c r="E83" i="5"/>
  <c r="K82" i="5"/>
  <c r="J82" i="5"/>
  <c r="H82" i="5"/>
  <c r="R82" i="5" s="1"/>
  <c r="G82" i="5"/>
  <c r="F82" i="5"/>
  <c r="K81" i="5"/>
  <c r="J81" i="5"/>
  <c r="H81" i="5"/>
  <c r="G81" i="5"/>
  <c r="F81" i="5"/>
  <c r="K80" i="5"/>
  <c r="J80" i="5"/>
  <c r="H80" i="5"/>
  <c r="G80" i="5"/>
  <c r="F80" i="5"/>
  <c r="V79" i="5"/>
  <c r="K84" i="5" s="1"/>
  <c r="T79" i="5"/>
  <c r="K83" i="5" s="1"/>
  <c r="U79" i="5"/>
  <c r="H84" i="5" s="1"/>
  <c r="S79" i="5"/>
  <c r="H83" i="5" s="1"/>
  <c r="F79" i="5"/>
  <c r="E79" i="5"/>
  <c r="D79" i="5"/>
  <c r="I79" i="5"/>
  <c r="C79" i="5"/>
  <c r="B79" i="5"/>
  <c r="A79" i="5"/>
  <c r="L78" i="5"/>
  <c r="Q78" i="5" s="1"/>
  <c r="Z78" i="5"/>
  <c r="Y78" i="5"/>
  <c r="X78" i="5"/>
  <c r="K77" i="5"/>
  <c r="J77" i="5"/>
  <c r="Z77" i="5"/>
  <c r="Y77" i="5"/>
  <c r="X77" i="5"/>
  <c r="H77" i="5"/>
  <c r="W77" i="5" s="1"/>
  <c r="F77" i="5"/>
  <c r="V77" i="5"/>
  <c r="T77" i="5"/>
  <c r="U77" i="5"/>
  <c r="S77" i="5"/>
  <c r="E77" i="5"/>
  <c r="D77" i="5"/>
  <c r="C77" i="5"/>
  <c r="B77" i="5"/>
  <c r="A77" i="5"/>
  <c r="L76" i="5"/>
  <c r="G76" i="5"/>
  <c r="E76" i="5"/>
  <c r="J75" i="5"/>
  <c r="F75" i="5"/>
  <c r="E75" i="5"/>
  <c r="J74" i="5"/>
  <c r="F74" i="5"/>
  <c r="E74" i="5"/>
  <c r="K73" i="5"/>
  <c r="J73" i="5"/>
  <c r="H73" i="5"/>
  <c r="G73" i="5"/>
  <c r="F73" i="5"/>
  <c r="K72" i="5"/>
  <c r="J72" i="5"/>
  <c r="H72" i="5"/>
  <c r="G72" i="5"/>
  <c r="F72" i="5"/>
  <c r="C71" i="5"/>
  <c r="V70" i="5"/>
  <c r="T70" i="5"/>
  <c r="K74" i="5" s="1"/>
  <c r="U70" i="5"/>
  <c r="H75" i="5" s="1"/>
  <c r="S70" i="5"/>
  <c r="H74" i="5" s="1"/>
  <c r="F70" i="5"/>
  <c r="E70" i="5"/>
  <c r="D70" i="5"/>
  <c r="I70" i="5"/>
  <c r="C70" i="5"/>
  <c r="B70" i="5"/>
  <c r="A70" i="5"/>
  <c r="L69" i="5"/>
  <c r="Q69" i="5" s="1"/>
  <c r="Z69" i="5"/>
  <c r="Y69" i="5"/>
  <c r="X69" i="5"/>
  <c r="K68" i="5"/>
  <c r="J68" i="5"/>
  <c r="Z68" i="5"/>
  <c r="Y68" i="5"/>
  <c r="X68" i="5"/>
  <c r="H68" i="5"/>
  <c r="W68" i="5" s="1"/>
  <c r="F68" i="5"/>
  <c r="V68" i="5"/>
  <c r="T68" i="5"/>
  <c r="U68" i="5"/>
  <c r="S68" i="5"/>
  <c r="E68" i="5"/>
  <c r="D68" i="5"/>
  <c r="C68" i="5"/>
  <c r="B68" i="5"/>
  <c r="A68" i="5"/>
  <c r="K67" i="5"/>
  <c r="J67" i="5"/>
  <c r="Z67" i="5"/>
  <c r="Y67" i="5"/>
  <c r="X67" i="5"/>
  <c r="H67" i="5"/>
  <c r="W67" i="5" s="1"/>
  <c r="F67" i="5"/>
  <c r="V67" i="5"/>
  <c r="T67" i="5"/>
  <c r="U67" i="5"/>
  <c r="S67" i="5"/>
  <c r="E67" i="5"/>
  <c r="D67" i="5"/>
  <c r="C67" i="5"/>
  <c r="B67" i="5"/>
  <c r="A67" i="5"/>
  <c r="K66" i="5"/>
  <c r="J66" i="5"/>
  <c r="Z66" i="5"/>
  <c r="Y66" i="5"/>
  <c r="X66" i="5"/>
  <c r="W66" i="5"/>
  <c r="H66" i="5"/>
  <c r="F66" i="5"/>
  <c r="V66" i="5"/>
  <c r="T66" i="5"/>
  <c r="U66" i="5"/>
  <c r="S66" i="5"/>
  <c r="E66" i="5"/>
  <c r="D66" i="5"/>
  <c r="C66" i="5"/>
  <c r="B66" i="5"/>
  <c r="A66" i="5"/>
  <c r="L65" i="5"/>
  <c r="G65" i="5"/>
  <c r="E65" i="5"/>
  <c r="J64" i="5"/>
  <c r="F64" i="5"/>
  <c r="E64" i="5"/>
  <c r="J63" i="5"/>
  <c r="F63" i="5"/>
  <c r="E63" i="5"/>
  <c r="K62" i="5"/>
  <c r="J62" i="5"/>
  <c r="H62" i="5"/>
  <c r="G62" i="5"/>
  <c r="F62" i="5"/>
  <c r="K61" i="5"/>
  <c r="J61" i="5"/>
  <c r="R61" i="5"/>
  <c r="H61" i="5"/>
  <c r="G61" i="5"/>
  <c r="F61" i="5"/>
  <c r="K60" i="5"/>
  <c r="J60" i="5"/>
  <c r="H60" i="5"/>
  <c r="G60" i="5"/>
  <c r="F60" i="5"/>
  <c r="K59" i="5"/>
  <c r="J59" i="5"/>
  <c r="H59" i="5"/>
  <c r="G59" i="5"/>
  <c r="F59" i="5"/>
  <c r="C58" i="5"/>
  <c r="V57" i="5"/>
  <c r="T57" i="5"/>
  <c r="U57" i="5"/>
  <c r="H64" i="5" s="1"/>
  <c r="S57" i="5"/>
  <c r="H63" i="5" s="1"/>
  <c r="F57" i="5"/>
  <c r="E57" i="5"/>
  <c r="D57" i="5"/>
  <c r="I57" i="5"/>
  <c r="C57" i="5"/>
  <c r="B57" i="5"/>
  <c r="A57" i="5"/>
  <c r="L56" i="5"/>
  <c r="Q56" i="5" s="1"/>
  <c r="Z56" i="5"/>
  <c r="Y56" i="5"/>
  <c r="X56" i="5"/>
  <c r="K55" i="5"/>
  <c r="J55" i="5"/>
  <c r="Z55" i="5"/>
  <c r="Y55" i="5"/>
  <c r="X55" i="5"/>
  <c r="H55" i="5"/>
  <c r="W55" i="5" s="1"/>
  <c r="F55" i="5"/>
  <c r="V55" i="5"/>
  <c r="T55" i="5"/>
  <c r="U55" i="5"/>
  <c r="S55" i="5"/>
  <c r="E55" i="5"/>
  <c r="D55" i="5"/>
  <c r="C55" i="5"/>
  <c r="B55" i="5"/>
  <c r="A55" i="5"/>
  <c r="L54" i="5"/>
  <c r="G54" i="5"/>
  <c r="E54" i="5"/>
  <c r="J53" i="5"/>
  <c r="F53" i="5"/>
  <c r="E53" i="5"/>
  <c r="J52" i="5"/>
  <c r="F52" i="5"/>
  <c r="E52" i="5"/>
  <c r="K51" i="5"/>
  <c r="J51" i="5"/>
  <c r="H51" i="5"/>
  <c r="G51" i="5"/>
  <c r="F51" i="5"/>
  <c r="K50" i="5"/>
  <c r="J50" i="5"/>
  <c r="H50" i="5"/>
  <c r="R50" i="5" s="1"/>
  <c r="G50" i="5"/>
  <c r="F50" i="5"/>
  <c r="K49" i="5"/>
  <c r="J49" i="5"/>
  <c r="H49" i="5"/>
  <c r="G49" i="5"/>
  <c r="F49" i="5"/>
  <c r="K48" i="5"/>
  <c r="J48" i="5"/>
  <c r="H48" i="5"/>
  <c r="G48" i="5"/>
  <c r="F48" i="5"/>
  <c r="C47" i="5"/>
  <c r="V46" i="5"/>
  <c r="K53" i="5" s="1"/>
  <c r="T46" i="5"/>
  <c r="U46" i="5"/>
  <c r="H53" i="5" s="1"/>
  <c r="S46" i="5"/>
  <c r="H52" i="5" s="1"/>
  <c r="F46" i="5"/>
  <c r="E46" i="5"/>
  <c r="D46" i="5"/>
  <c r="I46" i="5"/>
  <c r="C46" i="5"/>
  <c r="B46" i="5"/>
  <c r="A46" i="5"/>
  <c r="L45" i="5"/>
  <c r="Q45" i="5" s="1"/>
  <c r="Z45" i="5"/>
  <c r="Y45" i="5"/>
  <c r="X45" i="5"/>
  <c r="K44" i="5"/>
  <c r="J44" i="5"/>
  <c r="Z44" i="5"/>
  <c r="Y44" i="5"/>
  <c r="X44" i="5"/>
  <c r="H44" i="5"/>
  <c r="W44" i="5" s="1"/>
  <c r="F44" i="5"/>
  <c r="V44" i="5"/>
  <c r="T44" i="5"/>
  <c r="U44" i="5"/>
  <c r="S44" i="5"/>
  <c r="E44" i="5"/>
  <c r="D44" i="5"/>
  <c r="C44" i="5"/>
  <c r="B44" i="5"/>
  <c r="A44" i="5"/>
  <c r="L43" i="5"/>
  <c r="G43" i="5"/>
  <c r="E43" i="5"/>
  <c r="J42" i="5"/>
  <c r="F42" i="5"/>
  <c r="E42" i="5"/>
  <c r="J41" i="5"/>
  <c r="F41" i="5"/>
  <c r="E41" i="5"/>
  <c r="K40" i="5"/>
  <c r="J40" i="5"/>
  <c r="H40" i="5"/>
  <c r="G40" i="5"/>
  <c r="F40" i="5"/>
  <c r="K39" i="5"/>
  <c r="J39" i="5"/>
  <c r="H39" i="5"/>
  <c r="R39" i="5" s="1"/>
  <c r="G39" i="5"/>
  <c r="F39" i="5"/>
  <c r="K38" i="5"/>
  <c r="J38" i="5"/>
  <c r="H38" i="5"/>
  <c r="G38" i="5"/>
  <c r="F38" i="5"/>
  <c r="K37" i="5"/>
  <c r="J37" i="5"/>
  <c r="H37" i="5"/>
  <c r="R37" i="5" s="1"/>
  <c r="G37" i="5"/>
  <c r="F37" i="5"/>
  <c r="C36" i="5"/>
  <c r="V35" i="5"/>
  <c r="T35" i="5"/>
  <c r="K41" i="5" s="1"/>
  <c r="U35" i="5"/>
  <c r="H42" i="5" s="1"/>
  <c r="S35" i="5"/>
  <c r="F35" i="5"/>
  <c r="E35" i="5"/>
  <c r="D35" i="5"/>
  <c r="I35" i="5"/>
  <c r="C35" i="5"/>
  <c r="B35" i="5"/>
  <c r="A35" i="5"/>
  <c r="L34" i="5"/>
  <c r="Q34" i="5" s="1"/>
  <c r="Z34" i="5"/>
  <c r="Y34" i="5"/>
  <c r="X34" i="5"/>
  <c r="L33" i="5"/>
  <c r="G33" i="5"/>
  <c r="E33" i="5"/>
  <c r="J32" i="5"/>
  <c r="F32" i="5"/>
  <c r="E32" i="5"/>
  <c r="J31" i="5"/>
  <c r="F31" i="5"/>
  <c r="E31" i="5"/>
  <c r="K30" i="5"/>
  <c r="J30" i="5"/>
  <c r="H30" i="5"/>
  <c r="R30" i="5" s="1"/>
  <c r="G30" i="5"/>
  <c r="F30" i="5"/>
  <c r="K29" i="5"/>
  <c r="J29" i="5"/>
  <c r="H29" i="5"/>
  <c r="G29" i="5"/>
  <c r="F29" i="5"/>
  <c r="K28" i="5"/>
  <c r="J28" i="5"/>
  <c r="H28" i="5"/>
  <c r="G28" i="5"/>
  <c r="F28" i="5"/>
  <c r="C27" i="5"/>
  <c r="V26" i="5"/>
  <c r="K32" i="5" s="1"/>
  <c r="T26" i="5"/>
  <c r="K31" i="5" s="1"/>
  <c r="U26" i="5"/>
  <c r="H32" i="5" s="1"/>
  <c r="S26" i="5"/>
  <c r="H31" i="5" s="1"/>
  <c r="F26" i="5"/>
  <c r="E26" i="5"/>
  <c r="D26" i="5"/>
  <c r="I26" i="5"/>
  <c r="C26" i="5"/>
  <c r="B26" i="5"/>
  <c r="A26" i="5"/>
  <c r="B11" i="5"/>
  <c r="A1" i="5"/>
  <c r="K75" i="5" l="1"/>
  <c r="G126" i="5"/>
  <c r="O126" i="5" s="1"/>
  <c r="K63" i="5"/>
  <c r="H155" i="5"/>
  <c r="H185" i="5"/>
  <c r="H301" i="5"/>
  <c r="H311" i="5"/>
  <c r="W315" i="5" s="1"/>
  <c r="K42" i="5"/>
  <c r="J45" i="5" s="1"/>
  <c r="P45" i="5" s="1"/>
  <c r="K52" i="5"/>
  <c r="J56" i="5" s="1"/>
  <c r="P56" i="5" s="1"/>
  <c r="K133" i="5"/>
  <c r="K174" i="5"/>
  <c r="H206" i="5"/>
  <c r="J270" i="5"/>
  <c r="P270" i="5" s="1"/>
  <c r="G270" i="5"/>
  <c r="O270" i="5" s="1"/>
  <c r="K323" i="5"/>
  <c r="H357" i="5"/>
  <c r="J147" i="5"/>
  <c r="P147" i="5" s="1"/>
  <c r="H186" i="5"/>
  <c r="K229" i="5"/>
  <c r="H287" i="5"/>
  <c r="K302" i="5"/>
  <c r="J305" i="5" s="1"/>
  <c r="P305" i="5" s="1"/>
  <c r="G326" i="5"/>
  <c r="O326" i="5" s="1"/>
  <c r="L363" i="5"/>
  <c r="H41" i="5"/>
  <c r="G45" i="5" s="1"/>
  <c r="O45" i="5" s="1"/>
  <c r="H105" i="5"/>
  <c r="G167" i="5"/>
  <c r="O167" i="5" s="1"/>
  <c r="H175" i="5"/>
  <c r="G241" i="5"/>
  <c r="O241" i="5" s="1"/>
  <c r="K247" i="5"/>
  <c r="J260" i="5"/>
  <c r="P260" i="5" s="1"/>
  <c r="R263" i="5"/>
  <c r="K286" i="5"/>
  <c r="K287" i="5"/>
  <c r="G349" i="5"/>
  <c r="O349" i="5" s="1"/>
  <c r="H356" i="5"/>
  <c r="W361" i="5" s="1"/>
  <c r="G34" i="5"/>
  <c r="O34" i="5" s="1"/>
  <c r="J78" i="5"/>
  <c r="P78" i="5" s="1"/>
  <c r="H93" i="5"/>
  <c r="H106" i="5"/>
  <c r="K155" i="5"/>
  <c r="J160" i="5" s="1"/>
  <c r="P160" i="5" s="1"/>
  <c r="R163" i="5"/>
  <c r="K228" i="5"/>
  <c r="H246" i="5"/>
  <c r="W251" i="5" s="1"/>
  <c r="R244" i="5"/>
  <c r="H302" i="5"/>
  <c r="X305" i="5" s="1"/>
  <c r="G19" i="5" s="1"/>
  <c r="K312" i="5"/>
  <c r="G56" i="5"/>
  <c r="O56" i="5" s="1"/>
  <c r="K64" i="5"/>
  <c r="H154" i="5"/>
  <c r="G160" i="5" s="1"/>
  <c r="O160" i="5" s="1"/>
  <c r="H174" i="5"/>
  <c r="J189" i="5"/>
  <c r="P189" i="5" s="1"/>
  <c r="H205" i="5"/>
  <c r="J221" i="5"/>
  <c r="P221" i="5" s="1"/>
  <c r="G361" i="5"/>
  <c r="O361" i="5" s="1"/>
  <c r="G69" i="5"/>
  <c r="O69" i="5" s="1"/>
  <c r="J34" i="5"/>
  <c r="P34" i="5" s="1"/>
  <c r="G280" i="5"/>
  <c r="O280" i="5" s="1"/>
  <c r="J86" i="5"/>
  <c r="P86" i="5" s="1"/>
  <c r="G78" i="5"/>
  <c r="O78" i="5" s="1"/>
  <c r="J280" i="5"/>
  <c r="P280" i="5" s="1"/>
  <c r="R28" i="5"/>
  <c r="R59" i="5"/>
  <c r="R72" i="5"/>
  <c r="K94" i="5"/>
  <c r="J98" i="5" s="1"/>
  <c r="P98" i="5" s="1"/>
  <c r="G98" i="5"/>
  <c r="O98" i="5" s="1"/>
  <c r="W126" i="5"/>
  <c r="J137" i="5"/>
  <c r="P137" i="5" s="1"/>
  <c r="G198" i="5"/>
  <c r="O198" i="5" s="1"/>
  <c r="W198" i="5"/>
  <c r="R192" i="5"/>
  <c r="K206" i="5"/>
  <c r="J241" i="5"/>
  <c r="P241" i="5" s="1"/>
  <c r="K246" i="5"/>
  <c r="G315" i="5"/>
  <c r="O315" i="5" s="1"/>
  <c r="J326" i="5"/>
  <c r="P326" i="5" s="1"/>
  <c r="H333" i="5"/>
  <c r="G339" i="5" s="1"/>
  <c r="O339" i="5" s="1"/>
  <c r="J361" i="5"/>
  <c r="P361" i="5" s="1"/>
  <c r="W45" i="5"/>
  <c r="G86" i="5"/>
  <c r="O86" i="5" s="1"/>
  <c r="W86" i="5"/>
  <c r="R48" i="5"/>
  <c r="W78" i="5"/>
  <c r="R80" i="5"/>
  <c r="J119" i="5"/>
  <c r="P119" i="5" s="1"/>
  <c r="G137" i="5"/>
  <c r="O137" i="5" s="1"/>
  <c r="W137" i="5"/>
  <c r="R129" i="5"/>
  <c r="G147" i="5"/>
  <c r="O147" i="5" s="1"/>
  <c r="J167" i="5"/>
  <c r="P167" i="5" s="1"/>
  <c r="J198" i="5"/>
  <c r="P198" i="5" s="1"/>
  <c r="G221" i="5"/>
  <c r="O221" i="5" s="1"/>
  <c r="G232" i="5"/>
  <c r="O232" i="5" s="1"/>
  <c r="W326" i="5"/>
  <c r="K333" i="5"/>
  <c r="J232" i="5"/>
  <c r="P232" i="5" s="1"/>
  <c r="J349" i="5"/>
  <c r="P349" i="5" s="1"/>
  <c r="W34" i="5"/>
  <c r="W56" i="5"/>
  <c r="W69" i="5"/>
  <c r="G110" i="5"/>
  <c r="O110" i="5" s="1"/>
  <c r="G119" i="5"/>
  <c r="O119" i="5" s="1"/>
  <c r="J126" i="5"/>
  <c r="P126" i="5" s="1"/>
  <c r="J178" i="5"/>
  <c r="P178" i="5" s="1"/>
  <c r="W189" i="5"/>
  <c r="G189" i="5"/>
  <c r="O189" i="5" s="1"/>
  <c r="K205" i="5"/>
  <c r="G260" i="5"/>
  <c r="O260" i="5" s="1"/>
  <c r="W280" i="5"/>
  <c r="G290" i="5"/>
  <c r="O290" i="5" s="1"/>
  <c r="G292" i="5"/>
  <c r="O292" i="5" s="1"/>
  <c r="W292" i="5"/>
  <c r="K311" i="5"/>
  <c r="J315" i="5" s="1"/>
  <c r="P315" i="5" s="1"/>
  <c r="K334" i="5"/>
  <c r="R329" i="5"/>
  <c r="W110" i="5"/>
  <c r="W147" i="5"/>
  <c r="W160" i="5"/>
  <c r="R201" i="5"/>
  <c r="R214" i="5"/>
  <c r="W270" i="5"/>
  <c r="W294" i="5"/>
  <c r="R342" i="5"/>
  <c r="W119" i="5"/>
  <c r="W221" i="5"/>
  <c r="W232" i="5"/>
  <c r="W290" i="5"/>
  <c r="W349" i="5"/>
  <c r="W98" i="5"/>
  <c r="W167" i="5"/>
  <c r="W241" i="5"/>
  <c r="R253" i="5"/>
  <c r="W260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1" i="3"/>
  <c r="CY1" i="3"/>
  <c r="CZ1" i="3"/>
  <c r="DB1" i="3" s="1"/>
  <c r="DA1" i="3"/>
  <c r="DC1" i="3"/>
  <c r="A2" i="3"/>
  <c r="CY2" i="3"/>
  <c r="CZ2" i="3"/>
  <c r="DB2" i="3" s="1"/>
  <c r="DA2" i="3"/>
  <c r="DC2" i="3"/>
  <c r="A3" i="3"/>
  <c r="CY3" i="3"/>
  <c r="CZ3" i="3"/>
  <c r="DA3" i="3"/>
  <c r="DB3" i="3"/>
  <c r="DC3" i="3"/>
  <c r="A4" i="3"/>
  <c r="CY4" i="3"/>
  <c r="CZ4" i="3"/>
  <c r="DA4" i="3"/>
  <c r="DB4" i="3"/>
  <c r="DC4" i="3"/>
  <c r="A5" i="3"/>
  <c r="CY5" i="3"/>
  <c r="CZ5" i="3"/>
  <c r="DB5" i="3" s="1"/>
  <c r="DA5" i="3"/>
  <c r="DC5" i="3"/>
  <c r="A6" i="3"/>
  <c r="CY6" i="3"/>
  <c r="CZ6" i="3"/>
  <c r="DB6" i="3" s="1"/>
  <c r="DA6" i="3"/>
  <c r="DC6" i="3"/>
  <c r="A7" i="3"/>
  <c r="CY7" i="3"/>
  <c r="CZ7" i="3"/>
  <c r="DA7" i="3"/>
  <c r="DB7" i="3"/>
  <c r="DC7" i="3"/>
  <c r="A8" i="3"/>
  <c r="CY8" i="3"/>
  <c r="CZ8" i="3"/>
  <c r="DA8" i="3"/>
  <c r="DB8" i="3"/>
  <c r="DC8" i="3"/>
  <c r="A9" i="3"/>
  <c r="CY9" i="3"/>
  <c r="CZ9" i="3"/>
  <c r="DB9" i="3" s="1"/>
  <c r="DA9" i="3"/>
  <c r="DC9" i="3"/>
  <c r="A10" i="3"/>
  <c r="CY10" i="3"/>
  <c r="CZ10" i="3"/>
  <c r="DB10" i="3" s="1"/>
  <c r="DA10" i="3"/>
  <c r="DC10" i="3"/>
  <c r="A11" i="3"/>
  <c r="CY11" i="3"/>
  <c r="CZ11" i="3"/>
  <c r="DA11" i="3"/>
  <c r="DB11" i="3"/>
  <c r="DC11" i="3"/>
  <c r="A12" i="3"/>
  <c r="CY12" i="3"/>
  <c r="CZ12" i="3"/>
  <c r="DA12" i="3"/>
  <c r="DB12" i="3"/>
  <c r="DC12" i="3"/>
  <c r="A13" i="3"/>
  <c r="CY13" i="3"/>
  <c r="CZ13" i="3"/>
  <c r="DB13" i="3" s="1"/>
  <c r="DA13" i="3"/>
  <c r="DC13" i="3"/>
  <c r="A14" i="3"/>
  <c r="CY14" i="3"/>
  <c r="CZ14" i="3"/>
  <c r="DB14" i="3" s="1"/>
  <c r="DA14" i="3"/>
  <c r="DC14" i="3"/>
  <c r="A15" i="3"/>
  <c r="CY15" i="3"/>
  <c r="CZ15" i="3"/>
  <c r="DA15" i="3"/>
  <c r="DB15" i="3"/>
  <c r="DC15" i="3"/>
  <c r="A16" i="3"/>
  <c r="CY16" i="3"/>
  <c r="CZ16" i="3"/>
  <c r="DA16" i="3"/>
  <c r="DB16" i="3"/>
  <c r="DC16" i="3"/>
  <c r="A17" i="3"/>
  <c r="CY17" i="3"/>
  <c r="CZ17" i="3"/>
  <c r="DB17" i="3" s="1"/>
  <c r="DA17" i="3"/>
  <c r="DC17" i="3"/>
  <c r="A18" i="3"/>
  <c r="CY18" i="3"/>
  <c r="CZ18" i="3"/>
  <c r="DB18" i="3" s="1"/>
  <c r="DA18" i="3"/>
  <c r="DC18" i="3"/>
  <c r="A19" i="3"/>
  <c r="CY19" i="3"/>
  <c r="CZ19" i="3"/>
  <c r="DA19" i="3"/>
  <c r="DB19" i="3"/>
  <c r="DC19" i="3"/>
  <c r="A20" i="3"/>
  <c r="CY20" i="3"/>
  <c r="CZ20" i="3"/>
  <c r="DA20" i="3"/>
  <c r="DB20" i="3"/>
  <c r="DC20" i="3"/>
  <c r="A21" i="3"/>
  <c r="CY21" i="3"/>
  <c r="CZ21" i="3"/>
  <c r="DB21" i="3" s="1"/>
  <c r="DA21" i="3"/>
  <c r="DC21" i="3"/>
  <c r="A22" i="3"/>
  <c r="CY22" i="3"/>
  <c r="CZ22" i="3"/>
  <c r="DB22" i="3" s="1"/>
  <c r="DA22" i="3"/>
  <c r="DC22" i="3"/>
  <c r="A23" i="3"/>
  <c r="CY23" i="3"/>
  <c r="CZ23" i="3"/>
  <c r="DA23" i="3"/>
  <c r="DB23" i="3"/>
  <c r="DC23" i="3"/>
  <c r="A24" i="3"/>
  <c r="CY24" i="3"/>
  <c r="CZ24" i="3"/>
  <c r="DA24" i="3"/>
  <c r="DB24" i="3"/>
  <c r="DC24" i="3"/>
  <c r="A25" i="3"/>
  <c r="CY25" i="3"/>
  <c r="CZ25" i="3"/>
  <c r="DB25" i="3" s="1"/>
  <c r="DA25" i="3"/>
  <c r="DC25" i="3"/>
  <c r="A26" i="3"/>
  <c r="CY26" i="3"/>
  <c r="CZ26" i="3"/>
  <c r="DB26" i="3" s="1"/>
  <c r="DA26" i="3"/>
  <c r="DC26" i="3"/>
  <c r="A27" i="3"/>
  <c r="CY27" i="3"/>
  <c r="CZ27" i="3"/>
  <c r="DA27" i="3"/>
  <c r="DB27" i="3"/>
  <c r="DC27" i="3"/>
  <c r="A28" i="3"/>
  <c r="CY28" i="3"/>
  <c r="CZ28" i="3"/>
  <c r="DA28" i="3"/>
  <c r="DB28" i="3"/>
  <c r="DC28" i="3"/>
  <c r="A29" i="3"/>
  <c r="CY29" i="3"/>
  <c r="CZ29" i="3"/>
  <c r="DB29" i="3" s="1"/>
  <c r="DA29" i="3"/>
  <c r="DC29" i="3"/>
  <c r="A30" i="3"/>
  <c r="CY30" i="3"/>
  <c r="CZ30" i="3"/>
  <c r="DB30" i="3" s="1"/>
  <c r="DA30" i="3"/>
  <c r="DC30" i="3"/>
  <c r="A31" i="3"/>
  <c r="CY31" i="3"/>
  <c r="CZ31" i="3"/>
  <c r="DA31" i="3"/>
  <c r="DB31" i="3"/>
  <c r="DC31" i="3"/>
  <c r="A32" i="3"/>
  <c r="CY32" i="3"/>
  <c r="CZ32" i="3"/>
  <c r="DB32" i="3" s="1"/>
  <c r="DA32" i="3"/>
  <c r="DC32" i="3"/>
  <c r="A33" i="3"/>
  <c r="CY33" i="3"/>
  <c r="CZ33" i="3"/>
  <c r="DB33" i="3" s="1"/>
  <c r="DA33" i="3"/>
  <c r="DC33" i="3"/>
  <c r="A34" i="3"/>
  <c r="CY34" i="3"/>
  <c r="CZ34" i="3"/>
  <c r="DA34" i="3"/>
  <c r="DB34" i="3"/>
  <c r="DC34" i="3"/>
  <c r="A35" i="3"/>
  <c r="CY35" i="3"/>
  <c r="CZ35" i="3"/>
  <c r="DA35" i="3"/>
  <c r="DB35" i="3"/>
  <c r="DC35" i="3"/>
  <c r="A36" i="3"/>
  <c r="CY36" i="3"/>
  <c r="CZ36" i="3"/>
  <c r="DB36" i="3" s="1"/>
  <c r="DA36" i="3"/>
  <c r="DC36" i="3"/>
  <c r="A37" i="3"/>
  <c r="CY37" i="3"/>
  <c r="CZ37" i="3"/>
  <c r="DB37" i="3" s="1"/>
  <c r="DA37" i="3"/>
  <c r="DC37" i="3"/>
  <c r="A38" i="3"/>
  <c r="CY38" i="3"/>
  <c r="CZ38" i="3"/>
  <c r="DA38" i="3"/>
  <c r="DB38" i="3"/>
  <c r="DC38" i="3"/>
  <c r="A39" i="3"/>
  <c r="CY39" i="3"/>
  <c r="CZ39" i="3"/>
  <c r="DA39" i="3"/>
  <c r="DB39" i="3"/>
  <c r="DC39" i="3"/>
  <c r="A40" i="3"/>
  <c r="CY40" i="3"/>
  <c r="CZ40" i="3"/>
  <c r="DB40" i="3" s="1"/>
  <c r="DA40" i="3"/>
  <c r="DC40" i="3"/>
  <c r="A41" i="3"/>
  <c r="CY41" i="3"/>
  <c r="CZ41" i="3"/>
  <c r="DB41" i="3" s="1"/>
  <c r="DA41" i="3"/>
  <c r="DC41" i="3"/>
  <c r="A42" i="3"/>
  <c r="CY42" i="3"/>
  <c r="CZ42" i="3"/>
  <c r="DA42" i="3"/>
  <c r="DB42" i="3"/>
  <c r="DC42" i="3"/>
  <c r="A43" i="3"/>
  <c r="CY43" i="3"/>
  <c r="CZ43" i="3"/>
  <c r="DA43" i="3"/>
  <c r="DB43" i="3"/>
  <c r="DC43" i="3"/>
  <c r="A44" i="3"/>
  <c r="CY44" i="3"/>
  <c r="CZ44" i="3"/>
  <c r="DB44" i="3" s="1"/>
  <c r="DA44" i="3"/>
  <c r="DC44" i="3"/>
  <c r="A45" i="3"/>
  <c r="CY45" i="3"/>
  <c r="CZ45" i="3"/>
  <c r="DB45" i="3" s="1"/>
  <c r="DA45" i="3"/>
  <c r="DC45" i="3"/>
  <c r="A46" i="3"/>
  <c r="CY46" i="3"/>
  <c r="CZ46" i="3"/>
  <c r="DA46" i="3"/>
  <c r="DB46" i="3"/>
  <c r="DC46" i="3"/>
  <c r="A47" i="3"/>
  <c r="CY47" i="3"/>
  <c r="CZ47" i="3"/>
  <c r="DA47" i="3"/>
  <c r="DB47" i="3"/>
  <c r="DC47" i="3"/>
  <c r="A48" i="3"/>
  <c r="CY48" i="3"/>
  <c r="CZ48" i="3"/>
  <c r="DB48" i="3" s="1"/>
  <c r="DA48" i="3"/>
  <c r="DC48" i="3"/>
  <c r="A49" i="3"/>
  <c r="CY49" i="3"/>
  <c r="CZ49" i="3"/>
  <c r="DB49" i="3" s="1"/>
  <c r="DA49" i="3"/>
  <c r="DC49" i="3"/>
  <c r="A50" i="3"/>
  <c r="CY50" i="3"/>
  <c r="CZ50" i="3"/>
  <c r="DA50" i="3"/>
  <c r="DB50" i="3"/>
  <c r="DC50" i="3"/>
  <c r="A51" i="3"/>
  <c r="CY51" i="3"/>
  <c r="CZ51" i="3"/>
  <c r="DA51" i="3"/>
  <c r="DB51" i="3"/>
  <c r="DC51" i="3"/>
  <c r="A52" i="3"/>
  <c r="CY52" i="3"/>
  <c r="CZ52" i="3"/>
  <c r="DB52" i="3" s="1"/>
  <c r="DA52" i="3"/>
  <c r="DC52" i="3"/>
  <c r="A53" i="3"/>
  <c r="CY53" i="3"/>
  <c r="CZ53" i="3"/>
  <c r="DB53" i="3" s="1"/>
  <c r="DA53" i="3"/>
  <c r="DC53" i="3"/>
  <c r="A54" i="3"/>
  <c r="CY54" i="3"/>
  <c r="CZ54" i="3"/>
  <c r="DA54" i="3"/>
  <c r="DB54" i="3"/>
  <c r="DC54" i="3"/>
  <c r="A55" i="3"/>
  <c r="CY55" i="3"/>
  <c r="CZ55" i="3"/>
  <c r="DA55" i="3"/>
  <c r="DB55" i="3"/>
  <c r="DC55" i="3"/>
  <c r="A56" i="3"/>
  <c r="CY56" i="3"/>
  <c r="CZ56" i="3"/>
  <c r="DB56" i="3" s="1"/>
  <c r="DA56" i="3"/>
  <c r="DC56" i="3"/>
  <c r="A57" i="3"/>
  <c r="CY57" i="3"/>
  <c r="CZ57" i="3"/>
  <c r="DB57" i="3" s="1"/>
  <c r="DA57" i="3"/>
  <c r="DC57" i="3"/>
  <c r="A58" i="3"/>
  <c r="CY58" i="3"/>
  <c r="CZ58" i="3"/>
  <c r="DA58" i="3"/>
  <c r="DB58" i="3"/>
  <c r="DC58" i="3"/>
  <c r="A59" i="3"/>
  <c r="CY59" i="3"/>
  <c r="CZ59" i="3"/>
  <c r="DA59" i="3"/>
  <c r="DB59" i="3"/>
  <c r="DC59" i="3"/>
  <c r="A60" i="3"/>
  <c r="CY60" i="3"/>
  <c r="CZ60" i="3"/>
  <c r="DB60" i="3" s="1"/>
  <c r="DA60" i="3"/>
  <c r="DC60" i="3"/>
  <c r="A61" i="3"/>
  <c r="CY61" i="3"/>
  <c r="CZ61" i="3"/>
  <c r="DB61" i="3" s="1"/>
  <c r="DA61" i="3"/>
  <c r="DC61" i="3"/>
  <c r="A62" i="3"/>
  <c r="CY62" i="3"/>
  <c r="CZ62" i="3"/>
  <c r="DA62" i="3"/>
  <c r="DB62" i="3"/>
  <c r="DC62" i="3"/>
  <c r="A63" i="3"/>
  <c r="CY63" i="3"/>
  <c r="CZ63" i="3"/>
  <c r="DA63" i="3"/>
  <c r="DB63" i="3"/>
  <c r="DC63" i="3"/>
  <c r="A64" i="3"/>
  <c r="CY64" i="3"/>
  <c r="CZ64" i="3"/>
  <c r="DB64" i="3" s="1"/>
  <c r="DA64" i="3"/>
  <c r="DC64" i="3"/>
  <c r="A65" i="3"/>
  <c r="CX65" i="3"/>
  <c r="CY65" i="3"/>
  <c r="CZ65" i="3"/>
  <c r="DB65" i="3" s="1"/>
  <c r="DA65" i="3"/>
  <c r="DC65" i="3"/>
  <c r="A66" i="3"/>
  <c r="CX66" i="3"/>
  <c r="CY66" i="3"/>
  <c r="CZ66" i="3"/>
  <c r="DA66" i="3"/>
  <c r="DB66" i="3"/>
  <c r="DC66" i="3"/>
  <c r="A67" i="3"/>
  <c r="CX67" i="3"/>
  <c r="CY67" i="3"/>
  <c r="CZ67" i="3"/>
  <c r="DA67" i="3"/>
  <c r="DB67" i="3"/>
  <c r="DC67" i="3"/>
  <c r="A68" i="3"/>
  <c r="CX68" i="3"/>
  <c r="CY68" i="3"/>
  <c r="CZ68" i="3"/>
  <c r="DB68" i="3" s="1"/>
  <c r="DA68" i="3"/>
  <c r="DC68" i="3"/>
  <c r="A69" i="3"/>
  <c r="CX69" i="3"/>
  <c r="CY69" i="3"/>
  <c r="CZ69" i="3"/>
  <c r="DB69" i="3" s="1"/>
  <c r="DA69" i="3"/>
  <c r="DC69" i="3"/>
  <c r="A70" i="3"/>
  <c r="CX70" i="3"/>
  <c r="CY70" i="3"/>
  <c r="CZ70" i="3"/>
  <c r="DA70" i="3"/>
  <c r="DB70" i="3"/>
  <c r="DC70" i="3"/>
  <c r="A71" i="3"/>
  <c r="CX71" i="3"/>
  <c r="CY71" i="3"/>
  <c r="CZ71" i="3"/>
  <c r="DA71" i="3"/>
  <c r="DB71" i="3"/>
  <c r="DC71" i="3"/>
  <c r="A72" i="3"/>
  <c r="CX72" i="3"/>
  <c r="CY72" i="3"/>
  <c r="CZ72" i="3"/>
  <c r="DB72" i="3" s="1"/>
  <c r="DA72" i="3"/>
  <c r="DC72" i="3"/>
  <c r="A73" i="3"/>
  <c r="CX73" i="3"/>
  <c r="CY73" i="3"/>
  <c r="CZ73" i="3"/>
  <c r="DB73" i="3" s="1"/>
  <c r="DA73" i="3"/>
  <c r="DC73" i="3"/>
  <c r="A74" i="3"/>
  <c r="CX74" i="3"/>
  <c r="CY74" i="3"/>
  <c r="CZ74" i="3"/>
  <c r="DA74" i="3"/>
  <c r="DB74" i="3"/>
  <c r="DC74" i="3"/>
  <c r="A75" i="3"/>
  <c r="CX75" i="3"/>
  <c r="CY75" i="3"/>
  <c r="CZ75" i="3"/>
  <c r="DA75" i="3"/>
  <c r="DB75" i="3"/>
  <c r="DC75" i="3"/>
  <c r="A76" i="3"/>
  <c r="CX76" i="3"/>
  <c r="CY76" i="3"/>
  <c r="CZ76" i="3"/>
  <c r="DB76" i="3" s="1"/>
  <c r="DA76" i="3"/>
  <c r="DC76" i="3"/>
  <c r="A77" i="3"/>
  <c r="CX77" i="3"/>
  <c r="CY77" i="3"/>
  <c r="CZ77" i="3"/>
  <c r="DB77" i="3" s="1"/>
  <c r="DA77" i="3"/>
  <c r="DC77" i="3"/>
  <c r="A78" i="3"/>
  <c r="CX78" i="3"/>
  <c r="CY78" i="3"/>
  <c r="CZ78" i="3"/>
  <c r="DA78" i="3"/>
  <c r="DB78" i="3"/>
  <c r="DC78" i="3"/>
  <c r="A79" i="3"/>
  <c r="CX79" i="3"/>
  <c r="CY79" i="3"/>
  <c r="CZ79" i="3"/>
  <c r="DA79" i="3"/>
  <c r="DB79" i="3"/>
  <c r="DC79" i="3"/>
  <c r="A80" i="3"/>
  <c r="CX80" i="3"/>
  <c r="CY80" i="3"/>
  <c r="CZ80" i="3"/>
  <c r="DB80" i="3" s="1"/>
  <c r="DA80" i="3"/>
  <c r="DC80" i="3"/>
  <c r="A81" i="3"/>
  <c r="CX81" i="3"/>
  <c r="CY81" i="3"/>
  <c r="CZ81" i="3"/>
  <c r="DB81" i="3" s="1"/>
  <c r="DA81" i="3"/>
  <c r="DC81" i="3"/>
  <c r="A82" i="3"/>
  <c r="CX82" i="3"/>
  <c r="CY82" i="3"/>
  <c r="CZ82" i="3"/>
  <c r="DA82" i="3"/>
  <c r="DB82" i="3"/>
  <c r="DC82" i="3"/>
  <c r="A83" i="3"/>
  <c r="CX83" i="3"/>
  <c r="CY83" i="3"/>
  <c r="CZ83" i="3"/>
  <c r="DA83" i="3"/>
  <c r="DB83" i="3"/>
  <c r="DC83" i="3"/>
  <c r="A84" i="3"/>
  <c r="CX84" i="3"/>
  <c r="CY84" i="3"/>
  <c r="CZ84" i="3"/>
  <c r="DB84" i="3" s="1"/>
  <c r="DA84" i="3"/>
  <c r="DC84" i="3"/>
  <c r="A85" i="3"/>
  <c r="CX85" i="3"/>
  <c r="CY85" i="3"/>
  <c r="CZ85" i="3"/>
  <c r="DB85" i="3" s="1"/>
  <c r="DA85" i="3"/>
  <c r="DC85" i="3"/>
  <c r="A86" i="3"/>
  <c r="CX86" i="3"/>
  <c r="CY86" i="3"/>
  <c r="CZ86" i="3"/>
  <c r="DA86" i="3"/>
  <c r="DB86" i="3"/>
  <c r="DC86" i="3"/>
  <c r="A87" i="3"/>
  <c r="CX87" i="3"/>
  <c r="CY87" i="3"/>
  <c r="CZ87" i="3"/>
  <c r="DA87" i="3"/>
  <c r="DB87" i="3"/>
  <c r="DC87" i="3"/>
  <c r="A88" i="3"/>
  <c r="CX88" i="3"/>
  <c r="CY88" i="3"/>
  <c r="CZ88" i="3"/>
  <c r="DB88" i="3" s="1"/>
  <c r="DA88" i="3"/>
  <c r="DC88" i="3"/>
  <c r="A89" i="3"/>
  <c r="CX89" i="3"/>
  <c r="CY89" i="3"/>
  <c r="CZ89" i="3"/>
  <c r="DB89" i="3" s="1"/>
  <c r="DA89" i="3"/>
  <c r="DC89" i="3"/>
  <c r="A90" i="3"/>
  <c r="CX90" i="3"/>
  <c r="CY90" i="3"/>
  <c r="CZ90" i="3"/>
  <c r="DA90" i="3"/>
  <c r="DB90" i="3"/>
  <c r="DC90" i="3"/>
  <c r="A91" i="3"/>
  <c r="CX91" i="3"/>
  <c r="CY91" i="3"/>
  <c r="CZ91" i="3"/>
  <c r="DA91" i="3"/>
  <c r="DB91" i="3"/>
  <c r="DC91" i="3"/>
  <c r="A92" i="3"/>
  <c r="CX92" i="3"/>
  <c r="CY92" i="3"/>
  <c r="CZ92" i="3"/>
  <c r="DB92" i="3" s="1"/>
  <c r="DA92" i="3"/>
  <c r="DC92" i="3"/>
  <c r="A93" i="3"/>
  <c r="CX93" i="3"/>
  <c r="CY93" i="3"/>
  <c r="CZ93" i="3"/>
  <c r="DB93" i="3" s="1"/>
  <c r="DA93" i="3"/>
  <c r="DC93" i="3"/>
  <c r="A94" i="3"/>
  <c r="CX94" i="3"/>
  <c r="CY94" i="3"/>
  <c r="CZ94" i="3"/>
  <c r="DA94" i="3"/>
  <c r="DB94" i="3"/>
  <c r="DC94" i="3"/>
  <c r="A95" i="3"/>
  <c r="CX95" i="3"/>
  <c r="CY95" i="3"/>
  <c r="CZ95" i="3"/>
  <c r="DA95" i="3"/>
  <c r="DB95" i="3"/>
  <c r="DC95" i="3"/>
  <c r="A96" i="3"/>
  <c r="CX96" i="3"/>
  <c r="CY96" i="3"/>
  <c r="CZ96" i="3"/>
  <c r="DB96" i="3" s="1"/>
  <c r="DA96" i="3"/>
  <c r="DC96" i="3"/>
  <c r="A97" i="3"/>
  <c r="CX97" i="3"/>
  <c r="CY97" i="3"/>
  <c r="CZ97" i="3"/>
  <c r="DB97" i="3" s="1"/>
  <c r="DA97" i="3"/>
  <c r="DC97" i="3"/>
  <c r="A98" i="3"/>
  <c r="CX98" i="3"/>
  <c r="CY98" i="3"/>
  <c r="CZ98" i="3"/>
  <c r="DA98" i="3"/>
  <c r="DB98" i="3"/>
  <c r="DC98" i="3"/>
  <c r="A99" i="3"/>
  <c r="CX99" i="3"/>
  <c r="CY99" i="3"/>
  <c r="CZ99" i="3"/>
  <c r="DA99" i="3"/>
  <c r="DB99" i="3"/>
  <c r="DC99" i="3"/>
  <c r="A100" i="3"/>
  <c r="CX100" i="3"/>
  <c r="CY100" i="3"/>
  <c r="CZ100" i="3"/>
  <c r="DB100" i="3" s="1"/>
  <c r="DA100" i="3"/>
  <c r="DC100" i="3"/>
  <c r="A101" i="3"/>
  <c r="CY101" i="3"/>
  <c r="CZ101" i="3"/>
  <c r="DB101" i="3" s="1"/>
  <c r="DA101" i="3"/>
  <c r="DC101" i="3"/>
  <c r="A102" i="3"/>
  <c r="CY102" i="3"/>
  <c r="CZ102" i="3"/>
  <c r="DA102" i="3"/>
  <c r="DB102" i="3"/>
  <c r="DC102" i="3"/>
  <c r="A103" i="3"/>
  <c r="CY103" i="3"/>
  <c r="CZ103" i="3"/>
  <c r="DA103" i="3"/>
  <c r="DB103" i="3"/>
  <c r="DC103" i="3"/>
  <c r="A104" i="3"/>
  <c r="CY104" i="3"/>
  <c r="CZ104" i="3"/>
  <c r="DB104" i="3" s="1"/>
  <c r="DA104" i="3"/>
  <c r="DC104" i="3"/>
  <c r="A105" i="3"/>
  <c r="CY105" i="3"/>
  <c r="CZ105" i="3"/>
  <c r="DB105" i="3" s="1"/>
  <c r="DA105" i="3"/>
  <c r="DC105" i="3"/>
  <c r="A106" i="3"/>
  <c r="CY106" i="3"/>
  <c r="CZ106" i="3"/>
  <c r="DA106" i="3"/>
  <c r="DB106" i="3"/>
  <c r="DC106" i="3"/>
  <c r="A107" i="3"/>
  <c r="CY107" i="3"/>
  <c r="CZ107" i="3"/>
  <c r="DA107" i="3"/>
  <c r="DB107" i="3"/>
  <c r="DC107" i="3"/>
  <c r="A108" i="3"/>
  <c r="CY108" i="3"/>
  <c r="CZ108" i="3"/>
  <c r="DB108" i="3" s="1"/>
  <c r="DA108" i="3"/>
  <c r="DC108" i="3"/>
  <c r="A109" i="3"/>
  <c r="CY109" i="3"/>
  <c r="CZ109" i="3"/>
  <c r="DB109" i="3" s="1"/>
  <c r="DA109" i="3"/>
  <c r="DC109" i="3"/>
  <c r="A110" i="3"/>
  <c r="CY110" i="3"/>
  <c r="CZ110" i="3"/>
  <c r="DA110" i="3"/>
  <c r="DB110" i="3"/>
  <c r="DC110" i="3"/>
  <c r="A111" i="3"/>
  <c r="CY111" i="3"/>
  <c r="CZ111" i="3"/>
  <c r="DA111" i="3"/>
  <c r="DB111" i="3"/>
  <c r="DC111" i="3"/>
  <c r="A112" i="3"/>
  <c r="CY112" i="3"/>
  <c r="CZ112" i="3"/>
  <c r="DB112" i="3" s="1"/>
  <c r="DA112" i="3"/>
  <c r="DC112" i="3"/>
  <c r="A113" i="3"/>
  <c r="CY113" i="3"/>
  <c r="CZ113" i="3"/>
  <c r="DB113" i="3" s="1"/>
  <c r="DA113" i="3"/>
  <c r="DC113" i="3"/>
  <c r="A114" i="3"/>
  <c r="CY114" i="3"/>
  <c r="CZ114" i="3"/>
  <c r="DA114" i="3"/>
  <c r="DB114" i="3"/>
  <c r="DC114" i="3"/>
  <c r="A115" i="3"/>
  <c r="CY115" i="3"/>
  <c r="CZ115" i="3"/>
  <c r="DA115" i="3"/>
  <c r="DB115" i="3"/>
  <c r="DC115" i="3"/>
  <c r="A116" i="3"/>
  <c r="CY116" i="3"/>
  <c r="CZ116" i="3"/>
  <c r="DB116" i="3" s="1"/>
  <c r="DA116" i="3"/>
  <c r="DC116" i="3"/>
  <c r="A117" i="3"/>
  <c r="CY117" i="3"/>
  <c r="CZ117" i="3"/>
  <c r="DB117" i="3" s="1"/>
  <c r="DA117" i="3"/>
  <c r="DC117" i="3"/>
  <c r="A118" i="3"/>
  <c r="CY118" i="3"/>
  <c r="CZ118" i="3"/>
  <c r="DA118" i="3"/>
  <c r="DB118" i="3"/>
  <c r="DC118" i="3"/>
  <c r="A119" i="3"/>
  <c r="CY119" i="3"/>
  <c r="CZ119" i="3"/>
  <c r="DA119" i="3"/>
  <c r="DB119" i="3"/>
  <c r="DC119" i="3"/>
  <c r="A120" i="3"/>
  <c r="CY120" i="3"/>
  <c r="CZ120" i="3"/>
  <c r="DB120" i="3" s="1"/>
  <c r="DA120" i="3"/>
  <c r="DC120" i="3"/>
  <c r="A121" i="3"/>
  <c r="CY121" i="3"/>
  <c r="CZ121" i="3"/>
  <c r="DB121" i="3" s="1"/>
  <c r="DA121" i="3"/>
  <c r="DC121" i="3"/>
  <c r="A122" i="3"/>
  <c r="CY122" i="3"/>
  <c r="CZ122" i="3"/>
  <c r="DA122" i="3"/>
  <c r="DB122" i="3"/>
  <c r="DC122" i="3"/>
  <c r="A123" i="3"/>
  <c r="CY123" i="3"/>
  <c r="CZ123" i="3"/>
  <c r="DA123" i="3"/>
  <c r="DB123" i="3"/>
  <c r="DC123" i="3"/>
  <c r="A124" i="3"/>
  <c r="CY124" i="3"/>
  <c r="CZ124" i="3"/>
  <c r="DB124" i="3" s="1"/>
  <c r="DA124" i="3"/>
  <c r="DC124" i="3"/>
  <c r="A125" i="3"/>
  <c r="CY125" i="3"/>
  <c r="CZ125" i="3"/>
  <c r="DB125" i="3" s="1"/>
  <c r="DA125" i="3"/>
  <c r="DC125" i="3"/>
  <c r="A126" i="3"/>
  <c r="CY126" i="3"/>
  <c r="CZ126" i="3"/>
  <c r="DA126" i="3"/>
  <c r="DB126" i="3"/>
  <c r="DC126" i="3"/>
  <c r="A127" i="3"/>
  <c r="CY127" i="3"/>
  <c r="CZ127" i="3"/>
  <c r="DA127" i="3"/>
  <c r="DB127" i="3"/>
  <c r="DC127" i="3"/>
  <c r="A128" i="3"/>
  <c r="CY128" i="3"/>
  <c r="CZ128" i="3"/>
  <c r="DB128" i="3" s="1"/>
  <c r="DA128" i="3"/>
  <c r="DC128" i="3"/>
  <c r="A129" i="3"/>
  <c r="CY129" i="3"/>
  <c r="CZ129" i="3"/>
  <c r="DB129" i="3" s="1"/>
  <c r="DA129" i="3"/>
  <c r="DC129" i="3"/>
  <c r="A130" i="3"/>
  <c r="CY130" i="3"/>
  <c r="CZ130" i="3"/>
  <c r="DA130" i="3"/>
  <c r="DB130" i="3"/>
  <c r="DC130" i="3"/>
  <c r="A131" i="3"/>
  <c r="CY131" i="3"/>
  <c r="CZ131" i="3"/>
  <c r="DA131" i="3"/>
  <c r="DB131" i="3"/>
  <c r="DC131" i="3"/>
  <c r="A132" i="3"/>
  <c r="CY132" i="3"/>
  <c r="CZ132" i="3"/>
  <c r="DB132" i="3" s="1"/>
  <c r="DA132" i="3"/>
  <c r="DC132" i="3"/>
  <c r="A133" i="3"/>
  <c r="CY133" i="3"/>
  <c r="CZ133" i="3"/>
  <c r="DB133" i="3" s="1"/>
  <c r="DA133" i="3"/>
  <c r="DC133" i="3"/>
  <c r="A134" i="3"/>
  <c r="CY134" i="3"/>
  <c r="CZ134" i="3"/>
  <c r="DA134" i="3"/>
  <c r="DB134" i="3"/>
  <c r="DC134" i="3"/>
  <c r="A135" i="3"/>
  <c r="CY135" i="3"/>
  <c r="CZ135" i="3"/>
  <c r="DA135" i="3"/>
  <c r="DB135" i="3"/>
  <c r="DC135" i="3"/>
  <c r="A136" i="3"/>
  <c r="CY136" i="3"/>
  <c r="CZ136" i="3"/>
  <c r="DB136" i="3" s="1"/>
  <c r="DA136" i="3"/>
  <c r="DC136" i="3"/>
  <c r="A137" i="3"/>
  <c r="CY137" i="3"/>
  <c r="CZ137" i="3"/>
  <c r="DB137" i="3" s="1"/>
  <c r="DA137" i="3"/>
  <c r="DC137" i="3"/>
  <c r="A138" i="3"/>
  <c r="CY138" i="3"/>
  <c r="CZ138" i="3"/>
  <c r="DA138" i="3"/>
  <c r="DB138" i="3"/>
  <c r="DC138" i="3"/>
  <c r="A139" i="3"/>
  <c r="CY139" i="3"/>
  <c r="CZ139" i="3"/>
  <c r="DA139" i="3"/>
  <c r="DB139" i="3"/>
  <c r="DC139" i="3"/>
  <c r="A140" i="3"/>
  <c r="CY140" i="3"/>
  <c r="CZ140" i="3"/>
  <c r="DB140" i="3" s="1"/>
  <c r="DA140" i="3"/>
  <c r="DC140" i="3"/>
  <c r="A141" i="3"/>
  <c r="CY141" i="3"/>
  <c r="CZ141" i="3"/>
  <c r="DB141" i="3" s="1"/>
  <c r="DA141" i="3"/>
  <c r="DC141" i="3"/>
  <c r="A142" i="3"/>
  <c r="CY142" i="3"/>
  <c r="CZ142" i="3"/>
  <c r="DA142" i="3"/>
  <c r="DB142" i="3"/>
  <c r="DC142" i="3"/>
  <c r="A143" i="3"/>
  <c r="CY143" i="3"/>
  <c r="CZ143" i="3"/>
  <c r="DA143" i="3"/>
  <c r="DB143" i="3"/>
  <c r="DC143" i="3"/>
  <c r="A144" i="3"/>
  <c r="CY144" i="3"/>
  <c r="CZ144" i="3"/>
  <c r="DB144" i="3" s="1"/>
  <c r="DA144" i="3"/>
  <c r="DC144" i="3"/>
  <c r="A145" i="3"/>
  <c r="CY145" i="3"/>
  <c r="CZ145" i="3"/>
  <c r="DB145" i="3" s="1"/>
  <c r="DA145" i="3"/>
  <c r="DC145" i="3"/>
  <c r="A146" i="3"/>
  <c r="CY146" i="3"/>
  <c r="CZ146" i="3"/>
  <c r="DA146" i="3"/>
  <c r="DB146" i="3"/>
  <c r="DC146" i="3"/>
  <c r="A147" i="3"/>
  <c r="CY147" i="3"/>
  <c r="CZ147" i="3"/>
  <c r="DA147" i="3"/>
  <c r="DB147" i="3"/>
  <c r="DC147" i="3"/>
  <c r="A148" i="3"/>
  <c r="CY148" i="3"/>
  <c r="CZ148" i="3"/>
  <c r="DB148" i="3" s="1"/>
  <c r="DA148" i="3"/>
  <c r="DC148" i="3"/>
  <c r="A149" i="3"/>
  <c r="CY149" i="3"/>
  <c r="CZ149" i="3"/>
  <c r="DB149" i="3" s="1"/>
  <c r="DA149" i="3"/>
  <c r="DC149" i="3"/>
  <c r="A150" i="3"/>
  <c r="CY150" i="3"/>
  <c r="CZ150" i="3"/>
  <c r="DA150" i="3"/>
  <c r="DB150" i="3"/>
  <c r="DC150" i="3"/>
  <c r="A151" i="3"/>
  <c r="CY151" i="3"/>
  <c r="CZ151" i="3"/>
  <c r="DA151" i="3"/>
  <c r="DB151" i="3"/>
  <c r="DC151" i="3"/>
  <c r="A152" i="3"/>
  <c r="CY152" i="3"/>
  <c r="CZ152" i="3"/>
  <c r="DB152" i="3" s="1"/>
  <c r="DA152" i="3"/>
  <c r="DC152" i="3"/>
  <c r="A153" i="3"/>
  <c r="CY153" i="3"/>
  <c r="CZ153" i="3"/>
  <c r="DB153" i="3" s="1"/>
  <c r="DA153" i="3"/>
  <c r="DC153" i="3"/>
  <c r="A154" i="3"/>
  <c r="CY154" i="3"/>
  <c r="CZ154" i="3"/>
  <c r="DA154" i="3"/>
  <c r="DB154" i="3"/>
  <c r="DC154" i="3"/>
  <c r="A155" i="3"/>
  <c r="CY155" i="3"/>
  <c r="CZ155" i="3"/>
  <c r="DA155" i="3"/>
  <c r="DB155" i="3"/>
  <c r="DC155" i="3"/>
  <c r="A156" i="3"/>
  <c r="CY156" i="3"/>
  <c r="CZ156" i="3"/>
  <c r="DB156" i="3" s="1"/>
  <c r="DA156" i="3"/>
  <c r="DC156" i="3"/>
  <c r="A157" i="3"/>
  <c r="CY157" i="3"/>
  <c r="CZ157" i="3"/>
  <c r="DB157" i="3" s="1"/>
  <c r="DA157" i="3"/>
  <c r="DC157" i="3"/>
  <c r="A158" i="3"/>
  <c r="CY158" i="3"/>
  <c r="CZ158" i="3"/>
  <c r="DA158" i="3"/>
  <c r="DB158" i="3"/>
  <c r="DC158" i="3"/>
  <c r="A159" i="3"/>
  <c r="CY159" i="3"/>
  <c r="CZ159" i="3"/>
  <c r="DA159" i="3"/>
  <c r="DB159" i="3"/>
  <c r="DC159" i="3"/>
  <c r="A160" i="3"/>
  <c r="CY160" i="3"/>
  <c r="CZ160" i="3"/>
  <c r="DB160" i="3" s="1"/>
  <c r="DA160" i="3"/>
  <c r="DC160" i="3"/>
  <c r="A161" i="3"/>
  <c r="CY161" i="3"/>
  <c r="CZ161" i="3"/>
  <c r="DB161" i="3" s="1"/>
  <c r="DA161" i="3"/>
  <c r="DC161" i="3"/>
  <c r="A162" i="3"/>
  <c r="CY162" i="3"/>
  <c r="CZ162" i="3"/>
  <c r="DA162" i="3"/>
  <c r="DB162" i="3"/>
  <c r="DC162" i="3"/>
  <c r="A163" i="3"/>
  <c r="CY163" i="3"/>
  <c r="CZ163" i="3"/>
  <c r="DA163" i="3"/>
  <c r="DB163" i="3"/>
  <c r="DC163" i="3"/>
  <c r="A164" i="3"/>
  <c r="CY164" i="3"/>
  <c r="CZ164" i="3"/>
  <c r="DB164" i="3" s="1"/>
  <c r="DA164" i="3"/>
  <c r="DC164" i="3"/>
  <c r="A165" i="3"/>
  <c r="CY165" i="3"/>
  <c r="CZ165" i="3"/>
  <c r="DB165" i="3" s="1"/>
  <c r="DA165" i="3"/>
  <c r="DC165" i="3"/>
  <c r="A166" i="3"/>
  <c r="CY166" i="3"/>
  <c r="CZ166" i="3"/>
  <c r="DA166" i="3"/>
  <c r="DB166" i="3"/>
  <c r="DC166" i="3"/>
  <c r="A167" i="3"/>
  <c r="CY167" i="3"/>
  <c r="CZ167" i="3"/>
  <c r="DA167" i="3"/>
  <c r="DB167" i="3"/>
  <c r="DC167" i="3"/>
  <c r="A168" i="3"/>
  <c r="CY168" i="3"/>
  <c r="CZ168" i="3"/>
  <c r="DB168" i="3" s="1"/>
  <c r="DA168" i="3"/>
  <c r="DC168" i="3"/>
  <c r="A169" i="3"/>
  <c r="CY169" i="3"/>
  <c r="CZ169" i="3"/>
  <c r="DB169" i="3" s="1"/>
  <c r="DA169" i="3"/>
  <c r="DC169" i="3"/>
  <c r="A170" i="3"/>
  <c r="CY170" i="3"/>
  <c r="CZ170" i="3"/>
  <c r="DA170" i="3"/>
  <c r="DB170" i="3"/>
  <c r="DC170" i="3"/>
  <c r="A171" i="3"/>
  <c r="CY171" i="3"/>
  <c r="CZ171" i="3"/>
  <c r="DA171" i="3"/>
  <c r="DB171" i="3"/>
  <c r="DC171" i="3"/>
  <c r="A172" i="3"/>
  <c r="CY172" i="3"/>
  <c r="CZ172" i="3"/>
  <c r="DB172" i="3" s="1"/>
  <c r="DA172" i="3"/>
  <c r="DC172" i="3"/>
  <c r="A173" i="3"/>
  <c r="CY173" i="3"/>
  <c r="CZ173" i="3"/>
  <c r="DB173" i="3" s="1"/>
  <c r="DA173" i="3"/>
  <c r="DC173" i="3"/>
  <c r="A174" i="3"/>
  <c r="CY174" i="3"/>
  <c r="CZ174" i="3"/>
  <c r="DA174" i="3"/>
  <c r="DB174" i="3"/>
  <c r="DC174" i="3"/>
  <c r="A175" i="3"/>
  <c r="CY175" i="3"/>
  <c r="CZ175" i="3"/>
  <c r="DA175" i="3"/>
  <c r="DB175" i="3"/>
  <c r="DC175" i="3"/>
  <c r="A176" i="3"/>
  <c r="CY176" i="3"/>
  <c r="CZ176" i="3"/>
  <c r="DB176" i="3" s="1"/>
  <c r="DA176" i="3"/>
  <c r="DC176" i="3"/>
  <c r="A177" i="3"/>
  <c r="CY177" i="3"/>
  <c r="CZ177" i="3"/>
  <c r="DB177" i="3" s="1"/>
  <c r="DA177" i="3"/>
  <c r="DC177" i="3"/>
  <c r="A178" i="3"/>
  <c r="CY178" i="3"/>
  <c r="CZ178" i="3"/>
  <c r="DA178" i="3"/>
  <c r="DB178" i="3"/>
  <c r="DC178" i="3"/>
  <c r="A179" i="3"/>
  <c r="CY179" i="3"/>
  <c r="CZ179" i="3"/>
  <c r="DA179" i="3"/>
  <c r="DB179" i="3"/>
  <c r="DC179" i="3"/>
  <c r="A180" i="3"/>
  <c r="CY180" i="3"/>
  <c r="CZ180" i="3"/>
  <c r="DB180" i="3" s="1"/>
  <c r="DA180" i="3"/>
  <c r="DC180" i="3"/>
  <c r="A181" i="3"/>
  <c r="CY181" i="3"/>
  <c r="CZ181" i="3"/>
  <c r="DB181" i="3" s="1"/>
  <c r="DA181" i="3"/>
  <c r="DC181" i="3"/>
  <c r="A182" i="3"/>
  <c r="CY182" i="3"/>
  <c r="CZ182" i="3"/>
  <c r="DA182" i="3"/>
  <c r="DB182" i="3"/>
  <c r="DC182" i="3"/>
  <c r="A183" i="3"/>
  <c r="CY183" i="3"/>
  <c r="CZ183" i="3"/>
  <c r="DA183" i="3"/>
  <c r="DB183" i="3"/>
  <c r="DC183" i="3"/>
  <c r="A184" i="3"/>
  <c r="CY184" i="3"/>
  <c r="CZ184" i="3"/>
  <c r="DB184" i="3" s="1"/>
  <c r="DA184" i="3"/>
  <c r="DC184" i="3"/>
  <c r="A185" i="3"/>
  <c r="CY185" i="3"/>
  <c r="CZ185" i="3"/>
  <c r="DB185" i="3" s="1"/>
  <c r="DA185" i="3"/>
  <c r="DC185" i="3"/>
  <c r="A186" i="3"/>
  <c r="CY186" i="3"/>
  <c r="CZ186" i="3"/>
  <c r="DA186" i="3"/>
  <c r="DB186" i="3"/>
  <c r="DC186" i="3"/>
  <c r="A187" i="3"/>
  <c r="CY187" i="3"/>
  <c r="CZ187" i="3"/>
  <c r="DB187" i="3" s="1"/>
  <c r="DA187" i="3"/>
  <c r="DC187" i="3"/>
  <c r="A188" i="3"/>
  <c r="CY188" i="3"/>
  <c r="CZ188" i="3"/>
  <c r="DB188" i="3" s="1"/>
  <c r="DA188" i="3"/>
  <c r="DC188" i="3"/>
  <c r="A189" i="3"/>
  <c r="CY189" i="3"/>
  <c r="CZ189" i="3"/>
  <c r="DA189" i="3"/>
  <c r="DB189" i="3"/>
  <c r="DC189" i="3"/>
  <c r="A190" i="3"/>
  <c r="CY190" i="3"/>
  <c r="CZ190" i="3"/>
  <c r="DA190" i="3"/>
  <c r="DB190" i="3"/>
  <c r="DC190" i="3"/>
  <c r="A191" i="3"/>
  <c r="CY191" i="3"/>
  <c r="CZ191" i="3"/>
  <c r="DB191" i="3" s="1"/>
  <c r="DA191" i="3"/>
  <c r="DC191" i="3"/>
  <c r="A192" i="3"/>
  <c r="CY192" i="3"/>
  <c r="CZ192" i="3"/>
  <c r="DB192" i="3" s="1"/>
  <c r="DA192" i="3"/>
  <c r="DC192" i="3"/>
  <c r="A193" i="3"/>
  <c r="CY193" i="3"/>
  <c r="CZ193" i="3"/>
  <c r="DA193" i="3"/>
  <c r="DB193" i="3"/>
  <c r="DC193" i="3"/>
  <c r="A194" i="3"/>
  <c r="CY194" i="3"/>
  <c r="CZ194" i="3"/>
  <c r="DA194" i="3"/>
  <c r="DB194" i="3"/>
  <c r="DC194" i="3"/>
  <c r="A195" i="3"/>
  <c r="CY195" i="3"/>
  <c r="CZ195" i="3"/>
  <c r="DB195" i="3" s="1"/>
  <c r="DA195" i="3"/>
  <c r="DC195" i="3"/>
  <c r="A196" i="3"/>
  <c r="CY196" i="3"/>
  <c r="CZ196" i="3"/>
  <c r="DB196" i="3" s="1"/>
  <c r="DA196" i="3"/>
  <c r="DC196" i="3"/>
  <c r="A197" i="3"/>
  <c r="CY197" i="3"/>
  <c r="CZ197" i="3"/>
  <c r="DA197" i="3"/>
  <c r="DB197" i="3"/>
  <c r="DC197" i="3"/>
  <c r="A198" i="3"/>
  <c r="CY198" i="3"/>
  <c r="CZ198" i="3"/>
  <c r="DA198" i="3"/>
  <c r="DB198" i="3"/>
  <c r="DC198" i="3"/>
  <c r="A199" i="3"/>
  <c r="CY199" i="3"/>
  <c r="CZ199" i="3"/>
  <c r="DB199" i="3" s="1"/>
  <c r="DA199" i="3"/>
  <c r="DC199" i="3"/>
  <c r="A200" i="3"/>
  <c r="CY200" i="3"/>
  <c r="CZ200" i="3"/>
  <c r="DB200" i="3" s="1"/>
  <c r="DA200" i="3"/>
  <c r="DC200" i="3"/>
  <c r="A201" i="3"/>
  <c r="CY201" i="3"/>
  <c r="CZ201" i="3"/>
  <c r="DA201" i="3"/>
  <c r="DB201" i="3"/>
  <c r="DC201" i="3"/>
  <c r="A202" i="3"/>
  <c r="CY202" i="3"/>
  <c r="CZ202" i="3"/>
  <c r="DA202" i="3"/>
  <c r="DB202" i="3"/>
  <c r="DC202" i="3"/>
  <c r="A203" i="3"/>
  <c r="CY203" i="3"/>
  <c r="CZ203" i="3"/>
  <c r="DB203" i="3" s="1"/>
  <c r="DA203" i="3"/>
  <c r="DC203" i="3"/>
  <c r="A204" i="3"/>
  <c r="CY204" i="3"/>
  <c r="CZ204" i="3"/>
  <c r="DB204" i="3" s="1"/>
  <c r="DA204" i="3"/>
  <c r="DC204" i="3"/>
  <c r="A205" i="3"/>
  <c r="CY205" i="3"/>
  <c r="CZ205" i="3"/>
  <c r="DA205" i="3"/>
  <c r="DB205" i="3"/>
  <c r="DC205" i="3"/>
  <c r="A206" i="3"/>
  <c r="CY206" i="3"/>
  <c r="CZ206" i="3"/>
  <c r="DA206" i="3"/>
  <c r="DB206" i="3"/>
  <c r="DC206" i="3"/>
  <c r="A207" i="3"/>
  <c r="CY207" i="3"/>
  <c r="CZ207" i="3"/>
  <c r="DB207" i="3" s="1"/>
  <c r="DA207" i="3"/>
  <c r="DC207" i="3"/>
  <c r="A208" i="3"/>
  <c r="CY208" i="3"/>
  <c r="CZ208" i="3"/>
  <c r="DB208" i="3" s="1"/>
  <c r="DA208" i="3"/>
  <c r="DC208" i="3"/>
  <c r="A209" i="3"/>
  <c r="CY209" i="3"/>
  <c r="CZ209" i="3"/>
  <c r="DA209" i="3"/>
  <c r="DB209" i="3"/>
  <c r="DC209" i="3"/>
  <c r="A210" i="3"/>
  <c r="CY210" i="3"/>
  <c r="CZ210" i="3"/>
  <c r="DA210" i="3"/>
  <c r="DB210" i="3"/>
  <c r="DC210" i="3"/>
  <c r="A211" i="3"/>
  <c r="CY211" i="3"/>
  <c r="CZ211" i="3"/>
  <c r="DB211" i="3" s="1"/>
  <c r="DA211" i="3"/>
  <c r="DC211" i="3"/>
  <c r="A212" i="3"/>
  <c r="CY212" i="3"/>
  <c r="CZ212" i="3"/>
  <c r="DB212" i="3" s="1"/>
  <c r="DA212" i="3"/>
  <c r="DC212" i="3"/>
  <c r="A213" i="3"/>
  <c r="CY213" i="3"/>
  <c r="CZ213" i="3"/>
  <c r="DA213" i="3"/>
  <c r="DB213" i="3"/>
  <c r="DC213" i="3"/>
  <c r="A214" i="3"/>
  <c r="CY214" i="3"/>
  <c r="CZ214" i="3"/>
  <c r="DA214" i="3"/>
  <c r="DB214" i="3"/>
  <c r="DC214" i="3"/>
  <c r="A215" i="3"/>
  <c r="CY215" i="3"/>
  <c r="CZ215" i="3"/>
  <c r="DB215" i="3" s="1"/>
  <c r="DA215" i="3"/>
  <c r="DC215" i="3"/>
  <c r="A216" i="3"/>
  <c r="CY216" i="3"/>
  <c r="CZ216" i="3"/>
  <c r="DB216" i="3" s="1"/>
  <c r="DA216" i="3"/>
  <c r="DC216" i="3"/>
  <c r="A217" i="3"/>
  <c r="CY217" i="3"/>
  <c r="CZ217" i="3"/>
  <c r="DA217" i="3"/>
  <c r="DB217" i="3"/>
  <c r="DC217" i="3"/>
  <c r="A218" i="3"/>
  <c r="CY218" i="3"/>
  <c r="CZ218" i="3"/>
  <c r="DA218" i="3"/>
  <c r="DB218" i="3"/>
  <c r="DC218" i="3"/>
  <c r="A219" i="3"/>
  <c r="CY219" i="3"/>
  <c r="CZ219" i="3"/>
  <c r="DB219" i="3" s="1"/>
  <c r="DA219" i="3"/>
  <c r="DC219" i="3"/>
  <c r="A220" i="3"/>
  <c r="CY220" i="3"/>
  <c r="CZ220" i="3"/>
  <c r="DB220" i="3" s="1"/>
  <c r="DA220" i="3"/>
  <c r="DC220" i="3"/>
  <c r="A221" i="3"/>
  <c r="CY221" i="3"/>
  <c r="CZ221" i="3"/>
  <c r="DA221" i="3"/>
  <c r="DB221" i="3"/>
  <c r="DC221" i="3"/>
  <c r="A222" i="3"/>
  <c r="CY222" i="3"/>
  <c r="CZ222" i="3"/>
  <c r="DA222" i="3"/>
  <c r="DB222" i="3"/>
  <c r="DC222" i="3"/>
  <c r="A223" i="3"/>
  <c r="CY223" i="3"/>
  <c r="CZ223" i="3"/>
  <c r="DB223" i="3" s="1"/>
  <c r="DA223" i="3"/>
  <c r="DC223" i="3"/>
  <c r="A224" i="3"/>
  <c r="CY224" i="3"/>
  <c r="CZ224" i="3"/>
  <c r="DB224" i="3" s="1"/>
  <c r="DA224" i="3"/>
  <c r="DC224" i="3"/>
  <c r="A225" i="3"/>
  <c r="CY225" i="3"/>
  <c r="CZ225" i="3"/>
  <c r="DA225" i="3"/>
  <c r="DB225" i="3"/>
  <c r="DC225" i="3"/>
  <c r="A226" i="3"/>
  <c r="CY226" i="3"/>
  <c r="CZ226" i="3"/>
  <c r="DA226" i="3"/>
  <c r="DB226" i="3"/>
  <c r="DC226" i="3"/>
  <c r="A227" i="3"/>
  <c r="CY227" i="3"/>
  <c r="CZ227" i="3"/>
  <c r="DB227" i="3" s="1"/>
  <c r="DA227" i="3"/>
  <c r="DC227" i="3"/>
  <c r="A228" i="3"/>
  <c r="CY228" i="3"/>
  <c r="CZ228" i="3"/>
  <c r="DB228" i="3" s="1"/>
  <c r="DA228" i="3"/>
  <c r="DC228" i="3"/>
  <c r="A229" i="3"/>
  <c r="CY229" i="3"/>
  <c r="CZ229" i="3"/>
  <c r="DA229" i="3"/>
  <c r="DB229" i="3"/>
  <c r="DC229" i="3"/>
  <c r="A230" i="3"/>
  <c r="CY230" i="3"/>
  <c r="CZ230" i="3"/>
  <c r="DA230" i="3"/>
  <c r="DB230" i="3"/>
  <c r="DC230" i="3"/>
  <c r="A231" i="3"/>
  <c r="CY231" i="3"/>
  <c r="CZ231" i="3"/>
  <c r="DB231" i="3" s="1"/>
  <c r="DA231" i="3"/>
  <c r="DC231" i="3"/>
  <c r="A232" i="3"/>
  <c r="CY232" i="3"/>
  <c r="CZ232" i="3"/>
  <c r="DB232" i="3" s="1"/>
  <c r="DA232" i="3"/>
  <c r="DC232" i="3"/>
  <c r="A233" i="3"/>
  <c r="CY233" i="3"/>
  <c r="CZ233" i="3"/>
  <c r="DA233" i="3"/>
  <c r="DB233" i="3"/>
  <c r="DC233" i="3"/>
  <c r="A234" i="3"/>
  <c r="CY234" i="3"/>
  <c r="CZ234" i="3"/>
  <c r="DA234" i="3"/>
  <c r="DB234" i="3"/>
  <c r="DC234" i="3"/>
  <c r="A235" i="3"/>
  <c r="CY235" i="3"/>
  <c r="CZ235" i="3"/>
  <c r="DB235" i="3" s="1"/>
  <c r="DA235" i="3"/>
  <c r="DC235" i="3"/>
  <c r="A236" i="3"/>
  <c r="CY236" i="3"/>
  <c r="CZ236" i="3"/>
  <c r="DB236" i="3" s="1"/>
  <c r="DA236" i="3"/>
  <c r="DC236" i="3"/>
  <c r="A237" i="3"/>
  <c r="CY237" i="3"/>
  <c r="CZ237" i="3"/>
  <c r="DA237" i="3"/>
  <c r="DB237" i="3"/>
  <c r="DC237" i="3"/>
  <c r="A238" i="3"/>
  <c r="CY238" i="3"/>
  <c r="CZ238" i="3"/>
  <c r="DA238" i="3"/>
  <c r="DB238" i="3"/>
  <c r="DC238" i="3"/>
  <c r="A239" i="3"/>
  <c r="CY239" i="3"/>
  <c r="CZ239" i="3"/>
  <c r="DB239" i="3" s="1"/>
  <c r="DA239" i="3"/>
  <c r="DC239" i="3"/>
  <c r="A240" i="3"/>
  <c r="CY240" i="3"/>
  <c r="CZ240" i="3"/>
  <c r="DB240" i="3" s="1"/>
  <c r="DA240" i="3"/>
  <c r="DC240" i="3"/>
  <c r="A241" i="3"/>
  <c r="CY241" i="3"/>
  <c r="CZ241" i="3"/>
  <c r="DA241" i="3"/>
  <c r="DB241" i="3"/>
  <c r="DC241" i="3"/>
  <c r="A242" i="3"/>
  <c r="CY242" i="3"/>
  <c r="CZ242" i="3"/>
  <c r="DA242" i="3"/>
  <c r="DB242" i="3"/>
  <c r="DC242" i="3"/>
  <c r="A243" i="3"/>
  <c r="CY243" i="3"/>
  <c r="CZ243" i="3"/>
  <c r="DB243" i="3" s="1"/>
  <c r="DA243" i="3"/>
  <c r="DC243" i="3"/>
  <c r="A244" i="3"/>
  <c r="CY244" i="3"/>
  <c r="CZ244" i="3"/>
  <c r="DB244" i="3" s="1"/>
  <c r="DA244" i="3"/>
  <c r="DC244" i="3"/>
  <c r="A245" i="3"/>
  <c r="CY245" i="3"/>
  <c r="CZ245" i="3"/>
  <c r="DA245" i="3"/>
  <c r="DB245" i="3"/>
  <c r="DC245" i="3"/>
  <c r="A246" i="3"/>
  <c r="CY246" i="3"/>
  <c r="CZ246" i="3"/>
  <c r="DA246" i="3"/>
  <c r="DB246" i="3"/>
  <c r="DC246" i="3"/>
  <c r="A247" i="3"/>
  <c r="CY247" i="3"/>
  <c r="CZ247" i="3"/>
  <c r="DB247" i="3" s="1"/>
  <c r="DA247" i="3"/>
  <c r="DC247" i="3"/>
  <c r="A248" i="3"/>
  <c r="CY248" i="3"/>
  <c r="CZ248" i="3"/>
  <c r="DB248" i="3" s="1"/>
  <c r="DA248" i="3"/>
  <c r="DC248" i="3"/>
  <c r="A249" i="3"/>
  <c r="CY249" i="3"/>
  <c r="CZ249" i="3"/>
  <c r="DA249" i="3"/>
  <c r="DB249" i="3"/>
  <c r="DC249" i="3"/>
  <c r="A250" i="3"/>
  <c r="CY250" i="3"/>
  <c r="CZ250" i="3"/>
  <c r="DA250" i="3"/>
  <c r="DB250" i="3"/>
  <c r="DC250" i="3"/>
  <c r="A251" i="3"/>
  <c r="CY251" i="3"/>
  <c r="CZ251" i="3"/>
  <c r="DB251" i="3" s="1"/>
  <c r="DA251" i="3"/>
  <c r="DC251" i="3"/>
  <c r="A252" i="3"/>
  <c r="CY252" i="3"/>
  <c r="CZ252" i="3"/>
  <c r="DB252" i="3" s="1"/>
  <c r="DA252" i="3"/>
  <c r="DC252" i="3"/>
  <c r="A253" i="3"/>
  <c r="CY253" i="3"/>
  <c r="CZ253" i="3"/>
  <c r="DA253" i="3"/>
  <c r="DB253" i="3"/>
  <c r="DC253" i="3"/>
  <c r="A254" i="3"/>
  <c r="CY254" i="3"/>
  <c r="CZ254" i="3"/>
  <c r="DA254" i="3"/>
  <c r="DB254" i="3"/>
  <c r="DC254" i="3"/>
  <c r="A255" i="3"/>
  <c r="CY255" i="3"/>
  <c r="CZ255" i="3"/>
  <c r="DB255" i="3" s="1"/>
  <c r="DA255" i="3"/>
  <c r="DC255" i="3"/>
  <c r="A256" i="3"/>
  <c r="CY256" i="3"/>
  <c r="CZ256" i="3"/>
  <c r="DB256" i="3" s="1"/>
  <c r="DA256" i="3"/>
  <c r="DC256" i="3"/>
  <c r="A257" i="3"/>
  <c r="CY257" i="3"/>
  <c r="CZ257" i="3"/>
  <c r="DA257" i="3"/>
  <c r="DB257" i="3"/>
  <c r="DC257" i="3"/>
  <c r="A258" i="3"/>
  <c r="CY258" i="3"/>
  <c r="CZ258" i="3"/>
  <c r="DA258" i="3"/>
  <c r="DB258" i="3"/>
  <c r="DC258" i="3"/>
  <c r="A259" i="3"/>
  <c r="CY259" i="3"/>
  <c r="CZ259" i="3"/>
  <c r="DB259" i="3" s="1"/>
  <c r="DA259" i="3"/>
  <c r="DC259" i="3"/>
  <c r="A260" i="3"/>
  <c r="CY260" i="3"/>
  <c r="CZ260" i="3"/>
  <c r="DB260" i="3" s="1"/>
  <c r="DA260" i="3"/>
  <c r="DC260" i="3"/>
  <c r="A261" i="3"/>
  <c r="CY261" i="3"/>
  <c r="CZ261" i="3"/>
  <c r="DA261" i="3"/>
  <c r="DB261" i="3"/>
  <c r="DC261" i="3"/>
  <c r="A262" i="3"/>
  <c r="CY262" i="3"/>
  <c r="CZ262" i="3"/>
  <c r="DA262" i="3"/>
  <c r="DB262" i="3"/>
  <c r="DC262" i="3"/>
  <c r="A263" i="3"/>
  <c r="CY263" i="3"/>
  <c r="CZ263" i="3"/>
  <c r="DB263" i="3" s="1"/>
  <c r="DA263" i="3"/>
  <c r="DC263" i="3"/>
  <c r="A264" i="3"/>
  <c r="CY264" i="3"/>
  <c r="CZ264" i="3"/>
  <c r="DB264" i="3" s="1"/>
  <c r="DA264" i="3"/>
  <c r="DC264" i="3"/>
  <c r="A265" i="3"/>
  <c r="CY265" i="3"/>
  <c r="CZ265" i="3"/>
  <c r="DA265" i="3"/>
  <c r="DB265" i="3"/>
  <c r="DC265" i="3"/>
  <c r="A266" i="3"/>
  <c r="CY266" i="3"/>
  <c r="CZ266" i="3"/>
  <c r="DA266" i="3"/>
  <c r="DB266" i="3"/>
  <c r="DC266" i="3"/>
  <c r="A267" i="3"/>
  <c r="CY267" i="3"/>
  <c r="CZ267" i="3"/>
  <c r="DB267" i="3" s="1"/>
  <c r="DA267" i="3"/>
  <c r="DC267" i="3"/>
  <c r="A268" i="3"/>
  <c r="CY268" i="3"/>
  <c r="CZ268" i="3"/>
  <c r="DB268" i="3" s="1"/>
  <c r="DA268" i="3"/>
  <c r="DC268" i="3"/>
  <c r="A269" i="3"/>
  <c r="CY269" i="3"/>
  <c r="CZ269" i="3"/>
  <c r="DA269" i="3"/>
  <c r="DB269" i="3"/>
  <c r="DC269" i="3"/>
  <c r="A270" i="3"/>
  <c r="CY270" i="3"/>
  <c r="CZ270" i="3"/>
  <c r="DA270" i="3"/>
  <c r="DB270" i="3"/>
  <c r="DC270" i="3"/>
  <c r="A271" i="3"/>
  <c r="CY271" i="3"/>
  <c r="CZ271" i="3"/>
  <c r="DB271" i="3" s="1"/>
  <c r="DA271" i="3"/>
  <c r="DC271" i="3"/>
  <c r="A272" i="3"/>
  <c r="CY272" i="3"/>
  <c r="CZ272" i="3"/>
  <c r="DB272" i="3" s="1"/>
  <c r="DA272" i="3"/>
  <c r="DC272" i="3"/>
  <c r="A273" i="3"/>
  <c r="CY273" i="3"/>
  <c r="CZ273" i="3"/>
  <c r="DA273" i="3"/>
  <c r="DB273" i="3"/>
  <c r="DC273" i="3"/>
  <c r="A274" i="3"/>
  <c r="CY274" i="3"/>
  <c r="CZ274" i="3"/>
  <c r="DA274" i="3"/>
  <c r="DB274" i="3"/>
  <c r="DC274" i="3"/>
  <c r="A275" i="3"/>
  <c r="CY275" i="3"/>
  <c r="CZ275" i="3"/>
  <c r="DB275" i="3" s="1"/>
  <c r="DA275" i="3"/>
  <c r="DC275" i="3"/>
  <c r="A276" i="3"/>
  <c r="CY276" i="3"/>
  <c r="CZ276" i="3"/>
  <c r="DB276" i="3" s="1"/>
  <c r="DA276" i="3"/>
  <c r="DC276" i="3"/>
  <c r="A277" i="3"/>
  <c r="CY277" i="3"/>
  <c r="CZ277" i="3"/>
  <c r="DA277" i="3"/>
  <c r="DB277" i="3"/>
  <c r="DC277" i="3"/>
  <c r="A278" i="3"/>
  <c r="CY278" i="3"/>
  <c r="CZ278" i="3"/>
  <c r="DA278" i="3"/>
  <c r="DB278" i="3"/>
  <c r="DC278" i="3"/>
  <c r="A279" i="3"/>
  <c r="CY279" i="3"/>
  <c r="CZ279" i="3"/>
  <c r="DB279" i="3" s="1"/>
  <c r="DA279" i="3"/>
  <c r="DC279" i="3"/>
  <c r="A280" i="3"/>
  <c r="CY280" i="3"/>
  <c r="CZ280" i="3"/>
  <c r="DB280" i="3" s="1"/>
  <c r="DA280" i="3"/>
  <c r="DC280" i="3"/>
  <c r="A281" i="3"/>
  <c r="CY281" i="3"/>
  <c r="CZ281" i="3"/>
  <c r="DA281" i="3"/>
  <c r="DB281" i="3"/>
  <c r="DC281" i="3"/>
  <c r="A282" i="3"/>
  <c r="CY282" i="3"/>
  <c r="CZ282" i="3"/>
  <c r="DA282" i="3"/>
  <c r="DB282" i="3"/>
  <c r="DC282" i="3"/>
  <c r="A283" i="3"/>
  <c r="CY283" i="3"/>
  <c r="CZ283" i="3"/>
  <c r="DB283" i="3" s="1"/>
  <c r="DA283" i="3"/>
  <c r="DC283" i="3"/>
  <c r="A284" i="3"/>
  <c r="CY284" i="3"/>
  <c r="CZ284" i="3"/>
  <c r="DB284" i="3" s="1"/>
  <c r="DA284" i="3"/>
  <c r="DC284" i="3"/>
  <c r="A285" i="3"/>
  <c r="CY285" i="3"/>
  <c r="CZ285" i="3"/>
  <c r="DA285" i="3"/>
  <c r="DB285" i="3"/>
  <c r="DC285" i="3"/>
  <c r="A286" i="3"/>
  <c r="CY286" i="3"/>
  <c r="CZ286" i="3"/>
  <c r="DA286" i="3"/>
  <c r="DB286" i="3"/>
  <c r="DC286" i="3"/>
  <c r="A287" i="3"/>
  <c r="CY287" i="3"/>
  <c r="CZ287" i="3"/>
  <c r="DB287" i="3" s="1"/>
  <c r="DA287" i="3"/>
  <c r="DC287" i="3"/>
  <c r="A288" i="3"/>
  <c r="CY288" i="3"/>
  <c r="CZ288" i="3"/>
  <c r="DB288" i="3" s="1"/>
  <c r="DA288" i="3"/>
  <c r="DC288" i="3"/>
  <c r="A289" i="3"/>
  <c r="CY289" i="3"/>
  <c r="CZ289" i="3"/>
  <c r="DA289" i="3"/>
  <c r="DB289" i="3"/>
  <c r="DC289" i="3"/>
  <c r="A290" i="3"/>
  <c r="CY290" i="3"/>
  <c r="CZ290" i="3"/>
  <c r="DA290" i="3"/>
  <c r="DB290" i="3"/>
  <c r="DC290" i="3"/>
  <c r="A291" i="3"/>
  <c r="CY291" i="3"/>
  <c r="CZ291" i="3"/>
  <c r="DB291" i="3" s="1"/>
  <c r="DA291" i="3"/>
  <c r="DC291" i="3"/>
  <c r="A292" i="3"/>
  <c r="CY292" i="3"/>
  <c r="CZ292" i="3"/>
  <c r="DB292" i="3" s="1"/>
  <c r="DA292" i="3"/>
  <c r="DC292" i="3"/>
  <c r="A293" i="3"/>
  <c r="CX293" i="3"/>
  <c r="CY293" i="3"/>
  <c r="CZ293" i="3"/>
  <c r="DA293" i="3"/>
  <c r="DB293" i="3"/>
  <c r="DC293" i="3"/>
  <c r="A294" i="3"/>
  <c r="CX294" i="3"/>
  <c r="CY294" i="3"/>
  <c r="CZ294" i="3"/>
  <c r="DA294" i="3"/>
  <c r="DB294" i="3"/>
  <c r="DC294" i="3"/>
  <c r="A295" i="3"/>
  <c r="CX295" i="3"/>
  <c r="CY295" i="3"/>
  <c r="CZ295" i="3"/>
  <c r="DB295" i="3" s="1"/>
  <c r="DA295" i="3"/>
  <c r="DC295" i="3"/>
  <c r="A296" i="3"/>
  <c r="CX296" i="3"/>
  <c r="CY296" i="3"/>
  <c r="CZ296" i="3"/>
  <c r="DB296" i="3" s="1"/>
  <c r="DA296" i="3"/>
  <c r="DC296" i="3"/>
  <c r="A297" i="3"/>
  <c r="CX297" i="3"/>
  <c r="CY297" i="3"/>
  <c r="CZ297" i="3"/>
  <c r="DA297" i="3"/>
  <c r="DB297" i="3"/>
  <c r="DC297" i="3"/>
  <c r="A298" i="3"/>
  <c r="CX298" i="3"/>
  <c r="CY298" i="3"/>
  <c r="CZ298" i="3"/>
  <c r="DA298" i="3"/>
  <c r="DB298" i="3"/>
  <c r="DC298" i="3"/>
  <c r="A299" i="3"/>
  <c r="CX299" i="3"/>
  <c r="CY299" i="3"/>
  <c r="CZ299" i="3"/>
  <c r="DB299" i="3" s="1"/>
  <c r="DA299" i="3"/>
  <c r="DC299" i="3"/>
  <c r="A300" i="3"/>
  <c r="CX300" i="3"/>
  <c r="CY300" i="3"/>
  <c r="CZ300" i="3"/>
  <c r="DB300" i="3" s="1"/>
  <c r="DA300" i="3"/>
  <c r="DC300" i="3"/>
  <c r="A301" i="3"/>
  <c r="CX301" i="3"/>
  <c r="CY301" i="3"/>
  <c r="CZ301" i="3"/>
  <c r="DA301" i="3"/>
  <c r="DB301" i="3"/>
  <c r="DC301" i="3"/>
  <c r="A302" i="3"/>
  <c r="CX302" i="3"/>
  <c r="CY302" i="3"/>
  <c r="CZ302" i="3"/>
  <c r="DA302" i="3"/>
  <c r="DB302" i="3"/>
  <c r="DC302" i="3"/>
  <c r="A303" i="3"/>
  <c r="CY303" i="3"/>
  <c r="CZ303" i="3"/>
  <c r="DB303" i="3" s="1"/>
  <c r="DA303" i="3"/>
  <c r="DC303" i="3"/>
  <c r="A304" i="3"/>
  <c r="CY304" i="3"/>
  <c r="CZ304" i="3"/>
  <c r="DB304" i="3" s="1"/>
  <c r="DA304" i="3"/>
  <c r="DC304" i="3"/>
  <c r="A305" i="3"/>
  <c r="CY305" i="3"/>
  <c r="CZ305" i="3"/>
  <c r="DA305" i="3"/>
  <c r="DB305" i="3"/>
  <c r="DC305" i="3"/>
  <c r="A306" i="3"/>
  <c r="CY306" i="3"/>
  <c r="CZ306" i="3"/>
  <c r="DA306" i="3"/>
  <c r="DB306" i="3"/>
  <c r="DC306" i="3"/>
  <c r="A307" i="3"/>
  <c r="CY307" i="3"/>
  <c r="CZ307" i="3"/>
  <c r="DB307" i="3" s="1"/>
  <c r="DA307" i="3"/>
  <c r="DC307" i="3"/>
  <c r="A308" i="3"/>
  <c r="CY308" i="3"/>
  <c r="CZ308" i="3"/>
  <c r="DB308" i="3" s="1"/>
  <c r="DA308" i="3"/>
  <c r="DC308" i="3"/>
  <c r="A309" i="3"/>
  <c r="CY309" i="3"/>
  <c r="CZ309" i="3"/>
  <c r="DA309" i="3"/>
  <c r="DB309" i="3"/>
  <c r="DC309" i="3"/>
  <c r="A310" i="3"/>
  <c r="CY310" i="3"/>
  <c r="CZ310" i="3"/>
  <c r="DA310" i="3"/>
  <c r="DB310" i="3"/>
  <c r="DC310" i="3"/>
  <c r="A311" i="3"/>
  <c r="CY311" i="3"/>
  <c r="CZ311" i="3"/>
  <c r="DB311" i="3" s="1"/>
  <c r="DA311" i="3"/>
  <c r="DC311" i="3"/>
  <c r="A312" i="3"/>
  <c r="CY312" i="3"/>
  <c r="CZ312" i="3"/>
  <c r="DB312" i="3" s="1"/>
  <c r="DA312" i="3"/>
  <c r="DC312" i="3"/>
  <c r="A313" i="3"/>
  <c r="CY313" i="3"/>
  <c r="CZ313" i="3"/>
  <c r="DA313" i="3"/>
  <c r="DB313" i="3"/>
  <c r="DC313" i="3"/>
  <c r="A314" i="3"/>
  <c r="CY314" i="3"/>
  <c r="CZ314" i="3"/>
  <c r="DA314" i="3"/>
  <c r="DB314" i="3"/>
  <c r="DC314" i="3"/>
  <c r="A315" i="3"/>
  <c r="CY315" i="3"/>
  <c r="CZ315" i="3"/>
  <c r="DB315" i="3" s="1"/>
  <c r="DA315" i="3"/>
  <c r="DC315" i="3"/>
  <c r="A316" i="3"/>
  <c r="CY316" i="3"/>
  <c r="CZ316" i="3"/>
  <c r="DB316" i="3" s="1"/>
  <c r="DA316" i="3"/>
  <c r="DC316" i="3"/>
  <c r="A317" i="3"/>
  <c r="CY317" i="3"/>
  <c r="CZ317" i="3"/>
  <c r="DA317" i="3"/>
  <c r="DB317" i="3"/>
  <c r="DC317" i="3"/>
  <c r="A318" i="3"/>
  <c r="CY318" i="3"/>
  <c r="CZ318" i="3"/>
  <c r="DA318" i="3"/>
  <c r="DB318" i="3"/>
  <c r="DC318" i="3"/>
  <c r="A319" i="3"/>
  <c r="CY319" i="3"/>
  <c r="CZ319" i="3"/>
  <c r="DB319" i="3" s="1"/>
  <c r="DA319" i="3"/>
  <c r="DC319" i="3"/>
  <c r="A320" i="3"/>
  <c r="CY320" i="3"/>
  <c r="CZ320" i="3"/>
  <c r="DB320" i="3" s="1"/>
  <c r="DA320" i="3"/>
  <c r="DC320" i="3"/>
  <c r="A321" i="3"/>
  <c r="CY321" i="3"/>
  <c r="CZ321" i="3"/>
  <c r="DA321" i="3"/>
  <c r="DB321" i="3"/>
  <c r="DC321" i="3"/>
  <c r="A322" i="3"/>
  <c r="CY322" i="3"/>
  <c r="CZ322" i="3"/>
  <c r="DA322" i="3"/>
  <c r="DB322" i="3"/>
  <c r="DC322" i="3"/>
  <c r="A323" i="3"/>
  <c r="CY323" i="3"/>
  <c r="CZ323" i="3"/>
  <c r="DB323" i="3" s="1"/>
  <c r="DA323" i="3"/>
  <c r="DC323" i="3"/>
  <c r="A324" i="3"/>
  <c r="CY324" i="3"/>
  <c r="CZ324" i="3"/>
  <c r="DB324" i="3" s="1"/>
  <c r="DA324" i="3"/>
  <c r="DC324" i="3"/>
  <c r="A325" i="3"/>
  <c r="CX325" i="3"/>
  <c r="CY325" i="3"/>
  <c r="CZ325" i="3"/>
  <c r="DA325" i="3"/>
  <c r="DB325" i="3"/>
  <c r="DC325" i="3"/>
  <c r="A326" i="3"/>
  <c r="CX326" i="3"/>
  <c r="CY326" i="3"/>
  <c r="CZ326" i="3"/>
  <c r="DA326" i="3"/>
  <c r="DB326" i="3"/>
  <c r="DC326" i="3"/>
  <c r="A327" i="3"/>
  <c r="CX327" i="3"/>
  <c r="CY327" i="3"/>
  <c r="CZ327" i="3"/>
  <c r="DB327" i="3" s="1"/>
  <c r="DA327" i="3"/>
  <c r="DC327" i="3"/>
  <c r="A328" i="3"/>
  <c r="CX328" i="3"/>
  <c r="CY328" i="3"/>
  <c r="CZ328" i="3"/>
  <c r="DB328" i="3" s="1"/>
  <c r="DA328" i="3"/>
  <c r="DC328" i="3"/>
  <c r="A329" i="3"/>
  <c r="CX329" i="3"/>
  <c r="CY329" i="3"/>
  <c r="CZ329" i="3"/>
  <c r="DA329" i="3"/>
  <c r="DB329" i="3"/>
  <c r="DC329" i="3"/>
  <c r="A330" i="3"/>
  <c r="CX330" i="3"/>
  <c r="CY330" i="3"/>
  <c r="CZ330" i="3"/>
  <c r="DA330" i="3"/>
  <c r="DB330" i="3"/>
  <c r="DC330" i="3"/>
  <c r="A331" i="3"/>
  <c r="CX331" i="3"/>
  <c r="CY331" i="3"/>
  <c r="CZ331" i="3"/>
  <c r="DB331" i="3" s="1"/>
  <c r="DA331" i="3"/>
  <c r="DC331" i="3"/>
  <c r="A332" i="3"/>
  <c r="CX332" i="3"/>
  <c r="CY332" i="3"/>
  <c r="CZ332" i="3"/>
  <c r="DB332" i="3" s="1"/>
  <c r="DA332" i="3"/>
  <c r="DC332" i="3"/>
  <c r="A333" i="3"/>
  <c r="CX333" i="3"/>
  <c r="CY333" i="3"/>
  <c r="CZ333" i="3"/>
  <c r="DA333" i="3"/>
  <c r="DB333" i="3"/>
  <c r="DC333" i="3"/>
  <c r="A334" i="3"/>
  <c r="CX334" i="3"/>
  <c r="CY334" i="3"/>
  <c r="CZ334" i="3"/>
  <c r="DA334" i="3"/>
  <c r="DB334" i="3"/>
  <c r="DC334" i="3"/>
  <c r="A335" i="3"/>
  <c r="CX335" i="3"/>
  <c r="CY335" i="3"/>
  <c r="CZ335" i="3"/>
  <c r="DB335" i="3" s="1"/>
  <c r="DA335" i="3"/>
  <c r="DC335" i="3"/>
  <c r="A336" i="3"/>
  <c r="CX336" i="3"/>
  <c r="CY336" i="3"/>
  <c r="CZ336" i="3"/>
  <c r="DB336" i="3" s="1"/>
  <c r="DA336" i="3"/>
  <c r="DC336" i="3"/>
  <c r="A337" i="3"/>
  <c r="CX337" i="3"/>
  <c r="CY337" i="3"/>
  <c r="CZ337" i="3"/>
  <c r="DA337" i="3"/>
  <c r="DB337" i="3"/>
  <c r="DC337" i="3"/>
  <c r="A338" i="3"/>
  <c r="CX338" i="3"/>
  <c r="CY338" i="3"/>
  <c r="CZ338" i="3"/>
  <c r="DA338" i="3"/>
  <c r="DB338" i="3"/>
  <c r="DC338" i="3"/>
  <c r="A339" i="3"/>
  <c r="CX339" i="3"/>
  <c r="CY339" i="3"/>
  <c r="CZ339" i="3"/>
  <c r="DB339" i="3" s="1"/>
  <c r="DA339" i="3"/>
  <c r="DC339" i="3"/>
  <c r="A340" i="3"/>
  <c r="CX340" i="3"/>
  <c r="CY340" i="3"/>
  <c r="CZ340" i="3"/>
  <c r="DB340" i="3" s="1"/>
  <c r="DA340" i="3"/>
  <c r="DC340" i="3"/>
  <c r="A341" i="3"/>
  <c r="CX341" i="3"/>
  <c r="CY341" i="3"/>
  <c r="CZ341" i="3"/>
  <c r="DA341" i="3"/>
  <c r="DB341" i="3"/>
  <c r="DC341" i="3"/>
  <c r="A342" i="3"/>
  <c r="CX342" i="3"/>
  <c r="CY342" i="3"/>
  <c r="CZ342" i="3"/>
  <c r="DA342" i="3"/>
  <c r="DB342" i="3"/>
  <c r="DC342" i="3"/>
  <c r="A343" i="3"/>
  <c r="CX343" i="3"/>
  <c r="CY343" i="3"/>
  <c r="CZ343" i="3"/>
  <c r="DB343" i="3" s="1"/>
  <c r="DA343" i="3"/>
  <c r="DC343" i="3"/>
  <c r="A344" i="3"/>
  <c r="CX344" i="3"/>
  <c r="CY344" i="3"/>
  <c r="CZ344" i="3"/>
  <c r="DB344" i="3" s="1"/>
  <c r="DA344" i="3"/>
  <c r="DC344" i="3"/>
  <c r="A345" i="3"/>
  <c r="CX345" i="3"/>
  <c r="CY345" i="3"/>
  <c r="CZ345" i="3"/>
  <c r="DA345" i="3"/>
  <c r="DB345" i="3"/>
  <c r="DC345" i="3"/>
  <c r="A346" i="3"/>
  <c r="CX346" i="3"/>
  <c r="CY346" i="3"/>
  <c r="CZ346" i="3"/>
  <c r="DA346" i="3"/>
  <c r="DB346" i="3"/>
  <c r="DC346" i="3"/>
  <c r="A347" i="3"/>
  <c r="CY347" i="3"/>
  <c r="CZ347" i="3"/>
  <c r="DB347" i="3" s="1"/>
  <c r="DA347" i="3"/>
  <c r="DC347" i="3"/>
  <c r="A348" i="3"/>
  <c r="CY348" i="3"/>
  <c r="CZ348" i="3"/>
  <c r="DB348" i="3" s="1"/>
  <c r="DA348" i="3"/>
  <c r="DC348" i="3"/>
  <c r="A349" i="3"/>
  <c r="CY349" i="3"/>
  <c r="CZ349" i="3"/>
  <c r="DA349" i="3"/>
  <c r="DB349" i="3"/>
  <c r="DC349" i="3"/>
  <c r="A350" i="3"/>
  <c r="CY350" i="3"/>
  <c r="CZ350" i="3"/>
  <c r="DA350" i="3"/>
  <c r="DB350" i="3"/>
  <c r="DC350" i="3"/>
  <c r="A351" i="3"/>
  <c r="CY351" i="3"/>
  <c r="CZ351" i="3"/>
  <c r="DB351" i="3" s="1"/>
  <c r="DA351" i="3"/>
  <c r="DC351" i="3"/>
  <c r="A352" i="3"/>
  <c r="CY352" i="3"/>
  <c r="CZ352" i="3"/>
  <c r="DB352" i="3" s="1"/>
  <c r="DA352" i="3"/>
  <c r="DC352" i="3"/>
  <c r="A353" i="3"/>
  <c r="CY353" i="3"/>
  <c r="CZ353" i="3"/>
  <c r="DA353" i="3"/>
  <c r="DB353" i="3"/>
  <c r="DC353" i="3"/>
  <c r="A354" i="3"/>
  <c r="CY354" i="3"/>
  <c r="CZ354" i="3"/>
  <c r="DA354" i="3"/>
  <c r="DB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A357" i="3"/>
  <c r="DB357" i="3"/>
  <c r="DC357" i="3"/>
  <c r="A358" i="3"/>
  <c r="CY358" i="3"/>
  <c r="CZ358" i="3"/>
  <c r="DA358" i="3"/>
  <c r="DB358" i="3"/>
  <c r="DC358" i="3"/>
  <c r="A359" i="3"/>
  <c r="CY359" i="3"/>
  <c r="CZ359" i="3"/>
  <c r="DB359" i="3" s="1"/>
  <c r="DA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A362" i="3"/>
  <c r="DB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Y365" i="3"/>
  <c r="CZ365" i="3"/>
  <c r="DA365" i="3"/>
  <c r="DB365" i="3"/>
  <c r="DC365" i="3"/>
  <c r="A366" i="3"/>
  <c r="CY366" i="3"/>
  <c r="CZ366" i="3"/>
  <c r="DA366" i="3"/>
  <c r="DB366" i="3"/>
  <c r="DC366" i="3"/>
  <c r="A367" i="3"/>
  <c r="CY367" i="3"/>
  <c r="CZ367" i="3"/>
  <c r="DB367" i="3" s="1"/>
  <c r="DA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A370" i="3"/>
  <c r="DB370" i="3"/>
  <c r="DC370" i="3"/>
  <c r="A371" i="3"/>
  <c r="CY371" i="3"/>
  <c r="CZ371" i="3"/>
  <c r="DA371" i="3"/>
  <c r="DB371" i="3"/>
  <c r="DC371" i="3"/>
  <c r="A372" i="3"/>
  <c r="CY372" i="3"/>
  <c r="CZ372" i="3"/>
  <c r="DB372" i="3" s="1"/>
  <c r="DA372" i="3"/>
  <c r="DC372" i="3"/>
  <c r="A373" i="3"/>
  <c r="CY373" i="3"/>
  <c r="CZ373" i="3"/>
  <c r="DA373" i="3"/>
  <c r="DB373" i="3"/>
  <c r="DC373" i="3"/>
  <c r="A374" i="3"/>
  <c r="CY374" i="3"/>
  <c r="CZ374" i="3"/>
  <c r="DB374" i="3" s="1"/>
  <c r="DA374" i="3"/>
  <c r="DC374" i="3"/>
  <c r="A375" i="3"/>
  <c r="CY375" i="3"/>
  <c r="CZ375" i="3"/>
  <c r="DB375" i="3" s="1"/>
  <c r="DA375" i="3"/>
  <c r="DC375" i="3"/>
  <c r="A376" i="3"/>
  <c r="CY376" i="3"/>
  <c r="CZ376" i="3"/>
  <c r="DA376" i="3"/>
  <c r="DB376" i="3"/>
  <c r="DC376" i="3"/>
  <c r="A377" i="3"/>
  <c r="CY377" i="3"/>
  <c r="CZ377" i="3"/>
  <c r="DA377" i="3"/>
  <c r="DB377" i="3"/>
  <c r="DC377" i="3"/>
  <c r="A378" i="3"/>
  <c r="CY378" i="3"/>
  <c r="CZ378" i="3"/>
  <c r="DB378" i="3" s="1"/>
  <c r="DA378" i="3"/>
  <c r="DC378" i="3"/>
  <c r="A379" i="3"/>
  <c r="CY379" i="3"/>
  <c r="CZ379" i="3"/>
  <c r="DB379" i="3" s="1"/>
  <c r="DA379" i="3"/>
  <c r="DC379" i="3"/>
  <c r="A380" i="3"/>
  <c r="CY380" i="3"/>
  <c r="CZ380" i="3"/>
  <c r="DA380" i="3"/>
  <c r="DB380" i="3"/>
  <c r="DC380" i="3"/>
  <c r="A381" i="3"/>
  <c r="CY381" i="3"/>
  <c r="CZ381" i="3"/>
  <c r="DA381" i="3"/>
  <c r="DB381" i="3"/>
  <c r="DC381" i="3"/>
  <c r="A382" i="3"/>
  <c r="CY382" i="3"/>
  <c r="CZ382" i="3"/>
  <c r="DB382" i="3" s="1"/>
  <c r="DA382" i="3"/>
  <c r="DC382" i="3"/>
  <c r="A383" i="3"/>
  <c r="CY383" i="3"/>
  <c r="CZ383" i="3"/>
  <c r="DB383" i="3" s="1"/>
  <c r="DA383" i="3"/>
  <c r="DC383" i="3"/>
  <c r="A384" i="3"/>
  <c r="CY384" i="3"/>
  <c r="CZ384" i="3"/>
  <c r="DA384" i="3"/>
  <c r="DB384" i="3"/>
  <c r="DC384" i="3"/>
  <c r="A385" i="3"/>
  <c r="CY385" i="3"/>
  <c r="CZ385" i="3"/>
  <c r="DA385" i="3"/>
  <c r="DB385" i="3"/>
  <c r="DC385" i="3"/>
  <c r="A386" i="3"/>
  <c r="CY386" i="3"/>
  <c r="CZ386" i="3"/>
  <c r="DB386" i="3" s="1"/>
  <c r="DA386" i="3"/>
  <c r="DC386" i="3"/>
  <c r="A387" i="3"/>
  <c r="CY387" i="3"/>
  <c r="CZ387" i="3"/>
  <c r="DB387" i="3" s="1"/>
  <c r="DA387" i="3"/>
  <c r="DC387" i="3"/>
  <c r="A388" i="3"/>
  <c r="CY388" i="3"/>
  <c r="CZ388" i="3"/>
  <c r="DA388" i="3"/>
  <c r="DB388" i="3"/>
  <c r="DC388" i="3"/>
  <c r="A389" i="3"/>
  <c r="CY389" i="3"/>
  <c r="CZ389" i="3"/>
  <c r="DA389" i="3"/>
  <c r="DB389" i="3"/>
  <c r="DC389" i="3"/>
  <c r="A390" i="3"/>
  <c r="CY390" i="3"/>
  <c r="CZ390" i="3"/>
  <c r="DB390" i="3" s="1"/>
  <c r="DA390" i="3"/>
  <c r="DC390" i="3"/>
  <c r="A391" i="3"/>
  <c r="CY391" i="3"/>
  <c r="CZ391" i="3"/>
  <c r="DB391" i="3" s="1"/>
  <c r="DA391" i="3"/>
  <c r="DC391" i="3"/>
  <c r="A392" i="3"/>
  <c r="CY392" i="3"/>
  <c r="CZ392" i="3"/>
  <c r="DA392" i="3"/>
  <c r="DB392" i="3"/>
  <c r="DC392" i="3"/>
  <c r="A393" i="3"/>
  <c r="CY393" i="3"/>
  <c r="CZ393" i="3"/>
  <c r="DA393" i="3"/>
  <c r="DB393" i="3"/>
  <c r="DC393" i="3"/>
  <c r="A394" i="3"/>
  <c r="CY394" i="3"/>
  <c r="CZ394" i="3"/>
  <c r="DB394" i="3" s="1"/>
  <c r="DA394" i="3"/>
  <c r="DC394" i="3"/>
  <c r="A395" i="3"/>
  <c r="CY395" i="3"/>
  <c r="CZ395" i="3"/>
  <c r="DB395" i="3" s="1"/>
  <c r="DA395" i="3"/>
  <c r="DC395" i="3"/>
  <c r="A396" i="3"/>
  <c r="CY396" i="3"/>
  <c r="CZ396" i="3"/>
  <c r="DA396" i="3"/>
  <c r="DB396" i="3"/>
  <c r="DC396" i="3"/>
  <c r="A397" i="3"/>
  <c r="CY397" i="3"/>
  <c r="CZ397" i="3"/>
  <c r="DA397" i="3"/>
  <c r="DB397" i="3"/>
  <c r="DC397" i="3"/>
  <c r="A398" i="3"/>
  <c r="CY398" i="3"/>
  <c r="CZ398" i="3"/>
  <c r="DB398" i="3" s="1"/>
  <c r="DA398" i="3"/>
  <c r="DC398" i="3"/>
  <c r="A399" i="3"/>
  <c r="CY399" i="3"/>
  <c r="CZ399" i="3"/>
  <c r="DB399" i="3" s="1"/>
  <c r="DA399" i="3"/>
  <c r="DC399" i="3"/>
  <c r="A400" i="3"/>
  <c r="CY400" i="3"/>
  <c r="CZ400" i="3"/>
  <c r="DA400" i="3"/>
  <c r="DB400" i="3"/>
  <c r="DC400" i="3"/>
  <c r="A401" i="3"/>
  <c r="CY401" i="3"/>
  <c r="CZ401" i="3"/>
  <c r="DA401" i="3"/>
  <c r="DB401" i="3"/>
  <c r="DC401" i="3"/>
  <c r="A402" i="3"/>
  <c r="CY402" i="3"/>
  <c r="CZ402" i="3"/>
  <c r="DB402" i="3" s="1"/>
  <c r="DA402" i="3"/>
  <c r="DC402" i="3"/>
  <c r="A403" i="3"/>
  <c r="CY403" i="3"/>
  <c r="CZ403" i="3"/>
  <c r="DB403" i="3" s="1"/>
  <c r="DA403" i="3"/>
  <c r="DC403" i="3"/>
  <c r="A404" i="3"/>
  <c r="CY404" i="3"/>
  <c r="CZ404" i="3"/>
  <c r="DA404" i="3"/>
  <c r="DB404" i="3"/>
  <c r="DC404" i="3"/>
  <c r="A405" i="3"/>
  <c r="CY405" i="3"/>
  <c r="CZ405" i="3"/>
  <c r="DA405" i="3"/>
  <c r="DB405" i="3"/>
  <c r="DC405" i="3"/>
  <c r="A406" i="3"/>
  <c r="CY406" i="3"/>
  <c r="CZ406" i="3"/>
  <c r="DB406" i="3" s="1"/>
  <c r="DA406" i="3"/>
  <c r="DC406" i="3"/>
  <c r="A407" i="3"/>
  <c r="CY407" i="3"/>
  <c r="CZ407" i="3"/>
  <c r="DB407" i="3" s="1"/>
  <c r="DA407" i="3"/>
  <c r="DC407" i="3"/>
  <c r="A408" i="3"/>
  <c r="CY408" i="3"/>
  <c r="CZ408" i="3"/>
  <c r="DA408" i="3"/>
  <c r="DB408" i="3"/>
  <c r="DC408" i="3"/>
  <c r="A409" i="3"/>
  <c r="CY409" i="3"/>
  <c r="CZ409" i="3"/>
  <c r="DA409" i="3"/>
  <c r="DB409" i="3"/>
  <c r="DC409" i="3"/>
  <c r="A410" i="3"/>
  <c r="CY410" i="3"/>
  <c r="CZ410" i="3"/>
  <c r="DB410" i="3" s="1"/>
  <c r="DA410" i="3"/>
  <c r="DC410" i="3"/>
  <c r="A411" i="3"/>
  <c r="CY411" i="3"/>
  <c r="CZ411" i="3"/>
  <c r="DB411" i="3" s="1"/>
  <c r="DA411" i="3"/>
  <c r="DC411" i="3"/>
  <c r="A412" i="3"/>
  <c r="CY412" i="3"/>
  <c r="CZ412" i="3"/>
  <c r="DA412" i="3"/>
  <c r="DB412" i="3"/>
  <c r="DC412" i="3"/>
  <c r="A413" i="3"/>
  <c r="CY413" i="3"/>
  <c r="CZ413" i="3"/>
  <c r="DA413" i="3"/>
  <c r="DB413" i="3"/>
  <c r="DC413" i="3"/>
  <c r="A414" i="3"/>
  <c r="CY414" i="3"/>
  <c r="CZ414" i="3"/>
  <c r="DB414" i="3" s="1"/>
  <c r="DA414" i="3"/>
  <c r="DC414" i="3"/>
  <c r="A415" i="3"/>
  <c r="CY415" i="3"/>
  <c r="CZ415" i="3"/>
  <c r="DB415" i="3" s="1"/>
  <c r="DA415" i="3"/>
  <c r="DC415" i="3"/>
  <c r="A416" i="3"/>
  <c r="CY416" i="3"/>
  <c r="CZ416" i="3"/>
  <c r="DA416" i="3"/>
  <c r="DB416" i="3"/>
  <c r="DC416" i="3"/>
  <c r="A417" i="3"/>
  <c r="CY417" i="3"/>
  <c r="CZ417" i="3"/>
  <c r="DA417" i="3"/>
  <c r="DB417" i="3"/>
  <c r="DC417" i="3"/>
  <c r="A418" i="3"/>
  <c r="CY418" i="3"/>
  <c r="CZ418" i="3"/>
  <c r="DB418" i="3" s="1"/>
  <c r="DA418" i="3"/>
  <c r="DC418" i="3"/>
  <c r="A419" i="3"/>
  <c r="CY419" i="3"/>
  <c r="CZ419" i="3"/>
  <c r="DB419" i="3" s="1"/>
  <c r="DA419" i="3"/>
  <c r="DC419" i="3"/>
  <c r="A420" i="3"/>
  <c r="CY420" i="3"/>
  <c r="CZ420" i="3"/>
  <c r="DA420" i="3"/>
  <c r="DB420" i="3"/>
  <c r="DC420" i="3"/>
  <c r="A421" i="3"/>
  <c r="CY421" i="3"/>
  <c r="CZ421" i="3"/>
  <c r="DA421" i="3"/>
  <c r="DB421" i="3"/>
  <c r="DC421" i="3"/>
  <c r="A422" i="3"/>
  <c r="CY422" i="3"/>
  <c r="CZ422" i="3"/>
  <c r="DB422" i="3" s="1"/>
  <c r="DA422" i="3"/>
  <c r="DC422" i="3"/>
  <c r="A423" i="3"/>
  <c r="CY423" i="3"/>
  <c r="CZ423" i="3"/>
  <c r="DB423" i="3" s="1"/>
  <c r="DA423" i="3"/>
  <c r="DC423" i="3"/>
  <c r="A424" i="3"/>
  <c r="CY424" i="3"/>
  <c r="CZ424" i="3"/>
  <c r="DA424" i="3"/>
  <c r="DB424" i="3"/>
  <c r="DC424" i="3"/>
  <c r="A425" i="3"/>
  <c r="CY425" i="3"/>
  <c r="CZ425" i="3"/>
  <c r="DA425" i="3"/>
  <c r="DB425" i="3"/>
  <c r="DC425" i="3"/>
  <c r="A426" i="3"/>
  <c r="CY426" i="3"/>
  <c r="CZ426" i="3"/>
  <c r="DB426" i="3" s="1"/>
  <c r="DA426" i="3"/>
  <c r="DC426" i="3"/>
  <c r="A427" i="3"/>
  <c r="CY427" i="3"/>
  <c r="CZ427" i="3"/>
  <c r="DB427" i="3" s="1"/>
  <c r="DA427" i="3"/>
  <c r="DC427" i="3"/>
  <c r="A428" i="3"/>
  <c r="CY428" i="3"/>
  <c r="CZ428" i="3"/>
  <c r="DA428" i="3"/>
  <c r="DB428" i="3"/>
  <c r="DC428" i="3"/>
  <c r="A429" i="3"/>
  <c r="CY429" i="3"/>
  <c r="CZ429" i="3"/>
  <c r="DA429" i="3"/>
  <c r="DB429" i="3"/>
  <c r="DC429" i="3"/>
  <c r="A430" i="3"/>
  <c r="CY430" i="3"/>
  <c r="CZ430" i="3"/>
  <c r="DB430" i="3" s="1"/>
  <c r="DA430" i="3"/>
  <c r="DC430" i="3"/>
  <c r="A431" i="3"/>
  <c r="CY431" i="3"/>
  <c r="CZ431" i="3"/>
  <c r="DB431" i="3" s="1"/>
  <c r="DA431" i="3"/>
  <c r="DC431" i="3"/>
  <c r="A432" i="3"/>
  <c r="CY432" i="3"/>
  <c r="CZ432" i="3"/>
  <c r="DA432" i="3"/>
  <c r="DB432" i="3"/>
  <c r="DC432" i="3"/>
  <c r="A433" i="3"/>
  <c r="CY433" i="3"/>
  <c r="CZ433" i="3"/>
  <c r="DA433" i="3"/>
  <c r="DB433" i="3"/>
  <c r="DC433" i="3"/>
  <c r="A434" i="3"/>
  <c r="CY434" i="3"/>
  <c r="CZ434" i="3"/>
  <c r="DB434" i="3" s="1"/>
  <c r="DA434" i="3"/>
  <c r="DC434" i="3"/>
  <c r="A435" i="3"/>
  <c r="CY435" i="3"/>
  <c r="CZ435" i="3"/>
  <c r="DB435" i="3" s="1"/>
  <c r="DA435" i="3"/>
  <c r="DC435" i="3"/>
  <c r="A436" i="3"/>
  <c r="CY436" i="3"/>
  <c r="CZ436" i="3"/>
  <c r="DA436" i="3"/>
  <c r="DB436" i="3"/>
  <c r="DC436" i="3"/>
  <c r="A437" i="3"/>
  <c r="CY437" i="3"/>
  <c r="CZ437" i="3"/>
  <c r="DA437" i="3"/>
  <c r="DB437" i="3"/>
  <c r="DC437" i="3"/>
  <c r="A438" i="3"/>
  <c r="CY438" i="3"/>
  <c r="CZ438" i="3"/>
  <c r="DB438" i="3" s="1"/>
  <c r="DA438" i="3"/>
  <c r="DC438" i="3"/>
  <c r="A439" i="3"/>
  <c r="CY439" i="3"/>
  <c r="CZ439" i="3"/>
  <c r="DB439" i="3" s="1"/>
  <c r="DA439" i="3"/>
  <c r="DC439" i="3"/>
  <c r="A440" i="3"/>
  <c r="CY440" i="3"/>
  <c r="CZ440" i="3"/>
  <c r="DA440" i="3"/>
  <c r="DB440" i="3"/>
  <c r="DC440" i="3"/>
  <c r="A441" i="3"/>
  <c r="CY441" i="3"/>
  <c r="CZ441" i="3"/>
  <c r="DA441" i="3"/>
  <c r="DB441" i="3"/>
  <c r="DC441" i="3"/>
  <c r="A442" i="3"/>
  <c r="CY442" i="3"/>
  <c r="CZ442" i="3"/>
  <c r="DB442" i="3" s="1"/>
  <c r="DA442" i="3"/>
  <c r="DC442" i="3"/>
  <c r="A443" i="3"/>
  <c r="CY443" i="3"/>
  <c r="CZ443" i="3"/>
  <c r="DB443" i="3" s="1"/>
  <c r="DA443" i="3"/>
  <c r="DC443" i="3"/>
  <c r="A444" i="3"/>
  <c r="CY444" i="3"/>
  <c r="CZ444" i="3"/>
  <c r="DA444" i="3"/>
  <c r="DB444" i="3"/>
  <c r="DC444" i="3"/>
  <c r="A445" i="3"/>
  <c r="CY445" i="3"/>
  <c r="CZ445" i="3"/>
  <c r="DA445" i="3"/>
  <c r="DB445" i="3"/>
  <c r="DC445" i="3"/>
  <c r="A446" i="3"/>
  <c r="CY446" i="3"/>
  <c r="CZ446" i="3"/>
  <c r="DB446" i="3" s="1"/>
  <c r="DA446" i="3"/>
  <c r="DC446" i="3"/>
  <c r="A447" i="3"/>
  <c r="CY447" i="3"/>
  <c r="CZ447" i="3"/>
  <c r="DB447" i="3" s="1"/>
  <c r="DA447" i="3"/>
  <c r="DC447" i="3"/>
  <c r="A448" i="3"/>
  <c r="CY448" i="3"/>
  <c r="CZ448" i="3"/>
  <c r="DA448" i="3"/>
  <c r="DB448" i="3"/>
  <c r="DC448" i="3"/>
  <c r="A449" i="3"/>
  <c r="CY449" i="3"/>
  <c r="CZ449" i="3"/>
  <c r="DA449" i="3"/>
  <c r="DB449" i="3"/>
  <c r="DC449" i="3"/>
  <c r="A450" i="3"/>
  <c r="CY450" i="3"/>
  <c r="CZ450" i="3"/>
  <c r="DB450" i="3" s="1"/>
  <c r="DA450" i="3"/>
  <c r="DC450" i="3"/>
  <c r="A451" i="3"/>
  <c r="CY451" i="3"/>
  <c r="CZ451" i="3"/>
  <c r="DB451" i="3" s="1"/>
  <c r="DA451" i="3"/>
  <c r="DC451" i="3"/>
  <c r="A452" i="3"/>
  <c r="CY452" i="3"/>
  <c r="CZ452" i="3"/>
  <c r="DA452" i="3"/>
  <c r="DB452" i="3"/>
  <c r="DC452" i="3"/>
  <c r="A453" i="3"/>
  <c r="CY453" i="3"/>
  <c r="CZ453" i="3"/>
  <c r="DA453" i="3"/>
  <c r="DB453" i="3"/>
  <c r="DC453" i="3"/>
  <c r="A454" i="3"/>
  <c r="CY454" i="3"/>
  <c r="CZ454" i="3"/>
  <c r="DB454" i="3" s="1"/>
  <c r="DA454" i="3"/>
  <c r="DC454" i="3"/>
  <c r="A455" i="3"/>
  <c r="CY455" i="3"/>
  <c r="CZ455" i="3"/>
  <c r="DB455" i="3" s="1"/>
  <c r="DA455" i="3"/>
  <c r="DC455" i="3"/>
  <c r="A456" i="3"/>
  <c r="CY456" i="3"/>
  <c r="CZ456" i="3"/>
  <c r="DA456" i="3"/>
  <c r="DB456" i="3"/>
  <c r="DC45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B24" i="1" s="1"/>
  <c r="AD24" i="1"/>
  <c r="CR24" i="1" s="1"/>
  <c r="Q24" i="1" s="1"/>
  <c r="AE24" i="1"/>
  <c r="AF24" i="1"/>
  <c r="AG24" i="1"/>
  <c r="AH24" i="1"/>
  <c r="CV24" i="1" s="1"/>
  <c r="U24" i="1" s="1"/>
  <c r="AI24" i="1"/>
  <c r="AJ24" i="1"/>
  <c r="CS24" i="1"/>
  <c r="R24" i="1" s="1"/>
  <c r="GK24" i="1" s="1"/>
  <c r="CT24" i="1"/>
  <c r="S24" i="1" s="1"/>
  <c r="CU24" i="1"/>
  <c r="T24" i="1" s="1"/>
  <c r="CW24" i="1"/>
  <c r="V24" i="1" s="1"/>
  <c r="CX24" i="1"/>
  <c r="W24" i="1" s="1"/>
  <c r="FR24" i="1"/>
  <c r="GL24" i="1"/>
  <c r="GO24" i="1"/>
  <c r="GP24" i="1"/>
  <c r="GV24" i="1"/>
  <c r="HC24" i="1"/>
  <c r="GX24" i="1" s="1"/>
  <c r="C25" i="1"/>
  <c r="D25" i="1"/>
  <c r="I25" i="1"/>
  <c r="AC25" i="1"/>
  <c r="AB25" i="1" s="1"/>
  <c r="AD25" i="1"/>
  <c r="CR25" i="1" s="1"/>
  <c r="Q25" i="1" s="1"/>
  <c r="AE25" i="1"/>
  <c r="AF25" i="1"/>
  <c r="AG25" i="1"/>
  <c r="AH25" i="1"/>
  <c r="CV25" i="1" s="1"/>
  <c r="U25" i="1" s="1"/>
  <c r="AI25" i="1"/>
  <c r="AJ25" i="1"/>
  <c r="CS25" i="1"/>
  <c r="R25" i="1" s="1"/>
  <c r="GK25" i="1" s="1"/>
  <c r="CT25" i="1"/>
  <c r="S25" i="1" s="1"/>
  <c r="CU25" i="1"/>
  <c r="T25" i="1" s="1"/>
  <c r="CW25" i="1"/>
  <c r="V25" i="1" s="1"/>
  <c r="CX25" i="1"/>
  <c r="W25" i="1" s="1"/>
  <c r="FR25" i="1"/>
  <c r="GL25" i="1"/>
  <c r="GO25" i="1"/>
  <c r="GP25" i="1"/>
  <c r="GV25" i="1"/>
  <c r="HC25" i="1"/>
  <c r="GX25" i="1" s="1"/>
  <c r="C26" i="1"/>
  <c r="D26" i="1"/>
  <c r="I26" i="1"/>
  <c r="P26" i="1"/>
  <c r="AC26" i="1"/>
  <c r="AB26" i="1" s="1"/>
  <c r="AD26" i="1"/>
  <c r="CR26" i="1" s="1"/>
  <c r="Q26" i="1" s="1"/>
  <c r="AE26" i="1"/>
  <c r="AF26" i="1"/>
  <c r="AG26" i="1"/>
  <c r="AH26" i="1"/>
  <c r="CV26" i="1" s="1"/>
  <c r="U26" i="1" s="1"/>
  <c r="AI26" i="1"/>
  <c r="AJ26" i="1"/>
  <c r="CQ26" i="1"/>
  <c r="CS26" i="1"/>
  <c r="R26" i="1" s="1"/>
  <c r="GK26" i="1" s="1"/>
  <c r="CT26" i="1"/>
  <c r="S26" i="1" s="1"/>
  <c r="CU26" i="1"/>
  <c r="T26" i="1" s="1"/>
  <c r="CW26" i="1"/>
  <c r="V26" i="1" s="1"/>
  <c r="CX26" i="1"/>
  <c r="W26" i="1" s="1"/>
  <c r="FR26" i="1"/>
  <c r="GL26" i="1"/>
  <c r="GO26" i="1"/>
  <c r="GP26" i="1"/>
  <c r="GV26" i="1"/>
  <c r="HC26" i="1"/>
  <c r="GX26" i="1" s="1"/>
  <c r="C27" i="1"/>
  <c r="D27" i="1"/>
  <c r="I27" i="1"/>
  <c r="P27" i="1"/>
  <c r="AC27" i="1"/>
  <c r="AB27" i="1" s="1"/>
  <c r="AD27" i="1"/>
  <c r="CR27" i="1" s="1"/>
  <c r="Q27" i="1" s="1"/>
  <c r="AE27" i="1"/>
  <c r="AF27" i="1"/>
  <c r="AG27" i="1"/>
  <c r="AH27" i="1"/>
  <c r="CV27" i="1" s="1"/>
  <c r="U27" i="1" s="1"/>
  <c r="AI27" i="1"/>
  <c r="AJ27" i="1"/>
  <c r="CQ27" i="1"/>
  <c r="CS27" i="1"/>
  <c r="R27" i="1" s="1"/>
  <c r="GK27" i="1" s="1"/>
  <c r="CT27" i="1"/>
  <c r="S27" i="1" s="1"/>
  <c r="CU27" i="1"/>
  <c r="T27" i="1" s="1"/>
  <c r="CW27" i="1"/>
  <c r="V27" i="1" s="1"/>
  <c r="CX27" i="1"/>
  <c r="W27" i="1" s="1"/>
  <c r="FR27" i="1"/>
  <c r="GL27" i="1"/>
  <c r="GO27" i="1"/>
  <c r="GP27" i="1"/>
  <c r="GV27" i="1"/>
  <c r="HC27" i="1"/>
  <c r="GX27" i="1" s="1"/>
  <c r="I28" i="1"/>
  <c r="U28" i="1"/>
  <c r="AC28" i="1"/>
  <c r="AE28" i="1"/>
  <c r="AD28" i="1" s="1"/>
  <c r="AB28" i="1" s="1"/>
  <c r="AF28" i="1"/>
  <c r="CT28" i="1" s="1"/>
  <c r="AG28" i="1"/>
  <c r="AH28" i="1"/>
  <c r="AI28" i="1"/>
  <c r="AJ28" i="1"/>
  <c r="CX28" i="1" s="1"/>
  <c r="CQ28" i="1"/>
  <c r="CR28" i="1"/>
  <c r="Q28" i="1" s="1"/>
  <c r="CS28" i="1"/>
  <c r="R28" i="1" s="1"/>
  <c r="GK28" i="1" s="1"/>
  <c r="CU28" i="1"/>
  <c r="CV28" i="1"/>
  <c r="CW28" i="1"/>
  <c r="V28" i="1" s="1"/>
  <c r="FR28" i="1"/>
  <c r="GL28" i="1"/>
  <c r="GO28" i="1"/>
  <c r="GP28" i="1"/>
  <c r="GV28" i="1"/>
  <c r="HC28" i="1" s="1"/>
  <c r="GX28" i="1" s="1"/>
  <c r="I29" i="1"/>
  <c r="AC29" i="1"/>
  <c r="AB29" i="1" s="1"/>
  <c r="AD29" i="1"/>
  <c r="CR29" i="1" s="1"/>
  <c r="Q29" i="1" s="1"/>
  <c r="AE29" i="1"/>
  <c r="AF29" i="1"/>
  <c r="AG29" i="1"/>
  <c r="AH29" i="1"/>
  <c r="CV29" i="1" s="1"/>
  <c r="U29" i="1" s="1"/>
  <c r="AI29" i="1"/>
  <c r="AJ29" i="1"/>
  <c r="CS29" i="1"/>
  <c r="R29" i="1" s="1"/>
  <c r="CT29" i="1"/>
  <c r="S29" i="1" s="1"/>
  <c r="CU29" i="1"/>
  <c r="T29" i="1" s="1"/>
  <c r="CW29" i="1"/>
  <c r="V29" i="1" s="1"/>
  <c r="CX29" i="1"/>
  <c r="W29" i="1" s="1"/>
  <c r="FR29" i="1"/>
  <c r="GK29" i="1"/>
  <c r="GL29" i="1"/>
  <c r="GO29" i="1"/>
  <c r="GP29" i="1"/>
  <c r="GV29" i="1"/>
  <c r="HC29" i="1"/>
  <c r="GX29" i="1" s="1"/>
  <c r="C30" i="1"/>
  <c r="D30" i="1"/>
  <c r="I30" i="1"/>
  <c r="AC30" i="1"/>
  <c r="AB30" i="1" s="1"/>
  <c r="AD30" i="1"/>
  <c r="CR30" i="1" s="1"/>
  <c r="Q30" i="1" s="1"/>
  <c r="AE30" i="1"/>
  <c r="AF30" i="1"/>
  <c r="AG30" i="1"/>
  <c r="AH30" i="1"/>
  <c r="CV30" i="1" s="1"/>
  <c r="U30" i="1" s="1"/>
  <c r="AI30" i="1"/>
  <c r="AJ30" i="1"/>
  <c r="CS30" i="1"/>
  <c r="R30" i="1" s="1"/>
  <c r="CT30" i="1"/>
  <c r="S30" i="1" s="1"/>
  <c r="CU30" i="1"/>
  <c r="T30" i="1" s="1"/>
  <c r="CW30" i="1"/>
  <c r="V30" i="1" s="1"/>
  <c r="CX30" i="1"/>
  <c r="W30" i="1" s="1"/>
  <c r="FR30" i="1"/>
  <c r="GK30" i="1"/>
  <c r="GL30" i="1"/>
  <c r="GO30" i="1"/>
  <c r="GP30" i="1"/>
  <c r="GV30" i="1"/>
  <c r="HC30" i="1"/>
  <c r="GX30" i="1" s="1"/>
  <c r="C31" i="1"/>
  <c r="D31" i="1"/>
  <c r="I31" i="1"/>
  <c r="S31" i="1"/>
  <c r="V31" i="1"/>
  <c r="AC31" i="1"/>
  <c r="AB31" i="1" s="1"/>
  <c r="AD31" i="1"/>
  <c r="CR31" i="1" s="1"/>
  <c r="Q31" i="1" s="1"/>
  <c r="AE31" i="1"/>
  <c r="AF31" i="1"/>
  <c r="AG31" i="1"/>
  <c r="AH31" i="1"/>
  <c r="CV31" i="1" s="1"/>
  <c r="U31" i="1" s="1"/>
  <c r="AI31" i="1"/>
  <c r="AJ31" i="1"/>
  <c r="CS31" i="1"/>
  <c r="R31" i="1" s="1"/>
  <c r="GK31" i="1" s="1"/>
  <c r="CT31" i="1"/>
  <c r="CU31" i="1"/>
  <c r="T31" i="1" s="1"/>
  <c r="CW31" i="1"/>
  <c r="CX31" i="1"/>
  <c r="W31" i="1" s="1"/>
  <c r="FR31" i="1"/>
  <c r="GL31" i="1"/>
  <c r="GO31" i="1"/>
  <c r="GP31" i="1"/>
  <c r="GV31" i="1"/>
  <c r="HC31" i="1"/>
  <c r="GX31" i="1" s="1"/>
  <c r="I32" i="1"/>
  <c r="P32" i="1" s="1"/>
  <c r="R32" i="1"/>
  <c r="GK32" i="1" s="1"/>
  <c r="AC32" i="1"/>
  <c r="AD32" i="1"/>
  <c r="AB32" i="1" s="1"/>
  <c r="AE32" i="1"/>
  <c r="AF32" i="1"/>
  <c r="CT32" i="1" s="1"/>
  <c r="AG32" i="1"/>
  <c r="AH32" i="1"/>
  <c r="CV32" i="1" s="1"/>
  <c r="U32" i="1" s="1"/>
  <c r="AI32" i="1"/>
  <c r="AJ32" i="1"/>
  <c r="CX32" i="1" s="1"/>
  <c r="CQ32" i="1"/>
  <c r="CR32" i="1"/>
  <c r="Q32" i="1" s="1"/>
  <c r="CS32" i="1"/>
  <c r="CU32" i="1"/>
  <c r="T32" i="1" s="1"/>
  <c r="CW32" i="1"/>
  <c r="V32" i="1" s="1"/>
  <c r="FR32" i="1"/>
  <c r="GL32" i="1"/>
  <c r="GO32" i="1"/>
  <c r="GP32" i="1"/>
  <c r="GV32" i="1"/>
  <c r="HC32" i="1" s="1"/>
  <c r="GX32" i="1" s="1"/>
  <c r="AC33" i="1"/>
  <c r="AD33" i="1"/>
  <c r="CR33" i="1" s="1"/>
  <c r="AE33" i="1"/>
  <c r="AF33" i="1"/>
  <c r="AB33" i="1" s="1"/>
  <c r="AG33" i="1"/>
  <c r="AH33" i="1"/>
  <c r="CV33" i="1" s="1"/>
  <c r="AI33" i="1"/>
  <c r="AJ33" i="1"/>
  <c r="CX33" i="1" s="1"/>
  <c r="CQ33" i="1"/>
  <c r="CS33" i="1"/>
  <c r="CT33" i="1"/>
  <c r="CU33" i="1"/>
  <c r="CW33" i="1"/>
  <c r="FR33" i="1"/>
  <c r="GL33" i="1"/>
  <c r="GO33" i="1"/>
  <c r="GP33" i="1"/>
  <c r="GV33" i="1"/>
  <c r="HC33" i="1"/>
  <c r="C34" i="1"/>
  <c r="D34" i="1"/>
  <c r="I34" i="1"/>
  <c r="AC34" i="1"/>
  <c r="AD34" i="1"/>
  <c r="CR34" i="1" s="1"/>
  <c r="Q34" i="1" s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P34" i="1" s="1"/>
  <c r="CS34" i="1"/>
  <c r="R34" i="1" s="1"/>
  <c r="GK34" i="1" s="1"/>
  <c r="CU34" i="1"/>
  <c r="T34" i="1" s="1"/>
  <c r="CW34" i="1"/>
  <c r="V34" i="1" s="1"/>
  <c r="FR34" i="1"/>
  <c r="GL34" i="1"/>
  <c r="GO34" i="1"/>
  <c r="GP34" i="1"/>
  <c r="GV34" i="1"/>
  <c r="HC34" i="1" s="1"/>
  <c r="GX34" i="1" s="1"/>
  <c r="C35" i="1"/>
  <c r="D35" i="1"/>
  <c r="I35" i="1"/>
  <c r="AC35" i="1"/>
  <c r="AD35" i="1"/>
  <c r="CR35" i="1" s="1"/>
  <c r="Q35" i="1" s="1"/>
  <c r="AE35" i="1"/>
  <c r="AF35" i="1"/>
  <c r="CT35" i="1" s="1"/>
  <c r="S35" i="1" s="1"/>
  <c r="CY35" i="1" s="1"/>
  <c r="X35" i="1" s="1"/>
  <c r="AG35" i="1"/>
  <c r="AH35" i="1"/>
  <c r="CV35" i="1" s="1"/>
  <c r="U35" i="1" s="1"/>
  <c r="AI35" i="1"/>
  <c r="AJ35" i="1"/>
  <c r="CX35" i="1" s="1"/>
  <c r="W35" i="1" s="1"/>
  <c r="CQ35" i="1"/>
  <c r="P35" i="1" s="1"/>
  <c r="CS35" i="1"/>
  <c r="R35" i="1" s="1"/>
  <c r="GK35" i="1" s="1"/>
  <c r="CU35" i="1"/>
  <c r="T35" i="1" s="1"/>
  <c r="CW35" i="1"/>
  <c r="V35" i="1" s="1"/>
  <c r="FR35" i="1"/>
  <c r="GL35" i="1"/>
  <c r="GO35" i="1"/>
  <c r="GP35" i="1"/>
  <c r="GV35" i="1"/>
  <c r="HC35" i="1" s="1"/>
  <c r="GX35" i="1" s="1"/>
  <c r="I36" i="1"/>
  <c r="GX36" i="1" s="1"/>
  <c r="AC36" i="1"/>
  <c r="AD36" i="1"/>
  <c r="CR36" i="1" s="1"/>
  <c r="AE36" i="1"/>
  <c r="AF36" i="1"/>
  <c r="CT36" i="1" s="1"/>
  <c r="AG36" i="1"/>
  <c r="AH36" i="1"/>
  <c r="CV36" i="1" s="1"/>
  <c r="AI36" i="1"/>
  <c r="AJ36" i="1"/>
  <c r="CX36" i="1" s="1"/>
  <c r="CQ36" i="1"/>
  <c r="P36" i="1" s="1"/>
  <c r="CS36" i="1"/>
  <c r="R36" i="1" s="1"/>
  <c r="GK36" i="1" s="1"/>
  <c r="CU36" i="1"/>
  <c r="CW36" i="1"/>
  <c r="V36" i="1" s="1"/>
  <c r="FR36" i="1"/>
  <c r="GL36" i="1"/>
  <c r="GO36" i="1"/>
  <c r="GP36" i="1"/>
  <c r="GV36" i="1"/>
  <c r="HC36" i="1"/>
  <c r="I37" i="1"/>
  <c r="AC37" i="1"/>
  <c r="AD37" i="1"/>
  <c r="AE37" i="1"/>
  <c r="AF37" i="1"/>
  <c r="CT37" i="1" s="1"/>
  <c r="S37" i="1" s="1"/>
  <c r="CZ37" i="1" s="1"/>
  <c r="Y37" i="1" s="1"/>
  <c r="AG37" i="1"/>
  <c r="AH37" i="1"/>
  <c r="CV37" i="1" s="1"/>
  <c r="U37" i="1" s="1"/>
  <c r="AI37" i="1"/>
  <c r="AJ37" i="1"/>
  <c r="CX37" i="1" s="1"/>
  <c r="W37" i="1" s="1"/>
  <c r="CQ37" i="1"/>
  <c r="P37" i="1" s="1"/>
  <c r="CS37" i="1"/>
  <c r="R37" i="1" s="1"/>
  <c r="GK37" i="1" s="1"/>
  <c r="CU37" i="1"/>
  <c r="T37" i="1" s="1"/>
  <c r="CW37" i="1"/>
  <c r="V37" i="1" s="1"/>
  <c r="CY37" i="1"/>
  <c r="X37" i="1" s="1"/>
  <c r="FR37" i="1"/>
  <c r="GL37" i="1"/>
  <c r="GO37" i="1"/>
  <c r="GP37" i="1"/>
  <c r="GV37" i="1"/>
  <c r="HC37" i="1" s="1"/>
  <c r="GX37" i="1" s="1"/>
  <c r="I38" i="1"/>
  <c r="V38" i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P38" i="1" s="1"/>
  <c r="CS38" i="1"/>
  <c r="R38" i="1" s="1"/>
  <c r="GK38" i="1" s="1"/>
  <c r="CU38" i="1"/>
  <c r="T38" i="1" s="1"/>
  <c r="CW38" i="1"/>
  <c r="FR38" i="1"/>
  <c r="GL38" i="1"/>
  <c r="GO38" i="1"/>
  <c r="GP38" i="1"/>
  <c r="GV38" i="1"/>
  <c r="GX38" i="1"/>
  <c r="HC38" i="1"/>
  <c r="I39" i="1"/>
  <c r="P39" i="1"/>
  <c r="R39" i="1"/>
  <c r="GK39" i="1" s="1"/>
  <c r="AC39" i="1"/>
  <c r="AD39" i="1"/>
  <c r="CR39" i="1" s="1"/>
  <c r="Q39" i="1" s="1"/>
  <c r="AE39" i="1"/>
  <c r="AF39" i="1"/>
  <c r="CT39" i="1" s="1"/>
  <c r="S39" i="1" s="1"/>
  <c r="CZ39" i="1" s="1"/>
  <c r="Y39" i="1" s="1"/>
  <c r="AG39" i="1"/>
  <c r="AH39" i="1"/>
  <c r="AI39" i="1"/>
  <c r="AJ39" i="1"/>
  <c r="CX39" i="1" s="1"/>
  <c r="W39" i="1" s="1"/>
  <c r="CQ39" i="1"/>
  <c r="CS39" i="1"/>
  <c r="CU39" i="1"/>
  <c r="T39" i="1" s="1"/>
  <c r="CV39" i="1"/>
  <c r="U39" i="1" s="1"/>
  <c r="CW39" i="1"/>
  <c r="V39" i="1" s="1"/>
  <c r="FR39" i="1"/>
  <c r="GL39" i="1"/>
  <c r="GO39" i="1"/>
  <c r="GP39" i="1"/>
  <c r="GV39" i="1"/>
  <c r="HC39" i="1" s="1"/>
  <c r="GX39" i="1"/>
  <c r="I40" i="1"/>
  <c r="T40" i="1" s="1"/>
  <c r="S40" i="1"/>
  <c r="CY40" i="1" s="1"/>
  <c r="X40" i="1" s="1"/>
  <c r="AC40" i="1"/>
  <c r="AD40" i="1"/>
  <c r="CR40" i="1" s="1"/>
  <c r="AE40" i="1"/>
  <c r="AF40" i="1"/>
  <c r="AG40" i="1"/>
  <c r="AH40" i="1"/>
  <c r="CV40" i="1" s="1"/>
  <c r="AI40" i="1"/>
  <c r="AJ40" i="1"/>
  <c r="CQ40" i="1"/>
  <c r="P40" i="1" s="1"/>
  <c r="CS40" i="1"/>
  <c r="R40" i="1" s="1"/>
  <c r="GK40" i="1" s="1"/>
  <c r="CT40" i="1"/>
  <c r="CU40" i="1"/>
  <c r="CW40" i="1"/>
  <c r="V40" i="1" s="1"/>
  <c r="CX40" i="1"/>
  <c r="W40" i="1" s="1"/>
  <c r="FR40" i="1"/>
  <c r="GL40" i="1"/>
  <c r="GO40" i="1"/>
  <c r="GP40" i="1"/>
  <c r="GV40" i="1"/>
  <c r="HC40" i="1"/>
  <c r="I41" i="1"/>
  <c r="P41" i="1"/>
  <c r="U41" i="1"/>
  <c r="AC41" i="1"/>
  <c r="AE41" i="1"/>
  <c r="AD41" i="1" s="1"/>
  <c r="AF41" i="1"/>
  <c r="CT41" i="1" s="1"/>
  <c r="S41" i="1" s="1"/>
  <c r="AG41" i="1"/>
  <c r="AH41" i="1"/>
  <c r="AI41" i="1"/>
  <c r="CW41" i="1" s="1"/>
  <c r="V41" i="1" s="1"/>
  <c r="AJ41" i="1"/>
  <c r="CX41" i="1" s="1"/>
  <c r="W41" i="1" s="1"/>
  <c r="CQ41" i="1"/>
  <c r="CS41" i="1"/>
  <c r="R41" i="1" s="1"/>
  <c r="CU41" i="1"/>
  <c r="T41" i="1" s="1"/>
  <c r="CV41" i="1"/>
  <c r="FR41" i="1"/>
  <c r="GL41" i="1"/>
  <c r="GO41" i="1"/>
  <c r="GP41" i="1"/>
  <c r="GV41" i="1"/>
  <c r="HC41" i="1" s="1"/>
  <c r="GX41" i="1"/>
  <c r="C42" i="1"/>
  <c r="D42" i="1"/>
  <c r="I42" i="1"/>
  <c r="P42" i="1"/>
  <c r="U42" i="1"/>
  <c r="AC42" i="1"/>
  <c r="AE42" i="1"/>
  <c r="AD42" i="1" s="1"/>
  <c r="AF42" i="1"/>
  <c r="CT42" i="1" s="1"/>
  <c r="S42" i="1" s="1"/>
  <c r="AG42" i="1"/>
  <c r="CU42" i="1" s="1"/>
  <c r="T42" i="1" s="1"/>
  <c r="AH42" i="1"/>
  <c r="AI42" i="1"/>
  <c r="AJ42" i="1"/>
  <c r="CX42" i="1" s="1"/>
  <c r="W42" i="1" s="1"/>
  <c r="CQ42" i="1"/>
  <c r="CS42" i="1"/>
  <c r="R42" i="1" s="1"/>
  <c r="GK42" i="1" s="1"/>
  <c r="CV42" i="1"/>
  <c r="CW42" i="1"/>
  <c r="V42" i="1" s="1"/>
  <c r="FR42" i="1"/>
  <c r="GL42" i="1"/>
  <c r="GO42" i="1"/>
  <c r="GP42" i="1"/>
  <c r="GV42" i="1"/>
  <c r="HC42" i="1" s="1"/>
  <c r="GX42" i="1" s="1"/>
  <c r="C43" i="1"/>
  <c r="D43" i="1"/>
  <c r="I43" i="1"/>
  <c r="AC43" i="1"/>
  <c r="CQ43" i="1" s="1"/>
  <c r="P43" i="1" s="1"/>
  <c r="AE43" i="1"/>
  <c r="AD43" i="1" s="1"/>
  <c r="AF43" i="1"/>
  <c r="CT43" i="1" s="1"/>
  <c r="S43" i="1" s="1"/>
  <c r="AG43" i="1"/>
  <c r="CU43" i="1" s="1"/>
  <c r="T43" i="1" s="1"/>
  <c r="AH43" i="1"/>
  <c r="AI43" i="1"/>
  <c r="AJ43" i="1"/>
  <c r="CX43" i="1" s="1"/>
  <c r="W43" i="1" s="1"/>
  <c r="CS43" i="1"/>
  <c r="R43" i="1" s="1"/>
  <c r="GK43" i="1" s="1"/>
  <c r="CV43" i="1"/>
  <c r="U43" i="1" s="1"/>
  <c r="CW43" i="1"/>
  <c r="V43" i="1" s="1"/>
  <c r="FR43" i="1"/>
  <c r="GL43" i="1"/>
  <c r="GO43" i="1"/>
  <c r="GP43" i="1"/>
  <c r="GV43" i="1"/>
  <c r="HC43" i="1" s="1"/>
  <c r="GX43" i="1" s="1"/>
  <c r="I44" i="1"/>
  <c r="AC44" i="1"/>
  <c r="AB44" i="1" s="1"/>
  <c r="AD44" i="1"/>
  <c r="CR44" i="1" s="1"/>
  <c r="Q44" i="1" s="1"/>
  <c r="AE44" i="1"/>
  <c r="CS44" i="1" s="1"/>
  <c r="R44" i="1" s="1"/>
  <c r="GK44" i="1" s="1"/>
  <c r="AF44" i="1"/>
  <c r="AG44" i="1"/>
  <c r="AH44" i="1"/>
  <c r="CV44" i="1" s="1"/>
  <c r="U44" i="1" s="1"/>
  <c r="AI44" i="1"/>
  <c r="CW44" i="1" s="1"/>
  <c r="V44" i="1" s="1"/>
  <c r="AJ44" i="1"/>
  <c r="CQ44" i="1"/>
  <c r="P44" i="1" s="1"/>
  <c r="CP44" i="1" s="1"/>
  <c r="O44" i="1" s="1"/>
  <c r="CT44" i="1"/>
  <c r="S44" i="1" s="1"/>
  <c r="CU44" i="1"/>
  <c r="T44" i="1" s="1"/>
  <c r="CX44" i="1"/>
  <c r="W44" i="1" s="1"/>
  <c r="FR44" i="1"/>
  <c r="GL44" i="1"/>
  <c r="GO44" i="1"/>
  <c r="GP44" i="1"/>
  <c r="GV44" i="1"/>
  <c r="HC44" i="1"/>
  <c r="GX44" i="1" s="1"/>
  <c r="I45" i="1"/>
  <c r="AC45" i="1"/>
  <c r="CQ45" i="1" s="1"/>
  <c r="P45" i="1" s="1"/>
  <c r="AE45" i="1"/>
  <c r="AD45" i="1" s="1"/>
  <c r="AF45" i="1"/>
  <c r="CT45" i="1" s="1"/>
  <c r="S45" i="1" s="1"/>
  <c r="AG45" i="1"/>
  <c r="CU45" i="1" s="1"/>
  <c r="T45" i="1" s="1"/>
  <c r="AH45" i="1"/>
  <c r="AI45" i="1"/>
  <c r="AJ45" i="1"/>
  <c r="CX45" i="1" s="1"/>
  <c r="W45" i="1" s="1"/>
  <c r="CS45" i="1"/>
  <c r="R45" i="1" s="1"/>
  <c r="GK45" i="1" s="1"/>
  <c r="CV45" i="1"/>
  <c r="U45" i="1" s="1"/>
  <c r="CW45" i="1"/>
  <c r="V45" i="1" s="1"/>
  <c r="FR45" i="1"/>
  <c r="GL45" i="1"/>
  <c r="GO45" i="1"/>
  <c r="GP45" i="1"/>
  <c r="GV45" i="1"/>
  <c r="HC45" i="1" s="1"/>
  <c r="GX45" i="1" s="1"/>
  <c r="C46" i="1"/>
  <c r="D46" i="1"/>
  <c r="AC46" i="1"/>
  <c r="AB46" i="1" s="1"/>
  <c r="AE46" i="1"/>
  <c r="AD46" i="1" s="1"/>
  <c r="CR46" i="1" s="1"/>
  <c r="Q46" i="1" s="1"/>
  <c r="AF46" i="1"/>
  <c r="AG46" i="1"/>
  <c r="CU46" i="1" s="1"/>
  <c r="T46" i="1" s="1"/>
  <c r="AH46" i="1"/>
  <c r="AI46" i="1"/>
  <c r="AJ46" i="1"/>
  <c r="CS46" i="1"/>
  <c r="R46" i="1" s="1"/>
  <c r="GK46" i="1" s="1"/>
  <c r="CT46" i="1"/>
  <c r="S46" i="1" s="1"/>
  <c r="CV46" i="1"/>
  <c r="U46" i="1" s="1"/>
  <c r="CW46" i="1"/>
  <c r="V46" i="1" s="1"/>
  <c r="CX46" i="1"/>
  <c r="W46" i="1" s="1"/>
  <c r="FR46" i="1"/>
  <c r="GL46" i="1"/>
  <c r="GO46" i="1"/>
  <c r="GP46" i="1"/>
  <c r="GV46" i="1"/>
  <c r="HC46" i="1"/>
  <c r="GX46" i="1" s="1"/>
  <c r="C47" i="1"/>
  <c r="D47" i="1"/>
  <c r="AC47" i="1"/>
  <c r="AB47" i="1" s="1"/>
  <c r="AD47" i="1"/>
  <c r="CR47" i="1" s="1"/>
  <c r="Q47" i="1" s="1"/>
  <c r="AE47" i="1"/>
  <c r="CS47" i="1" s="1"/>
  <c r="R47" i="1" s="1"/>
  <c r="GK47" i="1" s="1"/>
  <c r="AF47" i="1"/>
  <c r="AG47" i="1"/>
  <c r="AH47" i="1"/>
  <c r="CV47" i="1" s="1"/>
  <c r="U47" i="1" s="1"/>
  <c r="AI47" i="1"/>
  <c r="CW47" i="1" s="1"/>
  <c r="V47" i="1" s="1"/>
  <c r="AJ47" i="1"/>
  <c r="CQ47" i="1"/>
  <c r="P47" i="1" s="1"/>
  <c r="CP47" i="1" s="1"/>
  <c r="O47" i="1" s="1"/>
  <c r="CT47" i="1"/>
  <c r="S47" i="1" s="1"/>
  <c r="CU47" i="1"/>
  <c r="T47" i="1" s="1"/>
  <c r="CX47" i="1"/>
  <c r="W47" i="1" s="1"/>
  <c r="FR47" i="1"/>
  <c r="GL47" i="1"/>
  <c r="GO47" i="1"/>
  <c r="GP47" i="1"/>
  <c r="GV47" i="1"/>
  <c r="HC47" i="1"/>
  <c r="GX47" i="1" s="1"/>
  <c r="C48" i="1"/>
  <c r="D48" i="1"/>
  <c r="I48" i="1"/>
  <c r="AC48" i="1"/>
  <c r="AB48" i="1" s="1"/>
  <c r="AD48" i="1"/>
  <c r="CR48" i="1" s="1"/>
  <c r="Q48" i="1" s="1"/>
  <c r="AE48" i="1"/>
  <c r="AF48" i="1"/>
  <c r="AG48" i="1"/>
  <c r="AH48" i="1"/>
  <c r="CV48" i="1" s="1"/>
  <c r="U48" i="1" s="1"/>
  <c r="AI48" i="1"/>
  <c r="AJ48" i="1"/>
  <c r="CQ48" i="1"/>
  <c r="P48" i="1" s="1"/>
  <c r="CS48" i="1"/>
  <c r="R48" i="1" s="1"/>
  <c r="GK48" i="1" s="1"/>
  <c r="CT48" i="1"/>
  <c r="S48" i="1" s="1"/>
  <c r="CU48" i="1"/>
  <c r="T48" i="1" s="1"/>
  <c r="CW48" i="1"/>
  <c r="V48" i="1" s="1"/>
  <c r="CX48" i="1"/>
  <c r="W48" i="1" s="1"/>
  <c r="FR48" i="1"/>
  <c r="GL48" i="1"/>
  <c r="GO48" i="1"/>
  <c r="GP48" i="1"/>
  <c r="GV48" i="1"/>
  <c r="HC48" i="1"/>
  <c r="GX48" i="1" s="1"/>
  <c r="C49" i="1"/>
  <c r="D49" i="1"/>
  <c r="I49" i="1"/>
  <c r="AC49" i="1"/>
  <c r="AB49" i="1" s="1"/>
  <c r="AD49" i="1"/>
  <c r="CR49" i="1" s="1"/>
  <c r="Q49" i="1" s="1"/>
  <c r="AE49" i="1"/>
  <c r="AF49" i="1"/>
  <c r="AG49" i="1"/>
  <c r="AH49" i="1"/>
  <c r="CV49" i="1" s="1"/>
  <c r="U49" i="1" s="1"/>
  <c r="AI49" i="1"/>
  <c r="AJ49" i="1"/>
  <c r="CQ49" i="1"/>
  <c r="P49" i="1" s="1"/>
  <c r="CS49" i="1"/>
  <c r="R49" i="1" s="1"/>
  <c r="GK49" i="1" s="1"/>
  <c r="CT49" i="1"/>
  <c r="S49" i="1" s="1"/>
  <c r="CU49" i="1"/>
  <c r="T49" i="1" s="1"/>
  <c r="CW49" i="1"/>
  <c r="V49" i="1" s="1"/>
  <c r="CX49" i="1"/>
  <c r="W49" i="1" s="1"/>
  <c r="FR49" i="1"/>
  <c r="GL49" i="1"/>
  <c r="GO49" i="1"/>
  <c r="GP49" i="1"/>
  <c r="GV49" i="1"/>
  <c r="GX49" i="1"/>
  <c r="HC49" i="1"/>
  <c r="I50" i="1"/>
  <c r="AC50" i="1"/>
  <c r="AD50" i="1"/>
  <c r="CR50" i="1" s="1"/>
  <c r="Q50" i="1" s="1"/>
  <c r="AE50" i="1"/>
  <c r="AF50" i="1"/>
  <c r="AB50" i="1" s="1"/>
  <c r="AG50" i="1"/>
  <c r="AH50" i="1"/>
  <c r="CV50" i="1" s="1"/>
  <c r="U50" i="1" s="1"/>
  <c r="AI50" i="1"/>
  <c r="AJ50" i="1"/>
  <c r="CX50" i="1" s="1"/>
  <c r="W50" i="1" s="1"/>
  <c r="CQ50" i="1"/>
  <c r="P50" i="1" s="1"/>
  <c r="CS50" i="1"/>
  <c r="R50" i="1" s="1"/>
  <c r="GK50" i="1" s="1"/>
  <c r="CU50" i="1"/>
  <c r="T50" i="1" s="1"/>
  <c r="CW50" i="1"/>
  <c r="V50" i="1" s="1"/>
  <c r="FR50" i="1"/>
  <c r="GL50" i="1"/>
  <c r="GO50" i="1"/>
  <c r="GP50" i="1"/>
  <c r="GV50" i="1"/>
  <c r="HC50" i="1" s="1"/>
  <c r="GX50" i="1" s="1"/>
  <c r="I51" i="1"/>
  <c r="AC51" i="1"/>
  <c r="AD51" i="1"/>
  <c r="CR51" i="1" s="1"/>
  <c r="Q51" i="1" s="1"/>
  <c r="AE51" i="1"/>
  <c r="AF51" i="1"/>
  <c r="AG51" i="1"/>
  <c r="AH51" i="1"/>
  <c r="CV51" i="1" s="1"/>
  <c r="U51" i="1" s="1"/>
  <c r="AI51" i="1"/>
  <c r="AJ51" i="1"/>
  <c r="CQ51" i="1"/>
  <c r="P51" i="1" s="1"/>
  <c r="CS51" i="1"/>
  <c r="R51" i="1" s="1"/>
  <c r="GK51" i="1" s="1"/>
  <c r="CT51" i="1"/>
  <c r="S51" i="1" s="1"/>
  <c r="CU51" i="1"/>
  <c r="T51" i="1" s="1"/>
  <c r="CW51" i="1"/>
  <c r="V51" i="1" s="1"/>
  <c r="CX51" i="1"/>
  <c r="W51" i="1" s="1"/>
  <c r="FR51" i="1"/>
  <c r="GL51" i="1"/>
  <c r="GO51" i="1"/>
  <c r="GP51" i="1"/>
  <c r="GV51" i="1"/>
  <c r="GX51" i="1"/>
  <c r="HC51" i="1"/>
  <c r="I52" i="1"/>
  <c r="AC52" i="1"/>
  <c r="AD52" i="1"/>
  <c r="CR52" i="1" s="1"/>
  <c r="Q52" i="1" s="1"/>
  <c r="AE52" i="1"/>
  <c r="AF52" i="1"/>
  <c r="AB52" i="1" s="1"/>
  <c r="AG52" i="1"/>
  <c r="AH52" i="1"/>
  <c r="CV52" i="1" s="1"/>
  <c r="U52" i="1" s="1"/>
  <c r="AI52" i="1"/>
  <c r="AJ52" i="1"/>
  <c r="CX52" i="1" s="1"/>
  <c r="W52" i="1" s="1"/>
  <c r="CQ52" i="1"/>
  <c r="P52" i="1" s="1"/>
  <c r="CS52" i="1"/>
  <c r="R52" i="1" s="1"/>
  <c r="GK52" i="1" s="1"/>
  <c r="CU52" i="1"/>
  <c r="T52" i="1" s="1"/>
  <c r="CW52" i="1"/>
  <c r="V52" i="1" s="1"/>
  <c r="FR52" i="1"/>
  <c r="GL52" i="1"/>
  <c r="GO52" i="1"/>
  <c r="GP52" i="1"/>
  <c r="GV52" i="1"/>
  <c r="GX52" i="1"/>
  <c r="HC52" i="1"/>
  <c r="I53" i="1"/>
  <c r="AC53" i="1"/>
  <c r="AD53" i="1"/>
  <c r="CR53" i="1" s="1"/>
  <c r="Q53" i="1" s="1"/>
  <c r="AE53" i="1"/>
  <c r="AF53" i="1"/>
  <c r="CT53" i="1" s="1"/>
  <c r="S53" i="1" s="1"/>
  <c r="AG53" i="1"/>
  <c r="AH53" i="1"/>
  <c r="CV53" i="1" s="1"/>
  <c r="U53" i="1" s="1"/>
  <c r="AI53" i="1"/>
  <c r="AJ53" i="1"/>
  <c r="CX53" i="1" s="1"/>
  <c r="W53" i="1" s="1"/>
  <c r="CQ53" i="1"/>
  <c r="P53" i="1" s="1"/>
  <c r="CS53" i="1"/>
  <c r="R53" i="1" s="1"/>
  <c r="GK53" i="1" s="1"/>
  <c r="CU53" i="1"/>
  <c r="T53" i="1" s="1"/>
  <c r="CW53" i="1"/>
  <c r="V53" i="1" s="1"/>
  <c r="FR53" i="1"/>
  <c r="GL53" i="1"/>
  <c r="GO53" i="1"/>
  <c r="GP53" i="1"/>
  <c r="GV53" i="1"/>
  <c r="GX53" i="1"/>
  <c r="HC53" i="1"/>
  <c r="C54" i="1"/>
  <c r="D54" i="1"/>
  <c r="I54" i="1"/>
  <c r="AC54" i="1"/>
  <c r="AD54" i="1"/>
  <c r="CR54" i="1" s="1"/>
  <c r="Q54" i="1" s="1"/>
  <c r="AE54" i="1"/>
  <c r="AF54" i="1"/>
  <c r="CT54" i="1" s="1"/>
  <c r="S54" i="1" s="1"/>
  <c r="AG54" i="1"/>
  <c r="AH54" i="1"/>
  <c r="CV54" i="1" s="1"/>
  <c r="U54" i="1" s="1"/>
  <c r="AI54" i="1"/>
  <c r="AJ54" i="1"/>
  <c r="CX54" i="1" s="1"/>
  <c r="W54" i="1" s="1"/>
  <c r="CQ54" i="1"/>
  <c r="P54" i="1" s="1"/>
  <c r="CS54" i="1"/>
  <c r="R54" i="1" s="1"/>
  <c r="GK54" i="1" s="1"/>
  <c r="CU54" i="1"/>
  <c r="T54" i="1" s="1"/>
  <c r="CW54" i="1"/>
  <c r="V54" i="1" s="1"/>
  <c r="FR54" i="1"/>
  <c r="GL54" i="1"/>
  <c r="GO54" i="1"/>
  <c r="GP54" i="1"/>
  <c r="GV54" i="1"/>
  <c r="GX54" i="1"/>
  <c r="HC54" i="1"/>
  <c r="C55" i="1"/>
  <c r="D55" i="1"/>
  <c r="I55" i="1"/>
  <c r="AC55" i="1"/>
  <c r="AD55" i="1"/>
  <c r="CR55" i="1" s="1"/>
  <c r="Q55" i="1" s="1"/>
  <c r="AE55" i="1"/>
  <c r="AF55" i="1"/>
  <c r="CT55" i="1" s="1"/>
  <c r="S55" i="1" s="1"/>
  <c r="AG55" i="1"/>
  <c r="AH55" i="1"/>
  <c r="CV55" i="1" s="1"/>
  <c r="U55" i="1" s="1"/>
  <c r="AI55" i="1"/>
  <c r="AJ55" i="1"/>
  <c r="CX55" i="1" s="1"/>
  <c r="W55" i="1" s="1"/>
  <c r="CQ55" i="1"/>
  <c r="P55" i="1" s="1"/>
  <c r="CS55" i="1"/>
  <c r="R55" i="1" s="1"/>
  <c r="GK55" i="1" s="1"/>
  <c r="CU55" i="1"/>
  <c r="T55" i="1" s="1"/>
  <c r="CW55" i="1"/>
  <c r="V55" i="1" s="1"/>
  <c r="FR55" i="1"/>
  <c r="GL55" i="1"/>
  <c r="GO55" i="1"/>
  <c r="GP55" i="1"/>
  <c r="GV55" i="1"/>
  <c r="GX55" i="1"/>
  <c r="HC55" i="1"/>
  <c r="I56" i="1"/>
  <c r="AC56" i="1"/>
  <c r="AD56" i="1"/>
  <c r="CR56" i="1" s="1"/>
  <c r="Q56" i="1" s="1"/>
  <c r="AE56" i="1"/>
  <c r="AF56" i="1"/>
  <c r="AB56" i="1" s="1"/>
  <c r="AG56" i="1"/>
  <c r="AH56" i="1"/>
  <c r="CV56" i="1" s="1"/>
  <c r="U56" i="1" s="1"/>
  <c r="AI56" i="1"/>
  <c r="AJ56" i="1"/>
  <c r="CX56" i="1" s="1"/>
  <c r="W56" i="1" s="1"/>
  <c r="CQ56" i="1"/>
  <c r="P56" i="1" s="1"/>
  <c r="CS56" i="1"/>
  <c r="R56" i="1" s="1"/>
  <c r="GK56" i="1" s="1"/>
  <c r="CU56" i="1"/>
  <c r="T56" i="1" s="1"/>
  <c r="CW56" i="1"/>
  <c r="V56" i="1" s="1"/>
  <c r="FR56" i="1"/>
  <c r="GL56" i="1"/>
  <c r="GO56" i="1"/>
  <c r="GP56" i="1"/>
  <c r="GV56" i="1"/>
  <c r="GX56" i="1"/>
  <c r="HC56" i="1"/>
  <c r="I57" i="1"/>
  <c r="AC57" i="1"/>
  <c r="AD57" i="1"/>
  <c r="AE57" i="1"/>
  <c r="AF57" i="1"/>
  <c r="AG57" i="1"/>
  <c r="AH57" i="1"/>
  <c r="CV57" i="1" s="1"/>
  <c r="U57" i="1" s="1"/>
  <c r="AI57" i="1"/>
  <c r="AJ57" i="1"/>
  <c r="CQ57" i="1"/>
  <c r="P57" i="1" s="1"/>
  <c r="CS57" i="1"/>
  <c r="R57" i="1" s="1"/>
  <c r="GK57" i="1" s="1"/>
  <c r="CT57" i="1"/>
  <c r="S57" i="1" s="1"/>
  <c r="CU57" i="1"/>
  <c r="T57" i="1" s="1"/>
  <c r="CW57" i="1"/>
  <c r="V57" i="1" s="1"/>
  <c r="CX57" i="1"/>
  <c r="W57" i="1" s="1"/>
  <c r="FR57" i="1"/>
  <c r="GL57" i="1"/>
  <c r="GO57" i="1"/>
  <c r="GP57" i="1"/>
  <c r="GV57" i="1"/>
  <c r="GX57" i="1"/>
  <c r="HC57" i="1"/>
  <c r="I58" i="1"/>
  <c r="AC58" i="1"/>
  <c r="AD58" i="1"/>
  <c r="CR58" i="1" s="1"/>
  <c r="Q58" i="1" s="1"/>
  <c r="AE58" i="1"/>
  <c r="AF58" i="1"/>
  <c r="CT58" i="1" s="1"/>
  <c r="S58" i="1" s="1"/>
  <c r="AG58" i="1"/>
  <c r="AH58" i="1"/>
  <c r="CV58" i="1" s="1"/>
  <c r="U58" i="1" s="1"/>
  <c r="AI58" i="1"/>
  <c r="AJ58" i="1"/>
  <c r="CX58" i="1" s="1"/>
  <c r="W58" i="1" s="1"/>
  <c r="CQ58" i="1"/>
  <c r="P58" i="1" s="1"/>
  <c r="CS58" i="1"/>
  <c r="R58" i="1" s="1"/>
  <c r="GK58" i="1" s="1"/>
  <c r="CU58" i="1"/>
  <c r="T58" i="1" s="1"/>
  <c r="CW58" i="1"/>
  <c r="V58" i="1" s="1"/>
  <c r="FR58" i="1"/>
  <c r="GL58" i="1"/>
  <c r="GO58" i="1"/>
  <c r="GP58" i="1"/>
  <c r="GV58" i="1"/>
  <c r="GX58" i="1"/>
  <c r="HC58" i="1"/>
  <c r="I59" i="1"/>
  <c r="P59" i="1"/>
  <c r="AC59" i="1"/>
  <c r="AD59" i="1"/>
  <c r="AE59" i="1"/>
  <c r="AF59" i="1"/>
  <c r="CT59" i="1" s="1"/>
  <c r="S59" i="1" s="1"/>
  <c r="CY59" i="1" s="1"/>
  <c r="X59" i="1" s="1"/>
  <c r="AG59" i="1"/>
  <c r="AH59" i="1"/>
  <c r="CV59" i="1" s="1"/>
  <c r="U59" i="1" s="1"/>
  <c r="AI59" i="1"/>
  <c r="AJ59" i="1"/>
  <c r="CX59" i="1" s="1"/>
  <c r="W59" i="1" s="1"/>
  <c r="CQ59" i="1"/>
  <c r="CS59" i="1"/>
  <c r="R59" i="1" s="1"/>
  <c r="GK59" i="1" s="1"/>
  <c r="CU59" i="1"/>
  <c r="T59" i="1" s="1"/>
  <c r="CW59" i="1"/>
  <c r="V59" i="1" s="1"/>
  <c r="FR59" i="1"/>
  <c r="GL59" i="1"/>
  <c r="GO59" i="1"/>
  <c r="GP59" i="1"/>
  <c r="GV59" i="1"/>
  <c r="HC59" i="1" s="1"/>
  <c r="GX59" i="1" s="1"/>
  <c r="C60" i="1"/>
  <c r="D60" i="1"/>
  <c r="I60" i="1"/>
  <c r="P60" i="1"/>
  <c r="AC60" i="1"/>
  <c r="AD60" i="1"/>
  <c r="AE60" i="1"/>
  <c r="AF60" i="1"/>
  <c r="CT60" i="1" s="1"/>
  <c r="S60" i="1" s="1"/>
  <c r="CY60" i="1" s="1"/>
  <c r="X60" i="1" s="1"/>
  <c r="AG60" i="1"/>
  <c r="AH60" i="1"/>
  <c r="CV60" i="1" s="1"/>
  <c r="U60" i="1" s="1"/>
  <c r="AI60" i="1"/>
  <c r="AJ60" i="1"/>
  <c r="CX60" i="1" s="1"/>
  <c r="W60" i="1" s="1"/>
  <c r="CQ60" i="1"/>
  <c r="CS60" i="1"/>
  <c r="R60" i="1" s="1"/>
  <c r="GK60" i="1" s="1"/>
  <c r="CU60" i="1"/>
  <c r="T60" i="1" s="1"/>
  <c r="CW60" i="1"/>
  <c r="V60" i="1" s="1"/>
  <c r="FR60" i="1"/>
  <c r="GL60" i="1"/>
  <c r="GO60" i="1"/>
  <c r="GP60" i="1"/>
  <c r="GV60" i="1"/>
  <c r="HC60" i="1" s="1"/>
  <c r="GX60" i="1" s="1"/>
  <c r="C61" i="1"/>
  <c r="D61" i="1"/>
  <c r="I61" i="1"/>
  <c r="P61" i="1"/>
  <c r="AC61" i="1"/>
  <c r="AD61" i="1"/>
  <c r="AE61" i="1"/>
  <c r="AF61" i="1"/>
  <c r="CT61" i="1" s="1"/>
  <c r="S61" i="1" s="1"/>
  <c r="CY61" i="1" s="1"/>
  <c r="X61" i="1" s="1"/>
  <c r="AG61" i="1"/>
  <c r="AH61" i="1"/>
  <c r="CV61" i="1" s="1"/>
  <c r="U61" i="1" s="1"/>
  <c r="AI61" i="1"/>
  <c r="AJ61" i="1"/>
  <c r="CX61" i="1" s="1"/>
  <c r="W61" i="1" s="1"/>
  <c r="CQ61" i="1"/>
  <c r="CS61" i="1"/>
  <c r="R61" i="1" s="1"/>
  <c r="GK61" i="1" s="1"/>
  <c r="CU61" i="1"/>
  <c r="T61" i="1" s="1"/>
  <c r="CW61" i="1"/>
  <c r="V61" i="1" s="1"/>
  <c r="FR61" i="1"/>
  <c r="GL61" i="1"/>
  <c r="GO61" i="1"/>
  <c r="GP61" i="1"/>
  <c r="GV61" i="1"/>
  <c r="HC61" i="1" s="1"/>
  <c r="GX61" i="1" s="1"/>
  <c r="C62" i="1"/>
  <c r="D62" i="1"/>
  <c r="I62" i="1"/>
  <c r="CX135" i="3" s="1"/>
  <c r="P62" i="1"/>
  <c r="AC62" i="1"/>
  <c r="AD62" i="1"/>
  <c r="AE62" i="1"/>
  <c r="AF62" i="1"/>
  <c r="CT62" i="1" s="1"/>
  <c r="S62" i="1" s="1"/>
  <c r="CY62" i="1" s="1"/>
  <c r="X62" i="1" s="1"/>
  <c r="AG62" i="1"/>
  <c r="AH62" i="1"/>
  <c r="CV62" i="1" s="1"/>
  <c r="U62" i="1" s="1"/>
  <c r="AI62" i="1"/>
  <c r="AJ62" i="1"/>
  <c r="CX62" i="1" s="1"/>
  <c r="W62" i="1" s="1"/>
  <c r="CQ62" i="1"/>
  <c r="CS62" i="1"/>
  <c r="R62" i="1" s="1"/>
  <c r="GK62" i="1" s="1"/>
  <c r="CU62" i="1"/>
  <c r="T62" i="1" s="1"/>
  <c r="CW62" i="1"/>
  <c r="V62" i="1" s="1"/>
  <c r="FR62" i="1"/>
  <c r="GL62" i="1"/>
  <c r="GO62" i="1"/>
  <c r="GP62" i="1"/>
  <c r="GV62" i="1"/>
  <c r="HC62" i="1" s="1"/>
  <c r="GX62" i="1"/>
  <c r="C63" i="1"/>
  <c r="D63" i="1"/>
  <c r="I63" i="1"/>
  <c r="CX136" i="3" s="1"/>
  <c r="T63" i="1"/>
  <c r="AC63" i="1"/>
  <c r="AD63" i="1"/>
  <c r="CR63" i="1" s="1"/>
  <c r="Q63" i="1" s="1"/>
  <c r="AE63" i="1"/>
  <c r="AF63" i="1"/>
  <c r="AG63" i="1"/>
  <c r="AH63" i="1"/>
  <c r="AI63" i="1"/>
  <c r="AJ63" i="1"/>
  <c r="CQ63" i="1"/>
  <c r="P63" i="1" s="1"/>
  <c r="CP63" i="1" s="1"/>
  <c r="O63" i="1" s="1"/>
  <c r="CS63" i="1"/>
  <c r="R63" i="1" s="1"/>
  <c r="CT63" i="1"/>
  <c r="S63" i="1" s="1"/>
  <c r="CY63" i="1" s="1"/>
  <c r="X63" i="1" s="1"/>
  <c r="CU63" i="1"/>
  <c r="CV63" i="1"/>
  <c r="U63" i="1" s="1"/>
  <c r="CW63" i="1"/>
  <c r="V63" i="1" s="1"/>
  <c r="CX63" i="1"/>
  <c r="W63" i="1" s="1"/>
  <c r="FR63" i="1"/>
  <c r="GL63" i="1"/>
  <c r="GO63" i="1"/>
  <c r="GP63" i="1"/>
  <c r="GV63" i="1"/>
  <c r="HC63" i="1" s="1"/>
  <c r="GX63" i="1" s="1"/>
  <c r="C64" i="1"/>
  <c r="D64" i="1"/>
  <c r="I64" i="1"/>
  <c r="I66" i="1" s="1"/>
  <c r="AC64" i="1"/>
  <c r="CQ64" i="1" s="1"/>
  <c r="P64" i="1" s="1"/>
  <c r="AE64" i="1"/>
  <c r="AD64" i="1" s="1"/>
  <c r="AF64" i="1"/>
  <c r="CT64" i="1" s="1"/>
  <c r="S64" i="1" s="1"/>
  <c r="AG64" i="1"/>
  <c r="CU64" i="1" s="1"/>
  <c r="T64" i="1" s="1"/>
  <c r="AH64" i="1"/>
  <c r="AI64" i="1"/>
  <c r="AJ64" i="1"/>
  <c r="CX64" i="1" s="1"/>
  <c r="W64" i="1" s="1"/>
  <c r="CS64" i="1"/>
  <c r="R64" i="1" s="1"/>
  <c r="GK64" i="1" s="1"/>
  <c r="CV64" i="1"/>
  <c r="U64" i="1" s="1"/>
  <c r="CW64" i="1"/>
  <c r="V64" i="1" s="1"/>
  <c r="FR64" i="1"/>
  <c r="GL64" i="1"/>
  <c r="GO64" i="1"/>
  <c r="GP64" i="1"/>
  <c r="GV64" i="1"/>
  <c r="HC64" i="1" s="1"/>
  <c r="GX64" i="1" s="1"/>
  <c r="C65" i="1"/>
  <c r="D65" i="1"/>
  <c r="I65" i="1"/>
  <c r="AC65" i="1"/>
  <c r="CQ65" i="1" s="1"/>
  <c r="P65" i="1" s="1"/>
  <c r="AE65" i="1"/>
  <c r="AD65" i="1" s="1"/>
  <c r="AF65" i="1"/>
  <c r="CT65" i="1" s="1"/>
  <c r="S65" i="1" s="1"/>
  <c r="AG65" i="1"/>
  <c r="CU65" i="1" s="1"/>
  <c r="T65" i="1" s="1"/>
  <c r="AH65" i="1"/>
  <c r="AI65" i="1"/>
  <c r="AJ65" i="1"/>
  <c r="CX65" i="1" s="1"/>
  <c r="W65" i="1" s="1"/>
  <c r="CS65" i="1"/>
  <c r="R65" i="1" s="1"/>
  <c r="GK65" i="1" s="1"/>
  <c r="CV65" i="1"/>
  <c r="U65" i="1" s="1"/>
  <c r="CW65" i="1"/>
  <c r="V65" i="1" s="1"/>
  <c r="FR65" i="1"/>
  <c r="GL65" i="1"/>
  <c r="GO65" i="1"/>
  <c r="GP65" i="1"/>
  <c r="GV65" i="1"/>
  <c r="GX65" i="1"/>
  <c r="HC65" i="1"/>
  <c r="AC66" i="1"/>
  <c r="AB66" i="1" s="1"/>
  <c r="AD66" i="1"/>
  <c r="CR66" i="1" s="1"/>
  <c r="Q66" i="1" s="1"/>
  <c r="AE66" i="1"/>
  <c r="CS66" i="1" s="1"/>
  <c r="R66" i="1" s="1"/>
  <c r="GK66" i="1" s="1"/>
  <c r="AF66" i="1"/>
  <c r="AG66" i="1"/>
  <c r="AH66" i="1"/>
  <c r="CV66" i="1" s="1"/>
  <c r="U66" i="1" s="1"/>
  <c r="AI66" i="1"/>
  <c r="CW66" i="1" s="1"/>
  <c r="V66" i="1" s="1"/>
  <c r="AJ66" i="1"/>
  <c r="CQ66" i="1"/>
  <c r="P66" i="1" s="1"/>
  <c r="CP66" i="1" s="1"/>
  <c r="O66" i="1" s="1"/>
  <c r="CT66" i="1"/>
  <c r="S66" i="1" s="1"/>
  <c r="CU66" i="1"/>
  <c r="T66" i="1" s="1"/>
  <c r="CX66" i="1"/>
  <c r="W66" i="1" s="1"/>
  <c r="FR66" i="1"/>
  <c r="GL66" i="1"/>
  <c r="GO66" i="1"/>
  <c r="GP66" i="1"/>
  <c r="GV66" i="1"/>
  <c r="HC66" i="1"/>
  <c r="GX66" i="1" s="1"/>
  <c r="I67" i="1"/>
  <c r="AC67" i="1"/>
  <c r="CQ67" i="1" s="1"/>
  <c r="P67" i="1" s="1"/>
  <c r="AE67" i="1"/>
  <c r="AD67" i="1" s="1"/>
  <c r="AF67" i="1"/>
  <c r="CT67" i="1" s="1"/>
  <c r="S67" i="1" s="1"/>
  <c r="AG67" i="1"/>
  <c r="CU67" i="1" s="1"/>
  <c r="T67" i="1" s="1"/>
  <c r="AH67" i="1"/>
  <c r="AI67" i="1"/>
  <c r="AJ67" i="1"/>
  <c r="CX67" i="1" s="1"/>
  <c r="W67" i="1" s="1"/>
  <c r="CS67" i="1"/>
  <c r="R67" i="1" s="1"/>
  <c r="GK67" i="1" s="1"/>
  <c r="CV67" i="1"/>
  <c r="U67" i="1" s="1"/>
  <c r="CW67" i="1"/>
  <c r="V67" i="1" s="1"/>
  <c r="FR67" i="1"/>
  <c r="GL67" i="1"/>
  <c r="GO67" i="1"/>
  <c r="GP67" i="1"/>
  <c r="GV67" i="1"/>
  <c r="GX67" i="1"/>
  <c r="HC67" i="1"/>
  <c r="C68" i="1"/>
  <c r="D68" i="1"/>
  <c r="I68" i="1"/>
  <c r="AC68" i="1"/>
  <c r="CQ68" i="1" s="1"/>
  <c r="P68" i="1" s="1"/>
  <c r="AE68" i="1"/>
  <c r="AD68" i="1" s="1"/>
  <c r="AF68" i="1"/>
  <c r="CT68" i="1" s="1"/>
  <c r="S68" i="1" s="1"/>
  <c r="AG68" i="1"/>
  <c r="CU68" i="1" s="1"/>
  <c r="T68" i="1" s="1"/>
  <c r="AH68" i="1"/>
  <c r="AI68" i="1"/>
  <c r="AJ68" i="1"/>
  <c r="CX68" i="1" s="1"/>
  <c r="W68" i="1" s="1"/>
  <c r="CS68" i="1"/>
  <c r="R68" i="1" s="1"/>
  <c r="GK68" i="1" s="1"/>
  <c r="CV68" i="1"/>
  <c r="U68" i="1" s="1"/>
  <c r="CW68" i="1"/>
  <c r="V68" i="1" s="1"/>
  <c r="FR68" i="1"/>
  <c r="GL68" i="1"/>
  <c r="GO68" i="1"/>
  <c r="GP68" i="1"/>
  <c r="GV68" i="1"/>
  <c r="GX68" i="1"/>
  <c r="HC68" i="1"/>
  <c r="C69" i="1"/>
  <c r="D69" i="1"/>
  <c r="I69" i="1"/>
  <c r="AC69" i="1"/>
  <c r="CQ69" i="1" s="1"/>
  <c r="P69" i="1" s="1"/>
  <c r="AE69" i="1"/>
  <c r="AD69" i="1" s="1"/>
  <c r="AF69" i="1"/>
  <c r="CT69" i="1" s="1"/>
  <c r="S69" i="1" s="1"/>
  <c r="AG69" i="1"/>
  <c r="CU69" i="1" s="1"/>
  <c r="T69" i="1" s="1"/>
  <c r="AH69" i="1"/>
  <c r="AI69" i="1"/>
  <c r="AJ69" i="1"/>
  <c r="CX69" i="1" s="1"/>
  <c r="W69" i="1" s="1"/>
  <c r="CS69" i="1"/>
  <c r="R69" i="1" s="1"/>
  <c r="GK69" i="1" s="1"/>
  <c r="CV69" i="1"/>
  <c r="U69" i="1" s="1"/>
  <c r="CW69" i="1"/>
  <c r="V69" i="1" s="1"/>
  <c r="FR69" i="1"/>
  <c r="GL69" i="1"/>
  <c r="GO69" i="1"/>
  <c r="GP69" i="1"/>
  <c r="GV69" i="1"/>
  <c r="GX69" i="1"/>
  <c r="HC69" i="1"/>
  <c r="C70" i="1"/>
  <c r="D70" i="1"/>
  <c r="I70" i="1"/>
  <c r="I72" i="1" s="1"/>
  <c r="AC70" i="1"/>
  <c r="CQ70" i="1" s="1"/>
  <c r="P70" i="1" s="1"/>
  <c r="AE70" i="1"/>
  <c r="AD70" i="1" s="1"/>
  <c r="AF70" i="1"/>
  <c r="CT70" i="1" s="1"/>
  <c r="S70" i="1" s="1"/>
  <c r="AG70" i="1"/>
  <c r="CU70" i="1" s="1"/>
  <c r="T70" i="1" s="1"/>
  <c r="AH70" i="1"/>
  <c r="AI70" i="1"/>
  <c r="AJ70" i="1"/>
  <c r="CX70" i="1" s="1"/>
  <c r="W70" i="1" s="1"/>
  <c r="CS70" i="1"/>
  <c r="R70" i="1" s="1"/>
  <c r="GK70" i="1" s="1"/>
  <c r="CV70" i="1"/>
  <c r="U70" i="1" s="1"/>
  <c r="CW70" i="1"/>
  <c r="V70" i="1" s="1"/>
  <c r="FR70" i="1"/>
  <c r="GL70" i="1"/>
  <c r="GO70" i="1"/>
  <c r="GP70" i="1"/>
  <c r="GV70" i="1"/>
  <c r="GX70" i="1"/>
  <c r="HC70" i="1"/>
  <c r="C71" i="1"/>
  <c r="D71" i="1"/>
  <c r="I71" i="1"/>
  <c r="AC71" i="1"/>
  <c r="CQ71" i="1" s="1"/>
  <c r="P71" i="1" s="1"/>
  <c r="AE71" i="1"/>
  <c r="AD71" i="1" s="1"/>
  <c r="AF71" i="1"/>
  <c r="CT71" i="1" s="1"/>
  <c r="S71" i="1" s="1"/>
  <c r="AG71" i="1"/>
  <c r="CU71" i="1" s="1"/>
  <c r="T71" i="1" s="1"/>
  <c r="AH71" i="1"/>
  <c r="AI71" i="1"/>
  <c r="AJ71" i="1"/>
  <c r="CX71" i="1" s="1"/>
  <c r="W71" i="1" s="1"/>
  <c r="CS71" i="1"/>
  <c r="R71" i="1" s="1"/>
  <c r="GK71" i="1" s="1"/>
  <c r="CV71" i="1"/>
  <c r="U71" i="1" s="1"/>
  <c r="CW71" i="1"/>
  <c r="V71" i="1" s="1"/>
  <c r="FR71" i="1"/>
  <c r="GL71" i="1"/>
  <c r="GO71" i="1"/>
  <c r="GP71" i="1"/>
  <c r="GV71" i="1"/>
  <c r="GX71" i="1"/>
  <c r="HC71" i="1"/>
  <c r="AC72" i="1"/>
  <c r="AB72" i="1" s="1"/>
  <c r="AD72" i="1"/>
  <c r="CR72" i="1" s="1"/>
  <c r="Q72" i="1" s="1"/>
  <c r="AE72" i="1"/>
  <c r="CS72" i="1" s="1"/>
  <c r="R72" i="1" s="1"/>
  <c r="GK72" i="1" s="1"/>
  <c r="AF72" i="1"/>
  <c r="AG72" i="1"/>
  <c r="AH72" i="1"/>
  <c r="CV72" i="1" s="1"/>
  <c r="U72" i="1" s="1"/>
  <c r="AI72" i="1"/>
  <c r="CW72" i="1" s="1"/>
  <c r="V72" i="1" s="1"/>
  <c r="AJ72" i="1"/>
  <c r="CQ72" i="1"/>
  <c r="P72" i="1" s="1"/>
  <c r="CP72" i="1" s="1"/>
  <c r="O72" i="1" s="1"/>
  <c r="CT72" i="1"/>
  <c r="S72" i="1" s="1"/>
  <c r="CU72" i="1"/>
  <c r="T72" i="1" s="1"/>
  <c r="CX72" i="1"/>
  <c r="W72" i="1" s="1"/>
  <c r="FR72" i="1"/>
  <c r="GL72" i="1"/>
  <c r="GO72" i="1"/>
  <c r="GP72" i="1"/>
  <c r="GV72" i="1"/>
  <c r="HC72" i="1" s="1"/>
  <c r="GX72" i="1" s="1"/>
  <c r="I73" i="1"/>
  <c r="AC73" i="1"/>
  <c r="CQ73" i="1" s="1"/>
  <c r="P73" i="1" s="1"/>
  <c r="AE73" i="1"/>
  <c r="AD73" i="1" s="1"/>
  <c r="AF73" i="1"/>
  <c r="CT73" i="1" s="1"/>
  <c r="S73" i="1" s="1"/>
  <c r="AG73" i="1"/>
  <c r="CU73" i="1" s="1"/>
  <c r="T73" i="1" s="1"/>
  <c r="AH73" i="1"/>
  <c r="AI73" i="1"/>
  <c r="AJ73" i="1"/>
  <c r="CX73" i="1" s="1"/>
  <c r="W73" i="1" s="1"/>
  <c r="CS73" i="1"/>
  <c r="R73" i="1" s="1"/>
  <c r="GK73" i="1" s="1"/>
  <c r="CV73" i="1"/>
  <c r="U73" i="1" s="1"/>
  <c r="CW73" i="1"/>
  <c r="V73" i="1" s="1"/>
  <c r="FR73" i="1"/>
  <c r="GL73" i="1"/>
  <c r="GO73" i="1"/>
  <c r="GP73" i="1"/>
  <c r="GV73" i="1"/>
  <c r="GX73" i="1"/>
  <c r="HC73" i="1"/>
  <c r="I74" i="1"/>
  <c r="AC74" i="1"/>
  <c r="AB74" i="1" s="1"/>
  <c r="AD74" i="1"/>
  <c r="CR74" i="1" s="1"/>
  <c r="Q74" i="1" s="1"/>
  <c r="AE74" i="1"/>
  <c r="CS74" i="1" s="1"/>
  <c r="R74" i="1" s="1"/>
  <c r="GK74" i="1" s="1"/>
  <c r="AF74" i="1"/>
  <c r="AG74" i="1"/>
  <c r="AH74" i="1"/>
  <c r="CV74" i="1" s="1"/>
  <c r="U74" i="1" s="1"/>
  <c r="AI74" i="1"/>
  <c r="CW74" i="1" s="1"/>
  <c r="V74" i="1" s="1"/>
  <c r="AJ74" i="1"/>
  <c r="CQ74" i="1"/>
  <c r="P74" i="1" s="1"/>
  <c r="CP74" i="1" s="1"/>
  <c r="O74" i="1" s="1"/>
  <c r="CT74" i="1"/>
  <c r="S74" i="1" s="1"/>
  <c r="CU74" i="1"/>
  <c r="T74" i="1" s="1"/>
  <c r="CX74" i="1"/>
  <c r="W74" i="1" s="1"/>
  <c r="FR74" i="1"/>
  <c r="GL74" i="1"/>
  <c r="GO74" i="1"/>
  <c r="GP74" i="1"/>
  <c r="GV74" i="1"/>
  <c r="HC74" i="1"/>
  <c r="GX74" i="1" s="1"/>
  <c r="I75" i="1"/>
  <c r="AC75" i="1"/>
  <c r="CQ75" i="1" s="1"/>
  <c r="P75" i="1" s="1"/>
  <c r="AE75" i="1"/>
  <c r="AD75" i="1" s="1"/>
  <c r="AF75" i="1"/>
  <c r="CT75" i="1" s="1"/>
  <c r="S75" i="1" s="1"/>
  <c r="AG75" i="1"/>
  <c r="CU75" i="1" s="1"/>
  <c r="T75" i="1" s="1"/>
  <c r="AH75" i="1"/>
  <c r="AI75" i="1"/>
  <c r="AJ75" i="1"/>
  <c r="CX75" i="1" s="1"/>
  <c r="W75" i="1" s="1"/>
  <c r="CS75" i="1"/>
  <c r="R75" i="1" s="1"/>
  <c r="GK75" i="1" s="1"/>
  <c r="CV75" i="1"/>
  <c r="U75" i="1" s="1"/>
  <c r="CW75" i="1"/>
  <c r="V75" i="1" s="1"/>
  <c r="FR75" i="1"/>
  <c r="GL75" i="1"/>
  <c r="GO75" i="1"/>
  <c r="GP75" i="1"/>
  <c r="GV75" i="1"/>
  <c r="GX75" i="1"/>
  <c r="HC75" i="1"/>
  <c r="I76" i="1"/>
  <c r="AC76" i="1"/>
  <c r="AB76" i="1" s="1"/>
  <c r="AD76" i="1"/>
  <c r="CR76" i="1" s="1"/>
  <c r="Q76" i="1" s="1"/>
  <c r="AE76" i="1"/>
  <c r="CS76" i="1" s="1"/>
  <c r="R76" i="1" s="1"/>
  <c r="GK76" i="1" s="1"/>
  <c r="AF76" i="1"/>
  <c r="AG76" i="1"/>
  <c r="AH76" i="1"/>
  <c r="CV76" i="1" s="1"/>
  <c r="U76" i="1" s="1"/>
  <c r="AI76" i="1"/>
  <c r="CW76" i="1" s="1"/>
  <c r="V76" i="1" s="1"/>
  <c r="AJ76" i="1"/>
  <c r="CQ76" i="1"/>
  <c r="P76" i="1" s="1"/>
  <c r="CT76" i="1"/>
  <c r="S76" i="1" s="1"/>
  <c r="CU76" i="1"/>
  <c r="T76" i="1" s="1"/>
  <c r="CX76" i="1"/>
  <c r="W76" i="1" s="1"/>
  <c r="FR76" i="1"/>
  <c r="GL76" i="1"/>
  <c r="GO76" i="1"/>
  <c r="GP76" i="1"/>
  <c r="GV76" i="1"/>
  <c r="HC76" i="1" s="1"/>
  <c r="GX76" i="1" s="1"/>
  <c r="I77" i="1"/>
  <c r="AC77" i="1"/>
  <c r="CQ77" i="1" s="1"/>
  <c r="P77" i="1" s="1"/>
  <c r="AE77" i="1"/>
  <c r="AD77" i="1" s="1"/>
  <c r="AF77" i="1"/>
  <c r="CT77" i="1" s="1"/>
  <c r="S77" i="1" s="1"/>
  <c r="AG77" i="1"/>
  <c r="CU77" i="1" s="1"/>
  <c r="T77" i="1" s="1"/>
  <c r="AH77" i="1"/>
  <c r="AI77" i="1"/>
  <c r="AJ77" i="1"/>
  <c r="CX77" i="1" s="1"/>
  <c r="W77" i="1" s="1"/>
  <c r="CS77" i="1"/>
  <c r="R77" i="1" s="1"/>
  <c r="GK77" i="1" s="1"/>
  <c r="CV77" i="1"/>
  <c r="U77" i="1" s="1"/>
  <c r="CW77" i="1"/>
  <c r="V77" i="1" s="1"/>
  <c r="FR77" i="1"/>
  <c r="GL77" i="1"/>
  <c r="GO77" i="1"/>
  <c r="GP77" i="1"/>
  <c r="GV77" i="1"/>
  <c r="GX77" i="1"/>
  <c r="HC77" i="1"/>
  <c r="C78" i="1"/>
  <c r="D78" i="1"/>
  <c r="I78" i="1"/>
  <c r="CX187" i="3" s="1"/>
  <c r="AC78" i="1"/>
  <c r="AD78" i="1"/>
  <c r="AE78" i="1"/>
  <c r="AF78" i="1"/>
  <c r="AB78" i="1" s="1"/>
  <c r="AG78" i="1"/>
  <c r="AH78" i="1"/>
  <c r="AI78" i="1"/>
  <c r="AJ78" i="1"/>
  <c r="CX78" i="1" s="1"/>
  <c r="W78" i="1" s="1"/>
  <c r="CQ78" i="1"/>
  <c r="P78" i="1" s="1"/>
  <c r="CR78" i="1"/>
  <c r="Q78" i="1" s="1"/>
  <c r="CS78" i="1"/>
  <c r="R78" i="1" s="1"/>
  <c r="GK78" i="1" s="1"/>
  <c r="CU78" i="1"/>
  <c r="T78" i="1" s="1"/>
  <c r="CV78" i="1"/>
  <c r="U78" i="1" s="1"/>
  <c r="CW78" i="1"/>
  <c r="V78" i="1" s="1"/>
  <c r="FR78" i="1"/>
  <c r="GL78" i="1"/>
  <c r="GO78" i="1"/>
  <c r="GP78" i="1"/>
  <c r="GV78" i="1"/>
  <c r="GX78" i="1"/>
  <c r="HC78" i="1"/>
  <c r="C79" i="1"/>
  <c r="D79" i="1"/>
  <c r="I79" i="1"/>
  <c r="CX188" i="3" s="1"/>
  <c r="AC79" i="1"/>
  <c r="AD79" i="1"/>
  <c r="CR79" i="1" s="1"/>
  <c r="Q79" i="1" s="1"/>
  <c r="AE79" i="1"/>
  <c r="AF79" i="1"/>
  <c r="AB79" i="1" s="1"/>
  <c r="AG79" i="1"/>
  <c r="AH79" i="1"/>
  <c r="CV79" i="1" s="1"/>
  <c r="U79" i="1" s="1"/>
  <c r="AI79" i="1"/>
  <c r="AJ79" i="1"/>
  <c r="CX79" i="1" s="1"/>
  <c r="W79" i="1" s="1"/>
  <c r="CQ79" i="1"/>
  <c r="P79" i="1" s="1"/>
  <c r="CS79" i="1"/>
  <c r="R79" i="1" s="1"/>
  <c r="GK79" i="1" s="1"/>
  <c r="CU79" i="1"/>
  <c r="T79" i="1" s="1"/>
  <c r="CW79" i="1"/>
  <c r="V79" i="1" s="1"/>
  <c r="FR79" i="1"/>
  <c r="GL79" i="1"/>
  <c r="GO79" i="1"/>
  <c r="GP79" i="1"/>
  <c r="GV79" i="1"/>
  <c r="GX79" i="1"/>
  <c r="HC79" i="1"/>
  <c r="C80" i="1"/>
  <c r="D80" i="1"/>
  <c r="I80" i="1"/>
  <c r="I82" i="1" s="1"/>
  <c r="AC80" i="1"/>
  <c r="AD80" i="1"/>
  <c r="CR80" i="1" s="1"/>
  <c r="Q80" i="1" s="1"/>
  <c r="AE80" i="1"/>
  <c r="AF80" i="1"/>
  <c r="CT80" i="1" s="1"/>
  <c r="S80" i="1" s="1"/>
  <c r="AG80" i="1"/>
  <c r="AH80" i="1"/>
  <c r="CV80" i="1" s="1"/>
  <c r="U80" i="1" s="1"/>
  <c r="AI80" i="1"/>
  <c r="AJ80" i="1"/>
  <c r="CX80" i="1" s="1"/>
  <c r="W80" i="1" s="1"/>
  <c r="CQ80" i="1"/>
  <c r="P80" i="1" s="1"/>
  <c r="CS80" i="1"/>
  <c r="R80" i="1" s="1"/>
  <c r="GK80" i="1" s="1"/>
  <c r="CU80" i="1"/>
  <c r="T80" i="1" s="1"/>
  <c r="CW80" i="1"/>
  <c r="V80" i="1" s="1"/>
  <c r="FR80" i="1"/>
  <c r="GL80" i="1"/>
  <c r="GO80" i="1"/>
  <c r="GP80" i="1"/>
  <c r="GV80" i="1"/>
  <c r="GX80" i="1"/>
  <c r="HC80" i="1"/>
  <c r="C81" i="1"/>
  <c r="D81" i="1"/>
  <c r="I81" i="1"/>
  <c r="GX81" i="1" s="1"/>
  <c r="AC81" i="1"/>
  <c r="AD81" i="1"/>
  <c r="CR81" i="1" s="1"/>
  <c r="Q81" i="1" s="1"/>
  <c r="AE81" i="1"/>
  <c r="AF81" i="1"/>
  <c r="CT81" i="1" s="1"/>
  <c r="S81" i="1" s="1"/>
  <c r="AG81" i="1"/>
  <c r="AH81" i="1"/>
  <c r="CV81" i="1" s="1"/>
  <c r="U81" i="1" s="1"/>
  <c r="AI81" i="1"/>
  <c r="AJ81" i="1"/>
  <c r="CX81" i="1" s="1"/>
  <c r="W81" i="1" s="1"/>
  <c r="CQ81" i="1"/>
  <c r="P81" i="1" s="1"/>
  <c r="CS81" i="1"/>
  <c r="R81" i="1" s="1"/>
  <c r="GK81" i="1" s="1"/>
  <c r="CU81" i="1"/>
  <c r="CW81" i="1"/>
  <c r="V81" i="1" s="1"/>
  <c r="FR81" i="1"/>
  <c r="GL81" i="1"/>
  <c r="GO81" i="1"/>
  <c r="GP81" i="1"/>
  <c r="GV81" i="1"/>
  <c r="HC81" i="1"/>
  <c r="AC82" i="1"/>
  <c r="AD82" i="1"/>
  <c r="AE82" i="1"/>
  <c r="AF82" i="1"/>
  <c r="CT82" i="1" s="1"/>
  <c r="S82" i="1" s="1"/>
  <c r="AG82" i="1"/>
  <c r="AH82" i="1"/>
  <c r="CV82" i="1" s="1"/>
  <c r="U82" i="1" s="1"/>
  <c r="AI82" i="1"/>
  <c r="AJ82" i="1"/>
  <c r="CX82" i="1" s="1"/>
  <c r="W82" i="1" s="1"/>
  <c r="CQ82" i="1"/>
  <c r="P82" i="1" s="1"/>
  <c r="CS82" i="1"/>
  <c r="R82" i="1" s="1"/>
  <c r="GK82" i="1" s="1"/>
  <c r="CU82" i="1"/>
  <c r="T82" i="1" s="1"/>
  <c r="CW82" i="1"/>
  <c r="V82" i="1" s="1"/>
  <c r="CY82" i="1"/>
  <c r="X82" i="1" s="1"/>
  <c r="FR82" i="1"/>
  <c r="GL82" i="1"/>
  <c r="GO82" i="1"/>
  <c r="GP82" i="1"/>
  <c r="GV82" i="1"/>
  <c r="HC82" i="1" s="1"/>
  <c r="GX82" i="1" s="1"/>
  <c r="I83" i="1"/>
  <c r="V83" i="1" s="1"/>
  <c r="AC83" i="1"/>
  <c r="AD83" i="1"/>
  <c r="CR83" i="1" s="1"/>
  <c r="AE83" i="1"/>
  <c r="AF83" i="1"/>
  <c r="CT83" i="1" s="1"/>
  <c r="AG83" i="1"/>
  <c r="AH83" i="1"/>
  <c r="CV83" i="1" s="1"/>
  <c r="AI83" i="1"/>
  <c r="AJ83" i="1"/>
  <c r="CX83" i="1" s="1"/>
  <c r="CQ83" i="1"/>
  <c r="P83" i="1" s="1"/>
  <c r="CS83" i="1"/>
  <c r="R83" i="1" s="1"/>
  <c r="GK83" i="1" s="1"/>
  <c r="CU83" i="1"/>
  <c r="CW83" i="1"/>
  <c r="FR83" i="1"/>
  <c r="GL83" i="1"/>
  <c r="GO83" i="1"/>
  <c r="GP83" i="1"/>
  <c r="GV83" i="1"/>
  <c r="HC83" i="1"/>
  <c r="C84" i="1"/>
  <c r="D84" i="1"/>
  <c r="I84" i="1"/>
  <c r="AC84" i="1"/>
  <c r="AD84" i="1"/>
  <c r="CR84" i="1" s="1"/>
  <c r="Q84" i="1" s="1"/>
  <c r="AE84" i="1"/>
  <c r="AF84" i="1"/>
  <c r="CT84" i="1" s="1"/>
  <c r="S84" i="1" s="1"/>
  <c r="AG84" i="1"/>
  <c r="AH84" i="1"/>
  <c r="CV84" i="1" s="1"/>
  <c r="U84" i="1" s="1"/>
  <c r="AI84" i="1"/>
  <c r="AJ84" i="1"/>
  <c r="CX84" i="1" s="1"/>
  <c r="W84" i="1" s="1"/>
  <c r="CQ84" i="1"/>
  <c r="P84" i="1" s="1"/>
  <c r="CS84" i="1"/>
  <c r="R84" i="1" s="1"/>
  <c r="GK84" i="1" s="1"/>
  <c r="CU84" i="1"/>
  <c r="T84" i="1" s="1"/>
  <c r="CW84" i="1"/>
  <c r="V84" i="1" s="1"/>
  <c r="FR84" i="1"/>
  <c r="GL84" i="1"/>
  <c r="GO84" i="1"/>
  <c r="GP84" i="1"/>
  <c r="GV84" i="1"/>
  <c r="GX84" i="1"/>
  <c r="HC84" i="1"/>
  <c r="C85" i="1"/>
  <c r="D85" i="1"/>
  <c r="I85" i="1"/>
  <c r="AC85" i="1"/>
  <c r="AD85" i="1"/>
  <c r="CR85" i="1" s="1"/>
  <c r="Q85" i="1" s="1"/>
  <c r="AE85" i="1"/>
  <c r="AF85" i="1"/>
  <c r="CT85" i="1" s="1"/>
  <c r="S85" i="1" s="1"/>
  <c r="AG85" i="1"/>
  <c r="AH85" i="1"/>
  <c r="CV85" i="1" s="1"/>
  <c r="U85" i="1" s="1"/>
  <c r="AI85" i="1"/>
  <c r="AJ85" i="1"/>
  <c r="CX85" i="1" s="1"/>
  <c r="W85" i="1" s="1"/>
  <c r="CQ85" i="1"/>
  <c r="P85" i="1" s="1"/>
  <c r="CS85" i="1"/>
  <c r="R85" i="1" s="1"/>
  <c r="GK85" i="1" s="1"/>
  <c r="CU85" i="1"/>
  <c r="T85" i="1" s="1"/>
  <c r="CW85" i="1"/>
  <c r="V85" i="1" s="1"/>
  <c r="FR85" i="1"/>
  <c r="GL85" i="1"/>
  <c r="GO85" i="1"/>
  <c r="GP85" i="1"/>
  <c r="GV85" i="1"/>
  <c r="GX85" i="1"/>
  <c r="HC85" i="1"/>
  <c r="I86" i="1"/>
  <c r="AC86" i="1"/>
  <c r="AD86" i="1"/>
  <c r="CR86" i="1" s="1"/>
  <c r="Q86" i="1" s="1"/>
  <c r="AE86" i="1"/>
  <c r="AF86" i="1"/>
  <c r="AB86" i="1" s="1"/>
  <c r="AG86" i="1"/>
  <c r="AH86" i="1"/>
  <c r="CV86" i="1" s="1"/>
  <c r="U86" i="1" s="1"/>
  <c r="AI86" i="1"/>
  <c r="AJ86" i="1"/>
  <c r="CX86" i="1" s="1"/>
  <c r="W86" i="1" s="1"/>
  <c r="CQ86" i="1"/>
  <c r="P86" i="1" s="1"/>
  <c r="CS86" i="1"/>
  <c r="R86" i="1" s="1"/>
  <c r="GK86" i="1" s="1"/>
  <c r="CU86" i="1"/>
  <c r="T86" i="1" s="1"/>
  <c r="CW86" i="1"/>
  <c r="V86" i="1" s="1"/>
  <c r="FR86" i="1"/>
  <c r="GL86" i="1"/>
  <c r="GO86" i="1"/>
  <c r="GP86" i="1"/>
  <c r="GV86" i="1"/>
  <c r="GX86" i="1"/>
  <c r="HC86" i="1"/>
  <c r="I87" i="1"/>
  <c r="AC87" i="1"/>
  <c r="AD87" i="1"/>
  <c r="CR87" i="1" s="1"/>
  <c r="Q87" i="1" s="1"/>
  <c r="AE87" i="1"/>
  <c r="AF87" i="1"/>
  <c r="CT87" i="1" s="1"/>
  <c r="S87" i="1" s="1"/>
  <c r="AG87" i="1"/>
  <c r="AH87" i="1"/>
  <c r="CV87" i="1" s="1"/>
  <c r="U87" i="1" s="1"/>
  <c r="AI87" i="1"/>
  <c r="AJ87" i="1"/>
  <c r="CX87" i="1" s="1"/>
  <c r="W87" i="1" s="1"/>
  <c r="CQ87" i="1"/>
  <c r="P87" i="1" s="1"/>
  <c r="CS87" i="1"/>
  <c r="R87" i="1" s="1"/>
  <c r="GK87" i="1" s="1"/>
  <c r="CU87" i="1"/>
  <c r="T87" i="1" s="1"/>
  <c r="CW87" i="1"/>
  <c r="V87" i="1" s="1"/>
  <c r="FR87" i="1"/>
  <c r="GL87" i="1"/>
  <c r="GO87" i="1"/>
  <c r="GP87" i="1"/>
  <c r="GV87" i="1"/>
  <c r="GX87" i="1"/>
  <c r="HC87" i="1"/>
  <c r="C88" i="1"/>
  <c r="D88" i="1"/>
  <c r="I88" i="1"/>
  <c r="AC88" i="1"/>
  <c r="AD88" i="1"/>
  <c r="CR88" i="1" s="1"/>
  <c r="Q88" i="1" s="1"/>
  <c r="AE88" i="1"/>
  <c r="AF88" i="1"/>
  <c r="CT88" i="1" s="1"/>
  <c r="S88" i="1" s="1"/>
  <c r="AG88" i="1"/>
  <c r="AH88" i="1"/>
  <c r="CV88" i="1" s="1"/>
  <c r="U88" i="1" s="1"/>
  <c r="AI88" i="1"/>
  <c r="AJ88" i="1"/>
  <c r="CX88" i="1" s="1"/>
  <c r="W88" i="1" s="1"/>
  <c r="CQ88" i="1"/>
  <c r="P88" i="1" s="1"/>
  <c r="CS88" i="1"/>
  <c r="R88" i="1" s="1"/>
  <c r="GK88" i="1" s="1"/>
  <c r="CU88" i="1"/>
  <c r="T88" i="1" s="1"/>
  <c r="CW88" i="1"/>
  <c r="V88" i="1" s="1"/>
  <c r="FR88" i="1"/>
  <c r="GL88" i="1"/>
  <c r="GO88" i="1"/>
  <c r="GP88" i="1"/>
  <c r="GV88" i="1"/>
  <c r="GX88" i="1"/>
  <c r="HC88" i="1"/>
  <c r="C89" i="1"/>
  <c r="D89" i="1"/>
  <c r="I89" i="1"/>
  <c r="AC89" i="1"/>
  <c r="AD89" i="1"/>
  <c r="CR89" i="1" s="1"/>
  <c r="Q89" i="1" s="1"/>
  <c r="AE89" i="1"/>
  <c r="AF89" i="1"/>
  <c r="CT89" i="1" s="1"/>
  <c r="S89" i="1" s="1"/>
  <c r="AG89" i="1"/>
  <c r="AH89" i="1"/>
  <c r="CV89" i="1" s="1"/>
  <c r="U89" i="1" s="1"/>
  <c r="AI89" i="1"/>
  <c r="AJ89" i="1"/>
  <c r="CX89" i="1" s="1"/>
  <c r="W89" i="1" s="1"/>
  <c r="CQ89" i="1"/>
  <c r="P89" i="1" s="1"/>
  <c r="CS89" i="1"/>
  <c r="R89" i="1" s="1"/>
  <c r="GK89" i="1" s="1"/>
  <c r="CU89" i="1"/>
  <c r="T89" i="1" s="1"/>
  <c r="CW89" i="1"/>
  <c r="V89" i="1" s="1"/>
  <c r="FR89" i="1"/>
  <c r="GL89" i="1"/>
  <c r="GO89" i="1"/>
  <c r="GP89" i="1"/>
  <c r="GV89" i="1"/>
  <c r="HC89" i="1" s="1"/>
  <c r="GX89" i="1" s="1"/>
  <c r="C90" i="1"/>
  <c r="D90" i="1"/>
  <c r="I90" i="1"/>
  <c r="AC90" i="1"/>
  <c r="AD90" i="1"/>
  <c r="CR90" i="1" s="1"/>
  <c r="Q90" i="1" s="1"/>
  <c r="AE90" i="1"/>
  <c r="AF90" i="1"/>
  <c r="CT90" i="1" s="1"/>
  <c r="S90" i="1" s="1"/>
  <c r="AG90" i="1"/>
  <c r="AH90" i="1"/>
  <c r="CV90" i="1" s="1"/>
  <c r="U90" i="1" s="1"/>
  <c r="AI90" i="1"/>
  <c r="AJ90" i="1"/>
  <c r="CX90" i="1" s="1"/>
  <c r="W90" i="1" s="1"/>
  <c r="CQ90" i="1"/>
  <c r="P90" i="1" s="1"/>
  <c r="CS90" i="1"/>
  <c r="R90" i="1" s="1"/>
  <c r="GK90" i="1" s="1"/>
  <c r="CU90" i="1"/>
  <c r="T90" i="1" s="1"/>
  <c r="CW90" i="1"/>
  <c r="V90" i="1" s="1"/>
  <c r="FR90" i="1"/>
  <c r="GL90" i="1"/>
  <c r="GO90" i="1"/>
  <c r="GP90" i="1"/>
  <c r="GV90" i="1"/>
  <c r="HC90" i="1" s="1"/>
  <c r="GX90" i="1" s="1"/>
  <c r="C91" i="1"/>
  <c r="D91" i="1"/>
  <c r="I91" i="1"/>
  <c r="AC91" i="1"/>
  <c r="AD91" i="1"/>
  <c r="CR91" i="1" s="1"/>
  <c r="Q91" i="1" s="1"/>
  <c r="AE91" i="1"/>
  <c r="AF91" i="1"/>
  <c r="CT91" i="1" s="1"/>
  <c r="S91" i="1" s="1"/>
  <c r="AG91" i="1"/>
  <c r="AH91" i="1"/>
  <c r="CV91" i="1" s="1"/>
  <c r="U91" i="1" s="1"/>
  <c r="AI91" i="1"/>
  <c r="AJ91" i="1"/>
  <c r="CX91" i="1" s="1"/>
  <c r="W91" i="1" s="1"/>
  <c r="CQ91" i="1"/>
  <c r="P91" i="1" s="1"/>
  <c r="CS91" i="1"/>
  <c r="R91" i="1" s="1"/>
  <c r="GK91" i="1" s="1"/>
  <c r="CU91" i="1"/>
  <c r="T91" i="1" s="1"/>
  <c r="CW91" i="1"/>
  <c r="V91" i="1" s="1"/>
  <c r="FR91" i="1"/>
  <c r="GL91" i="1"/>
  <c r="GO91" i="1"/>
  <c r="GP91" i="1"/>
  <c r="GV91" i="1"/>
  <c r="HC91" i="1" s="1"/>
  <c r="GX91" i="1" s="1"/>
  <c r="I92" i="1"/>
  <c r="AC92" i="1"/>
  <c r="AD92" i="1"/>
  <c r="CR92" i="1" s="1"/>
  <c r="Q92" i="1" s="1"/>
  <c r="AE92" i="1"/>
  <c r="AF92" i="1"/>
  <c r="AB92" i="1" s="1"/>
  <c r="AG92" i="1"/>
  <c r="AH92" i="1"/>
  <c r="CV92" i="1" s="1"/>
  <c r="U92" i="1" s="1"/>
  <c r="AI92" i="1"/>
  <c r="AJ92" i="1"/>
  <c r="CX92" i="1" s="1"/>
  <c r="W92" i="1" s="1"/>
  <c r="CQ92" i="1"/>
  <c r="P92" i="1" s="1"/>
  <c r="CS92" i="1"/>
  <c r="R92" i="1" s="1"/>
  <c r="GK92" i="1" s="1"/>
  <c r="CU92" i="1"/>
  <c r="T92" i="1" s="1"/>
  <c r="CW92" i="1"/>
  <c r="V92" i="1" s="1"/>
  <c r="FR92" i="1"/>
  <c r="GL92" i="1"/>
  <c r="GO92" i="1"/>
  <c r="GP92" i="1"/>
  <c r="GV92" i="1"/>
  <c r="GX92" i="1"/>
  <c r="HC92" i="1"/>
  <c r="I93" i="1"/>
  <c r="AC93" i="1"/>
  <c r="AD93" i="1"/>
  <c r="CR93" i="1" s="1"/>
  <c r="Q93" i="1" s="1"/>
  <c r="AE93" i="1"/>
  <c r="AF93" i="1"/>
  <c r="CT93" i="1" s="1"/>
  <c r="S93" i="1" s="1"/>
  <c r="AG93" i="1"/>
  <c r="AH93" i="1"/>
  <c r="CV93" i="1" s="1"/>
  <c r="U93" i="1" s="1"/>
  <c r="AI93" i="1"/>
  <c r="AJ93" i="1"/>
  <c r="CX93" i="1" s="1"/>
  <c r="W93" i="1" s="1"/>
  <c r="CQ93" i="1"/>
  <c r="P93" i="1" s="1"/>
  <c r="CS93" i="1"/>
  <c r="R93" i="1" s="1"/>
  <c r="GK93" i="1" s="1"/>
  <c r="CU93" i="1"/>
  <c r="T93" i="1" s="1"/>
  <c r="CW93" i="1"/>
  <c r="V93" i="1" s="1"/>
  <c r="FR93" i="1"/>
  <c r="GL93" i="1"/>
  <c r="GO93" i="1"/>
  <c r="GP93" i="1"/>
  <c r="GV93" i="1"/>
  <c r="GX93" i="1"/>
  <c r="HC93" i="1"/>
  <c r="I94" i="1"/>
  <c r="AC94" i="1"/>
  <c r="AD94" i="1"/>
  <c r="CR94" i="1" s="1"/>
  <c r="Q94" i="1" s="1"/>
  <c r="AE94" i="1"/>
  <c r="AF94" i="1"/>
  <c r="AB94" i="1" s="1"/>
  <c r="AG94" i="1"/>
  <c r="AH94" i="1"/>
  <c r="CV94" i="1" s="1"/>
  <c r="U94" i="1" s="1"/>
  <c r="AI94" i="1"/>
  <c r="AJ94" i="1"/>
  <c r="CX94" i="1" s="1"/>
  <c r="W94" i="1" s="1"/>
  <c r="CQ94" i="1"/>
  <c r="P94" i="1" s="1"/>
  <c r="CS94" i="1"/>
  <c r="R94" i="1" s="1"/>
  <c r="GK94" i="1" s="1"/>
  <c r="CU94" i="1"/>
  <c r="T94" i="1" s="1"/>
  <c r="CW94" i="1"/>
  <c r="V94" i="1" s="1"/>
  <c r="FR94" i="1"/>
  <c r="GL94" i="1"/>
  <c r="GO94" i="1"/>
  <c r="GP94" i="1"/>
  <c r="GV94" i="1"/>
  <c r="GX94" i="1"/>
  <c r="HC94" i="1"/>
  <c r="I95" i="1"/>
  <c r="AC95" i="1"/>
  <c r="AD95" i="1"/>
  <c r="CR95" i="1" s="1"/>
  <c r="Q95" i="1" s="1"/>
  <c r="AE95" i="1"/>
  <c r="AF95" i="1"/>
  <c r="CT95" i="1" s="1"/>
  <c r="S95" i="1" s="1"/>
  <c r="AG95" i="1"/>
  <c r="AH95" i="1"/>
  <c r="CV95" i="1" s="1"/>
  <c r="U95" i="1" s="1"/>
  <c r="AI95" i="1"/>
  <c r="AJ95" i="1"/>
  <c r="CX95" i="1" s="1"/>
  <c r="W95" i="1" s="1"/>
  <c r="CQ95" i="1"/>
  <c r="P95" i="1" s="1"/>
  <c r="CS95" i="1"/>
  <c r="R95" i="1" s="1"/>
  <c r="GK95" i="1" s="1"/>
  <c r="CU95" i="1"/>
  <c r="T95" i="1" s="1"/>
  <c r="CW95" i="1"/>
  <c r="V95" i="1" s="1"/>
  <c r="FR95" i="1"/>
  <c r="GL95" i="1"/>
  <c r="GO95" i="1"/>
  <c r="GP95" i="1"/>
  <c r="GV95" i="1"/>
  <c r="GX95" i="1"/>
  <c r="HC95" i="1"/>
  <c r="I96" i="1"/>
  <c r="AC96" i="1"/>
  <c r="AD96" i="1"/>
  <c r="CR96" i="1" s="1"/>
  <c r="Q96" i="1" s="1"/>
  <c r="AE96" i="1"/>
  <c r="AF96" i="1"/>
  <c r="AB96" i="1" s="1"/>
  <c r="AG96" i="1"/>
  <c r="AH96" i="1"/>
  <c r="CV96" i="1" s="1"/>
  <c r="U96" i="1" s="1"/>
  <c r="AI96" i="1"/>
  <c r="AJ96" i="1"/>
  <c r="CX96" i="1" s="1"/>
  <c r="W96" i="1" s="1"/>
  <c r="CQ96" i="1"/>
  <c r="P96" i="1" s="1"/>
  <c r="CS96" i="1"/>
  <c r="R96" i="1" s="1"/>
  <c r="GK96" i="1" s="1"/>
  <c r="CU96" i="1"/>
  <c r="T96" i="1" s="1"/>
  <c r="CW96" i="1"/>
  <c r="V96" i="1" s="1"/>
  <c r="FR96" i="1"/>
  <c r="GL96" i="1"/>
  <c r="GO96" i="1"/>
  <c r="GP96" i="1"/>
  <c r="GV96" i="1"/>
  <c r="GX96" i="1"/>
  <c r="HC96" i="1"/>
  <c r="I97" i="1"/>
  <c r="AC97" i="1"/>
  <c r="AD97" i="1"/>
  <c r="CR97" i="1" s="1"/>
  <c r="Q97" i="1" s="1"/>
  <c r="AE97" i="1"/>
  <c r="AF97" i="1"/>
  <c r="AG97" i="1"/>
  <c r="AH97" i="1"/>
  <c r="CV97" i="1" s="1"/>
  <c r="U97" i="1" s="1"/>
  <c r="AI97" i="1"/>
  <c r="AJ97" i="1"/>
  <c r="CQ97" i="1"/>
  <c r="P97" i="1" s="1"/>
  <c r="CS97" i="1"/>
  <c r="R97" i="1" s="1"/>
  <c r="GK97" i="1" s="1"/>
  <c r="CT97" i="1"/>
  <c r="S97" i="1" s="1"/>
  <c r="CU97" i="1"/>
  <c r="T97" i="1" s="1"/>
  <c r="CW97" i="1"/>
  <c r="V97" i="1" s="1"/>
  <c r="CX97" i="1"/>
  <c r="W97" i="1" s="1"/>
  <c r="FR97" i="1"/>
  <c r="GL97" i="1"/>
  <c r="GO97" i="1"/>
  <c r="GP97" i="1"/>
  <c r="GV97" i="1"/>
  <c r="GX97" i="1"/>
  <c r="HC97" i="1"/>
  <c r="C98" i="1"/>
  <c r="D98" i="1"/>
  <c r="I98" i="1"/>
  <c r="AC98" i="1"/>
  <c r="AD98" i="1"/>
  <c r="CR98" i="1" s="1"/>
  <c r="Q98" i="1" s="1"/>
  <c r="AE98" i="1"/>
  <c r="AF98" i="1"/>
  <c r="CT98" i="1" s="1"/>
  <c r="S98" i="1" s="1"/>
  <c r="AG98" i="1"/>
  <c r="AH98" i="1"/>
  <c r="CV98" i="1" s="1"/>
  <c r="U98" i="1" s="1"/>
  <c r="AI98" i="1"/>
  <c r="AJ98" i="1"/>
  <c r="CX98" i="1" s="1"/>
  <c r="W98" i="1" s="1"/>
  <c r="CQ98" i="1"/>
  <c r="P98" i="1" s="1"/>
  <c r="CS98" i="1"/>
  <c r="R98" i="1" s="1"/>
  <c r="GK98" i="1" s="1"/>
  <c r="CU98" i="1"/>
  <c r="T98" i="1" s="1"/>
  <c r="CW98" i="1"/>
  <c r="V98" i="1" s="1"/>
  <c r="FR98" i="1"/>
  <c r="GL98" i="1"/>
  <c r="GO98" i="1"/>
  <c r="GP98" i="1"/>
  <c r="GV98" i="1"/>
  <c r="GX98" i="1"/>
  <c r="HC98" i="1"/>
  <c r="C99" i="1"/>
  <c r="D99" i="1"/>
  <c r="I99" i="1"/>
  <c r="AC99" i="1"/>
  <c r="AD99" i="1"/>
  <c r="CR99" i="1" s="1"/>
  <c r="Q99" i="1" s="1"/>
  <c r="AE99" i="1"/>
  <c r="AF99" i="1"/>
  <c r="CT99" i="1" s="1"/>
  <c r="S99" i="1" s="1"/>
  <c r="AG99" i="1"/>
  <c r="AH99" i="1"/>
  <c r="CV99" i="1" s="1"/>
  <c r="U99" i="1" s="1"/>
  <c r="AI99" i="1"/>
  <c r="AJ99" i="1"/>
  <c r="CX99" i="1" s="1"/>
  <c r="W99" i="1" s="1"/>
  <c r="CQ99" i="1"/>
  <c r="P99" i="1" s="1"/>
  <c r="CS99" i="1"/>
  <c r="R99" i="1" s="1"/>
  <c r="GK99" i="1" s="1"/>
  <c r="CU99" i="1"/>
  <c r="T99" i="1" s="1"/>
  <c r="CW99" i="1"/>
  <c r="V99" i="1" s="1"/>
  <c r="FR99" i="1"/>
  <c r="GL99" i="1"/>
  <c r="GO99" i="1"/>
  <c r="GP99" i="1"/>
  <c r="GV99" i="1"/>
  <c r="GX99" i="1"/>
  <c r="HC99" i="1"/>
  <c r="C100" i="1"/>
  <c r="D100" i="1"/>
  <c r="I100" i="1"/>
  <c r="AC100" i="1"/>
  <c r="AD100" i="1"/>
  <c r="CR100" i="1" s="1"/>
  <c r="Q100" i="1" s="1"/>
  <c r="AE100" i="1"/>
  <c r="AF100" i="1"/>
  <c r="CT100" i="1" s="1"/>
  <c r="S100" i="1" s="1"/>
  <c r="AG100" i="1"/>
  <c r="AH100" i="1"/>
  <c r="CV100" i="1" s="1"/>
  <c r="U100" i="1" s="1"/>
  <c r="AI100" i="1"/>
  <c r="AJ100" i="1"/>
  <c r="CX100" i="1" s="1"/>
  <c r="W100" i="1" s="1"/>
  <c r="CQ100" i="1"/>
  <c r="P100" i="1" s="1"/>
  <c r="CS100" i="1"/>
  <c r="R100" i="1" s="1"/>
  <c r="GK100" i="1" s="1"/>
  <c r="CU100" i="1"/>
  <c r="T100" i="1" s="1"/>
  <c r="CW100" i="1"/>
  <c r="V100" i="1" s="1"/>
  <c r="FR100" i="1"/>
  <c r="GL100" i="1"/>
  <c r="GO100" i="1"/>
  <c r="GP100" i="1"/>
  <c r="GV100" i="1"/>
  <c r="GX100" i="1"/>
  <c r="HC100" i="1"/>
  <c r="C101" i="1"/>
  <c r="D101" i="1"/>
  <c r="I101" i="1"/>
  <c r="AC101" i="1"/>
  <c r="AD101" i="1"/>
  <c r="CR101" i="1" s="1"/>
  <c r="Q101" i="1" s="1"/>
  <c r="AE101" i="1"/>
  <c r="AF101" i="1"/>
  <c r="CT101" i="1" s="1"/>
  <c r="S101" i="1" s="1"/>
  <c r="AG101" i="1"/>
  <c r="AH101" i="1"/>
  <c r="CV101" i="1" s="1"/>
  <c r="U101" i="1" s="1"/>
  <c r="AI101" i="1"/>
  <c r="AJ101" i="1"/>
  <c r="CX101" i="1" s="1"/>
  <c r="W101" i="1" s="1"/>
  <c r="CQ101" i="1"/>
  <c r="P101" i="1" s="1"/>
  <c r="CS101" i="1"/>
  <c r="R101" i="1" s="1"/>
  <c r="GK101" i="1" s="1"/>
  <c r="CU101" i="1"/>
  <c r="T101" i="1" s="1"/>
  <c r="CW101" i="1"/>
  <c r="V101" i="1" s="1"/>
  <c r="FR101" i="1"/>
  <c r="GL101" i="1"/>
  <c r="GO101" i="1"/>
  <c r="GP101" i="1"/>
  <c r="GV101" i="1"/>
  <c r="HC101" i="1" s="1"/>
  <c r="GX101" i="1" s="1"/>
  <c r="I102" i="1"/>
  <c r="AC102" i="1"/>
  <c r="AD102" i="1"/>
  <c r="CR102" i="1" s="1"/>
  <c r="Q102" i="1" s="1"/>
  <c r="AE102" i="1"/>
  <c r="AF102" i="1"/>
  <c r="AB102" i="1" s="1"/>
  <c r="AG102" i="1"/>
  <c r="AH102" i="1"/>
  <c r="CV102" i="1" s="1"/>
  <c r="U102" i="1" s="1"/>
  <c r="AI102" i="1"/>
  <c r="AJ102" i="1"/>
  <c r="CX102" i="1" s="1"/>
  <c r="W102" i="1" s="1"/>
  <c r="CQ102" i="1"/>
  <c r="P102" i="1" s="1"/>
  <c r="CS102" i="1"/>
  <c r="R102" i="1" s="1"/>
  <c r="GK102" i="1" s="1"/>
  <c r="CU102" i="1"/>
  <c r="T102" i="1" s="1"/>
  <c r="CW102" i="1"/>
  <c r="V102" i="1" s="1"/>
  <c r="FR102" i="1"/>
  <c r="GL102" i="1"/>
  <c r="GO102" i="1"/>
  <c r="GP102" i="1"/>
  <c r="GV102" i="1"/>
  <c r="GX102" i="1"/>
  <c r="HC102" i="1"/>
  <c r="I103" i="1"/>
  <c r="AC103" i="1"/>
  <c r="AD103" i="1"/>
  <c r="CR103" i="1" s="1"/>
  <c r="Q103" i="1" s="1"/>
  <c r="AE103" i="1"/>
  <c r="AF103" i="1"/>
  <c r="CT103" i="1" s="1"/>
  <c r="S103" i="1" s="1"/>
  <c r="AG103" i="1"/>
  <c r="AH103" i="1"/>
  <c r="CV103" i="1" s="1"/>
  <c r="U103" i="1" s="1"/>
  <c r="AI103" i="1"/>
  <c r="AJ103" i="1"/>
  <c r="CX103" i="1" s="1"/>
  <c r="W103" i="1" s="1"/>
  <c r="CQ103" i="1"/>
  <c r="P103" i="1" s="1"/>
  <c r="CS103" i="1"/>
  <c r="R103" i="1" s="1"/>
  <c r="GK103" i="1" s="1"/>
  <c r="CU103" i="1"/>
  <c r="T103" i="1" s="1"/>
  <c r="CW103" i="1"/>
  <c r="V103" i="1" s="1"/>
  <c r="FR103" i="1"/>
  <c r="GL103" i="1"/>
  <c r="GO103" i="1"/>
  <c r="GP103" i="1"/>
  <c r="GV103" i="1"/>
  <c r="HC103" i="1" s="1"/>
  <c r="GX103" i="1" s="1"/>
  <c r="C104" i="1"/>
  <c r="D104" i="1"/>
  <c r="I104" i="1"/>
  <c r="P104" i="1"/>
  <c r="AC104" i="1"/>
  <c r="AD104" i="1"/>
  <c r="AE104" i="1"/>
  <c r="AF104" i="1"/>
  <c r="CT104" i="1" s="1"/>
  <c r="S104" i="1" s="1"/>
  <c r="AG104" i="1"/>
  <c r="AH104" i="1"/>
  <c r="CV104" i="1" s="1"/>
  <c r="U104" i="1" s="1"/>
  <c r="AI104" i="1"/>
  <c r="AJ104" i="1"/>
  <c r="CX104" i="1" s="1"/>
  <c r="W104" i="1" s="1"/>
  <c r="CQ104" i="1"/>
  <c r="CS104" i="1"/>
  <c r="R104" i="1" s="1"/>
  <c r="GK104" i="1" s="1"/>
  <c r="CU104" i="1"/>
  <c r="T104" i="1" s="1"/>
  <c r="CW104" i="1"/>
  <c r="V104" i="1" s="1"/>
  <c r="FR104" i="1"/>
  <c r="GL104" i="1"/>
  <c r="GO104" i="1"/>
  <c r="GP104" i="1"/>
  <c r="GV104" i="1"/>
  <c r="HC104" i="1" s="1"/>
  <c r="GX104" i="1" s="1"/>
  <c r="C105" i="1"/>
  <c r="D105" i="1"/>
  <c r="I105" i="1"/>
  <c r="P105" i="1"/>
  <c r="AC105" i="1"/>
  <c r="AD105" i="1"/>
  <c r="AE105" i="1"/>
  <c r="AF105" i="1"/>
  <c r="CT105" i="1" s="1"/>
  <c r="S105" i="1" s="1"/>
  <c r="AG105" i="1"/>
  <c r="AH105" i="1"/>
  <c r="CV105" i="1" s="1"/>
  <c r="U105" i="1" s="1"/>
  <c r="AI105" i="1"/>
  <c r="AJ105" i="1"/>
  <c r="CX105" i="1" s="1"/>
  <c r="W105" i="1" s="1"/>
  <c r="CQ105" i="1"/>
  <c r="CS105" i="1"/>
  <c r="R105" i="1" s="1"/>
  <c r="GK105" i="1" s="1"/>
  <c r="CU105" i="1"/>
  <c r="T105" i="1" s="1"/>
  <c r="CW105" i="1"/>
  <c r="V105" i="1" s="1"/>
  <c r="FR105" i="1"/>
  <c r="GL105" i="1"/>
  <c r="GO105" i="1"/>
  <c r="GP105" i="1"/>
  <c r="GV105" i="1"/>
  <c r="GX105" i="1"/>
  <c r="HC105" i="1"/>
  <c r="I106" i="1"/>
  <c r="AC106" i="1"/>
  <c r="AD106" i="1"/>
  <c r="CR106" i="1" s="1"/>
  <c r="Q106" i="1" s="1"/>
  <c r="AE106" i="1"/>
  <c r="AF106" i="1"/>
  <c r="CT106" i="1" s="1"/>
  <c r="S106" i="1" s="1"/>
  <c r="AG106" i="1"/>
  <c r="AH106" i="1"/>
  <c r="CV106" i="1" s="1"/>
  <c r="U106" i="1" s="1"/>
  <c r="AI106" i="1"/>
  <c r="AJ106" i="1"/>
  <c r="CX106" i="1" s="1"/>
  <c r="W106" i="1" s="1"/>
  <c r="CQ106" i="1"/>
  <c r="P106" i="1" s="1"/>
  <c r="CS106" i="1"/>
  <c r="R106" i="1" s="1"/>
  <c r="GK106" i="1" s="1"/>
  <c r="CU106" i="1"/>
  <c r="T106" i="1" s="1"/>
  <c r="CW106" i="1"/>
  <c r="V106" i="1" s="1"/>
  <c r="FR106" i="1"/>
  <c r="GL106" i="1"/>
  <c r="GO106" i="1"/>
  <c r="GP106" i="1"/>
  <c r="GV106" i="1"/>
  <c r="HC106" i="1" s="1"/>
  <c r="GX106" i="1" s="1"/>
  <c r="I107" i="1"/>
  <c r="AC107" i="1"/>
  <c r="AD107" i="1"/>
  <c r="CR107" i="1" s="1"/>
  <c r="Q107" i="1" s="1"/>
  <c r="AE107" i="1"/>
  <c r="AF107" i="1"/>
  <c r="AB107" i="1" s="1"/>
  <c r="AG107" i="1"/>
  <c r="AH107" i="1"/>
  <c r="CV107" i="1" s="1"/>
  <c r="U107" i="1" s="1"/>
  <c r="AI107" i="1"/>
  <c r="AJ107" i="1"/>
  <c r="CX107" i="1" s="1"/>
  <c r="W107" i="1" s="1"/>
  <c r="CQ107" i="1"/>
  <c r="P107" i="1" s="1"/>
  <c r="CS107" i="1"/>
  <c r="R107" i="1" s="1"/>
  <c r="GK107" i="1" s="1"/>
  <c r="CU107" i="1"/>
  <c r="T107" i="1" s="1"/>
  <c r="CW107" i="1"/>
  <c r="V107" i="1" s="1"/>
  <c r="FR107" i="1"/>
  <c r="GL107" i="1"/>
  <c r="GO107" i="1"/>
  <c r="GP107" i="1"/>
  <c r="GV107" i="1"/>
  <c r="GX107" i="1"/>
  <c r="HC107" i="1"/>
  <c r="C108" i="1"/>
  <c r="D108" i="1"/>
  <c r="I108" i="1"/>
  <c r="AC108" i="1"/>
  <c r="AD108" i="1"/>
  <c r="CR108" i="1" s="1"/>
  <c r="Q108" i="1" s="1"/>
  <c r="AE108" i="1"/>
  <c r="AF108" i="1"/>
  <c r="AB108" i="1" s="1"/>
  <c r="AG108" i="1"/>
  <c r="AH108" i="1"/>
  <c r="CV108" i="1" s="1"/>
  <c r="U108" i="1" s="1"/>
  <c r="AI108" i="1"/>
  <c r="AJ108" i="1"/>
  <c r="CX108" i="1" s="1"/>
  <c r="W108" i="1" s="1"/>
  <c r="CQ108" i="1"/>
  <c r="P108" i="1" s="1"/>
  <c r="CS108" i="1"/>
  <c r="R108" i="1" s="1"/>
  <c r="GK108" i="1" s="1"/>
  <c r="CU108" i="1"/>
  <c r="T108" i="1" s="1"/>
  <c r="CW108" i="1"/>
  <c r="V108" i="1" s="1"/>
  <c r="FR108" i="1"/>
  <c r="GL108" i="1"/>
  <c r="GO108" i="1"/>
  <c r="GP108" i="1"/>
  <c r="GV108" i="1"/>
  <c r="HC108" i="1" s="1"/>
  <c r="GX108" i="1" s="1"/>
  <c r="C109" i="1"/>
  <c r="D109" i="1"/>
  <c r="I109" i="1"/>
  <c r="AC109" i="1"/>
  <c r="AD109" i="1"/>
  <c r="CR109" i="1" s="1"/>
  <c r="Q109" i="1" s="1"/>
  <c r="AE109" i="1"/>
  <c r="AF109" i="1"/>
  <c r="AB109" i="1" s="1"/>
  <c r="AG109" i="1"/>
  <c r="AH109" i="1"/>
  <c r="CV109" i="1" s="1"/>
  <c r="U109" i="1" s="1"/>
  <c r="AI109" i="1"/>
  <c r="AJ109" i="1"/>
  <c r="CX109" i="1" s="1"/>
  <c r="W109" i="1" s="1"/>
  <c r="CQ109" i="1"/>
  <c r="P109" i="1" s="1"/>
  <c r="CS109" i="1"/>
  <c r="R109" i="1" s="1"/>
  <c r="GK109" i="1" s="1"/>
  <c r="CU109" i="1"/>
  <c r="T109" i="1" s="1"/>
  <c r="CW109" i="1"/>
  <c r="V109" i="1" s="1"/>
  <c r="FR109" i="1"/>
  <c r="GL109" i="1"/>
  <c r="GO109" i="1"/>
  <c r="GP109" i="1"/>
  <c r="GV109" i="1"/>
  <c r="GX109" i="1"/>
  <c r="HC109" i="1"/>
  <c r="I110" i="1"/>
  <c r="AC110" i="1"/>
  <c r="AD110" i="1"/>
  <c r="CR110" i="1" s="1"/>
  <c r="Q110" i="1" s="1"/>
  <c r="AE110" i="1"/>
  <c r="AF110" i="1"/>
  <c r="CT110" i="1" s="1"/>
  <c r="S110" i="1" s="1"/>
  <c r="AG110" i="1"/>
  <c r="AH110" i="1"/>
  <c r="CV110" i="1" s="1"/>
  <c r="U110" i="1" s="1"/>
  <c r="AI110" i="1"/>
  <c r="AJ110" i="1"/>
  <c r="CX110" i="1" s="1"/>
  <c r="W110" i="1" s="1"/>
  <c r="CQ110" i="1"/>
  <c r="P110" i="1" s="1"/>
  <c r="CS110" i="1"/>
  <c r="R110" i="1" s="1"/>
  <c r="GK110" i="1" s="1"/>
  <c r="CU110" i="1"/>
  <c r="T110" i="1" s="1"/>
  <c r="CW110" i="1"/>
  <c r="V110" i="1" s="1"/>
  <c r="FR110" i="1"/>
  <c r="GL110" i="1"/>
  <c r="GO110" i="1"/>
  <c r="GP110" i="1"/>
  <c r="GV110" i="1"/>
  <c r="GX110" i="1"/>
  <c r="HC110" i="1"/>
  <c r="I111" i="1"/>
  <c r="AC111" i="1"/>
  <c r="AD111" i="1"/>
  <c r="CR111" i="1" s="1"/>
  <c r="Q111" i="1" s="1"/>
  <c r="AE111" i="1"/>
  <c r="AF111" i="1"/>
  <c r="AB111" i="1" s="1"/>
  <c r="AG111" i="1"/>
  <c r="AH111" i="1"/>
  <c r="CV111" i="1" s="1"/>
  <c r="U111" i="1" s="1"/>
  <c r="AI111" i="1"/>
  <c r="AJ111" i="1"/>
  <c r="CX111" i="1" s="1"/>
  <c r="W111" i="1" s="1"/>
  <c r="CQ111" i="1"/>
  <c r="P111" i="1" s="1"/>
  <c r="CS111" i="1"/>
  <c r="R111" i="1" s="1"/>
  <c r="GK111" i="1" s="1"/>
  <c r="CU111" i="1"/>
  <c r="T111" i="1" s="1"/>
  <c r="CW111" i="1"/>
  <c r="V111" i="1" s="1"/>
  <c r="FR111" i="1"/>
  <c r="GL111" i="1"/>
  <c r="GO111" i="1"/>
  <c r="GP111" i="1"/>
  <c r="GV111" i="1"/>
  <c r="GX111" i="1"/>
  <c r="HC111" i="1"/>
  <c r="I112" i="1"/>
  <c r="AC112" i="1"/>
  <c r="AD112" i="1"/>
  <c r="CR112" i="1" s="1"/>
  <c r="Q112" i="1" s="1"/>
  <c r="AE112" i="1"/>
  <c r="AF112" i="1"/>
  <c r="CT112" i="1" s="1"/>
  <c r="S112" i="1" s="1"/>
  <c r="AG112" i="1"/>
  <c r="AH112" i="1"/>
  <c r="CV112" i="1" s="1"/>
  <c r="U112" i="1" s="1"/>
  <c r="AI112" i="1"/>
  <c r="AJ112" i="1"/>
  <c r="CX112" i="1" s="1"/>
  <c r="W112" i="1" s="1"/>
  <c r="CQ112" i="1"/>
  <c r="P112" i="1" s="1"/>
  <c r="CS112" i="1"/>
  <c r="R112" i="1" s="1"/>
  <c r="GK112" i="1" s="1"/>
  <c r="CU112" i="1"/>
  <c r="T112" i="1" s="1"/>
  <c r="CW112" i="1"/>
  <c r="V112" i="1" s="1"/>
  <c r="FR112" i="1"/>
  <c r="GL112" i="1"/>
  <c r="GO112" i="1"/>
  <c r="GP112" i="1"/>
  <c r="GV112" i="1"/>
  <c r="GX112" i="1"/>
  <c r="HC112" i="1"/>
  <c r="I113" i="1"/>
  <c r="AC113" i="1"/>
  <c r="AD113" i="1"/>
  <c r="CR113" i="1" s="1"/>
  <c r="Q113" i="1" s="1"/>
  <c r="AE113" i="1"/>
  <c r="AF113" i="1"/>
  <c r="AB113" i="1" s="1"/>
  <c r="AG113" i="1"/>
  <c r="AH113" i="1"/>
  <c r="CV113" i="1" s="1"/>
  <c r="U113" i="1" s="1"/>
  <c r="AI113" i="1"/>
  <c r="AJ113" i="1"/>
  <c r="CX113" i="1" s="1"/>
  <c r="W113" i="1" s="1"/>
  <c r="CQ113" i="1"/>
  <c r="P113" i="1" s="1"/>
  <c r="CS113" i="1"/>
  <c r="R113" i="1" s="1"/>
  <c r="GK113" i="1" s="1"/>
  <c r="CU113" i="1"/>
  <c r="T113" i="1" s="1"/>
  <c r="CW113" i="1"/>
  <c r="V113" i="1" s="1"/>
  <c r="FR113" i="1"/>
  <c r="GL113" i="1"/>
  <c r="GO113" i="1"/>
  <c r="GP113" i="1"/>
  <c r="GV113" i="1"/>
  <c r="GX113" i="1"/>
  <c r="HC113" i="1"/>
  <c r="C114" i="1"/>
  <c r="D114" i="1"/>
  <c r="AC114" i="1"/>
  <c r="AE114" i="1"/>
  <c r="CS114" i="1" s="1"/>
  <c r="R114" i="1" s="1"/>
  <c r="GK114" i="1" s="1"/>
  <c r="AF114" i="1"/>
  <c r="AG114" i="1"/>
  <c r="CU114" i="1" s="1"/>
  <c r="T114" i="1" s="1"/>
  <c r="AH114" i="1"/>
  <c r="AI114" i="1"/>
  <c r="CW114" i="1" s="1"/>
  <c r="V114" i="1" s="1"/>
  <c r="AJ114" i="1"/>
  <c r="CT114" i="1"/>
  <c r="S114" i="1" s="1"/>
  <c r="CV114" i="1"/>
  <c r="U114" i="1" s="1"/>
  <c r="CX114" i="1"/>
  <c r="W114" i="1" s="1"/>
  <c r="FR114" i="1"/>
  <c r="GL114" i="1"/>
  <c r="GO114" i="1"/>
  <c r="GP114" i="1"/>
  <c r="GV114" i="1"/>
  <c r="HC114" i="1"/>
  <c r="GX114" i="1" s="1"/>
  <c r="C115" i="1"/>
  <c r="D115" i="1"/>
  <c r="AC115" i="1"/>
  <c r="AD115" i="1"/>
  <c r="CR115" i="1" s="1"/>
  <c r="Q115" i="1" s="1"/>
  <c r="AE115" i="1"/>
  <c r="AF115" i="1"/>
  <c r="CT115" i="1" s="1"/>
  <c r="S115" i="1" s="1"/>
  <c r="AG115" i="1"/>
  <c r="AH115" i="1"/>
  <c r="CV115" i="1" s="1"/>
  <c r="U115" i="1" s="1"/>
  <c r="AI115" i="1"/>
  <c r="AJ115" i="1"/>
  <c r="CX115" i="1" s="1"/>
  <c r="W115" i="1" s="1"/>
  <c r="CQ115" i="1"/>
  <c r="P115" i="1" s="1"/>
  <c r="CS115" i="1"/>
  <c r="R115" i="1" s="1"/>
  <c r="GK115" i="1" s="1"/>
  <c r="CU115" i="1"/>
  <c r="T115" i="1" s="1"/>
  <c r="CW115" i="1"/>
  <c r="V115" i="1" s="1"/>
  <c r="FR115" i="1"/>
  <c r="GL115" i="1"/>
  <c r="GO115" i="1"/>
  <c r="GP115" i="1"/>
  <c r="GV115" i="1"/>
  <c r="GX115" i="1"/>
  <c r="HC115" i="1"/>
  <c r="C116" i="1"/>
  <c r="D116" i="1"/>
  <c r="I116" i="1"/>
  <c r="AC116" i="1"/>
  <c r="AD116" i="1"/>
  <c r="CR116" i="1" s="1"/>
  <c r="Q116" i="1" s="1"/>
  <c r="AE116" i="1"/>
  <c r="AF116" i="1"/>
  <c r="CT116" i="1" s="1"/>
  <c r="S116" i="1" s="1"/>
  <c r="AG116" i="1"/>
  <c r="AH116" i="1"/>
  <c r="CV116" i="1" s="1"/>
  <c r="U116" i="1" s="1"/>
  <c r="AI116" i="1"/>
  <c r="AJ116" i="1"/>
  <c r="CX116" i="1" s="1"/>
  <c r="W116" i="1" s="1"/>
  <c r="CQ116" i="1"/>
  <c r="P116" i="1" s="1"/>
  <c r="CS116" i="1"/>
  <c r="R116" i="1" s="1"/>
  <c r="GK116" i="1" s="1"/>
  <c r="CU116" i="1"/>
  <c r="T116" i="1" s="1"/>
  <c r="CW116" i="1"/>
  <c r="V116" i="1" s="1"/>
  <c r="FR116" i="1"/>
  <c r="GL116" i="1"/>
  <c r="GO116" i="1"/>
  <c r="GP116" i="1"/>
  <c r="GV116" i="1"/>
  <c r="GX116" i="1"/>
  <c r="HC116" i="1"/>
  <c r="C117" i="1"/>
  <c r="D117" i="1"/>
  <c r="I117" i="1"/>
  <c r="AC117" i="1"/>
  <c r="AD117" i="1"/>
  <c r="CR117" i="1" s="1"/>
  <c r="Q117" i="1" s="1"/>
  <c r="AE117" i="1"/>
  <c r="AF117" i="1"/>
  <c r="CT117" i="1" s="1"/>
  <c r="S117" i="1" s="1"/>
  <c r="AG117" i="1"/>
  <c r="AH117" i="1"/>
  <c r="CV117" i="1" s="1"/>
  <c r="U117" i="1" s="1"/>
  <c r="AI117" i="1"/>
  <c r="AJ117" i="1"/>
  <c r="CX117" i="1" s="1"/>
  <c r="W117" i="1" s="1"/>
  <c r="CQ117" i="1"/>
  <c r="P117" i="1" s="1"/>
  <c r="CS117" i="1"/>
  <c r="R117" i="1" s="1"/>
  <c r="GK117" i="1" s="1"/>
  <c r="CU117" i="1"/>
  <c r="T117" i="1" s="1"/>
  <c r="CW117" i="1"/>
  <c r="V117" i="1" s="1"/>
  <c r="FR117" i="1"/>
  <c r="GL117" i="1"/>
  <c r="GO117" i="1"/>
  <c r="GP117" i="1"/>
  <c r="GV117" i="1"/>
  <c r="GX117" i="1"/>
  <c r="HC117" i="1"/>
  <c r="C118" i="1"/>
  <c r="D118" i="1"/>
  <c r="I118" i="1"/>
  <c r="AC118" i="1"/>
  <c r="AD118" i="1"/>
  <c r="CR118" i="1" s="1"/>
  <c r="Q118" i="1" s="1"/>
  <c r="AE118" i="1"/>
  <c r="AF118" i="1"/>
  <c r="CT118" i="1" s="1"/>
  <c r="S118" i="1" s="1"/>
  <c r="AG118" i="1"/>
  <c r="AH118" i="1"/>
  <c r="CV118" i="1" s="1"/>
  <c r="U118" i="1" s="1"/>
  <c r="AI118" i="1"/>
  <c r="AJ118" i="1"/>
  <c r="CX118" i="1" s="1"/>
  <c r="W118" i="1" s="1"/>
  <c r="CQ118" i="1"/>
  <c r="P118" i="1" s="1"/>
  <c r="CS118" i="1"/>
  <c r="R118" i="1" s="1"/>
  <c r="GK118" i="1" s="1"/>
  <c r="CU118" i="1"/>
  <c r="T118" i="1" s="1"/>
  <c r="CW118" i="1"/>
  <c r="V118" i="1" s="1"/>
  <c r="FR118" i="1"/>
  <c r="GL118" i="1"/>
  <c r="GO118" i="1"/>
  <c r="GP118" i="1"/>
  <c r="GV118" i="1"/>
  <c r="HC118" i="1" s="1"/>
  <c r="GX118" i="1" s="1"/>
  <c r="C119" i="1"/>
  <c r="D119" i="1"/>
  <c r="I119" i="1"/>
  <c r="AC119" i="1"/>
  <c r="AD119" i="1"/>
  <c r="CR119" i="1" s="1"/>
  <c r="Q119" i="1" s="1"/>
  <c r="AE119" i="1"/>
  <c r="AF119" i="1"/>
  <c r="CT119" i="1" s="1"/>
  <c r="S119" i="1" s="1"/>
  <c r="AG119" i="1"/>
  <c r="AH119" i="1"/>
  <c r="CV119" i="1" s="1"/>
  <c r="U119" i="1" s="1"/>
  <c r="AI119" i="1"/>
  <c r="AJ119" i="1"/>
  <c r="CX119" i="1" s="1"/>
  <c r="W119" i="1" s="1"/>
  <c r="CQ119" i="1"/>
  <c r="P119" i="1" s="1"/>
  <c r="CS119" i="1"/>
  <c r="R119" i="1" s="1"/>
  <c r="GK119" i="1" s="1"/>
  <c r="CU119" i="1"/>
  <c r="T119" i="1" s="1"/>
  <c r="CW119" i="1"/>
  <c r="V119" i="1" s="1"/>
  <c r="FR119" i="1"/>
  <c r="GL119" i="1"/>
  <c r="GO119" i="1"/>
  <c r="GP119" i="1"/>
  <c r="GV119" i="1"/>
  <c r="HC119" i="1" s="1"/>
  <c r="GX119" i="1" s="1"/>
  <c r="C120" i="1"/>
  <c r="D120" i="1"/>
  <c r="AC120" i="1"/>
  <c r="CQ120" i="1" s="1"/>
  <c r="P120" i="1" s="1"/>
  <c r="AE120" i="1"/>
  <c r="AD120" i="1" s="1"/>
  <c r="CR120" i="1" s="1"/>
  <c r="Q120" i="1" s="1"/>
  <c r="AF120" i="1"/>
  <c r="AG120" i="1"/>
  <c r="CU120" i="1" s="1"/>
  <c r="T120" i="1" s="1"/>
  <c r="AH120" i="1"/>
  <c r="AI120" i="1"/>
  <c r="CW120" i="1" s="1"/>
  <c r="V120" i="1" s="1"/>
  <c r="AJ120" i="1"/>
  <c r="CT120" i="1"/>
  <c r="S120" i="1" s="1"/>
  <c r="CV120" i="1"/>
  <c r="U120" i="1" s="1"/>
  <c r="CX120" i="1"/>
  <c r="W120" i="1" s="1"/>
  <c r="FR120" i="1"/>
  <c r="GL120" i="1"/>
  <c r="GO120" i="1"/>
  <c r="GP120" i="1"/>
  <c r="GV120" i="1"/>
  <c r="HC120" i="1" s="1"/>
  <c r="GX120" i="1" s="1"/>
  <c r="C121" i="1"/>
  <c r="D121" i="1"/>
  <c r="AC121" i="1"/>
  <c r="AD121" i="1"/>
  <c r="CR121" i="1" s="1"/>
  <c r="Q121" i="1" s="1"/>
  <c r="AE121" i="1"/>
  <c r="AF121" i="1"/>
  <c r="AB121" i="1" s="1"/>
  <c r="AG121" i="1"/>
  <c r="AH121" i="1"/>
  <c r="CV121" i="1" s="1"/>
  <c r="U121" i="1" s="1"/>
  <c r="AI121" i="1"/>
  <c r="AJ121" i="1"/>
  <c r="CX121" i="1" s="1"/>
  <c r="W121" i="1" s="1"/>
  <c r="CQ121" i="1"/>
  <c r="P121" i="1" s="1"/>
  <c r="CS121" i="1"/>
  <c r="R121" i="1" s="1"/>
  <c r="GK121" i="1" s="1"/>
  <c r="CU121" i="1"/>
  <c r="T121" i="1" s="1"/>
  <c r="CW121" i="1"/>
  <c r="V121" i="1" s="1"/>
  <c r="FR121" i="1"/>
  <c r="GL121" i="1"/>
  <c r="GO121" i="1"/>
  <c r="GP121" i="1"/>
  <c r="GV121" i="1"/>
  <c r="GX121" i="1"/>
  <c r="HC121" i="1"/>
  <c r="I122" i="1"/>
  <c r="AC122" i="1"/>
  <c r="AD122" i="1"/>
  <c r="CR122" i="1" s="1"/>
  <c r="Q122" i="1" s="1"/>
  <c r="AE122" i="1"/>
  <c r="AF122" i="1"/>
  <c r="CT122" i="1" s="1"/>
  <c r="S122" i="1" s="1"/>
  <c r="AG122" i="1"/>
  <c r="AH122" i="1"/>
  <c r="CV122" i="1" s="1"/>
  <c r="U122" i="1" s="1"/>
  <c r="AI122" i="1"/>
  <c r="AJ122" i="1"/>
  <c r="CX122" i="1" s="1"/>
  <c r="W122" i="1" s="1"/>
  <c r="CQ122" i="1"/>
  <c r="P122" i="1" s="1"/>
  <c r="CS122" i="1"/>
  <c r="R122" i="1" s="1"/>
  <c r="GK122" i="1" s="1"/>
  <c r="CU122" i="1"/>
  <c r="T122" i="1" s="1"/>
  <c r="CW122" i="1"/>
  <c r="V122" i="1" s="1"/>
  <c r="FR122" i="1"/>
  <c r="GL122" i="1"/>
  <c r="GO122" i="1"/>
  <c r="GP122" i="1"/>
  <c r="GV122" i="1"/>
  <c r="GX122" i="1"/>
  <c r="HC122" i="1"/>
  <c r="I123" i="1"/>
  <c r="AC123" i="1"/>
  <c r="AD123" i="1"/>
  <c r="CR123" i="1" s="1"/>
  <c r="Q123" i="1" s="1"/>
  <c r="AE123" i="1"/>
  <c r="AF123" i="1"/>
  <c r="AB123" i="1" s="1"/>
  <c r="AG123" i="1"/>
  <c r="AH123" i="1"/>
  <c r="CV123" i="1" s="1"/>
  <c r="U123" i="1" s="1"/>
  <c r="AI123" i="1"/>
  <c r="AJ123" i="1"/>
  <c r="CX123" i="1" s="1"/>
  <c r="W123" i="1" s="1"/>
  <c r="CQ123" i="1"/>
  <c r="P123" i="1" s="1"/>
  <c r="CS123" i="1"/>
  <c r="R123" i="1" s="1"/>
  <c r="GK123" i="1" s="1"/>
  <c r="CU123" i="1"/>
  <c r="T123" i="1" s="1"/>
  <c r="CW123" i="1"/>
  <c r="V123" i="1" s="1"/>
  <c r="FR123" i="1"/>
  <c r="GL123" i="1"/>
  <c r="GO123" i="1"/>
  <c r="GP123" i="1"/>
  <c r="GV123" i="1"/>
  <c r="GX123" i="1"/>
  <c r="HC123" i="1"/>
  <c r="O124" i="1"/>
  <c r="P124" i="1"/>
  <c r="Q124" i="1"/>
  <c r="R124" i="1"/>
  <c r="S124" i="1"/>
  <c r="T124" i="1"/>
  <c r="U124" i="1"/>
  <c r="V124" i="1"/>
  <c r="W124" i="1"/>
  <c r="X124" i="1"/>
  <c r="Y124" i="1"/>
  <c r="AB124" i="1"/>
  <c r="AC124" i="1"/>
  <c r="AD124" i="1"/>
  <c r="AE124" i="1"/>
  <c r="AF124" i="1"/>
  <c r="AG124" i="1"/>
  <c r="AH124" i="1"/>
  <c r="AI124" i="1"/>
  <c r="AJ124" i="1"/>
  <c r="CP124" i="1"/>
  <c r="GN124" i="1" s="1"/>
  <c r="FR124" i="1"/>
  <c r="GK124" i="1"/>
  <c r="GL124" i="1"/>
  <c r="GM124" i="1"/>
  <c r="GO124" i="1"/>
  <c r="GP124" i="1"/>
  <c r="GV124" i="1"/>
  <c r="GX124" i="1"/>
  <c r="O125" i="1"/>
  <c r="P125" i="1"/>
  <c r="Q125" i="1"/>
  <c r="R125" i="1"/>
  <c r="S125" i="1"/>
  <c r="T125" i="1"/>
  <c r="U125" i="1"/>
  <c r="V125" i="1"/>
  <c r="W125" i="1"/>
  <c r="X125" i="1"/>
  <c r="Y125" i="1"/>
  <c r="AB125" i="1"/>
  <c r="AC125" i="1"/>
  <c r="AD125" i="1"/>
  <c r="AE125" i="1"/>
  <c r="AF125" i="1"/>
  <c r="AG125" i="1"/>
  <c r="AH125" i="1"/>
  <c r="AI125" i="1"/>
  <c r="AJ125" i="1"/>
  <c r="CP125" i="1"/>
  <c r="GN125" i="1" s="1"/>
  <c r="FR125" i="1"/>
  <c r="GK125" i="1"/>
  <c r="GL125" i="1"/>
  <c r="GM125" i="1"/>
  <c r="GO125" i="1"/>
  <c r="GP125" i="1"/>
  <c r="GV125" i="1"/>
  <c r="GX125" i="1"/>
  <c r="O126" i="1"/>
  <c r="P126" i="1"/>
  <c r="Q126" i="1"/>
  <c r="R126" i="1"/>
  <c r="S126" i="1"/>
  <c r="T126" i="1"/>
  <c r="U126" i="1"/>
  <c r="V126" i="1"/>
  <c r="W126" i="1"/>
  <c r="X126" i="1"/>
  <c r="Y126" i="1"/>
  <c r="AB126" i="1"/>
  <c r="AC126" i="1"/>
  <c r="AD126" i="1"/>
  <c r="AE126" i="1"/>
  <c r="AF126" i="1"/>
  <c r="AG126" i="1"/>
  <c r="AH126" i="1"/>
  <c r="AI126" i="1"/>
  <c r="AJ126" i="1"/>
  <c r="CP126" i="1"/>
  <c r="GN126" i="1" s="1"/>
  <c r="FR126" i="1"/>
  <c r="GK126" i="1"/>
  <c r="GL126" i="1"/>
  <c r="GM126" i="1"/>
  <c r="GO126" i="1"/>
  <c r="GP126" i="1"/>
  <c r="GV126" i="1"/>
  <c r="GX126" i="1"/>
  <c r="O127" i="1"/>
  <c r="P127" i="1"/>
  <c r="Q127" i="1"/>
  <c r="R127" i="1"/>
  <c r="S127" i="1"/>
  <c r="T127" i="1"/>
  <c r="U127" i="1"/>
  <c r="V127" i="1"/>
  <c r="W127" i="1"/>
  <c r="X127" i="1"/>
  <c r="Y127" i="1"/>
  <c r="AB127" i="1"/>
  <c r="AC127" i="1"/>
  <c r="AD127" i="1"/>
  <c r="AE127" i="1"/>
  <c r="AF127" i="1"/>
  <c r="AG127" i="1"/>
  <c r="AH127" i="1"/>
  <c r="AI127" i="1"/>
  <c r="AJ127" i="1"/>
  <c r="CP127" i="1"/>
  <c r="GN127" i="1" s="1"/>
  <c r="FR127" i="1"/>
  <c r="GK127" i="1"/>
  <c r="GL127" i="1"/>
  <c r="GM127" i="1"/>
  <c r="GO127" i="1"/>
  <c r="GP127" i="1"/>
  <c r="GV127" i="1"/>
  <c r="GX127" i="1"/>
  <c r="C128" i="1"/>
  <c r="D128" i="1"/>
  <c r="I128" i="1"/>
  <c r="I130" i="1" s="1"/>
  <c r="AC128" i="1"/>
  <c r="AD128" i="1"/>
  <c r="CR128" i="1" s="1"/>
  <c r="Q128" i="1" s="1"/>
  <c r="AE128" i="1"/>
  <c r="AF128" i="1"/>
  <c r="AB128" i="1" s="1"/>
  <c r="AG128" i="1"/>
  <c r="AH128" i="1"/>
  <c r="CV128" i="1" s="1"/>
  <c r="U128" i="1" s="1"/>
  <c r="AI128" i="1"/>
  <c r="AJ128" i="1"/>
  <c r="CX128" i="1" s="1"/>
  <c r="W128" i="1" s="1"/>
  <c r="CQ128" i="1"/>
  <c r="P128" i="1" s="1"/>
  <c r="CS128" i="1"/>
  <c r="R128" i="1" s="1"/>
  <c r="GK128" i="1" s="1"/>
  <c r="CU128" i="1"/>
  <c r="T128" i="1" s="1"/>
  <c r="CW128" i="1"/>
  <c r="V128" i="1" s="1"/>
  <c r="FR128" i="1"/>
  <c r="GL128" i="1"/>
  <c r="GN128" i="1"/>
  <c r="GP128" i="1"/>
  <c r="GV128" i="1"/>
  <c r="GX128" i="1"/>
  <c r="HC128" i="1"/>
  <c r="C129" i="1"/>
  <c r="D129" i="1"/>
  <c r="I129" i="1"/>
  <c r="AC129" i="1"/>
  <c r="AD129" i="1"/>
  <c r="CR129" i="1" s="1"/>
  <c r="Q129" i="1" s="1"/>
  <c r="AE129" i="1"/>
  <c r="AF129" i="1"/>
  <c r="AB129" i="1" s="1"/>
  <c r="AG129" i="1"/>
  <c r="AH129" i="1"/>
  <c r="CV129" i="1" s="1"/>
  <c r="U129" i="1" s="1"/>
  <c r="AI129" i="1"/>
  <c r="AJ129" i="1"/>
  <c r="CX129" i="1" s="1"/>
  <c r="W129" i="1" s="1"/>
  <c r="CQ129" i="1"/>
  <c r="P129" i="1" s="1"/>
  <c r="CS129" i="1"/>
  <c r="R129" i="1" s="1"/>
  <c r="GK129" i="1" s="1"/>
  <c r="CU129" i="1"/>
  <c r="T129" i="1" s="1"/>
  <c r="CW129" i="1"/>
  <c r="V129" i="1" s="1"/>
  <c r="FR129" i="1"/>
  <c r="GL129" i="1"/>
  <c r="GN129" i="1"/>
  <c r="GP129" i="1"/>
  <c r="GV129" i="1"/>
  <c r="GX129" i="1"/>
  <c r="HC129" i="1"/>
  <c r="AC130" i="1"/>
  <c r="AD130" i="1"/>
  <c r="CR130" i="1" s="1"/>
  <c r="AE130" i="1"/>
  <c r="AF130" i="1"/>
  <c r="CT130" i="1" s="1"/>
  <c r="AG130" i="1"/>
  <c r="AH130" i="1"/>
  <c r="CV130" i="1" s="1"/>
  <c r="AI130" i="1"/>
  <c r="AJ130" i="1"/>
  <c r="CX130" i="1" s="1"/>
  <c r="CQ130" i="1"/>
  <c r="CS130" i="1"/>
  <c r="CU130" i="1"/>
  <c r="T130" i="1" s="1"/>
  <c r="CW130" i="1"/>
  <c r="FR130" i="1"/>
  <c r="GL130" i="1"/>
  <c r="GN130" i="1"/>
  <c r="GP130" i="1"/>
  <c r="GV130" i="1"/>
  <c r="HC130" i="1" s="1"/>
  <c r="I131" i="1"/>
  <c r="AC131" i="1"/>
  <c r="AD131" i="1"/>
  <c r="CR131" i="1" s="1"/>
  <c r="Q131" i="1" s="1"/>
  <c r="AE131" i="1"/>
  <c r="AF131" i="1"/>
  <c r="AB131" i="1" s="1"/>
  <c r="AG131" i="1"/>
  <c r="AH131" i="1"/>
  <c r="CV131" i="1" s="1"/>
  <c r="U131" i="1" s="1"/>
  <c r="AI131" i="1"/>
  <c r="AJ131" i="1"/>
  <c r="CX131" i="1" s="1"/>
  <c r="W131" i="1" s="1"/>
  <c r="CQ131" i="1"/>
  <c r="P131" i="1" s="1"/>
  <c r="CS131" i="1"/>
  <c r="R131" i="1" s="1"/>
  <c r="GK131" i="1" s="1"/>
  <c r="CU131" i="1"/>
  <c r="T131" i="1" s="1"/>
  <c r="CW131" i="1"/>
  <c r="V131" i="1" s="1"/>
  <c r="FR131" i="1"/>
  <c r="GL131" i="1"/>
  <c r="GN131" i="1"/>
  <c r="GP131" i="1"/>
  <c r="GV131" i="1"/>
  <c r="GX131" i="1"/>
  <c r="HC131" i="1"/>
  <c r="C132" i="1"/>
  <c r="D132" i="1"/>
  <c r="I132" i="1"/>
  <c r="I134" i="1" s="1"/>
  <c r="AC132" i="1"/>
  <c r="AD132" i="1"/>
  <c r="CR132" i="1" s="1"/>
  <c r="Q132" i="1" s="1"/>
  <c r="AE132" i="1"/>
  <c r="AF132" i="1"/>
  <c r="AB132" i="1" s="1"/>
  <c r="AG132" i="1"/>
  <c r="AH132" i="1"/>
  <c r="CV132" i="1" s="1"/>
  <c r="U132" i="1" s="1"/>
  <c r="AI132" i="1"/>
  <c r="AJ132" i="1"/>
  <c r="CX132" i="1" s="1"/>
  <c r="W132" i="1" s="1"/>
  <c r="CQ132" i="1"/>
  <c r="P132" i="1" s="1"/>
  <c r="CS132" i="1"/>
  <c r="R132" i="1" s="1"/>
  <c r="GK132" i="1" s="1"/>
  <c r="CU132" i="1"/>
  <c r="T132" i="1" s="1"/>
  <c r="CW132" i="1"/>
  <c r="V132" i="1" s="1"/>
  <c r="FR132" i="1"/>
  <c r="GL132" i="1"/>
  <c r="GO132" i="1"/>
  <c r="GP132" i="1"/>
  <c r="GV132" i="1"/>
  <c r="GX132" i="1"/>
  <c r="HC132" i="1"/>
  <c r="C133" i="1"/>
  <c r="D133" i="1"/>
  <c r="I133" i="1"/>
  <c r="AC133" i="1"/>
  <c r="AD133" i="1"/>
  <c r="CR133" i="1" s="1"/>
  <c r="Q133" i="1" s="1"/>
  <c r="AE133" i="1"/>
  <c r="AF133" i="1"/>
  <c r="AB133" i="1" s="1"/>
  <c r="AG133" i="1"/>
  <c r="AH133" i="1"/>
  <c r="CV133" i="1" s="1"/>
  <c r="U133" i="1" s="1"/>
  <c r="AI133" i="1"/>
  <c r="AJ133" i="1"/>
  <c r="CX133" i="1" s="1"/>
  <c r="W133" i="1" s="1"/>
  <c r="CQ133" i="1"/>
  <c r="P133" i="1" s="1"/>
  <c r="CS133" i="1"/>
  <c r="R133" i="1" s="1"/>
  <c r="GK133" i="1" s="1"/>
  <c r="CU133" i="1"/>
  <c r="T133" i="1" s="1"/>
  <c r="CW133" i="1"/>
  <c r="V133" i="1" s="1"/>
  <c r="FR133" i="1"/>
  <c r="GL133" i="1"/>
  <c r="GO133" i="1"/>
  <c r="GP133" i="1"/>
  <c r="GV133" i="1"/>
  <c r="GX133" i="1"/>
  <c r="HC133" i="1"/>
  <c r="AC134" i="1"/>
  <c r="AD134" i="1"/>
  <c r="CR134" i="1" s="1"/>
  <c r="Q134" i="1" s="1"/>
  <c r="AE134" i="1"/>
  <c r="AF134" i="1"/>
  <c r="CT134" i="1" s="1"/>
  <c r="S134" i="1" s="1"/>
  <c r="AG134" i="1"/>
  <c r="AH134" i="1"/>
  <c r="CV134" i="1" s="1"/>
  <c r="U134" i="1" s="1"/>
  <c r="AI134" i="1"/>
  <c r="AJ134" i="1"/>
  <c r="CX134" i="1" s="1"/>
  <c r="W134" i="1" s="1"/>
  <c r="CQ134" i="1"/>
  <c r="P134" i="1" s="1"/>
  <c r="CS134" i="1"/>
  <c r="R134" i="1" s="1"/>
  <c r="GK134" i="1" s="1"/>
  <c r="CU134" i="1"/>
  <c r="T134" i="1" s="1"/>
  <c r="CW134" i="1"/>
  <c r="V134" i="1" s="1"/>
  <c r="FR134" i="1"/>
  <c r="GL134" i="1"/>
  <c r="GO134" i="1"/>
  <c r="GP134" i="1"/>
  <c r="GV134" i="1"/>
  <c r="HC134" i="1" s="1"/>
  <c r="GX134" i="1" s="1"/>
  <c r="I135" i="1"/>
  <c r="AC135" i="1"/>
  <c r="AD135" i="1"/>
  <c r="CR135" i="1" s="1"/>
  <c r="Q135" i="1" s="1"/>
  <c r="AE135" i="1"/>
  <c r="AF135" i="1"/>
  <c r="AB135" i="1" s="1"/>
  <c r="AG135" i="1"/>
  <c r="AH135" i="1"/>
  <c r="CV135" i="1" s="1"/>
  <c r="U135" i="1" s="1"/>
  <c r="AI135" i="1"/>
  <c r="AJ135" i="1"/>
  <c r="CX135" i="1" s="1"/>
  <c r="W135" i="1" s="1"/>
  <c r="CQ135" i="1"/>
  <c r="P135" i="1" s="1"/>
  <c r="CS135" i="1"/>
  <c r="R135" i="1" s="1"/>
  <c r="GK135" i="1" s="1"/>
  <c r="CU135" i="1"/>
  <c r="T135" i="1" s="1"/>
  <c r="CW135" i="1"/>
  <c r="V135" i="1" s="1"/>
  <c r="FR135" i="1"/>
  <c r="GL135" i="1"/>
  <c r="GO135" i="1"/>
  <c r="GP135" i="1"/>
  <c r="GV135" i="1"/>
  <c r="GX135" i="1"/>
  <c r="HC135" i="1"/>
  <c r="C136" i="1"/>
  <c r="D136" i="1"/>
  <c r="I136" i="1"/>
  <c r="I138" i="1" s="1"/>
  <c r="AC136" i="1"/>
  <c r="AD136" i="1"/>
  <c r="CR136" i="1" s="1"/>
  <c r="Q136" i="1" s="1"/>
  <c r="AE136" i="1"/>
  <c r="AF136" i="1"/>
  <c r="AB136" i="1" s="1"/>
  <c r="AG136" i="1"/>
  <c r="AH136" i="1"/>
  <c r="CV136" i="1" s="1"/>
  <c r="U136" i="1" s="1"/>
  <c r="AI136" i="1"/>
  <c r="AJ136" i="1"/>
  <c r="CX136" i="1" s="1"/>
  <c r="W136" i="1" s="1"/>
  <c r="CQ136" i="1"/>
  <c r="P136" i="1" s="1"/>
  <c r="CS136" i="1"/>
  <c r="R136" i="1" s="1"/>
  <c r="GK136" i="1" s="1"/>
  <c r="CU136" i="1"/>
  <c r="T136" i="1" s="1"/>
  <c r="CW136" i="1"/>
  <c r="V136" i="1" s="1"/>
  <c r="FR136" i="1"/>
  <c r="GL136" i="1"/>
  <c r="GO136" i="1"/>
  <c r="GP136" i="1"/>
  <c r="GV136" i="1"/>
  <c r="HC136" i="1" s="1"/>
  <c r="GX136" i="1" s="1"/>
  <c r="C137" i="1"/>
  <c r="D137" i="1"/>
  <c r="I137" i="1"/>
  <c r="AC137" i="1"/>
  <c r="AD137" i="1"/>
  <c r="CR137" i="1" s="1"/>
  <c r="Q137" i="1" s="1"/>
  <c r="AE137" i="1"/>
  <c r="AF137" i="1"/>
  <c r="AB137" i="1" s="1"/>
  <c r="AG137" i="1"/>
  <c r="AH137" i="1"/>
  <c r="CV137" i="1" s="1"/>
  <c r="U137" i="1" s="1"/>
  <c r="AI137" i="1"/>
  <c r="AJ137" i="1"/>
  <c r="CX137" i="1" s="1"/>
  <c r="W137" i="1" s="1"/>
  <c r="CQ137" i="1"/>
  <c r="P137" i="1" s="1"/>
  <c r="CS137" i="1"/>
  <c r="R137" i="1" s="1"/>
  <c r="GK137" i="1" s="1"/>
  <c r="CU137" i="1"/>
  <c r="T137" i="1" s="1"/>
  <c r="CW137" i="1"/>
  <c r="V137" i="1" s="1"/>
  <c r="FR137" i="1"/>
  <c r="GL137" i="1"/>
  <c r="GO137" i="1"/>
  <c r="GP137" i="1"/>
  <c r="GV137" i="1"/>
  <c r="GX137" i="1"/>
  <c r="HC137" i="1"/>
  <c r="AC138" i="1"/>
  <c r="AD138" i="1"/>
  <c r="CR138" i="1" s="1"/>
  <c r="Q138" i="1" s="1"/>
  <c r="AE138" i="1"/>
  <c r="AF138" i="1"/>
  <c r="CT138" i="1" s="1"/>
  <c r="AG138" i="1"/>
  <c r="AH138" i="1"/>
  <c r="CV138" i="1" s="1"/>
  <c r="U138" i="1" s="1"/>
  <c r="AI138" i="1"/>
  <c r="AJ138" i="1"/>
  <c r="CX138" i="1" s="1"/>
  <c r="CQ138" i="1"/>
  <c r="P138" i="1" s="1"/>
  <c r="CS138" i="1"/>
  <c r="R138" i="1" s="1"/>
  <c r="GK138" i="1" s="1"/>
  <c r="CU138" i="1"/>
  <c r="T138" i="1" s="1"/>
  <c r="CW138" i="1"/>
  <c r="FR138" i="1"/>
  <c r="GL138" i="1"/>
  <c r="GO138" i="1"/>
  <c r="GP138" i="1"/>
  <c r="GV138" i="1"/>
  <c r="HC138" i="1" s="1"/>
  <c r="GX138" i="1" s="1"/>
  <c r="I139" i="1"/>
  <c r="AC139" i="1"/>
  <c r="AD139" i="1"/>
  <c r="CR139" i="1" s="1"/>
  <c r="Q139" i="1" s="1"/>
  <c r="AE139" i="1"/>
  <c r="AF139" i="1"/>
  <c r="AB139" i="1" s="1"/>
  <c r="AG139" i="1"/>
  <c r="AH139" i="1"/>
  <c r="CV139" i="1" s="1"/>
  <c r="U139" i="1" s="1"/>
  <c r="AI139" i="1"/>
  <c r="AJ139" i="1"/>
  <c r="CX139" i="1" s="1"/>
  <c r="W139" i="1" s="1"/>
  <c r="CQ139" i="1"/>
  <c r="P139" i="1" s="1"/>
  <c r="CS139" i="1"/>
  <c r="R139" i="1" s="1"/>
  <c r="GK139" i="1" s="1"/>
  <c r="CU139" i="1"/>
  <c r="T139" i="1" s="1"/>
  <c r="CW139" i="1"/>
  <c r="V139" i="1" s="1"/>
  <c r="FR139" i="1"/>
  <c r="GL139" i="1"/>
  <c r="GO139" i="1"/>
  <c r="GP139" i="1"/>
  <c r="GV139" i="1"/>
  <c r="GX139" i="1"/>
  <c r="HC139" i="1"/>
  <c r="C140" i="1"/>
  <c r="D140" i="1"/>
  <c r="I140" i="1"/>
  <c r="I142" i="1" s="1"/>
  <c r="GX142" i="1" s="1"/>
  <c r="AC140" i="1"/>
  <c r="AD140" i="1"/>
  <c r="CR140" i="1" s="1"/>
  <c r="Q140" i="1" s="1"/>
  <c r="AE140" i="1"/>
  <c r="AF140" i="1"/>
  <c r="AB140" i="1" s="1"/>
  <c r="AG140" i="1"/>
  <c r="AH140" i="1"/>
  <c r="CV140" i="1" s="1"/>
  <c r="U140" i="1" s="1"/>
  <c r="AI140" i="1"/>
  <c r="AJ140" i="1"/>
  <c r="CX140" i="1" s="1"/>
  <c r="W140" i="1" s="1"/>
  <c r="CQ140" i="1"/>
  <c r="P140" i="1" s="1"/>
  <c r="CS140" i="1"/>
  <c r="R140" i="1" s="1"/>
  <c r="GK140" i="1" s="1"/>
  <c r="CU140" i="1"/>
  <c r="T140" i="1" s="1"/>
  <c r="CW140" i="1"/>
  <c r="V140" i="1" s="1"/>
  <c r="FR140" i="1"/>
  <c r="GL140" i="1"/>
  <c r="GO140" i="1"/>
  <c r="GP140" i="1"/>
  <c r="GV140" i="1"/>
  <c r="GX140" i="1"/>
  <c r="HC140" i="1"/>
  <c r="C141" i="1"/>
  <c r="D141" i="1"/>
  <c r="I141" i="1"/>
  <c r="AC141" i="1"/>
  <c r="AD141" i="1"/>
  <c r="CR141" i="1" s="1"/>
  <c r="Q141" i="1" s="1"/>
  <c r="AE141" i="1"/>
  <c r="AF141" i="1"/>
  <c r="AB141" i="1" s="1"/>
  <c r="AG141" i="1"/>
  <c r="AH141" i="1"/>
  <c r="CV141" i="1" s="1"/>
  <c r="U141" i="1" s="1"/>
  <c r="AI141" i="1"/>
  <c r="AJ141" i="1"/>
  <c r="CX141" i="1" s="1"/>
  <c r="W141" i="1" s="1"/>
  <c r="CQ141" i="1"/>
  <c r="P141" i="1" s="1"/>
  <c r="CS141" i="1"/>
  <c r="R141" i="1" s="1"/>
  <c r="GK141" i="1" s="1"/>
  <c r="CU141" i="1"/>
  <c r="T141" i="1" s="1"/>
  <c r="CW141" i="1"/>
  <c r="V141" i="1" s="1"/>
  <c r="FR141" i="1"/>
  <c r="GL141" i="1"/>
  <c r="GO141" i="1"/>
  <c r="GP141" i="1"/>
  <c r="GV141" i="1"/>
  <c r="GX141" i="1"/>
  <c r="HC141" i="1"/>
  <c r="AC142" i="1"/>
  <c r="AD142" i="1"/>
  <c r="CR142" i="1" s="1"/>
  <c r="Q142" i="1" s="1"/>
  <c r="AE142" i="1"/>
  <c r="AF142" i="1"/>
  <c r="CT142" i="1" s="1"/>
  <c r="S142" i="1" s="1"/>
  <c r="AG142" i="1"/>
  <c r="AH142" i="1"/>
  <c r="CV142" i="1" s="1"/>
  <c r="U142" i="1" s="1"/>
  <c r="AI142" i="1"/>
  <c r="AJ142" i="1"/>
  <c r="CX142" i="1" s="1"/>
  <c r="W142" i="1" s="1"/>
  <c r="CQ142" i="1"/>
  <c r="P142" i="1" s="1"/>
  <c r="CS142" i="1"/>
  <c r="R142" i="1" s="1"/>
  <c r="GK142" i="1" s="1"/>
  <c r="CU142" i="1"/>
  <c r="T142" i="1" s="1"/>
  <c r="CW142" i="1"/>
  <c r="V142" i="1" s="1"/>
  <c r="FR142" i="1"/>
  <c r="GL142" i="1"/>
  <c r="GO142" i="1"/>
  <c r="GP142" i="1"/>
  <c r="GV142" i="1"/>
  <c r="HC142" i="1"/>
  <c r="I143" i="1"/>
  <c r="AC143" i="1"/>
  <c r="AD143" i="1"/>
  <c r="CR143" i="1" s="1"/>
  <c r="Q143" i="1" s="1"/>
  <c r="AE143" i="1"/>
  <c r="AF143" i="1"/>
  <c r="AB143" i="1" s="1"/>
  <c r="AG143" i="1"/>
  <c r="AH143" i="1"/>
  <c r="CV143" i="1" s="1"/>
  <c r="U143" i="1" s="1"/>
  <c r="AI143" i="1"/>
  <c r="AJ143" i="1"/>
  <c r="CX143" i="1" s="1"/>
  <c r="W143" i="1" s="1"/>
  <c r="CQ143" i="1"/>
  <c r="P143" i="1" s="1"/>
  <c r="CS143" i="1"/>
  <c r="R143" i="1" s="1"/>
  <c r="GK143" i="1" s="1"/>
  <c r="CU143" i="1"/>
  <c r="T143" i="1" s="1"/>
  <c r="CW143" i="1"/>
  <c r="V143" i="1" s="1"/>
  <c r="FR143" i="1"/>
  <c r="GL143" i="1"/>
  <c r="GO143" i="1"/>
  <c r="GP143" i="1"/>
  <c r="GV143" i="1"/>
  <c r="GX143" i="1"/>
  <c r="HC143" i="1"/>
  <c r="AC144" i="1"/>
  <c r="AD144" i="1"/>
  <c r="CR144" i="1" s="1"/>
  <c r="AE144" i="1"/>
  <c r="AF144" i="1"/>
  <c r="CT144" i="1" s="1"/>
  <c r="AG144" i="1"/>
  <c r="AH144" i="1"/>
  <c r="CV144" i="1" s="1"/>
  <c r="AI144" i="1"/>
  <c r="AJ144" i="1"/>
  <c r="CQ144" i="1"/>
  <c r="CS144" i="1"/>
  <c r="CU144" i="1"/>
  <c r="CW144" i="1"/>
  <c r="CX144" i="1"/>
  <c r="FR144" i="1"/>
  <c r="GL144" i="1"/>
  <c r="GO144" i="1"/>
  <c r="GP144" i="1"/>
  <c r="GV144" i="1"/>
  <c r="HC144" i="1"/>
  <c r="I145" i="1"/>
  <c r="AC145" i="1"/>
  <c r="AD145" i="1"/>
  <c r="CR145" i="1" s="1"/>
  <c r="Q145" i="1" s="1"/>
  <c r="AE145" i="1"/>
  <c r="AF145" i="1"/>
  <c r="AB145" i="1" s="1"/>
  <c r="AG145" i="1"/>
  <c r="AH145" i="1"/>
  <c r="CV145" i="1" s="1"/>
  <c r="U145" i="1" s="1"/>
  <c r="AI145" i="1"/>
  <c r="AJ145" i="1"/>
  <c r="CX145" i="1" s="1"/>
  <c r="W145" i="1" s="1"/>
  <c r="CQ145" i="1"/>
  <c r="P145" i="1" s="1"/>
  <c r="CS145" i="1"/>
  <c r="R145" i="1" s="1"/>
  <c r="GK145" i="1" s="1"/>
  <c r="CU145" i="1"/>
  <c r="T145" i="1" s="1"/>
  <c r="CW145" i="1"/>
  <c r="V145" i="1" s="1"/>
  <c r="FR145" i="1"/>
  <c r="GL145" i="1"/>
  <c r="GO145" i="1"/>
  <c r="GP145" i="1"/>
  <c r="GV145" i="1"/>
  <c r="GX145" i="1"/>
  <c r="HC145" i="1"/>
  <c r="AC146" i="1"/>
  <c r="AB146" i="1" s="1"/>
  <c r="AD146" i="1"/>
  <c r="CR146" i="1" s="1"/>
  <c r="AE146" i="1"/>
  <c r="AF146" i="1"/>
  <c r="AG146" i="1"/>
  <c r="AH146" i="1"/>
  <c r="CV146" i="1" s="1"/>
  <c r="AI146" i="1"/>
  <c r="AJ146" i="1"/>
  <c r="CQ146" i="1"/>
  <c r="CS146" i="1"/>
  <c r="CT146" i="1"/>
  <c r="CU146" i="1"/>
  <c r="CW146" i="1"/>
  <c r="CX146" i="1"/>
  <c r="FR146" i="1"/>
  <c r="GL146" i="1"/>
  <c r="GO146" i="1"/>
  <c r="GP146" i="1"/>
  <c r="GV146" i="1"/>
  <c r="HC146" i="1"/>
  <c r="I147" i="1"/>
  <c r="AC147" i="1"/>
  <c r="AD147" i="1"/>
  <c r="CR147" i="1" s="1"/>
  <c r="Q147" i="1" s="1"/>
  <c r="AE147" i="1"/>
  <c r="AF147" i="1"/>
  <c r="AB147" i="1" s="1"/>
  <c r="AG147" i="1"/>
  <c r="AH147" i="1"/>
  <c r="CV147" i="1" s="1"/>
  <c r="U147" i="1" s="1"/>
  <c r="AI147" i="1"/>
  <c r="AJ147" i="1"/>
  <c r="CX147" i="1" s="1"/>
  <c r="W147" i="1" s="1"/>
  <c r="CQ147" i="1"/>
  <c r="P147" i="1" s="1"/>
  <c r="CS147" i="1"/>
  <c r="R147" i="1" s="1"/>
  <c r="GK147" i="1" s="1"/>
  <c r="CU147" i="1"/>
  <c r="T147" i="1" s="1"/>
  <c r="CW147" i="1"/>
  <c r="V147" i="1" s="1"/>
  <c r="FR147" i="1"/>
  <c r="GL147" i="1"/>
  <c r="GO147" i="1"/>
  <c r="GP147" i="1"/>
  <c r="GV147" i="1"/>
  <c r="GX147" i="1"/>
  <c r="HC147" i="1"/>
  <c r="C148" i="1"/>
  <c r="D148" i="1"/>
  <c r="I148" i="1"/>
  <c r="AC148" i="1"/>
  <c r="AD148" i="1"/>
  <c r="CR148" i="1" s="1"/>
  <c r="Q148" i="1" s="1"/>
  <c r="AE148" i="1"/>
  <c r="AF148" i="1"/>
  <c r="AB148" i="1" s="1"/>
  <c r="AG148" i="1"/>
  <c r="AH148" i="1"/>
  <c r="CV148" i="1" s="1"/>
  <c r="U148" i="1" s="1"/>
  <c r="AI148" i="1"/>
  <c r="AJ148" i="1"/>
  <c r="CX148" i="1" s="1"/>
  <c r="W148" i="1" s="1"/>
  <c r="CQ148" i="1"/>
  <c r="P148" i="1" s="1"/>
  <c r="CS148" i="1"/>
  <c r="R148" i="1" s="1"/>
  <c r="GK148" i="1" s="1"/>
  <c r="CU148" i="1"/>
  <c r="T148" i="1" s="1"/>
  <c r="CW148" i="1"/>
  <c r="V148" i="1" s="1"/>
  <c r="FR148" i="1"/>
  <c r="GL148" i="1"/>
  <c r="GO148" i="1"/>
  <c r="GP148" i="1"/>
  <c r="GV148" i="1"/>
  <c r="GX148" i="1"/>
  <c r="HC148" i="1"/>
  <c r="C149" i="1"/>
  <c r="D149" i="1"/>
  <c r="I149" i="1"/>
  <c r="V149" i="1" s="1"/>
  <c r="AC149" i="1"/>
  <c r="AD149" i="1"/>
  <c r="CR149" i="1" s="1"/>
  <c r="AE149" i="1"/>
  <c r="AF149" i="1"/>
  <c r="CT149" i="1" s="1"/>
  <c r="AG149" i="1"/>
  <c r="AH149" i="1"/>
  <c r="CV149" i="1" s="1"/>
  <c r="AI149" i="1"/>
  <c r="AJ149" i="1"/>
  <c r="CX149" i="1" s="1"/>
  <c r="CQ149" i="1"/>
  <c r="P149" i="1" s="1"/>
  <c r="CS149" i="1"/>
  <c r="R149" i="1" s="1"/>
  <c r="GK149" i="1" s="1"/>
  <c r="CU149" i="1"/>
  <c r="CW149" i="1"/>
  <c r="FR149" i="1"/>
  <c r="GL149" i="1"/>
  <c r="GO149" i="1"/>
  <c r="GP149" i="1"/>
  <c r="GV149" i="1"/>
  <c r="HC149" i="1"/>
  <c r="C150" i="1"/>
  <c r="D150" i="1"/>
  <c r="I150" i="1"/>
  <c r="V150" i="1"/>
  <c r="AC150" i="1"/>
  <c r="AD150" i="1"/>
  <c r="CR150" i="1" s="1"/>
  <c r="AE150" i="1"/>
  <c r="AF150" i="1"/>
  <c r="CT150" i="1" s="1"/>
  <c r="AG150" i="1"/>
  <c r="AH150" i="1"/>
  <c r="CV150" i="1" s="1"/>
  <c r="AI150" i="1"/>
  <c r="AJ150" i="1"/>
  <c r="CX150" i="1" s="1"/>
  <c r="CQ150" i="1"/>
  <c r="P150" i="1" s="1"/>
  <c r="CS150" i="1"/>
  <c r="R150" i="1" s="1"/>
  <c r="GK150" i="1" s="1"/>
  <c r="CU150" i="1"/>
  <c r="T150" i="1" s="1"/>
  <c r="CW150" i="1"/>
  <c r="FR150" i="1"/>
  <c r="GL150" i="1"/>
  <c r="GO150" i="1"/>
  <c r="GP150" i="1"/>
  <c r="GV150" i="1"/>
  <c r="GX150" i="1"/>
  <c r="HC150" i="1"/>
  <c r="C151" i="1"/>
  <c r="D151" i="1"/>
  <c r="I151" i="1"/>
  <c r="I155" i="1" s="1"/>
  <c r="AC151" i="1"/>
  <c r="AE151" i="1"/>
  <c r="AD151" i="1" s="1"/>
  <c r="CR151" i="1" s="1"/>
  <c r="AF151" i="1"/>
  <c r="CT151" i="1" s="1"/>
  <c r="AG151" i="1"/>
  <c r="AH151" i="1"/>
  <c r="AI151" i="1"/>
  <c r="AJ151" i="1"/>
  <c r="CX151" i="1" s="1"/>
  <c r="CQ151" i="1"/>
  <c r="CS151" i="1"/>
  <c r="R151" i="1" s="1"/>
  <c r="GK151" i="1" s="1"/>
  <c r="CU151" i="1"/>
  <c r="CV151" i="1"/>
  <c r="CW151" i="1"/>
  <c r="FR151" i="1"/>
  <c r="GL151" i="1"/>
  <c r="GO151" i="1"/>
  <c r="GP151" i="1"/>
  <c r="GV151" i="1"/>
  <c r="HC151" i="1"/>
  <c r="AC152" i="1"/>
  <c r="AD152" i="1"/>
  <c r="CR152" i="1" s="1"/>
  <c r="AE152" i="1"/>
  <c r="AF152" i="1"/>
  <c r="AG152" i="1"/>
  <c r="AH152" i="1"/>
  <c r="CV152" i="1" s="1"/>
  <c r="AI152" i="1"/>
  <c r="AJ152" i="1"/>
  <c r="CQ152" i="1"/>
  <c r="CS152" i="1"/>
  <c r="CT152" i="1"/>
  <c r="CU152" i="1"/>
  <c r="CW152" i="1"/>
  <c r="CX152" i="1"/>
  <c r="FR152" i="1"/>
  <c r="GL152" i="1"/>
  <c r="GO152" i="1"/>
  <c r="GP152" i="1"/>
  <c r="GV152" i="1"/>
  <c r="HC152" i="1"/>
  <c r="I153" i="1"/>
  <c r="V153" i="1" s="1"/>
  <c r="AC153" i="1"/>
  <c r="AD153" i="1"/>
  <c r="CR153" i="1" s="1"/>
  <c r="AE153" i="1"/>
  <c r="AF153" i="1"/>
  <c r="CT153" i="1" s="1"/>
  <c r="AG153" i="1"/>
  <c r="AH153" i="1"/>
  <c r="CV153" i="1" s="1"/>
  <c r="AI153" i="1"/>
  <c r="AJ153" i="1"/>
  <c r="CX153" i="1" s="1"/>
  <c r="CQ153" i="1"/>
  <c r="P153" i="1" s="1"/>
  <c r="CS153" i="1"/>
  <c r="R153" i="1" s="1"/>
  <c r="GK153" i="1" s="1"/>
  <c r="CU153" i="1"/>
  <c r="CW153" i="1"/>
  <c r="FR153" i="1"/>
  <c r="GL153" i="1"/>
  <c r="GO153" i="1"/>
  <c r="GP153" i="1"/>
  <c r="GV153" i="1"/>
  <c r="HC153" i="1"/>
  <c r="AC154" i="1"/>
  <c r="AD154" i="1"/>
  <c r="AE154" i="1"/>
  <c r="AF154" i="1"/>
  <c r="CT154" i="1" s="1"/>
  <c r="AG154" i="1"/>
  <c r="AH154" i="1"/>
  <c r="CV154" i="1" s="1"/>
  <c r="AI154" i="1"/>
  <c r="AJ154" i="1"/>
  <c r="CX154" i="1" s="1"/>
  <c r="CQ154" i="1"/>
  <c r="CS154" i="1"/>
  <c r="CU154" i="1"/>
  <c r="CW154" i="1"/>
  <c r="FR154" i="1"/>
  <c r="GL154" i="1"/>
  <c r="GO154" i="1"/>
  <c r="GP154" i="1"/>
  <c r="GV154" i="1"/>
  <c r="HC154" i="1" s="1"/>
  <c r="AC155" i="1"/>
  <c r="AD155" i="1"/>
  <c r="CR155" i="1" s="1"/>
  <c r="AE155" i="1"/>
  <c r="AF155" i="1"/>
  <c r="AB155" i="1" s="1"/>
  <c r="AG155" i="1"/>
  <c r="AH155" i="1"/>
  <c r="CV155" i="1" s="1"/>
  <c r="AI155" i="1"/>
  <c r="AJ155" i="1"/>
  <c r="CX155" i="1" s="1"/>
  <c r="W155" i="1" s="1"/>
  <c r="CQ155" i="1"/>
  <c r="CS155" i="1"/>
  <c r="CT155" i="1"/>
  <c r="CU155" i="1"/>
  <c r="CW155" i="1"/>
  <c r="V155" i="1" s="1"/>
  <c r="FR155" i="1"/>
  <c r="GL155" i="1"/>
  <c r="GO155" i="1"/>
  <c r="GP155" i="1"/>
  <c r="GV155" i="1"/>
  <c r="HC155" i="1"/>
  <c r="B157" i="1"/>
  <c r="B22" i="1" s="1"/>
  <c r="C157" i="1"/>
  <c r="C22" i="1" s="1"/>
  <c r="D157" i="1"/>
  <c r="D22" i="1" s="1"/>
  <c r="F157" i="1"/>
  <c r="F22" i="1" s="1"/>
  <c r="G157" i="1"/>
  <c r="G22" i="1" s="1"/>
  <c r="AQ157" i="1"/>
  <c r="AQ22" i="1" s="1"/>
  <c r="BX157" i="1"/>
  <c r="BX22" i="1" s="1"/>
  <c r="BY157" i="1"/>
  <c r="BY22" i="1" s="1"/>
  <c r="BZ157" i="1"/>
  <c r="BZ22" i="1" s="1"/>
  <c r="CD157" i="1"/>
  <c r="CD22" i="1" s="1"/>
  <c r="CG157" i="1"/>
  <c r="CG22" i="1" s="1"/>
  <c r="CK157" i="1"/>
  <c r="CK22" i="1" s="1"/>
  <c r="CL157" i="1"/>
  <c r="CL22" i="1" s="1"/>
  <c r="EG157" i="1"/>
  <c r="EG22" i="1" s="1"/>
  <c r="FP157" i="1"/>
  <c r="FP22" i="1" s="1"/>
  <c r="FQ157" i="1"/>
  <c r="FQ22" i="1" s="1"/>
  <c r="FR157" i="1"/>
  <c r="FR22" i="1" s="1"/>
  <c r="FV157" i="1"/>
  <c r="FV22" i="1" s="1"/>
  <c r="GC157" i="1"/>
  <c r="GC22" i="1" s="1"/>
  <c r="GD157" i="1"/>
  <c r="GD22" i="1" s="1"/>
  <c r="F167" i="1"/>
  <c r="B189" i="1"/>
  <c r="B18" i="1" s="1"/>
  <c r="C189" i="1"/>
  <c r="C18" i="1" s="1"/>
  <c r="D189" i="1"/>
  <c r="D18" i="1" s="1"/>
  <c r="F189" i="1"/>
  <c r="F18" i="1" s="1"/>
  <c r="G189" i="1"/>
  <c r="G18" i="1" s="1"/>
  <c r="AQ189" i="1"/>
  <c r="AQ18" i="1" s="1"/>
  <c r="F199" i="1"/>
  <c r="G305" i="5" l="1"/>
  <c r="O305" i="5" s="1"/>
  <c r="J290" i="5"/>
  <c r="P290" i="5" s="1"/>
  <c r="G251" i="5"/>
  <c r="O251" i="5" s="1"/>
  <c r="W178" i="5"/>
  <c r="G211" i="5"/>
  <c r="O211" i="5" s="1"/>
  <c r="W211" i="5"/>
  <c r="J211" i="5"/>
  <c r="P211" i="5" s="1"/>
  <c r="J251" i="5"/>
  <c r="P251" i="5" s="1"/>
  <c r="G178" i="5"/>
  <c r="O178" i="5" s="1"/>
  <c r="G363" i="5" s="1"/>
  <c r="J69" i="5"/>
  <c r="P69" i="5" s="1"/>
  <c r="J339" i="5"/>
  <c r="P339" i="5" s="1"/>
  <c r="W339" i="5"/>
  <c r="G18" i="5" s="1"/>
  <c r="G21" i="5"/>
  <c r="R155" i="1"/>
  <c r="GK155" i="1" s="1"/>
  <c r="GX155" i="1"/>
  <c r="AO157" i="1"/>
  <c r="W153" i="1"/>
  <c r="S153" i="1"/>
  <c r="AB153" i="1"/>
  <c r="AB152" i="1"/>
  <c r="P151" i="1"/>
  <c r="AB151" i="1"/>
  <c r="U150" i="1"/>
  <c r="Q150" i="1"/>
  <c r="W149" i="1"/>
  <c r="S149" i="1"/>
  <c r="AB149" i="1"/>
  <c r="CP142" i="1"/>
  <c r="O142" i="1" s="1"/>
  <c r="CP134" i="1"/>
  <c r="O134" i="1" s="1"/>
  <c r="R130" i="1"/>
  <c r="GK130" i="1" s="1"/>
  <c r="U130" i="1"/>
  <c r="Q130" i="1"/>
  <c r="CP122" i="1"/>
  <c r="O122" i="1" s="1"/>
  <c r="CP119" i="1"/>
  <c r="O119" i="1" s="1"/>
  <c r="CP118" i="1"/>
  <c r="O118" i="1" s="1"/>
  <c r="CP116" i="1"/>
  <c r="O116" i="1" s="1"/>
  <c r="FY157" i="1"/>
  <c r="P161" i="1"/>
  <c r="P155" i="1"/>
  <c r="U155" i="1"/>
  <c r="Q155" i="1"/>
  <c r="GX153" i="1"/>
  <c r="T153" i="1"/>
  <c r="GX151" i="1"/>
  <c r="U151" i="1"/>
  <c r="W151" i="1"/>
  <c r="S151" i="1"/>
  <c r="V151" i="1"/>
  <c r="CX434" i="3"/>
  <c r="CX438" i="3"/>
  <c r="CX442" i="3"/>
  <c r="CX433" i="3"/>
  <c r="CX437" i="3"/>
  <c r="CX441" i="3"/>
  <c r="CX436" i="3"/>
  <c r="CX440" i="3"/>
  <c r="CX444" i="3"/>
  <c r="CX435" i="3"/>
  <c r="CX439" i="3"/>
  <c r="CX443" i="3"/>
  <c r="I152" i="1"/>
  <c r="P152" i="1" s="1"/>
  <c r="I154" i="1"/>
  <c r="P154" i="1" s="1"/>
  <c r="GX149" i="1"/>
  <c r="T149" i="1"/>
  <c r="CY142" i="1"/>
  <c r="X142" i="1" s="1"/>
  <c r="CZ142" i="1"/>
  <c r="Y142" i="1" s="1"/>
  <c r="CY134" i="1"/>
  <c r="X134" i="1" s="1"/>
  <c r="CZ134" i="1"/>
  <c r="Y134" i="1" s="1"/>
  <c r="GX130" i="1"/>
  <c r="P130" i="1"/>
  <c r="CY122" i="1"/>
  <c r="X122" i="1" s="1"/>
  <c r="CZ122" i="1"/>
  <c r="Y122" i="1" s="1"/>
  <c r="CP120" i="1"/>
  <c r="O120" i="1" s="1"/>
  <c r="CY119" i="1"/>
  <c r="X119" i="1" s="1"/>
  <c r="CZ119" i="1"/>
  <c r="Y119" i="1" s="1"/>
  <c r="CY118" i="1"/>
  <c r="X118" i="1" s="1"/>
  <c r="CZ118" i="1"/>
  <c r="Y118" i="1" s="1"/>
  <c r="CY116" i="1"/>
  <c r="X116" i="1" s="1"/>
  <c r="CZ116" i="1"/>
  <c r="Y116" i="1" s="1"/>
  <c r="CY114" i="1"/>
  <c r="X114" i="1" s="1"/>
  <c r="CZ114" i="1"/>
  <c r="Y114" i="1" s="1"/>
  <c r="CP112" i="1"/>
  <c r="O112" i="1" s="1"/>
  <c r="CP110" i="1"/>
  <c r="O110" i="1" s="1"/>
  <c r="CP106" i="1"/>
  <c r="O106" i="1" s="1"/>
  <c r="EG189" i="1"/>
  <c r="GA157" i="1"/>
  <c r="EU157" i="1"/>
  <c r="EM157" i="1"/>
  <c r="EI157" i="1"/>
  <c r="CI157" i="1"/>
  <c r="BC157" i="1"/>
  <c r="AU157" i="1"/>
  <c r="T155" i="1"/>
  <c r="U153" i="1"/>
  <c r="Q153" i="1"/>
  <c r="S152" i="1"/>
  <c r="T151" i="1"/>
  <c r="Q151" i="1"/>
  <c r="W150" i="1"/>
  <c r="S150" i="1"/>
  <c r="AB150" i="1"/>
  <c r="U149" i="1"/>
  <c r="Q149" i="1"/>
  <c r="V138" i="1"/>
  <c r="W138" i="1"/>
  <c r="S138" i="1"/>
  <c r="V130" i="1"/>
  <c r="W130" i="1"/>
  <c r="S130" i="1"/>
  <c r="CP117" i="1"/>
  <c r="O117" i="1" s="1"/>
  <c r="CP115" i="1"/>
  <c r="O115" i="1" s="1"/>
  <c r="CY112" i="1"/>
  <c r="X112" i="1" s="1"/>
  <c r="CZ112" i="1"/>
  <c r="Y112" i="1" s="1"/>
  <c r="CY110" i="1"/>
  <c r="X110" i="1" s="1"/>
  <c r="CZ110" i="1"/>
  <c r="Y110" i="1" s="1"/>
  <c r="CY106" i="1"/>
  <c r="X106" i="1" s="1"/>
  <c r="CZ106" i="1"/>
  <c r="Y106" i="1" s="1"/>
  <c r="ET157" i="1"/>
  <c r="EH157" i="1"/>
  <c r="BB157" i="1"/>
  <c r="AX157" i="1"/>
  <c r="AP157" i="1"/>
  <c r="S155" i="1"/>
  <c r="GX154" i="1"/>
  <c r="R154" i="1"/>
  <c r="GK154" i="1" s="1"/>
  <c r="U154" i="1"/>
  <c r="CR154" i="1"/>
  <c r="Q154" i="1" s="1"/>
  <c r="AB154" i="1"/>
  <c r="CP153" i="1"/>
  <c r="O153" i="1" s="1"/>
  <c r="W152" i="1"/>
  <c r="R152" i="1"/>
  <c r="GK152" i="1" s="1"/>
  <c r="U152" i="1"/>
  <c r="Q152" i="1"/>
  <c r="CX446" i="3"/>
  <c r="CX450" i="3"/>
  <c r="CX454" i="3"/>
  <c r="CX445" i="3"/>
  <c r="CX449" i="3"/>
  <c r="CX453" i="3"/>
  <c r="CX448" i="3"/>
  <c r="CX452" i="3"/>
  <c r="CX456" i="3"/>
  <c r="CX447" i="3"/>
  <c r="CX451" i="3"/>
  <c r="CX455" i="3"/>
  <c r="CP149" i="1"/>
  <c r="O149" i="1" s="1"/>
  <c r="CX430" i="3"/>
  <c r="CX429" i="3"/>
  <c r="CX428" i="3"/>
  <c r="CX432" i="3"/>
  <c r="CX427" i="3"/>
  <c r="CX431" i="3"/>
  <c r="CY117" i="1"/>
  <c r="X117" i="1" s="1"/>
  <c r="CZ117" i="1"/>
  <c r="Y117" i="1" s="1"/>
  <c r="CY115" i="1"/>
  <c r="X115" i="1" s="1"/>
  <c r="CZ115" i="1"/>
  <c r="Y115" i="1" s="1"/>
  <c r="I146" i="1"/>
  <c r="GX146" i="1" s="1"/>
  <c r="AB144" i="1"/>
  <c r="I144" i="1"/>
  <c r="GX144" i="1" s="1"/>
  <c r="AB142" i="1"/>
  <c r="AB138" i="1"/>
  <c r="AB134" i="1"/>
  <c r="AB130" i="1"/>
  <c r="AB122" i="1"/>
  <c r="AB119" i="1"/>
  <c r="CX323" i="3"/>
  <c r="CX320" i="3"/>
  <c r="CX324" i="3"/>
  <c r="CX322" i="3"/>
  <c r="CX321" i="3"/>
  <c r="AB118" i="1"/>
  <c r="CX315" i="3"/>
  <c r="CX319" i="3"/>
  <c r="CX316" i="3"/>
  <c r="CX318" i="3"/>
  <c r="CX317" i="3"/>
  <c r="AB117" i="1"/>
  <c r="CX311" i="3"/>
  <c r="CX312" i="3"/>
  <c r="CX310" i="3"/>
  <c r="CX314" i="3"/>
  <c r="CX309" i="3"/>
  <c r="CX313" i="3"/>
  <c r="AB116" i="1"/>
  <c r="CX303" i="3"/>
  <c r="CX307" i="3"/>
  <c r="CX304" i="3"/>
  <c r="CX308" i="3"/>
  <c r="CX306" i="3"/>
  <c r="CX305" i="3"/>
  <c r="AB115" i="1"/>
  <c r="AB112" i="1"/>
  <c r="AB110" i="1"/>
  <c r="AB106" i="1"/>
  <c r="CZ105" i="1"/>
  <c r="Y105" i="1" s="1"/>
  <c r="CZ104" i="1"/>
  <c r="Y104" i="1" s="1"/>
  <c r="CZ103" i="1"/>
  <c r="Y103" i="1" s="1"/>
  <c r="CY100" i="1"/>
  <c r="X100" i="1" s="1"/>
  <c r="CZ100" i="1"/>
  <c r="Y100" i="1" s="1"/>
  <c r="CY98" i="1"/>
  <c r="X98" i="1" s="1"/>
  <c r="CZ98" i="1"/>
  <c r="Y98" i="1" s="1"/>
  <c r="CY95" i="1"/>
  <c r="X95" i="1" s="1"/>
  <c r="CZ95" i="1"/>
  <c r="Y95" i="1" s="1"/>
  <c r="CY93" i="1"/>
  <c r="X93" i="1" s="1"/>
  <c r="CZ93" i="1"/>
  <c r="Y93" i="1" s="1"/>
  <c r="CY88" i="1"/>
  <c r="X88" i="1" s="1"/>
  <c r="CZ88" i="1"/>
  <c r="Y88" i="1" s="1"/>
  <c r="CY84" i="1"/>
  <c r="X84" i="1" s="1"/>
  <c r="CZ84" i="1"/>
  <c r="Y84" i="1" s="1"/>
  <c r="CT148" i="1"/>
  <c r="S148" i="1" s="1"/>
  <c r="CT147" i="1"/>
  <c r="S147" i="1" s="1"/>
  <c r="CT145" i="1"/>
  <c r="S145" i="1" s="1"/>
  <c r="CT143" i="1"/>
  <c r="S143" i="1" s="1"/>
  <c r="CT141" i="1"/>
  <c r="S141" i="1" s="1"/>
  <c r="CT140" i="1"/>
  <c r="S140" i="1" s="1"/>
  <c r="CT139" i="1"/>
  <c r="S139" i="1" s="1"/>
  <c r="CP139" i="1" s="1"/>
  <c r="O139" i="1" s="1"/>
  <c r="CT137" i="1"/>
  <c r="S137" i="1" s="1"/>
  <c r="CP137" i="1" s="1"/>
  <c r="O137" i="1" s="1"/>
  <c r="CT136" i="1"/>
  <c r="S136" i="1" s="1"/>
  <c r="CP136" i="1" s="1"/>
  <c r="O136" i="1" s="1"/>
  <c r="CT135" i="1"/>
  <c r="S135" i="1" s="1"/>
  <c r="CT133" i="1"/>
  <c r="S133" i="1" s="1"/>
  <c r="CP133" i="1" s="1"/>
  <c r="O133" i="1" s="1"/>
  <c r="CT132" i="1"/>
  <c r="S132" i="1" s="1"/>
  <c r="CP132" i="1" s="1"/>
  <c r="O132" i="1" s="1"/>
  <c r="CT131" i="1"/>
  <c r="S131" i="1" s="1"/>
  <c r="CP131" i="1" s="1"/>
  <c r="O131" i="1" s="1"/>
  <c r="CT129" i="1"/>
  <c r="S129" i="1" s="1"/>
  <c r="CT128" i="1"/>
  <c r="S128" i="1" s="1"/>
  <c r="CP128" i="1" s="1"/>
  <c r="O128" i="1" s="1"/>
  <c r="CT123" i="1"/>
  <c r="S123" i="1" s="1"/>
  <c r="CT121" i="1"/>
  <c r="S121" i="1" s="1"/>
  <c r="CP121" i="1" s="1"/>
  <c r="O121" i="1" s="1"/>
  <c r="CS120" i="1"/>
  <c r="R120" i="1" s="1"/>
  <c r="AB120" i="1"/>
  <c r="CQ114" i="1"/>
  <c r="P114" i="1" s="1"/>
  <c r="AD114" i="1"/>
  <c r="CR114" i="1" s="1"/>
  <c r="Q114" i="1" s="1"/>
  <c r="CT113" i="1"/>
  <c r="S113" i="1" s="1"/>
  <c r="CT111" i="1"/>
  <c r="S111" i="1" s="1"/>
  <c r="CP111" i="1" s="1"/>
  <c r="O111" i="1" s="1"/>
  <c r="CT109" i="1"/>
  <c r="S109" i="1" s="1"/>
  <c r="CT108" i="1"/>
  <c r="S108" i="1" s="1"/>
  <c r="CT107" i="1"/>
  <c r="S107" i="1" s="1"/>
  <c r="CP101" i="1"/>
  <c r="O101" i="1" s="1"/>
  <c r="CP99" i="1"/>
  <c r="O99" i="1" s="1"/>
  <c r="CY97" i="1"/>
  <c r="X97" i="1" s="1"/>
  <c r="CZ97" i="1"/>
  <c r="Y97" i="1" s="1"/>
  <c r="CP91" i="1"/>
  <c r="O91" i="1" s="1"/>
  <c r="CP90" i="1"/>
  <c r="O90" i="1" s="1"/>
  <c r="CP89" i="1"/>
  <c r="O89" i="1" s="1"/>
  <c r="CP87" i="1"/>
  <c r="O87" i="1" s="1"/>
  <c r="CP85" i="1"/>
  <c r="O85" i="1" s="1"/>
  <c r="CX422" i="3"/>
  <c r="CX426" i="3"/>
  <c r="CX421" i="3"/>
  <c r="CX425" i="3"/>
  <c r="CX424" i="3"/>
  <c r="CX423" i="3"/>
  <c r="CX410" i="3"/>
  <c r="CX414" i="3"/>
  <c r="CX418" i="3"/>
  <c r="CX413" i="3"/>
  <c r="CX417" i="3"/>
  <c r="CX412" i="3"/>
  <c r="CX416" i="3"/>
  <c r="CX420" i="3"/>
  <c r="CX411" i="3"/>
  <c r="CX415" i="3"/>
  <c r="CX419" i="3"/>
  <c r="CX402" i="3"/>
  <c r="CX406" i="3"/>
  <c r="CX401" i="3"/>
  <c r="CX405" i="3"/>
  <c r="CX409" i="3"/>
  <c r="CX400" i="3"/>
  <c r="CX404" i="3"/>
  <c r="CX408" i="3"/>
  <c r="CX399" i="3"/>
  <c r="CX403" i="3"/>
  <c r="CX407" i="3"/>
  <c r="CX390" i="3"/>
  <c r="CX394" i="3"/>
  <c r="CX398" i="3"/>
  <c r="CX393" i="3"/>
  <c r="CX397" i="3"/>
  <c r="CX392" i="3"/>
  <c r="CX396" i="3"/>
  <c r="CX391" i="3"/>
  <c r="CX395" i="3"/>
  <c r="CX382" i="3"/>
  <c r="CX386" i="3"/>
  <c r="CX381" i="3"/>
  <c r="CX385" i="3"/>
  <c r="CX389" i="3"/>
  <c r="CX384" i="3"/>
  <c r="CX388" i="3"/>
  <c r="CX383" i="3"/>
  <c r="CX387" i="3"/>
  <c r="CX378" i="3"/>
  <c r="CX377" i="3"/>
  <c r="CX380" i="3"/>
  <c r="CX379" i="3"/>
  <c r="CX374" i="3"/>
  <c r="CX373" i="3"/>
  <c r="CX376" i="3"/>
  <c r="CX375" i="3"/>
  <c r="CX360" i="3"/>
  <c r="CX364" i="3"/>
  <c r="CX368" i="3"/>
  <c r="CX372" i="3"/>
  <c r="CX366" i="3"/>
  <c r="CX363" i="3"/>
  <c r="CX365" i="3"/>
  <c r="CX371" i="3"/>
  <c r="CX362" i="3"/>
  <c r="CX370" i="3"/>
  <c r="CX361" i="3"/>
  <c r="CX367" i="3"/>
  <c r="CX369" i="3"/>
  <c r="CX347" i="3"/>
  <c r="CX351" i="3"/>
  <c r="CX355" i="3"/>
  <c r="CX348" i="3"/>
  <c r="CX352" i="3"/>
  <c r="CX356" i="3"/>
  <c r="CX349" i="3"/>
  <c r="CX353" i="3"/>
  <c r="CX358" i="3"/>
  <c r="CX357" i="3"/>
  <c r="CX350" i="3"/>
  <c r="CX354" i="3"/>
  <c r="CX359" i="3"/>
  <c r="CX291" i="3"/>
  <c r="CX292" i="3"/>
  <c r="CX290" i="3"/>
  <c r="CX289" i="3"/>
  <c r="CX287" i="3"/>
  <c r="CX286" i="3"/>
  <c r="CX288" i="3"/>
  <c r="CX285" i="3"/>
  <c r="CR105" i="1"/>
  <c r="Q105" i="1" s="1"/>
  <c r="CP105" i="1" s="1"/>
  <c r="O105" i="1" s="1"/>
  <c r="AB105" i="1"/>
  <c r="CR104" i="1"/>
  <c r="Q104" i="1" s="1"/>
  <c r="AB104" i="1"/>
  <c r="CP104" i="1"/>
  <c r="O104" i="1" s="1"/>
  <c r="CY101" i="1"/>
  <c r="X101" i="1" s="1"/>
  <c r="CZ101" i="1"/>
  <c r="Y101" i="1" s="1"/>
  <c r="CY99" i="1"/>
  <c r="X99" i="1" s="1"/>
  <c r="CZ99" i="1"/>
  <c r="Y99" i="1" s="1"/>
  <c r="CY91" i="1"/>
  <c r="X91" i="1" s="1"/>
  <c r="CZ91" i="1"/>
  <c r="Y91" i="1" s="1"/>
  <c r="CY90" i="1"/>
  <c r="X90" i="1" s="1"/>
  <c r="CZ90" i="1"/>
  <c r="Y90" i="1" s="1"/>
  <c r="CY89" i="1"/>
  <c r="X89" i="1" s="1"/>
  <c r="CZ89" i="1"/>
  <c r="Y89" i="1" s="1"/>
  <c r="CY87" i="1"/>
  <c r="X87" i="1" s="1"/>
  <c r="CZ87" i="1"/>
  <c r="Y87" i="1" s="1"/>
  <c r="CY85" i="1"/>
  <c r="X85" i="1" s="1"/>
  <c r="CZ85" i="1"/>
  <c r="Y85" i="1" s="1"/>
  <c r="CY105" i="1"/>
  <c r="X105" i="1" s="1"/>
  <c r="CY104" i="1"/>
  <c r="X104" i="1" s="1"/>
  <c r="CY103" i="1"/>
  <c r="X103" i="1" s="1"/>
  <c r="CP103" i="1"/>
  <c r="O103" i="1" s="1"/>
  <c r="CP100" i="1"/>
  <c r="O100" i="1" s="1"/>
  <c r="CP98" i="1"/>
  <c r="O98" i="1" s="1"/>
  <c r="CP97" i="1"/>
  <c r="O97" i="1" s="1"/>
  <c r="CP95" i="1"/>
  <c r="O95" i="1" s="1"/>
  <c r="CP93" i="1"/>
  <c r="O93" i="1" s="1"/>
  <c r="CP88" i="1"/>
  <c r="O88" i="1" s="1"/>
  <c r="CP84" i="1"/>
  <c r="O84" i="1" s="1"/>
  <c r="CX283" i="3"/>
  <c r="CX282" i="3"/>
  <c r="CX284" i="3"/>
  <c r="CX281" i="3"/>
  <c r="CX279" i="3"/>
  <c r="CX278" i="3"/>
  <c r="CX280" i="3"/>
  <c r="CX277" i="3"/>
  <c r="AB103" i="1"/>
  <c r="AB101" i="1"/>
  <c r="CX271" i="3"/>
  <c r="CX275" i="3"/>
  <c r="CX274" i="3"/>
  <c r="CX272" i="3"/>
  <c r="CX276" i="3"/>
  <c r="CX273" i="3"/>
  <c r="AB100" i="1"/>
  <c r="CX267" i="3"/>
  <c r="CX266" i="3"/>
  <c r="CX270" i="3"/>
  <c r="CX268" i="3"/>
  <c r="CX265" i="3"/>
  <c r="CX269" i="3"/>
  <c r="AB99" i="1"/>
  <c r="CX263" i="3"/>
  <c r="CX262" i="3"/>
  <c r="CX260" i="3"/>
  <c r="CX264" i="3"/>
  <c r="CX261" i="3"/>
  <c r="AB98" i="1"/>
  <c r="CX255" i="3"/>
  <c r="CX259" i="3"/>
  <c r="CX258" i="3"/>
  <c r="CX256" i="3"/>
  <c r="CX257" i="3"/>
  <c r="AB97" i="1"/>
  <c r="AB95" i="1"/>
  <c r="AB93" i="1"/>
  <c r="AB91" i="1"/>
  <c r="CX247" i="3"/>
  <c r="CX251" i="3"/>
  <c r="CX246" i="3"/>
  <c r="CX250" i="3"/>
  <c r="CX254" i="3"/>
  <c r="CX245" i="3"/>
  <c r="CX249" i="3"/>
  <c r="CX248" i="3"/>
  <c r="CX252" i="3"/>
  <c r="CX253" i="3"/>
  <c r="AB90" i="1"/>
  <c r="CX235" i="3"/>
  <c r="CX239" i="3"/>
  <c r="CX243" i="3"/>
  <c r="CX238" i="3"/>
  <c r="CX242" i="3"/>
  <c r="CX237" i="3"/>
  <c r="CX241" i="3"/>
  <c r="CX236" i="3"/>
  <c r="CX240" i="3"/>
  <c r="CX244" i="3"/>
  <c r="AB89" i="1"/>
  <c r="CX231" i="3"/>
  <c r="CX230" i="3"/>
  <c r="CX234" i="3"/>
  <c r="CX233" i="3"/>
  <c r="CX232" i="3"/>
  <c r="AB88" i="1"/>
  <c r="CX227" i="3"/>
  <c r="CX226" i="3"/>
  <c r="CX225" i="3"/>
  <c r="CX229" i="3"/>
  <c r="CX228" i="3"/>
  <c r="AB87" i="1"/>
  <c r="AB85" i="1"/>
  <c r="CX215" i="3"/>
  <c r="CX219" i="3"/>
  <c r="CX223" i="3"/>
  <c r="CX214" i="3"/>
  <c r="CX218" i="3"/>
  <c r="CX222" i="3"/>
  <c r="CX213" i="3"/>
  <c r="CX217" i="3"/>
  <c r="CX221" i="3"/>
  <c r="CX216" i="3"/>
  <c r="CX220" i="3"/>
  <c r="CX224" i="3"/>
  <c r="AB84" i="1"/>
  <c r="CX203" i="3"/>
  <c r="CX207" i="3"/>
  <c r="CX211" i="3"/>
  <c r="CX202" i="3"/>
  <c r="CX206" i="3"/>
  <c r="CX210" i="3"/>
  <c r="CX201" i="3"/>
  <c r="CX205" i="3"/>
  <c r="CX209" i="3"/>
  <c r="CX204" i="3"/>
  <c r="CX208" i="3"/>
  <c r="CX212" i="3"/>
  <c r="GX83" i="1"/>
  <c r="T83" i="1"/>
  <c r="CZ81" i="1"/>
  <c r="Y81" i="1" s="1"/>
  <c r="CY81" i="1"/>
  <c r="X81" i="1" s="1"/>
  <c r="AB81" i="1"/>
  <c r="CR77" i="1"/>
  <c r="Q77" i="1" s="1"/>
  <c r="AB77" i="1"/>
  <c r="CR75" i="1"/>
  <c r="Q75" i="1" s="1"/>
  <c r="AB75" i="1"/>
  <c r="CZ73" i="1"/>
  <c r="Y73" i="1" s="1"/>
  <c r="CY73" i="1"/>
  <c r="X73" i="1" s="1"/>
  <c r="CR71" i="1"/>
  <c r="Q71" i="1" s="1"/>
  <c r="AB71" i="1"/>
  <c r="CR70" i="1"/>
  <c r="Q70" i="1" s="1"/>
  <c r="AB70" i="1"/>
  <c r="CR69" i="1"/>
  <c r="Q69" i="1" s="1"/>
  <c r="AB69" i="1"/>
  <c r="CR68" i="1"/>
  <c r="Q68" i="1" s="1"/>
  <c r="AB68" i="1"/>
  <c r="CR67" i="1"/>
  <c r="Q67" i="1" s="1"/>
  <c r="AB67" i="1"/>
  <c r="CR65" i="1"/>
  <c r="Q65" i="1" s="1"/>
  <c r="AB65" i="1"/>
  <c r="CT102" i="1"/>
  <c r="S102" i="1" s="1"/>
  <c r="CT96" i="1"/>
  <c r="S96" i="1" s="1"/>
  <c r="CT94" i="1"/>
  <c r="S94" i="1" s="1"/>
  <c r="CT92" i="1"/>
  <c r="S92" i="1" s="1"/>
  <c r="CP92" i="1" s="1"/>
  <c r="O92" i="1" s="1"/>
  <c r="CT86" i="1"/>
  <c r="S86" i="1" s="1"/>
  <c r="U83" i="1"/>
  <c r="Q83" i="1"/>
  <c r="CZ82" i="1"/>
  <c r="Y82" i="1" s="1"/>
  <c r="T81" i="1"/>
  <c r="CP80" i="1"/>
  <c r="O80" i="1" s="1"/>
  <c r="CP77" i="1"/>
  <c r="O77" i="1" s="1"/>
  <c r="CP75" i="1"/>
  <c r="O75" i="1" s="1"/>
  <c r="CR73" i="1"/>
  <c r="Q73" i="1" s="1"/>
  <c r="AB73" i="1"/>
  <c r="CP71" i="1"/>
  <c r="O71" i="1" s="1"/>
  <c r="CP70" i="1"/>
  <c r="O70" i="1" s="1"/>
  <c r="CP69" i="1"/>
  <c r="O69" i="1" s="1"/>
  <c r="CP68" i="1"/>
  <c r="O68" i="1" s="1"/>
  <c r="CP67" i="1"/>
  <c r="O67" i="1" s="1"/>
  <c r="CP65" i="1"/>
  <c r="O65" i="1" s="1"/>
  <c r="CZ64" i="1"/>
  <c r="Y64" i="1" s="1"/>
  <c r="CY64" i="1"/>
  <c r="X64" i="1" s="1"/>
  <c r="CZ63" i="1"/>
  <c r="Y63" i="1" s="1"/>
  <c r="GK63" i="1"/>
  <c r="GM63" i="1" s="1"/>
  <c r="CZ80" i="1"/>
  <c r="Y80" i="1" s="1"/>
  <c r="CY80" i="1"/>
  <c r="X80" i="1" s="1"/>
  <c r="AB80" i="1"/>
  <c r="CY76" i="1"/>
  <c r="X76" i="1" s="1"/>
  <c r="CZ76" i="1"/>
  <c r="Y76" i="1" s="1"/>
  <c r="CP73" i="1"/>
  <c r="O73" i="1" s="1"/>
  <c r="CR64" i="1"/>
  <c r="Q64" i="1" s="1"/>
  <c r="CP64" i="1" s="1"/>
  <c r="O64" i="1" s="1"/>
  <c r="AB64" i="1"/>
  <c r="W83" i="1"/>
  <c r="S83" i="1"/>
  <c r="AB83" i="1"/>
  <c r="CR82" i="1"/>
  <c r="Q82" i="1" s="1"/>
  <c r="CP82" i="1" s="1"/>
  <c r="O82" i="1" s="1"/>
  <c r="AB82" i="1"/>
  <c r="CP81" i="1"/>
  <c r="O81" i="1" s="1"/>
  <c r="CX195" i="3"/>
  <c r="CX199" i="3"/>
  <c r="CX198" i="3"/>
  <c r="CX197" i="3"/>
  <c r="CX196" i="3"/>
  <c r="CX200" i="3"/>
  <c r="CZ77" i="1"/>
  <c r="Y77" i="1" s="1"/>
  <c r="CY77" i="1"/>
  <c r="X77" i="1" s="1"/>
  <c r="CP76" i="1"/>
  <c r="O76" i="1" s="1"/>
  <c r="CZ75" i="1"/>
  <c r="Y75" i="1" s="1"/>
  <c r="CY75" i="1"/>
  <c r="X75" i="1" s="1"/>
  <c r="CY74" i="1"/>
  <c r="X74" i="1" s="1"/>
  <c r="GM74" i="1" s="1"/>
  <c r="CZ74" i="1"/>
  <c r="Y74" i="1" s="1"/>
  <c r="GN74" i="1" s="1"/>
  <c r="CY72" i="1"/>
  <c r="X72" i="1" s="1"/>
  <c r="GM72" i="1" s="1"/>
  <c r="CZ72" i="1"/>
  <c r="Y72" i="1" s="1"/>
  <c r="CZ71" i="1"/>
  <c r="Y71" i="1" s="1"/>
  <c r="CY71" i="1"/>
  <c r="X71" i="1" s="1"/>
  <c r="CZ70" i="1"/>
  <c r="Y70" i="1" s="1"/>
  <c r="CY70" i="1"/>
  <c r="X70" i="1" s="1"/>
  <c r="CZ69" i="1"/>
  <c r="Y69" i="1" s="1"/>
  <c r="CY69" i="1"/>
  <c r="X69" i="1" s="1"/>
  <c r="CZ68" i="1"/>
  <c r="Y68" i="1" s="1"/>
  <c r="CY68" i="1"/>
  <c r="X68" i="1" s="1"/>
  <c r="CZ67" i="1"/>
  <c r="Y67" i="1" s="1"/>
  <c r="CY67" i="1"/>
  <c r="X67" i="1" s="1"/>
  <c r="CY66" i="1"/>
  <c r="X66" i="1" s="1"/>
  <c r="GM66" i="1" s="1"/>
  <c r="CZ66" i="1"/>
  <c r="Y66" i="1" s="1"/>
  <c r="CZ65" i="1"/>
  <c r="Y65" i="1" s="1"/>
  <c r="CY65" i="1"/>
  <c r="X65" i="1" s="1"/>
  <c r="AB63" i="1"/>
  <c r="CP58" i="1"/>
  <c r="O58" i="1" s="1"/>
  <c r="CY57" i="1"/>
  <c r="X57" i="1" s="1"/>
  <c r="CZ57" i="1"/>
  <c r="Y57" i="1" s="1"/>
  <c r="CP54" i="1"/>
  <c r="O54" i="1" s="1"/>
  <c r="CP51" i="1"/>
  <c r="O51" i="1" s="1"/>
  <c r="CP49" i="1"/>
  <c r="O49" i="1" s="1"/>
  <c r="CY46" i="1"/>
  <c r="X46" i="1" s="1"/>
  <c r="CZ46" i="1"/>
  <c r="Y46" i="1" s="1"/>
  <c r="CR45" i="1"/>
  <c r="Q45" i="1" s="1"/>
  <c r="AB45" i="1"/>
  <c r="AB41" i="1"/>
  <c r="CR41" i="1"/>
  <c r="Q41" i="1" s="1"/>
  <c r="CT79" i="1"/>
  <c r="S79" i="1" s="1"/>
  <c r="CT78" i="1"/>
  <c r="S78" i="1" s="1"/>
  <c r="CZ62" i="1"/>
  <c r="Y62" i="1" s="1"/>
  <c r="CZ61" i="1"/>
  <c r="Y61" i="1" s="1"/>
  <c r="CZ60" i="1"/>
  <c r="Y60" i="1" s="1"/>
  <c r="CZ59" i="1"/>
  <c r="Y59" i="1" s="1"/>
  <c r="CZ58" i="1"/>
  <c r="Y58" i="1" s="1"/>
  <c r="CY58" i="1"/>
  <c r="X58" i="1" s="1"/>
  <c r="AB58" i="1"/>
  <c r="CR57" i="1"/>
  <c r="Q57" i="1" s="1"/>
  <c r="AB57" i="1"/>
  <c r="CY54" i="1"/>
  <c r="X54" i="1" s="1"/>
  <c r="CZ54" i="1"/>
  <c r="Y54" i="1" s="1"/>
  <c r="CY48" i="1"/>
  <c r="X48" i="1" s="1"/>
  <c r="CZ48" i="1"/>
  <c r="Y48" i="1" s="1"/>
  <c r="CP45" i="1"/>
  <c r="O45" i="1" s="1"/>
  <c r="CZ42" i="1"/>
  <c r="Y42" i="1" s="1"/>
  <c r="CY42" i="1"/>
  <c r="X42" i="1" s="1"/>
  <c r="GK41" i="1"/>
  <c r="CZ41" i="1"/>
  <c r="Y41" i="1" s="1"/>
  <c r="CX191" i="3"/>
  <c r="CX190" i="3"/>
  <c r="CX194" i="3"/>
  <c r="CX189" i="3"/>
  <c r="CX193" i="3"/>
  <c r="CX192" i="3"/>
  <c r="CX176" i="3"/>
  <c r="CX180" i="3"/>
  <c r="CX184" i="3"/>
  <c r="CX177" i="3"/>
  <c r="CX181" i="3"/>
  <c r="CX185" i="3"/>
  <c r="CX175" i="3"/>
  <c r="CX179" i="3"/>
  <c r="CX183" i="3"/>
  <c r="CX178" i="3"/>
  <c r="CX182" i="3"/>
  <c r="CX186" i="3"/>
  <c r="CX164" i="3"/>
  <c r="CX168" i="3"/>
  <c r="CX172" i="3"/>
  <c r="CX165" i="3"/>
  <c r="CX169" i="3"/>
  <c r="CX173" i="3"/>
  <c r="CX163" i="3"/>
  <c r="CX167" i="3"/>
  <c r="CX171" i="3"/>
  <c r="CX166" i="3"/>
  <c r="CX170" i="3"/>
  <c r="CX174" i="3"/>
  <c r="CX156" i="3"/>
  <c r="CX160" i="3"/>
  <c r="CX158" i="3"/>
  <c r="CX157" i="3"/>
  <c r="CX161" i="3"/>
  <c r="CX159" i="3"/>
  <c r="CX162" i="3"/>
  <c r="CX152" i="3"/>
  <c r="CX151" i="3"/>
  <c r="CX150" i="3"/>
  <c r="CX154" i="3"/>
  <c r="CX149" i="3"/>
  <c r="CX153" i="3"/>
  <c r="CX155" i="3"/>
  <c r="CX144" i="3"/>
  <c r="CX148" i="3"/>
  <c r="CX143" i="3"/>
  <c r="CX147" i="3"/>
  <c r="CX146" i="3"/>
  <c r="CX145" i="3"/>
  <c r="CX140" i="3"/>
  <c r="CX139" i="3"/>
  <c r="CX138" i="3"/>
  <c r="CX142" i="3"/>
  <c r="CX137" i="3"/>
  <c r="CX141" i="3"/>
  <c r="CP57" i="1"/>
  <c r="O57" i="1" s="1"/>
  <c r="CP55" i="1"/>
  <c r="O55" i="1" s="1"/>
  <c r="CP53" i="1"/>
  <c r="O53" i="1" s="1"/>
  <c r="CY51" i="1"/>
  <c r="X51" i="1" s="1"/>
  <c r="CZ51" i="1"/>
  <c r="Y51" i="1" s="1"/>
  <c r="CY49" i="1"/>
  <c r="X49" i="1" s="1"/>
  <c r="CZ49" i="1"/>
  <c r="Y49" i="1" s="1"/>
  <c r="CZ43" i="1"/>
  <c r="Y43" i="1" s="1"/>
  <c r="CY43" i="1"/>
  <c r="X43" i="1" s="1"/>
  <c r="CR42" i="1"/>
  <c r="Q42" i="1" s="1"/>
  <c r="CP42" i="1" s="1"/>
  <c r="O42" i="1" s="1"/>
  <c r="AB42" i="1"/>
  <c r="CR62" i="1"/>
  <c r="Q62" i="1" s="1"/>
  <c r="AB62" i="1"/>
  <c r="CP62" i="1"/>
  <c r="O62" i="1" s="1"/>
  <c r="CR61" i="1"/>
  <c r="Q61" i="1" s="1"/>
  <c r="AB61" i="1"/>
  <c r="CP61" i="1"/>
  <c r="O61" i="1" s="1"/>
  <c r="CR60" i="1"/>
  <c r="Q60" i="1" s="1"/>
  <c r="CP60" i="1" s="1"/>
  <c r="O60" i="1" s="1"/>
  <c r="AB60" i="1"/>
  <c r="CR59" i="1"/>
  <c r="Q59" i="1" s="1"/>
  <c r="CP59" i="1" s="1"/>
  <c r="O59" i="1" s="1"/>
  <c r="AB59" i="1"/>
  <c r="CY55" i="1"/>
  <c r="X55" i="1" s="1"/>
  <c r="CZ55" i="1"/>
  <c r="Y55" i="1" s="1"/>
  <c r="CY53" i="1"/>
  <c r="X53" i="1" s="1"/>
  <c r="CZ53" i="1"/>
  <c r="Y53" i="1" s="1"/>
  <c r="CP48" i="1"/>
  <c r="O48" i="1" s="1"/>
  <c r="CY47" i="1"/>
  <c r="X47" i="1" s="1"/>
  <c r="GM47" i="1" s="1"/>
  <c r="CZ47" i="1"/>
  <c r="Y47" i="1" s="1"/>
  <c r="CZ45" i="1"/>
  <c r="Y45" i="1" s="1"/>
  <c r="CY45" i="1"/>
  <c r="X45" i="1" s="1"/>
  <c r="CY44" i="1"/>
  <c r="X44" i="1" s="1"/>
  <c r="GM44" i="1" s="1"/>
  <c r="CZ44" i="1"/>
  <c r="Y44" i="1" s="1"/>
  <c r="CR43" i="1"/>
  <c r="Q43" i="1" s="1"/>
  <c r="CP43" i="1" s="1"/>
  <c r="O43" i="1" s="1"/>
  <c r="AB43" i="1"/>
  <c r="CY41" i="1"/>
  <c r="X41" i="1" s="1"/>
  <c r="CX132" i="3"/>
  <c r="CX134" i="3"/>
  <c r="CX133" i="3"/>
  <c r="CX131" i="3"/>
  <c r="CX130" i="3"/>
  <c r="CX129" i="3"/>
  <c r="AB55" i="1"/>
  <c r="CX124" i="3"/>
  <c r="CX128" i="3"/>
  <c r="CX123" i="3"/>
  <c r="CX127" i="3"/>
  <c r="CX126" i="3"/>
  <c r="CX125" i="3"/>
  <c r="AB54" i="1"/>
  <c r="CX120" i="3"/>
  <c r="CX119" i="3"/>
  <c r="CX118" i="3"/>
  <c r="CX122" i="3"/>
  <c r="CX117" i="3"/>
  <c r="CX121" i="3"/>
  <c r="AB53" i="1"/>
  <c r="AB51" i="1"/>
  <c r="CX112" i="3"/>
  <c r="CX116" i="3"/>
  <c r="CX111" i="3"/>
  <c r="CX115" i="3"/>
  <c r="CX110" i="3"/>
  <c r="CX114" i="3"/>
  <c r="CX109" i="3"/>
  <c r="CX113" i="3"/>
  <c r="CX104" i="3"/>
  <c r="CX108" i="3"/>
  <c r="CX103" i="3"/>
  <c r="CX107" i="3"/>
  <c r="CX102" i="3"/>
  <c r="CX106" i="3"/>
  <c r="CX101" i="3"/>
  <c r="CX105" i="3"/>
  <c r="CY39" i="1"/>
  <c r="X39" i="1" s="1"/>
  <c r="CP38" i="1"/>
  <c r="O38" i="1" s="1"/>
  <c r="T36" i="1"/>
  <c r="CP35" i="1"/>
  <c r="O35" i="1" s="1"/>
  <c r="CP34" i="1"/>
  <c r="O34" i="1" s="1"/>
  <c r="CZ29" i="1"/>
  <c r="Y29" i="1" s="1"/>
  <c r="CY29" i="1"/>
  <c r="X29" i="1" s="1"/>
  <c r="CZ27" i="1"/>
  <c r="Y27" i="1" s="1"/>
  <c r="CY27" i="1"/>
  <c r="X27" i="1" s="1"/>
  <c r="CZ26" i="1"/>
  <c r="Y26" i="1" s="1"/>
  <c r="CY26" i="1"/>
  <c r="X26" i="1" s="1"/>
  <c r="CZ25" i="1"/>
  <c r="Y25" i="1" s="1"/>
  <c r="CY25" i="1"/>
  <c r="X25" i="1" s="1"/>
  <c r="CT56" i="1"/>
  <c r="S56" i="1" s="1"/>
  <c r="CT52" i="1"/>
  <c r="S52" i="1" s="1"/>
  <c r="CP52" i="1" s="1"/>
  <c r="O52" i="1" s="1"/>
  <c r="CT50" i="1"/>
  <c r="S50" i="1" s="1"/>
  <c r="CQ46" i="1"/>
  <c r="P46" i="1" s="1"/>
  <c r="CP46" i="1" s="1"/>
  <c r="O46" i="1" s="1"/>
  <c r="GX40" i="1"/>
  <c r="AB40" i="1"/>
  <c r="CZ38" i="1"/>
  <c r="Y38" i="1" s="1"/>
  <c r="CY38" i="1"/>
  <c r="X38" i="1" s="1"/>
  <c r="AB38" i="1"/>
  <c r="CR37" i="1"/>
  <c r="Q37" i="1" s="1"/>
  <c r="CP37" i="1" s="1"/>
  <c r="O37" i="1" s="1"/>
  <c r="AB37" i="1"/>
  <c r="U36" i="1"/>
  <c r="Q36" i="1"/>
  <c r="CZ35" i="1"/>
  <c r="Y35" i="1" s="1"/>
  <c r="CY34" i="1"/>
  <c r="X34" i="1" s="1"/>
  <c r="CZ34" i="1"/>
  <c r="Y34" i="1" s="1"/>
  <c r="CZ30" i="1"/>
  <c r="Y30" i="1" s="1"/>
  <c r="CY30" i="1"/>
  <c r="X30" i="1" s="1"/>
  <c r="CX64" i="3"/>
  <c r="CX63" i="3"/>
  <c r="CX62" i="3"/>
  <c r="CP41" i="1"/>
  <c r="O41" i="1" s="1"/>
  <c r="CZ40" i="1"/>
  <c r="Y40" i="1" s="1"/>
  <c r="AB39" i="1"/>
  <c r="CZ24" i="1"/>
  <c r="Y24" i="1" s="1"/>
  <c r="CY24" i="1"/>
  <c r="X24" i="1" s="1"/>
  <c r="CX60" i="3"/>
  <c r="CX59" i="3"/>
  <c r="CX61" i="3"/>
  <c r="U40" i="1"/>
  <c r="Q40" i="1"/>
  <c r="CP40" i="1" s="1"/>
  <c r="O40" i="1" s="1"/>
  <c r="CP39" i="1"/>
  <c r="O39" i="1" s="1"/>
  <c r="W36" i="1"/>
  <c r="S36" i="1"/>
  <c r="AB36" i="1"/>
  <c r="W33" i="1"/>
  <c r="EB157" i="1" s="1"/>
  <c r="CP27" i="1"/>
  <c r="O27" i="1" s="1"/>
  <c r="CP26" i="1"/>
  <c r="O26" i="1" s="1"/>
  <c r="AB35" i="1"/>
  <c r="CX52" i="3"/>
  <c r="CX56" i="3"/>
  <c r="CX51" i="3"/>
  <c r="CX55" i="3"/>
  <c r="CX54" i="3"/>
  <c r="CX58" i="3"/>
  <c r="CX53" i="3"/>
  <c r="CX57" i="3"/>
  <c r="AB34" i="1"/>
  <c r="W32" i="1"/>
  <c r="S32" i="1"/>
  <c r="CZ31" i="1"/>
  <c r="Y31" i="1" s="1"/>
  <c r="CX36" i="3"/>
  <c r="CX40" i="3"/>
  <c r="CX39" i="3"/>
  <c r="CX38" i="3"/>
  <c r="CX42" i="3"/>
  <c r="CX37" i="3"/>
  <c r="CX41" i="3"/>
  <c r="CQ30" i="1"/>
  <c r="P30" i="1" s="1"/>
  <c r="CP30" i="1" s="1"/>
  <c r="O30" i="1" s="1"/>
  <c r="CQ29" i="1"/>
  <c r="P29" i="1" s="1"/>
  <c r="CP29" i="1" s="1"/>
  <c r="O29" i="1" s="1"/>
  <c r="T28" i="1"/>
  <c r="W28" i="1"/>
  <c r="S28" i="1"/>
  <c r="CQ31" i="1"/>
  <c r="P31" i="1" s="1"/>
  <c r="CP31" i="1" s="1"/>
  <c r="O31" i="1" s="1"/>
  <c r="CX44" i="3"/>
  <c r="CX48" i="3"/>
  <c r="CX43" i="3"/>
  <c r="CX47" i="3"/>
  <c r="CX46" i="3"/>
  <c r="CX50" i="3"/>
  <c r="CX45" i="3"/>
  <c r="CX49" i="3"/>
  <c r="I33" i="1"/>
  <c r="S33" i="1" s="1"/>
  <c r="CY31" i="1"/>
  <c r="X31" i="1" s="1"/>
  <c r="P28" i="1"/>
  <c r="CP28" i="1" s="1"/>
  <c r="O28" i="1" s="1"/>
  <c r="CQ25" i="1"/>
  <c r="P25" i="1" s="1"/>
  <c r="CQ24" i="1"/>
  <c r="P24" i="1" s="1"/>
  <c r="CX32" i="3"/>
  <c r="CX31" i="3"/>
  <c r="CX35" i="3"/>
  <c r="CX30" i="3"/>
  <c r="CX34" i="3"/>
  <c r="CX29" i="3"/>
  <c r="CX33" i="3"/>
  <c r="CX20" i="3"/>
  <c r="CX24" i="3"/>
  <c r="CX28" i="3"/>
  <c r="CX19" i="3"/>
  <c r="CX23" i="3"/>
  <c r="CX27" i="3"/>
  <c r="CX18" i="3"/>
  <c r="CX22" i="3"/>
  <c r="CX26" i="3"/>
  <c r="CX21" i="3"/>
  <c r="CX25" i="3"/>
  <c r="CX8" i="3"/>
  <c r="CX12" i="3"/>
  <c r="CX16" i="3"/>
  <c r="CX7" i="3"/>
  <c r="CX11" i="3"/>
  <c r="CX15" i="3"/>
  <c r="CX10" i="3"/>
  <c r="CX14" i="3"/>
  <c r="CX9" i="3"/>
  <c r="CX13" i="3"/>
  <c r="CX17" i="3"/>
  <c r="CX4" i="3"/>
  <c r="CX6" i="3"/>
  <c r="CX5" i="3"/>
  <c r="CX3" i="3"/>
  <c r="CX2" i="3"/>
  <c r="CX1" i="3"/>
  <c r="G17" i="5" l="1"/>
  <c r="J363" i="5"/>
  <c r="GM40" i="1"/>
  <c r="GN40" i="1"/>
  <c r="GM43" i="1"/>
  <c r="GN43" i="1"/>
  <c r="GM105" i="1"/>
  <c r="GN105" i="1"/>
  <c r="GM59" i="1"/>
  <c r="GN59" i="1"/>
  <c r="GM82" i="1"/>
  <c r="GN82" i="1"/>
  <c r="DX157" i="1"/>
  <c r="GM64" i="1"/>
  <c r="GN64" i="1"/>
  <c r="GM37" i="1"/>
  <c r="GN37" i="1"/>
  <c r="GM60" i="1"/>
  <c r="GN60" i="1"/>
  <c r="GM42" i="1"/>
  <c r="GN42" i="1"/>
  <c r="CY32" i="1"/>
  <c r="X32" i="1" s="1"/>
  <c r="CZ32" i="1"/>
  <c r="Y32" i="1" s="1"/>
  <c r="GN46" i="1"/>
  <c r="GM46" i="1"/>
  <c r="GM38" i="1"/>
  <c r="GN38" i="1"/>
  <c r="GM62" i="1"/>
  <c r="GN62" i="1"/>
  <c r="GM57" i="1"/>
  <c r="GN57" i="1"/>
  <c r="CZ78" i="1"/>
  <c r="Y78" i="1" s="1"/>
  <c r="CY78" i="1"/>
  <c r="X78" i="1" s="1"/>
  <c r="GN47" i="1"/>
  <c r="GM54" i="1"/>
  <c r="GN54" i="1"/>
  <c r="GM65" i="1"/>
  <c r="GN65" i="1"/>
  <c r="GM70" i="1"/>
  <c r="GN70" i="1"/>
  <c r="GM75" i="1"/>
  <c r="GN75" i="1"/>
  <c r="GM80" i="1"/>
  <c r="GN80" i="1"/>
  <c r="CZ96" i="1"/>
  <c r="Y96" i="1" s="1"/>
  <c r="CY96" i="1"/>
  <c r="X96" i="1" s="1"/>
  <c r="GN66" i="1"/>
  <c r="GN72" i="1"/>
  <c r="GM88" i="1"/>
  <c r="GN88" i="1"/>
  <c r="GM95" i="1"/>
  <c r="GN95" i="1"/>
  <c r="GM100" i="1"/>
  <c r="GN100" i="1"/>
  <c r="GM104" i="1"/>
  <c r="GN104" i="1"/>
  <c r="GM87" i="1"/>
  <c r="GN87" i="1"/>
  <c r="CZ107" i="1"/>
  <c r="Y107" i="1" s="1"/>
  <c r="CY107" i="1"/>
  <c r="X107" i="1" s="1"/>
  <c r="CZ113" i="1"/>
  <c r="Y113" i="1" s="1"/>
  <c r="CY113" i="1"/>
  <c r="X113" i="1" s="1"/>
  <c r="GK120" i="1"/>
  <c r="CZ129" i="1"/>
  <c r="Y129" i="1" s="1"/>
  <c r="CY129" i="1"/>
  <c r="X129" i="1" s="1"/>
  <c r="CZ135" i="1"/>
  <c r="Y135" i="1" s="1"/>
  <c r="CY135" i="1"/>
  <c r="X135" i="1" s="1"/>
  <c r="CZ140" i="1"/>
  <c r="Y140" i="1" s="1"/>
  <c r="CY140" i="1"/>
  <c r="X140" i="1" s="1"/>
  <c r="CZ147" i="1"/>
  <c r="Y147" i="1" s="1"/>
  <c r="CY147" i="1"/>
  <c r="X147" i="1" s="1"/>
  <c r="S144" i="1"/>
  <c r="BB22" i="1"/>
  <c r="BB189" i="1"/>
  <c r="F170" i="1"/>
  <c r="CY120" i="1"/>
  <c r="X120" i="1" s="1"/>
  <c r="Q146" i="1"/>
  <c r="CP147" i="1"/>
  <c r="O147" i="1" s="1"/>
  <c r="CZ150" i="1"/>
  <c r="Y150" i="1" s="1"/>
  <c r="CY150" i="1"/>
  <c r="X150" i="1" s="1"/>
  <c r="CZ152" i="1"/>
  <c r="Y152" i="1" s="1"/>
  <c r="CY152" i="1"/>
  <c r="X152" i="1" s="1"/>
  <c r="AU22" i="1"/>
  <c r="AU189" i="1"/>
  <c r="F176" i="1"/>
  <c r="EM22" i="1"/>
  <c r="EM189" i="1"/>
  <c r="P176" i="1"/>
  <c r="GM106" i="1"/>
  <c r="GN106" i="1"/>
  <c r="CP140" i="1"/>
  <c r="O140" i="1" s="1"/>
  <c r="Q144" i="1"/>
  <c r="CP150" i="1"/>
  <c r="O150" i="1" s="1"/>
  <c r="S154" i="1"/>
  <c r="AB114" i="1"/>
  <c r="T146" i="1"/>
  <c r="CP151" i="1"/>
  <c r="O151" i="1" s="1"/>
  <c r="GN39" i="1"/>
  <c r="GM39" i="1"/>
  <c r="CP32" i="1"/>
  <c r="O32" i="1" s="1"/>
  <c r="T33" i="1"/>
  <c r="DY157" i="1" s="1"/>
  <c r="GX33" i="1"/>
  <c r="GB157" i="1" s="1"/>
  <c r="R33" i="1"/>
  <c r="CZ33" i="1" s="1"/>
  <c r="Y33" i="1" s="1"/>
  <c r="ED157" i="1" s="1"/>
  <c r="P33" i="1"/>
  <c r="CZ50" i="1"/>
  <c r="Y50" i="1" s="1"/>
  <c r="CY50" i="1"/>
  <c r="X50" i="1" s="1"/>
  <c r="GM34" i="1"/>
  <c r="GN34" i="1"/>
  <c r="GM61" i="1"/>
  <c r="GN61" i="1"/>
  <c r="CP50" i="1"/>
  <c r="O50" i="1" s="1"/>
  <c r="GM53" i="1"/>
  <c r="GN53" i="1"/>
  <c r="CZ79" i="1"/>
  <c r="Y79" i="1" s="1"/>
  <c r="CY79" i="1"/>
  <c r="X79" i="1" s="1"/>
  <c r="GN63" i="1"/>
  <c r="GM73" i="1"/>
  <c r="GN73" i="1"/>
  <c r="GM67" i="1"/>
  <c r="GN67" i="1"/>
  <c r="GM71" i="1"/>
  <c r="GN71" i="1"/>
  <c r="GM77" i="1"/>
  <c r="GN77" i="1"/>
  <c r="CZ86" i="1"/>
  <c r="Y86" i="1" s="1"/>
  <c r="CY86" i="1"/>
  <c r="X86" i="1" s="1"/>
  <c r="CZ102" i="1"/>
  <c r="Y102" i="1" s="1"/>
  <c r="CY102" i="1"/>
  <c r="X102" i="1" s="1"/>
  <c r="CP96" i="1"/>
  <c r="O96" i="1" s="1"/>
  <c r="CP102" i="1"/>
  <c r="O102" i="1" s="1"/>
  <c r="GM89" i="1"/>
  <c r="GN89" i="1"/>
  <c r="CZ108" i="1"/>
  <c r="Y108" i="1" s="1"/>
  <c r="CY108" i="1"/>
  <c r="X108" i="1" s="1"/>
  <c r="CZ121" i="1"/>
  <c r="Y121" i="1" s="1"/>
  <c r="CY121" i="1"/>
  <c r="X121" i="1" s="1"/>
  <c r="GM121" i="1" s="1"/>
  <c r="CZ131" i="1"/>
  <c r="Y131" i="1" s="1"/>
  <c r="CY131" i="1"/>
  <c r="X131" i="1" s="1"/>
  <c r="GO131" i="1" s="1"/>
  <c r="CZ136" i="1"/>
  <c r="Y136" i="1" s="1"/>
  <c r="CY136" i="1"/>
  <c r="X136" i="1" s="1"/>
  <c r="GM136" i="1" s="1"/>
  <c r="CZ141" i="1"/>
  <c r="Y141" i="1" s="1"/>
  <c r="CY141" i="1"/>
  <c r="X141" i="1" s="1"/>
  <c r="CZ148" i="1"/>
  <c r="Y148" i="1" s="1"/>
  <c r="CY148" i="1"/>
  <c r="X148" i="1" s="1"/>
  <c r="V144" i="1"/>
  <c r="AI157" i="1" s="1"/>
  <c r="CY155" i="1"/>
  <c r="X155" i="1" s="1"/>
  <c r="CZ155" i="1"/>
  <c r="Y155" i="1" s="1"/>
  <c r="EH22" i="1"/>
  <c r="P166" i="1"/>
  <c r="V16" i="2" s="1"/>
  <c r="V18" i="2" s="1"/>
  <c r="EH189" i="1"/>
  <c r="GM115" i="1"/>
  <c r="GN115" i="1"/>
  <c r="CP135" i="1"/>
  <c r="O135" i="1" s="1"/>
  <c r="P144" i="1"/>
  <c r="CP144" i="1" s="1"/>
  <c r="O144" i="1" s="1"/>
  <c r="U146" i="1"/>
  <c r="BC22" i="1"/>
  <c r="F173" i="1"/>
  <c r="BC189" i="1"/>
  <c r="EU22" i="1"/>
  <c r="EU189" i="1"/>
  <c r="P173" i="1"/>
  <c r="CP108" i="1"/>
  <c r="O108" i="1" s="1"/>
  <c r="GM112" i="1"/>
  <c r="GN112" i="1"/>
  <c r="U144" i="1"/>
  <c r="AH157" i="1" s="1"/>
  <c r="W154" i="1"/>
  <c r="CP155" i="1"/>
  <c r="O155" i="1" s="1"/>
  <c r="GM116" i="1"/>
  <c r="GN116" i="1"/>
  <c r="GM122" i="1"/>
  <c r="GN122" i="1"/>
  <c r="CP148" i="1"/>
  <c r="O148" i="1" s="1"/>
  <c r="CZ153" i="1"/>
  <c r="Y153" i="1" s="1"/>
  <c r="CY153" i="1"/>
  <c r="X153" i="1" s="1"/>
  <c r="CP25" i="1"/>
  <c r="O25" i="1" s="1"/>
  <c r="DU157" i="1"/>
  <c r="GM31" i="1"/>
  <c r="GN31" i="1"/>
  <c r="GN29" i="1"/>
  <c r="GM29" i="1"/>
  <c r="Q33" i="1"/>
  <c r="DV157" i="1" s="1"/>
  <c r="GN26" i="1"/>
  <c r="GM26" i="1"/>
  <c r="CZ36" i="1"/>
  <c r="Y36" i="1" s="1"/>
  <c r="CY36" i="1"/>
  <c r="X36" i="1" s="1"/>
  <c r="V33" i="1"/>
  <c r="EA157" i="1" s="1"/>
  <c r="GM41" i="1"/>
  <c r="GN41" i="1"/>
  <c r="CZ52" i="1"/>
  <c r="Y52" i="1" s="1"/>
  <c r="CY52" i="1"/>
  <c r="X52" i="1" s="1"/>
  <c r="GM52" i="1" s="1"/>
  <c r="GM35" i="1"/>
  <c r="GN35" i="1"/>
  <c r="GM48" i="1"/>
  <c r="GN48" i="1"/>
  <c r="GM55" i="1"/>
  <c r="GN55" i="1"/>
  <c r="GM45" i="1"/>
  <c r="GN45" i="1"/>
  <c r="GN44" i="1"/>
  <c r="GM49" i="1"/>
  <c r="GN49" i="1"/>
  <c r="GM76" i="1"/>
  <c r="GN76" i="1"/>
  <c r="GM68" i="1"/>
  <c r="GN68" i="1"/>
  <c r="CP78" i="1"/>
  <c r="O78" i="1" s="1"/>
  <c r="CZ92" i="1"/>
  <c r="Y92" i="1" s="1"/>
  <c r="CY92" i="1"/>
  <c r="X92" i="1" s="1"/>
  <c r="GM92" i="1" s="1"/>
  <c r="GM93" i="1"/>
  <c r="GN93" i="1"/>
  <c r="GM97" i="1"/>
  <c r="GN97" i="1"/>
  <c r="GM103" i="1"/>
  <c r="GN103" i="1"/>
  <c r="GM85" i="1"/>
  <c r="GN85" i="1"/>
  <c r="GM90" i="1"/>
  <c r="GN90" i="1"/>
  <c r="GM99" i="1"/>
  <c r="GN99" i="1"/>
  <c r="CZ109" i="1"/>
  <c r="Y109" i="1" s="1"/>
  <c r="CY109" i="1"/>
  <c r="X109" i="1" s="1"/>
  <c r="CP114" i="1"/>
  <c r="O114" i="1" s="1"/>
  <c r="CZ123" i="1"/>
  <c r="Y123" i="1" s="1"/>
  <c r="CY123" i="1"/>
  <c r="X123" i="1" s="1"/>
  <c r="CZ132" i="1"/>
  <c r="Y132" i="1" s="1"/>
  <c r="CY132" i="1"/>
  <c r="X132" i="1" s="1"/>
  <c r="GM132" i="1" s="1"/>
  <c r="CZ137" i="1"/>
  <c r="Y137" i="1" s="1"/>
  <c r="CY137" i="1"/>
  <c r="X137" i="1" s="1"/>
  <c r="GM137" i="1" s="1"/>
  <c r="CZ143" i="1"/>
  <c r="Y143" i="1" s="1"/>
  <c r="CY143" i="1"/>
  <c r="X143" i="1" s="1"/>
  <c r="P146" i="1"/>
  <c r="AP22" i="1"/>
  <c r="AP189" i="1"/>
  <c r="F166" i="1"/>
  <c r="G16" i="2" s="1"/>
  <c r="G18" i="2" s="1"/>
  <c r="ET22" i="1"/>
  <c r="P170" i="1"/>
  <c r="ET189" i="1"/>
  <c r="GM117" i="1"/>
  <c r="GN117" i="1"/>
  <c r="CY130" i="1"/>
  <c r="X130" i="1" s="1"/>
  <c r="CZ130" i="1"/>
  <c r="Y130" i="1" s="1"/>
  <c r="CY138" i="1"/>
  <c r="X138" i="1" s="1"/>
  <c r="CZ138" i="1"/>
  <c r="Y138" i="1" s="1"/>
  <c r="W144" i="1"/>
  <c r="AJ157" i="1" s="1"/>
  <c r="R146" i="1"/>
  <c r="GK146" i="1" s="1"/>
  <c r="CI22" i="1"/>
  <c r="AZ157" i="1"/>
  <c r="GA22" i="1"/>
  <c r="ER157" i="1"/>
  <c r="CP109" i="1"/>
  <c r="O109" i="1" s="1"/>
  <c r="CP113" i="1"/>
  <c r="O113" i="1" s="1"/>
  <c r="CP130" i="1"/>
  <c r="O130" i="1" s="1"/>
  <c r="R144" i="1"/>
  <c r="GK144" i="1" s="1"/>
  <c r="CP154" i="1"/>
  <c r="O154" i="1" s="1"/>
  <c r="CZ151" i="1"/>
  <c r="Y151" i="1" s="1"/>
  <c r="CY151" i="1"/>
  <c r="X151" i="1" s="1"/>
  <c r="V154" i="1"/>
  <c r="GM118" i="1"/>
  <c r="GN118" i="1"/>
  <c r="CP123" i="1"/>
  <c r="O123" i="1" s="1"/>
  <c r="GM142" i="1"/>
  <c r="GN142" i="1"/>
  <c r="V152" i="1"/>
  <c r="T154" i="1"/>
  <c r="EB22" i="1"/>
  <c r="DO157" i="1"/>
  <c r="CP24" i="1"/>
  <c r="O24" i="1" s="1"/>
  <c r="GM28" i="1"/>
  <c r="CY28" i="1"/>
  <c r="X28" i="1" s="1"/>
  <c r="CZ28" i="1"/>
  <c r="Y28" i="1" s="1"/>
  <c r="AF157" i="1"/>
  <c r="GN30" i="1"/>
  <c r="GM30" i="1"/>
  <c r="U33" i="1"/>
  <c r="DZ157" i="1" s="1"/>
  <c r="GN27" i="1"/>
  <c r="GM27" i="1"/>
  <c r="CP36" i="1"/>
  <c r="O36" i="1" s="1"/>
  <c r="AD157" i="1"/>
  <c r="CZ56" i="1"/>
  <c r="Y56" i="1" s="1"/>
  <c r="CY56" i="1"/>
  <c r="X56" i="1" s="1"/>
  <c r="CP56" i="1"/>
  <c r="O56" i="1" s="1"/>
  <c r="GM51" i="1"/>
  <c r="GN51" i="1"/>
  <c r="GM58" i="1"/>
  <c r="GN58" i="1"/>
  <c r="GM81" i="1"/>
  <c r="GN81" i="1"/>
  <c r="CZ83" i="1"/>
  <c r="Y83" i="1" s="1"/>
  <c r="CY83" i="1"/>
  <c r="X83" i="1" s="1"/>
  <c r="CP83" i="1"/>
  <c r="O83" i="1" s="1"/>
  <c r="GM69" i="1"/>
  <c r="GN69" i="1"/>
  <c r="CP79" i="1"/>
  <c r="O79" i="1" s="1"/>
  <c r="CZ94" i="1"/>
  <c r="Y94" i="1" s="1"/>
  <c r="CY94" i="1"/>
  <c r="X94" i="1" s="1"/>
  <c r="GM84" i="1"/>
  <c r="GN84" i="1"/>
  <c r="CP94" i="1"/>
  <c r="O94" i="1" s="1"/>
  <c r="GM98" i="1"/>
  <c r="GN98" i="1"/>
  <c r="CP86" i="1"/>
  <c r="O86" i="1" s="1"/>
  <c r="GM91" i="1"/>
  <c r="GN91" i="1"/>
  <c r="GM101" i="1"/>
  <c r="GN101" i="1"/>
  <c r="CZ111" i="1"/>
  <c r="Y111" i="1" s="1"/>
  <c r="CY111" i="1"/>
  <c r="X111" i="1" s="1"/>
  <c r="GM111" i="1" s="1"/>
  <c r="CZ128" i="1"/>
  <c r="Y128" i="1" s="1"/>
  <c r="CY128" i="1"/>
  <c r="X128" i="1" s="1"/>
  <c r="GM128" i="1" s="1"/>
  <c r="CZ133" i="1"/>
  <c r="Y133" i="1" s="1"/>
  <c r="CY133" i="1"/>
  <c r="X133" i="1" s="1"/>
  <c r="GM133" i="1" s="1"/>
  <c r="CZ139" i="1"/>
  <c r="Y139" i="1" s="1"/>
  <c r="CY139" i="1"/>
  <c r="X139" i="1" s="1"/>
  <c r="GM139" i="1" s="1"/>
  <c r="CZ145" i="1"/>
  <c r="Y145" i="1" s="1"/>
  <c r="CY145" i="1"/>
  <c r="X145" i="1" s="1"/>
  <c r="CP107" i="1"/>
  <c r="O107" i="1" s="1"/>
  <c r="CP141" i="1"/>
  <c r="O141" i="1" s="1"/>
  <c r="V146" i="1"/>
  <c r="GM153" i="1"/>
  <c r="GN153" i="1"/>
  <c r="AX22" i="1"/>
  <c r="AX189" i="1"/>
  <c r="F164" i="1"/>
  <c r="CZ120" i="1"/>
  <c r="Y120" i="1" s="1"/>
  <c r="GM120" i="1" s="1"/>
  <c r="CP145" i="1"/>
  <c r="O145" i="1" s="1"/>
  <c r="W146" i="1"/>
  <c r="EI22" i="1"/>
  <c r="P167" i="1"/>
  <c r="EI189" i="1"/>
  <c r="EG18" i="1"/>
  <c r="P193" i="1"/>
  <c r="GM110" i="1"/>
  <c r="GN110" i="1"/>
  <c r="CP138" i="1"/>
  <c r="O138" i="1" s="1"/>
  <c r="CP143" i="1"/>
  <c r="O143" i="1" s="1"/>
  <c r="S146" i="1"/>
  <c r="CP152" i="1"/>
  <c r="O152" i="1" s="1"/>
  <c r="FY22" i="1"/>
  <c r="EP157" i="1"/>
  <c r="GM119" i="1"/>
  <c r="GN119" i="1"/>
  <c r="CP129" i="1"/>
  <c r="O129" i="1" s="1"/>
  <c r="GM134" i="1"/>
  <c r="GN134" i="1"/>
  <c r="T144" i="1"/>
  <c r="AG157" i="1" s="1"/>
  <c r="CZ149" i="1"/>
  <c r="Y149" i="1" s="1"/>
  <c r="CY149" i="1"/>
  <c r="X149" i="1" s="1"/>
  <c r="GM149" i="1" s="1"/>
  <c r="GX152" i="1"/>
  <c r="CJ157" i="1" s="1"/>
  <c r="AO22" i="1"/>
  <c r="F161" i="1"/>
  <c r="AO189" i="1"/>
  <c r="T152" i="1"/>
  <c r="AG22" i="1" l="1"/>
  <c r="T157" i="1"/>
  <c r="AH22" i="1"/>
  <c r="U157" i="1"/>
  <c r="AI22" i="1"/>
  <c r="V157" i="1"/>
  <c r="AJ22" i="1"/>
  <c r="W157" i="1"/>
  <c r="CJ22" i="1"/>
  <c r="BA157" i="1"/>
  <c r="ED22" i="1"/>
  <c r="DQ157" i="1"/>
  <c r="EI18" i="1"/>
  <c r="P199" i="1"/>
  <c r="GM86" i="1"/>
  <c r="GN86" i="1"/>
  <c r="GM129" i="1"/>
  <c r="GO129" i="1"/>
  <c r="FU157" i="1" s="1"/>
  <c r="GM152" i="1"/>
  <c r="GN152" i="1"/>
  <c r="GN120" i="1"/>
  <c r="GN24" i="1"/>
  <c r="GM24" i="1"/>
  <c r="AB157" i="1"/>
  <c r="GM113" i="1"/>
  <c r="GN113" i="1"/>
  <c r="AZ22" i="1"/>
  <c r="AZ189" i="1"/>
  <c r="F168" i="1"/>
  <c r="GN149" i="1"/>
  <c r="GM78" i="1"/>
  <c r="GN78" i="1"/>
  <c r="EA22" i="1"/>
  <c r="DN157" i="1"/>
  <c r="GN25" i="1"/>
  <c r="GM25" i="1"/>
  <c r="GM148" i="1"/>
  <c r="GN148" i="1"/>
  <c r="EU18" i="1"/>
  <c r="P205" i="1"/>
  <c r="GB22" i="1"/>
  <c r="ES157" i="1"/>
  <c r="CZ154" i="1"/>
  <c r="Y154" i="1" s="1"/>
  <c r="GN154" i="1" s="1"/>
  <c r="CY154" i="1"/>
  <c r="X154" i="1" s="1"/>
  <c r="GM147" i="1"/>
  <c r="GN147" i="1"/>
  <c r="AE157" i="1"/>
  <c r="GM131" i="1"/>
  <c r="CY33" i="1"/>
  <c r="X33" i="1" s="1"/>
  <c r="EC157" i="1" s="1"/>
  <c r="GN139" i="1"/>
  <c r="GO128" i="1"/>
  <c r="CC157" i="1" s="1"/>
  <c r="GN92" i="1"/>
  <c r="GN132" i="1"/>
  <c r="EP22" i="1"/>
  <c r="EP189" i="1"/>
  <c r="P164" i="1"/>
  <c r="GM145" i="1"/>
  <c r="GN145" i="1"/>
  <c r="GM56" i="1"/>
  <c r="GN56" i="1"/>
  <c r="GM138" i="1"/>
  <c r="GN138" i="1"/>
  <c r="CY146" i="1"/>
  <c r="X146" i="1" s="1"/>
  <c r="CZ146" i="1"/>
  <c r="Y146" i="1" s="1"/>
  <c r="AX18" i="1"/>
  <c r="F196" i="1"/>
  <c r="GM94" i="1"/>
  <c r="GN94" i="1"/>
  <c r="GM83" i="1"/>
  <c r="GN83" i="1"/>
  <c r="GN28" i="1"/>
  <c r="DO22" i="1"/>
  <c r="P181" i="1"/>
  <c r="DO189" i="1"/>
  <c r="GM154" i="1"/>
  <c r="GM109" i="1"/>
  <c r="GN109" i="1"/>
  <c r="GM155" i="1"/>
  <c r="GN155" i="1"/>
  <c r="GM50" i="1"/>
  <c r="GN50" i="1"/>
  <c r="CP33" i="1"/>
  <c r="O33" i="1" s="1"/>
  <c r="DY22" i="1"/>
  <c r="DL157" i="1"/>
  <c r="GM151" i="1"/>
  <c r="GN151" i="1"/>
  <c r="GM150" i="1"/>
  <c r="GN150" i="1"/>
  <c r="BB18" i="1"/>
  <c r="F202" i="1"/>
  <c r="GN136" i="1"/>
  <c r="GN121" i="1"/>
  <c r="AD22" i="1"/>
  <c r="Q157" i="1"/>
  <c r="AF22" i="1"/>
  <c r="S157" i="1"/>
  <c r="ER22" i="1"/>
  <c r="P168" i="1"/>
  <c r="ER189" i="1"/>
  <c r="ET18" i="1"/>
  <c r="P202" i="1"/>
  <c r="AP18" i="1"/>
  <c r="F198" i="1"/>
  <c r="CP146" i="1"/>
  <c r="O146" i="1" s="1"/>
  <c r="DV22" i="1"/>
  <c r="DI157" i="1"/>
  <c r="GM108" i="1"/>
  <c r="GN108" i="1"/>
  <c r="BC18" i="1"/>
  <c r="F205" i="1"/>
  <c r="EH18" i="1"/>
  <c r="P198" i="1"/>
  <c r="GM102" i="1"/>
  <c r="GN102" i="1"/>
  <c r="GM32" i="1"/>
  <c r="GN32" i="1"/>
  <c r="AU18" i="1"/>
  <c r="F208" i="1"/>
  <c r="GN52" i="1"/>
  <c r="GN133" i="1"/>
  <c r="GN111" i="1"/>
  <c r="GN137" i="1"/>
  <c r="AO18" i="1"/>
  <c r="F193" i="1"/>
  <c r="GM143" i="1"/>
  <c r="GN143" i="1"/>
  <c r="GM141" i="1"/>
  <c r="GN141" i="1"/>
  <c r="GM79" i="1"/>
  <c r="GN79" i="1"/>
  <c r="GM107" i="1"/>
  <c r="GN107" i="1"/>
  <c r="GM36" i="1"/>
  <c r="GN36" i="1"/>
  <c r="DZ22" i="1"/>
  <c r="DM157" i="1"/>
  <c r="AC157" i="1"/>
  <c r="GM123" i="1"/>
  <c r="GN123" i="1"/>
  <c r="GO130" i="1"/>
  <c r="GM130" i="1"/>
  <c r="GN114" i="1"/>
  <c r="GM114" i="1"/>
  <c r="DU22" i="1"/>
  <c r="FW157" i="1"/>
  <c r="FZ157" i="1"/>
  <c r="DH157" i="1"/>
  <c r="FX157" i="1"/>
  <c r="GM135" i="1"/>
  <c r="GN135" i="1"/>
  <c r="GM96" i="1"/>
  <c r="GN96" i="1"/>
  <c r="GK33" i="1"/>
  <c r="DW157" i="1"/>
  <c r="GM140" i="1"/>
  <c r="GN140" i="1"/>
  <c r="EM18" i="1"/>
  <c r="P208" i="1"/>
  <c r="CY144" i="1"/>
  <c r="X144" i="1" s="1"/>
  <c r="GN144" i="1" s="1"/>
  <c r="CZ144" i="1"/>
  <c r="Y144" i="1" s="1"/>
  <c r="AL157" i="1" s="1"/>
  <c r="DX22" i="1"/>
  <c r="DK157" i="1"/>
  <c r="AL22" i="1" l="1"/>
  <c r="Y157" i="1"/>
  <c r="DW22" i="1"/>
  <c r="DJ157" i="1"/>
  <c r="FZ22" i="1"/>
  <c r="EQ157" i="1"/>
  <c r="GM33" i="1"/>
  <c r="GN33" i="1"/>
  <c r="FX22" i="1"/>
  <c r="EO157" i="1"/>
  <c r="GM144" i="1"/>
  <c r="ER18" i="1"/>
  <c r="P200" i="1"/>
  <c r="DL22" i="1"/>
  <c r="DL189" i="1"/>
  <c r="P178" i="1"/>
  <c r="EC22" i="1"/>
  <c r="DP157" i="1"/>
  <c r="DN22" i="1"/>
  <c r="DN189" i="1"/>
  <c r="P180" i="1"/>
  <c r="FU22" i="1"/>
  <c r="EL157" i="1"/>
  <c r="BA22" i="1"/>
  <c r="F177" i="1"/>
  <c r="H16" i="2" s="1"/>
  <c r="H18" i="2" s="1"/>
  <c r="BA189" i="1"/>
  <c r="DM22" i="1"/>
  <c r="DM189" i="1"/>
  <c r="P179" i="1"/>
  <c r="DH22" i="1"/>
  <c r="DH189" i="1"/>
  <c r="P160" i="1"/>
  <c r="DI22" i="1"/>
  <c r="P169" i="1"/>
  <c r="DI189" i="1"/>
  <c r="Q22" i="1"/>
  <c r="F169" i="1"/>
  <c r="Q189" i="1"/>
  <c r="DT157" i="1"/>
  <c r="V22" i="1"/>
  <c r="F180" i="1"/>
  <c r="V189" i="1"/>
  <c r="AK157" i="1"/>
  <c r="CC22" i="1"/>
  <c r="AT157" i="1"/>
  <c r="AE22" i="1"/>
  <c r="R157" i="1"/>
  <c r="FS157" i="1"/>
  <c r="AZ18" i="1"/>
  <c r="F200" i="1"/>
  <c r="AB22" i="1"/>
  <c r="O157" i="1"/>
  <c r="DQ22" i="1"/>
  <c r="P183" i="1"/>
  <c r="DQ189" i="1"/>
  <c r="T22" i="1"/>
  <c r="T189" i="1"/>
  <c r="F178" i="1"/>
  <c r="DK22" i="1"/>
  <c r="DK189" i="1"/>
  <c r="P172" i="1"/>
  <c r="Y16" i="2" s="1"/>
  <c r="Y18" i="2" s="1"/>
  <c r="EP18" i="1"/>
  <c r="P196" i="1"/>
  <c r="FW22" i="1"/>
  <c r="EN157" i="1"/>
  <c r="AC22" i="1"/>
  <c r="CH157" i="1"/>
  <c r="CE157" i="1"/>
  <c r="P157" i="1"/>
  <c r="CF157" i="1"/>
  <c r="GM146" i="1"/>
  <c r="CA157" i="1" s="1"/>
  <c r="GN146" i="1"/>
  <c r="CB157" i="1" s="1"/>
  <c r="S22" i="1"/>
  <c r="S189" i="1"/>
  <c r="F172" i="1"/>
  <c r="J16" i="2" s="1"/>
  <c r="J18" i="2" s="1"/>
  <c r="DO18" i="1"/>
  <c r="P213" i="1"/>
  <c r="ES22" i="1"/>
  <c r="ES189" i="1"/>
  <c r="P177" i="1"/>
  <c r="W16" i="2" s="1"/>
  <c r="W18" i="2" s="1"/>
  <c r="FT157" i="1"/>
  <c r="W22" i="1"/>
  <c r="F181" i="1"/>
  <c r="W189" i="1"/>
  <c r="U22" i="1"/>
  <c r="F179" i="1"/>
  <c r="U189" i="1"/>
  <c r="CB22" i="1" l="1"/>
  <c r="AS157" i="1"/>
  <c r="CA22" i="1"/>
  <c r="AR157" i="1"/>
  <c r="AK22" i="1"/>
  <c r="X157" i="1"/>
  <c r="DT22" i="1"/>
  <c r="DG157" i="1"/>
  <c r="DI18" i="1"/>
  <c r="P201" i="1"/>
  <c r="DH18" i="1"/>
  <c r="P192" i="1"/>
  <c r="EL22" i="1"/>
  <c r="P175" i="1"/>
  <c r="U16" i="2" s="1"/>
  <c r="U18" i="2" s="1"/>
  <c r="EL189" i="1"/>
  <c r="DN18" i="1"/>
  <c r="P212" i="1"/>
  <c r="DJ22" i="1"/>
  <c r="DJ189" i="1"/>
  <c r="P171" i="1"/>
  <c r="CH22" i="1"/>
  <c r="AY157" i="1"/>
  <c r="DQ18" i="1"/>
  <c r="P215" i="1"/>
  <c r="R22" i="1"/>
  <c r="F171" i="1"/>
  <c r="R189" i="1"/>
  <c r="S18" i="1"/>
  <c r="F204" i="1"/>
  <c r="CF22" i="1"/>
  <c r="AW157" i="1"/>
  <c r="V18" i="1"/>
  <c r="F212" i="1"/>
  <c r="Q18" i="1"/>
  <c r="F201" i="1"/>
  <c r="BA18" i="1"/>
  <c r="F209" i="1"/>
  <c r="DL18" i="1"/>
  <c r="P210" i="1"/>
  <c r="ES18" i="1"/>
  <c r="P209" i="1"/>
  <c r="W18" i="1"/>
  <c r="F213" i="1"/>
  <c r="P22" i="1"/>
  <c r="P189" i="1"/>
  <c r="F160" i="1"/>
  <c r="T18" i="1"/>
  <c r="F210" i="1"/>
  <c r="AT22" i="1"/>
  <c r="F175" i="1"/>
  <c r="F16" i="2" s="1"/>
  <c r="F18" i="2" s="1"/>
  <c r="AT189" i="1"/>
  <c r="DP22" i="1"/>
  <c r="DP189" i="1"/>
  <c r="P182" i="1"/>
  <c r="EO22" i="1"/>
  <c r="EO189" i="1"/>
  <c r="P163" i="1"/>
  <c r="EQ22" i="1"/>
  <c r="P165" i="1"/>
  <c r="EQ189" i="1"/>
  <c r="Y22" i="1"/>
  <c r="F183" i="1"/>
  <c r="Y189" i="1"/>
  <c r="FT22" i="1"/>
  <c r="EK157" i="1"/>
  <c r="EN22" i="1"/>
  <c r="P162" i="1"/>
  <c r="EN189" i="1"/>
  <c r="U18" i="1"/>
  <c r="F211" i="1"/>
  <c r="CE22" i="1"/>
  <c r="AV157" i="1"/>
  <c r="DK18" i="1"/>
  <c r="P204" i="1"/>
  <c r="O22" i="1"/>
  <c r="F159" i="1"/>
  <c r="O189" i="1"/>
  <c r="FS22" i="1"/>
  <c r="EJ157" i="1"/>
  <c r="DM18" i="1"/>
  <c r="P211" i="1"/>
  <c r="EN18" i="1" l="1"/>
  <c r="P194" i="1"/>
  <c r="EQ18" i="1"/>
  <c r="P197" i="1"/>
  <c r="EO18" i="1"/>
  <c r="P195" i="1"/>
  <c r="DG22" i="1"/>
  <c r="P159" i="1"/>
  <c r="DG189" i="1"/>
  <c r="AR22" i="1"/>
  <c r="AR189" i="1"/>
  <c r="F184" i="1"/>
  <c r="F185" i="1" s="1"/>
  <c r="Y18" i="1"/>
  <c r="F215" i="1"/>
  <c r="AT18" i="1"/>
  <c r="F207" i="1"/>
  <c r="AW22" i="1"/>
  <c r="F163" i="1"/>
  <c r="AW189" i="1"/>
  <c r="R18" i="1"/>
  <c r="F203" i="1"/>
  <c r="DJ18" i="1"/>
  <c r="P203" i="1"/>
  <c r="EL18" i="1"/>
  <c r="P207" i="1"/>
  <c r="AV22" i="1"/>
  <c r="AV189" i="1"/>
  <c r="F162" i="1"/>
  <c r="AY22" i="1"/>
  <c r="F165" i="1"/>
  <c r="AY189" i="1"/>
  <c r="X22" i="1"/>
  <c r="X189" i="1"/>
  <c r="F182" i="1"/>
  <c r="AS22" i="1"/>
  <c r="F174" i="1"/>
  <c r="E16" i="2" s="1"/>
  <c r="AS189" i="1"/>
  <c r="EJ22" i="1"/>
  <c r="EJ189" i="1"/>
  <c r="P184" i="1"/>
  <c r="P185" i="1" s="1"/>
  <c r="O18" i="1"/>
  <c r="F191" i="1"/>
  <c r="EK22" i="1"/>
  <c r="P174" i="1"/>
  <c r="T16" i="2" s="1"/>
  <c r="EK189" i="1"/>
  <c r="DP18" i="1"/>
  <c r="P214" i="1"/>
  <c r="P18" i="1"/>
  <c r="F192" i="1"/>
  <c r="I16" i="2" l="1"/>
  <c r="I18" i="2" s="1"/>
  <c r="E18" i="2"/>
  <c r="F186" i="1"/>
  <c r="F187" i="1" s="1"/>
  <c r="X16" i="2"/>
  <c r="X18" i="2" s="1"/>
  <c r="T18" i="2"/>
  <c r="EJ18" i="1"/>
  <c r="P216" i="1"/>
  <c r="P217" i="1" s="1"/>
  <c r="AY18" i="1"/>
  <c r="F197" i="1"/>
  <c r="AV18" i="1"/>
  <c r="F194" i="1"/>
  <c r="AW18" i="1"/>
  <c r="F195" i="1"/>
  <c r="AR18" i="1"/>
  <c r="F216" i="1"/>
  <c r="F217" i="1" s="1"/>
  <c r="P186" i="1"/>
  <c r="P187" i="1" s="1"/>
  <c r="EK18" i="1"/>
  <c r="P206" i="1"/>
  <c r="AS18" i="1"/>
  <c r="F206" i="1"/>
  <c r="X18" i="1"/>
  <c r="F214" i="1"/>
  <c r="DG18" i="1"/>
  <c r="P191" i="1"/>
  <c r="F219" i="1" l="1"/>
  <c r="F218" i="1"/>
  <c r="P218" i="1"/>
  <c r="P219" i="1" s="1"/>
</calcChain>
</file>

<file path=xl/sharedStrings.xml><?xml version="1.0" encoding="utf-8"?>
<sst xmlns="http://schemas.openxmlformats.org/spreadsheetml/2006/main" count="11837" uniqueCount="862">
  <si>
    <t>Smeta.RU  (495) 974-1589</t>
  </si>
  <si>
    <t>_PS_</t>
  </si>
  <si>
    <t>Smeta.RU</t>
  </si>
  <si>
    <t>НИЯУ МИФИ  Доп. раб. место  MCCS-0016187</t>
  </si>
  <si>
    <t>Новый объект</t>
  </si>
  <si>
    <t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</si>
  <si>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</si>
  <si>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</si>
  <si>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</si>
  <si>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</si>
  <si>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</si>
  <si>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</si>
  <si>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</si>
  <si>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</si>
  <si>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</si>
  <si>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</si>
  <si>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</si>
  <si>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</si>
  <si>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</si>
  <si>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</si>
  <si>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</si>
  <si>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</si>
  <si>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</si>
  <si>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</si>
  <si>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</si>
  <si>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</si>
  <si>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</si>
  <si>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</si>
  <si>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</si>
  <si>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</si>
  <si>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</si>
  <si>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</si>
  <si>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</si>
  <si>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11.3.02.01-0019</t>
  </si>
  <si>
    <t>Блок оконный пластиковый двустворчатый, с глухой и поворотно-откидной створкой, двухкамерным стеклопакетом (42 мм), площадью до 3,5 м2</t>
  </si>
  <si>
    <t>м2</t>
  </si>
  <si>
    <t>ФССЦ-2001, 11.3.02.01-0019, приказ Минстроя России №1039/пр от 30.12.2016г.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</si>
  <si>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</si>
  <si>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</si>
  <si>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</si>
  <si>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</si>
  <si>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</si>
  <si>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</si>
  <si>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11.3.03.01-0004</t>
  </si>
  <si>
    <t>Доски подоконные ПВХ, шириной 250 мм</t>
  </si>
  <si>
    <t>м</t>
  </si>
  <si>
    <t>ФССЦ-2001, 11.3.03.01-0004, приказ Минстроя России №1039/пр от 30.12.2016г.</t>
  </si>
  <si>
    <t>4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</si>
  <si>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</si>
  <si>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</si>
  <si>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</si>
  <si>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</si>
  <si>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</si>
  <si>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4,1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</si>
  <si>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</si>
  <si>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</si>
  <si>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</si>
  <si>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4,2</t>
  </si>
  <si>
    <t>14.1.02.04-0102</t>
  </si>
  <si>
    <t>Клей Forbo 522, для укладки ПВХ-покрытий</t>
  </si>
  <si>
    <t>кг</t>
  </si>
  <si>
    <t>ФССЦ-2001, 14.1.02.04-0102, приказ Минстроя России №1039/пр от 30.12.2016г.</t>
  </si>
  <si>
    <t>4,3</t>
  </si>
  <si>
    <t>14.3.01.02-0102</t>
  </si>
  <si>
    <t>Грунтовка: водно-дисперсионная "БИРСС Бетон-контакт"</t>
  </si>
  <si>
    <t>т</t>
  </si>
  <si>
    <t>ФССЦ-2001, 14.3.01.02-0102, приказ Минстроя России №1039/пр от 30.12.2016г.</t>
  </si>
  <si>
    <t>5</t>
  </si>
  <si>
    <t>10-01-036-01</t>
  </si>
  <si>
    <t>Установка уголков ПВХ на клее</t>
  </si>
  <si>
    <t>ФЕР-2001, 10-01-036-01, приказ Минстроя России №1039/пр от 30.12.2016г.</t>
  </si>
  <si>
    <t>5,1</t>
  </si>
  <si>
    <t>11.3.03.13-0045</t>
  </si>
  <si>
    <t>Уголок ПВХ, размером 30х30 мм</t>
  </si>
  <si>
    <t>10 м</t>
  </si>
  <si>
    <t>ФССЦ-2001, 11.3.03.13-0045, приказ Минстроя России №1039/пр от 30.12.2016г.</t>
  </si>
  <si>
    <t>6</t>
  </si>
  <si>
    <t>09-06-001-02</t>
  </si>
  <si>
    <t>Демонтаж лотков, решеток, затворов из полосовой и тонколистовой стали</t>
  </si>
  <si>
    <t>ФЕР-2001, 09-06-001-02,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</si>
  <si>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</si>
  <si>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</si>
  <si>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</si>
  <si>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</si>
  <si>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</si>
  <si>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</si>
  <si>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7</t>
  </si>
  <si>
    <t>58-20-1</t>
  </si>
  <si>
    <t>Смена обделок из листовой стали (поясков, сандриков, отливов, карнизов) шириной до 0,4 м</t>
  </si>
  <si>
    <t>ФЕРр-2001,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</si>
  <si>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</si>
  <si>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</si>
  <si>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</si>
  <si>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7,1</t>
  </si>
  <si>
    <t>08.3.05.05</t>
  </si>
  <si>
    <t>Сталь листовая оцинкованная</t>
  </si>
  <si>
    <t>7,2</t>
  </si>
  <si>
    <t>08.1.02.03-0021</t>
  </si>
  <si>
    <t>Водоотлив оконный шириной планки 200 мм из оцинкованной стали с полимерным покрытием прим.</t>
  </si>
  <si>
    <t>П.М</t>
  </si>
  <si>
    <t>ФССЦ-2001, 08.1.02.03-0021, приказ Минстроя России №1039/пр от 30.12.2016г.</t>
  </si>
  <si>
    <t>8</t>
  </si>
  <si>
    <t>63-14-2</t>
  </si>
  <si>
    <t>Замена элементов облицовки потолков: реечных без замены каркаса (плит "Аrmstrong") прим.</t>
  </si>
  <si>
    <t>ФЕРр-2001, 63-14-2, приказ Минстроя России №886/пр от 15.06.2017</t>
  </si>
  <si>
    <t>Стекольные, обойные, облицовочные работы</t>
  </si>
  <si>
    <t>рФЕР-63</t>
  </si>
  <si>
    <t>8,1</t>
  </si>
  <si>
    <t>09.2.02.02-0011</t>
  </si>
  <si>
    <t>Рейка алюминиевая потолочная 100 мм</t>
  </si>
  <si>
    <t>ФССЦ-2001, 09.2.02.02-0011, приказ Минстроя России №1039/пр от 30.12.2016г.</t>
  </si>
  <si>
    <t>8,2</t>
  </si>
  <si>
    <t>01.6.04.02-0004</t>
  </si>
  <si>
    <t>Панели потолочные декоративные, тип ARMSTRONG OASIS</t>
  </si>
  <si>
    <t>ФССЦ-2001, 01.6.04.02-0004, приказ Минстроя России №1039/пр от 30.12.2016г.</t>
  </si>
  <si>
    <t>9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</si>
  <si>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</si>
  <si>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</si>
  <si>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</si>
  <si>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Полы</t>
  </si>
  <si>
    <t>рФЕР-57</t>
  </si>
  <si>
    <t>10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</si>
  <si>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</si>
  <si>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</si>
  <si>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</si>
  <si>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11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</si>
  <si>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</si>
  <si>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</si>
  <si>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</si>
  <si>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ФЕР-11</t>
  </si>
  <si>
    <t>11,1</t>
  </si>
  <si>
    <t>04.3.01.09-0015</t>
  </si>
  <si>
    <t>Раствор готовый кладочный цементный марки 150</t>
  </si>
  <si>
    <t>м3</t>
  </si>
  <si>
    <t>ФССЦ-2001, 04.3.01.09-0015, приказ Минстроя России №1039/пр от 30.12.2016г.</t>
  </si>
  <si>
    <t>12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</si>
  <si>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</si>
  <si>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</si>
  <si>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</si>
  <si>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13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</si>
  <si>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</si>
  <si>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</si>
  <si>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</si>
  <si>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13,1</t>
  </si>
  <si>
    <t>14.4.01.02-0113</t>
  </si>
  <si>
    <t>Грунтовка акриловая НОРТЕКС-ГРУНТ</t>
  </si>
  <si>
    <t>ФССЦ-2001, 14.4.01.02-0113, приказ Минстроя России №1039/пр от 30.12.2016г.</t>
  </si>
  <si>
    <t>13,2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</si>
  <si>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</si>
  <si>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</si>
  <si>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</si>
  <si>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13,3</t>
  </si>
  <si>
    <t>06.2.05.03-0047</t>
  </si>
  <si>
    <t>Плитки керамогранитные размером 300х300х8 мм</t>
  </si>
  <si>
    <t>ФССЦ-2001, 06.2.05.03-0047, приказ Минстроя России №1039/пр от 30.12.2016г.</t>
  </si>
  <si>
    <t>14</t>
  </si>
  <si>
    <t>63-5-1</t>
  </si>
  <si>
    <t>Снятие обоев простых и улучшенных</t>
  </si>
  <si>
    <t>ФЕРр-2001, 63-5-1, приказ Минстроя России №1039/пр от 30.12.2016г.</t>
  </si>
  <si>
    <t>15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</si>
  <si>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</si>
  <si>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</si>
  <si>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</si>
  <si>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15,1</t>
  </si>
  <si>
    <t>14.4.01.04-0001</t>
  </si>
  <si>
    <t>Грунтовка для внутренних работ ВАК-01-У</t>
  </si>
  <si>
    <t>ФССЦ-2001, 14.4.01.04-0001, приказ Минстроя России №1039/пр от 30.12.2016г.</t>
  </si>
  <si>
    <t>16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</si>
  <si>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</si>
  <si>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</si>
  <si>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ФЕРр-2001, 62-16-4, приказ Минстроя России №1039/пр от 30.12.2016г.</t>
  </si>
  <si>
    <t>Малярные работы</t>
  </si>
  <si>
    <t>рФЕР-62</t>
  </si>
  <si>
    <t>16,1</t>
  </si>
  <si>
    <t>14.3.02.01-0015</t>
  </si>
  <si>
    <t>Краска акриловая  водно-дисперсионная ВД Ореол</t>
  </si>
  <si>
    <t>ФССЦ-2001, 14.3.02.01-0015, приказ Минстроя России №1039/пр от 30.12.2016г.</t>
  </si>
  <si>
    <t>17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</si>
  <si>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</si>
  <si>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</si>
  <si>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</si>
  <si>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18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</si>
  <si>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</si>
  <si>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</si>
  <si>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</si>
  <si>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18,1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</si>
  <si>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</si>
  <si>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</si>
  <si>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</si>
  <si>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18,2</t>
  </si>
  <si>
    <t>06.2.01.02-0030</t>
  </si>
  <si>
    <t>Плитки керамические глазурованные для внутренней облицовки стен многоцветные, "Итало-дизайн" (коллекция "Палермо"-эконом класс), размер 300х200х7 мм</t>
  </si>
  <si>
    <t>ФССЦ-2001, 06.2.01.02-0030, приказ Минстроя России №1039/пр от 30.12.2016г.</t>
  </si>
  <si>
    <t>18,3</t>
  </si>
  <si>
    <t>14.1.06.02-0002</t>
  </si>
  <si>
    <t>Клей для плитки "Атлас Плюс" (сухая смесь)</t>
  </si>
  <si>
    <t>ФССЦ-2001, 14.1.06.02-0002, приказ Минстроя России №1039/пр от 30.12.2016г.</t>
  </si>
  <si>
    <t>19</t>
  </si>
  <si>
    <t>61-2-3</t>
  </si>
  <si>
    <t>Ремонт штукатурки внутренних стен по камню известковым раствором площадью отдельных мест до 10 м2 толщиной слоя до 20 мм</t>
  </si>
  <si>
    <t>ФЕРр-2001, 61-2-3, приказ Минстроя России №1039/пр от 30.12.2016г.</t>
  </si>
  <si>
    <t>Штукатрурные работы</t>
  </si>
  <si>
    <t>рФЕР-61</t>
  </si>
  <si>
    <t>20</t>
  </si>
  <si>
    <t>62-33-2</t>
  </si>
  <si>
    <t>Окраска масляными составами ранее окрашенных поверхностей радиаторов и ребристых труб отопления за 2 раза</t>
  </si>
  <si>
    <t>ФЕРр-2001, 62-33-2, приказ Минстроя России №1039/пр от 30.12.2016г.</t>
  </si>
  <si>
    <t>20,1</t>
  </si>
  <si>
    <t>14.4.02.04-0152</t>
  </si>
  <si>
    <t>Краски масляные и алкидные белила густотертые литопонные МА-025</t>
  </si>
  <si>
    <t>ФССЦ-2001, 14.4.02.04-0152, приказ Минстроя России №1039/пр от 30.12.2016г.</t>
  </si>
  <si>
    <t>21</t>
  </si>
  <si>
    <t>55-5-1</t>
  </si>
  <si>
    <t>Разборка кирпичных перегородок на отдельные кирпичи</t>
  </si>
  <si>
    <t>ФЕРр-2001, 55-5-1, приказ Минстроя России №1039/пр от 30.12.2016г.</t>
  </si>
  <si>
    <t>Перегородки</t>
  </si>
  <si>
    <t>рФЕР-55</t>
  </si>
  <si>
    <t>21,1</t>
  </si>
  <si>
    <t>01.7.07.07</t>
  </si>
  <si>
    <t>Строительный мусор и масса возвратных материалов</t>
  </si>
  <si>
    <t>22</t>
  </si>
  <si>
    <t>10-04-014-01</t>
  </si>
  <si>
    <t>Устройство сантехнических перегородок (стандартные туалетные кабины) на каркасе из алюминиевого профиля</t>
  </si>
  <si>
    <t>ФЕР-2001, 10-04-014-01, приказ Минстроя России №886/пр от 15.06.2017</t>
  </si>
  <si>
    <t>22,1</t>
  </si>
  <si>
    <t>11.2.02.09-0002</t>
  </si>
  <si>
    <t>Полотна для блоков дверных внутренних, полотно глухое высотой 2000 мм ПВГ 20-6, площадь 1,2 м2</t>
  </si>
  <si>
    <t>ФССЦ-2001, 11.2.02.09-0002, приказ Минстроя России №1039/пр от 30.12.2016г.</t>
  </si>
  <si>
    <t>22,2</t>
  </si>
  <si>
    <t>01.7.04.11-0021</t>
  </si>
  <si>
    <t>Приборы дверные в перегородках санузлов</t>
  </si>
  <si>
    <t>компл.</t>
  </si>
  <si>
    <t>ФССЦ-2001, 01.7.04.11-0021, приказ Минстроя России №1039/пр от 30.12.2016г.</t>
  </si>
  <si>
    <t>23</t>
  </si>
  <si>
    <t>06-01-015-01</t>
  </si>
  <si>
    <t>Установка анкерных болтов в готовые гнезда с заделкой длиной до 1 м</t>
  </si>
  <si>
    <t>ФЕР-2001, 06-01-015-01,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</si>
  <si>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</si>
  <si>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</si>
  <si>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24</t>
  </si>
  <si>
    <t>46-03-001-14</t>
  </si>
  <si>
    <t>Сверление установками алмазного бурения в железобетонных конструкциях вертикальных отверстий глубиной 200 мм диаметром 125 мм</t>
  </si>
  <si>
    <t>100 ШТ</t>
  </si>
  <si>
    <t>ФЕР-2001, 46-03-001-14, приказ Минстроя России №1039/пр от 30.12.2016г.</t>
  </si>
  <si>
    <t>25</t>
  </si>
  <si>
    <t>46-03-001-30</t>
  </si>
  <si>
    <t>На каждые 10 мм изменения глубины сверления добавляется или исключается к расценке 46-03-001-14</t>
  </si>
  <si>
    <t>ФЕР-2001, 46-03-001-30, приказ Минстроя России №1039/пр от 30.12.2016г.</t>
  </si>
  <si>
    <t>*15</t>
  </si>
  <si>
    <t>26</t>
  </si>
  <si>
    <t>46-03-017-05</t>
  </si>
  <si>
    <t>Заделка отверстий, гнезд и борозд в стенах и перегородках бетонных площадью до 0,1 м2</t>
  </si>
  <si>
    <t>ФЕР-2001, 46-03-017-05, приказ Минстроя России №1039/пр от 30.12.2016г.</t>
  </si>
  <si>
    <t>26,1</t>
  </si>
  <si>
    <t>04.3.01.09-0022</t>
  </si>
  <si>
    <t>Раствор готовый отделочный тяжелый, цементный 1:2</t>
  </si>
  <si>
    <t>ФССЦ-2001, 04.3.01.09-0022, приказ Минстроя России №1039/пр от 30.12.2016г.</t>
  </si>
  <si>
    <t>27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</si>
  <si>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</si>
  <si>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</si>
  <si>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</si>
  <si>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</si>
  <si>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</si>
  <si>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</si>
  <si>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</si>
  <si>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28</t>
  </si>
  <si>
    <t>т03-02-01-008</t>
  </si>
  <si>
    <t>Перевозка грузов I класса автомобилями бортовыми грузоподъемностью до 5 т на расстояние до 8 км</t>
  </si>
  <si>
    <t>ФССЦпг-2001, т03-02-01-008,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</si>
  <si>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</si>
  <si>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</si>
  <si>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</si>
  <si>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29</t>
  </si>
  <si>
    <t>м08-03-594-15</t>
  </si>
  <si>
    <t>Светильник в подвесных потолках, устанавливаемый на профиле</t>
  </si>
  <si>
    <t>ФЕРм-2001, м08-03-594-15,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</si>
  <si>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</si>
  <si>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</si>
  <si>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</si>
  <si>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29,1</t>
  </si>
  <si>
    <t>20.3.03.04-0055</t>
  </si>
  <si>
    <t>Светильник светодиодный потолочный ДВО 36Вт 6500К 3000Лм размером 595х595х25 мм</t>
  </si>
  <si>
    <t>шт.</t>
  </si>
  <si>
    <t>ФССЦ-2001, 20.3.03.04-0055, приказ Минстроя России №1039/пр от 30.12.2016г.</t>
  </si>
  <si>
    <t>30</t>
  </si>
  <si>
    <t>65-2-2</t>
  </si>
  <si>
    <t>Разборка трубопроводов из чугунных канализационных труб диаметром 100 мм</t>
  </si>
  <si>
    <t>ФЕРр-2001, 65-2-2, приказ Минстроя России №1039/пр от 30.12.2016г.</t>
  </si>
  <si>
    <t>Внтуренниие с/техработы:  демонтаж, разборка, промывка</t>
  </si>
  <si>
    <t>рФЕР-65</t>
  </si>
  <si>
    <t>30,1</t>
  </si>
  <si>
    <t>31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</si>
  <si>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</si>
  <si>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</si>
  <si>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</si>
  <si>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Трубопроводы внутренние</t>
  </si>
  <si>
    <t>ФЕР-16</t>
  </si>
  <si>
    <t>31,1</t>
  </si>
  <si>
    <t>24.3.03.02-0002</t>
  </si>
  <si>
    <t>Трубопроводы канализации из полиэтиленовых труб высокой плотности с гильзами, диаметром 110 мм</t>
  </si>
  <si>
    <t>ФССЦ-2001, 24.3.03.02-0002, приказ Минстроя России №1039/пр от 30.12.2016г.</t>
  </si>
  <si>
    <t>32</t>
  </si>
  <si>
    <t>65-6-14</t>
  </si>
  <si>
    <t>Смена унитазов</t>
  </si>
  <si>
    <t>ФЕРр-2001, 65-6-14, приказ Минстроя России №1039/пр от 30.12.2016г.</t>
  </si>
  <si>
    <t>Внтуренниие с/техработы: смена труб</t>
  </si>
  <si>
    <t>32,1</t>
  </si>
  <si>
    <t>18.2.01.06-0031</t>
  </si>
  <si>
    <t>Унитазы полуфарфоровые и фарфоровые УНВЦ воронкообразные с сиденьем и креплением, с цельноотлитой полочкой</t>
  </si>
  <si>
    <t>ФССЦ-2001, 18.2.01.06-0031, приказ Минстроя России №1039/пр от 30.12.2016г.</t>
  </si>
  <si>
    <t>32,2</t>
  </si>
  <si>
    <t>18.2.06.01-0002</t>
  </si>
  <si>
    <t>Бачки смывные полуфарфоровые и фарфоровые с арматурой непосредственно устанавливаемые на унитазы</t>
  </si>
  <si>
    <t>ФССЦ-2001, 18.2.06.01-0002, приказ Минстроя России №1039/пр от 30.12.2016г.</t>
  </si>
  <si>
    <t>32,3</t>
  </si>
  <si>
    <t>01.7.19.03-0001</t>
  </si>
  <si>
    <t>Манжета резиновая канализационная для унитаза диаметром 110 мм</t>
  </si>
  <si>
    <t>ФССЦ-2001, 01.7.19.03-0001, приказ Минстроя России №1039/пр от 30.12.2016г.</t>
  </si>
  <si>
    <t>33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</si>
  <si>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</si>
  <si>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</si>
  <si>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</si>
  <si>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Поправка: МДС 81-36.2004, прил.3, п.3р</t>
  </si>
  <si>
    <t>34</t>
  </si>
  <si>
    <t>16-04-005-01</t>
  </si>
  <si>
    <t>Прокладка внутренних трубопроводов водоснабжения и отопления из полипропиленовых труб 20 мм</t>
  </si>
  <si>
    <t>ФЕР-2001, 16-04-005-01, приказ Минстроя России №886/пр от 15.06.2017</t>
  </si>
  <si>
    <t>34,1</t>
  </si>
  <si>
    <t>24.1.02.01-0113</t>
  </si>
  <si>
    <t>Хомуты для крепления труб</t>
  </si>
  <si>
    <t>ФССЦ-2001, 24.1.02.01-0113, приказ Минстроя России №1039/пр от 30.12.2016г.</t>
  </si>
  <si>
    <t>34,2</t>
  </si>
  <si>
    <t>24.3.02.01-0002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</si>
  <si>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</t>
  </si>
  <si>
    <t>ФССЦ-2001, 24.3.02.01-0002,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</si>
  <si>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</si>
  <si>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</si>
  <si>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</si>
  <si>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</si>
  <si>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</si>
  <si>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</si>
  <si>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</si>
  <si>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</si>
  <si>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</si>
  <si>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</si>
  <si>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</si>
  <si>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</si>
  <si>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</si>
  <si>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</si>
  <si>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</si>
  <si>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</si>
  <si>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</si>
  <si>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</si>
  <si>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</si>
  <si>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</si>
  <si>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</si>
  <si>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</si>
  <si>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</si>
  <si>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</si>
  <si>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</si>
  <si>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</si>
  <si>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</si>
  <si>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</si>
  <si>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</si>
  <si>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</si>
  <si>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</si>
  <si>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</si>
  <si>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</si>
  <si>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</si>
  <si>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</si>
  <si>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</si>
  <si>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</si>
  <si>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</si>
  <si>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</si>
  <si>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</si>
  <si>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</si>
  <si>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</si>
  <si>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</si>
  <si>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</si>
  <si>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</si>
  <si>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</si>
  <si>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</si>
  <si>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</si>
  <si>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</si>
  <si>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</si>
  <si>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</si>
  <si>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</si>
  <si>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</si>
  <si>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</si>
  <si>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</si>
  <si>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</si>
  <si>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</si>
  <si>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</si>
  <si>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</si>
  <si>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</si>
  <si>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</si>
  <si>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</si>
  <si>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</si>
  <si>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</si>
  <si>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</si>
  <si>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</si>
  <si>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</si>
  <si>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</si>
  <si>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</si>
  <si>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</si>
  <si>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</si>
  <si>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</si>
  <si>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</si>
  <si>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</si>
  <si>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</si>
  <si>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</si>
  <si>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</si>
  <si>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</si>
  <si>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</si>
  <si>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</si>
  <si>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</si>
  <si>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</si>
  <si>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</si>
  <si>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</si>
  <si>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</si>
  <si>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</si>
  <si>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</si>
  <si>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</si>
  <si>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</si>
  <si>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</si>
  <si>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</si>
  <si>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</si>
  <si>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</si>
  <si>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</si>
  <si>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</si>
  <si>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</si>
  <si>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</si>
  <si>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</si>
  <si>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</si>
  <si>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</si>
  <si>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</si>
  <si>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</si>
  <si>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</si>
  <si>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</si>
  <si>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</si>
  <si>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</si>
  <si>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</si>
  <si>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</si>
  <si>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</si>
  <si>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</si>
  <si>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</si>
  <si>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</si>
  <si>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</si>
  <si>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</si>
  <si>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</si>
  <si>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</si>
  <si>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</si>
  <si>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</si>
  <si>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</si>
  <si>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</si>
  <si>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</si>
  <si>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</si>
  <si>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</si>
  <si>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</si>
  <si>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</si>
  <si>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</si>
  <si>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</si>
  <si>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</si>
  <si>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</si>
  <si>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</si>
  <si>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</si>
  <si>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</si>
  <si>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</si>
  <si>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</si>
  <si>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</si>
  <si>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</si>
  <si>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</si>
  <si>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</si>
  <si>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</si>
  <si>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</si>
  <si>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</si>
  <si>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</si>
  <si>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</si>
  <si>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</si>
  <si>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</si>
  <si>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</si>
  <si>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</si>
  <si>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</si>
  <si>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</si>
  <si>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</si>
  <si>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</si>
  <si>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</si>
  <si>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</si>
  <si>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</si>
  <si>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</si>
  <si>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</si>
  <si>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</si>
  <si>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</si>
  <si>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</si>
  <si>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</si>
  <si>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</si>
  <si>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</si>
  <si>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</si>
  <si>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</si>
  <si>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</si>
  <si>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</si>
  <si>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</si>
  <si>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</si>
  <si>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</si>
  <si>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</si>
  <si>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</si>
  <si>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</si>
  <si>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</si>
  <si>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</si>
  <si>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</si>
  <si>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</si>
  <si>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</si>
  <si>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</si>
  <si>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</si>
  <si>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</si>
  <si>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</si>
  <si>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</si>
  <si>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</si>
  <si>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</si>
  <si>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</si>
  <si>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</si>
  <si>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</si>
  <si>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</si>
  <si>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</si>
  <si>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</si>
  <si>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</si>
  <si>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</si>
  <si>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</si>
  <si>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</si>
  <si>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</si>
  <si>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</si>
  <si>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</si>
  <si>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</si>
  <si>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</si>
  <si>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</si>
  <si>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</si>
  <si>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</si>
  <si>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</si>
  <si>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</si>
  <si>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</si>
  <si>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</si>
  <si>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</si>
  <si>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</si>
  <si>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</si>
  <si>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</si>
  <si>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</si>
  <si>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</si>
  <si>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</si>
  <si>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</si>
  <si>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1-100-35</t>
  </si>
  <si>
    <t>Рабочий среднего разряда 3.5</t>
  </si>
  <si>
    <t>1-100-20</t>
  </si>
  <si>
    <t>Рабочий среднего разряда 2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</si>
  <si>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</si>
  <si>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</si>
  <si>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</si>
  <si>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</si>
  <si>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</si>
  <si>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</si>
  <si>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</si>
  <si>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</si>
  <si>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</si>
  <si>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</si>
  <si>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</si>
  <si>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</si>
  <si>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</si>
  <si>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</si>
  <si>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</si>
  <si>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</si>
  <si>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</si>
  <si>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</si>
  <si>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</si>
  <si>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</si>
  <si>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</si>
  <si>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</si>
  <si>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</si>
  <si>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</si>
  <si>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</si>
  <si>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</si>
  <si>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</si>
  <si>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</si>
  <si>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</si>
  <si>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1-100-40</t>
  </si>
  <si>
    <t>Рабочий среднего разряда 4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</si>
  <si>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</si>
  <si>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</si>
  <si>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</si>
  <si>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</si>
  <si>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</si>
  <si>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</si>
  <si>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</si>
  <si>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</si>
  <si>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</si>
  <si>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</si>
  <si>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</si>
  <si>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</si>
  <si>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</si>
  <si>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</si>
  <si>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</si>
  <si>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</si>
  <si>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</si>
  <si>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</si>
  <si>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</si>
  <si>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</si>
  <si>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</si>
  <si>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</si>
  <si>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</si>
  <si>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</si>
  <si>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</si>
  <si>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</si>
  <si>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</si>
  <si>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</si>
  <si>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</si>
  <si>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</si>
  <si>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</si>
  <si>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1-100-33</t>
  </si>
  <si>
    <t>Рабочий среднего разряда 3.3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</si>
  <si>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</si>
  <si>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</si>
  <si>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</si>
  <si>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</si>
  <si>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</si>
  <si>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</si>
  <si>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09.3.04.03-0001</t>
  </si>
  <si>
    <t>ФССЦ-2001, 09.3.04.03-0001, приказ Минстроя России №1039/пр от 30.12.2016г.</t>
  </si>
  <si>
    <t>Перегородки на алюминиевом каркасе комбинированные (стекло прозрачное 5 мм и ГКЛ с виниловым покрытием)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</si>
  <si>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</si>
  <si>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</si>
  <si>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</si>
  <si>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91.21.20-013</t>
  </si>
  <si>
    <t>ФСЭМ-2001, 91.21.20-013, приказ Минстроя России №1039/пр от 30.12.2016г.</t>
  </si>
  <si>
    <t>Установки для сверления отверстий в железобетоне диаметром до 160 мм</t>
  </si>
  <si>
    <t>01.7.17.09-0075</t>
  </si>
  <si>
    <t>ФССЦ-2001, 01.7.17.09-0075, приказ Минстроя России №1039/пр от 30.12.2016г.</t>
  </si>
  <si>
    <t>Сверла кольцевые алмазные диаметром 125 мм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</si>
  <si>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</si>
  <si>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</si>
  <si>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</si>
  <si>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</si>
  <si>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</si>
  <si>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</si>
  <si>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</si>
  <si>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</si>
  <si>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</si>
  <si>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</si>
  <si>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</si>
  <si>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</si>
  <si>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</si>
  <si>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</si>
  <si>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</si>
  <si>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</si>
  <si>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</si>
  <si>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</si>
  <si>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</si>
  <si>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</si>
  <si>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</si>
  <si>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</si>
  <si>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</si>
  <si>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</si>
  <si>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</si>
  <si>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</si>
  <si>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</si>
  <si>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</si>
  <si>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</si>
  <si>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</si>
  <si>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</si>
  <si>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</si>
  <si>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</si>
  <si>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</si>
  <si>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</si>
  <si>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</si>
  <si>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</si>
  <si>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1-100-29</t>
  </si>
  <si>
    <t>Рабочий среднего разряда 2.9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</si>
  <si>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</si>
  <si>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</si>
  <si>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</si>
  <si>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</si>
  <si>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</si>
  <si>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</si>
  <si>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</si>
  <si>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</si>
  <si>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</si>
  <si>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01.7.07.29-0031</t>
  </si>
  <si>
    <t>ФССЦ-2001, 01.7.07.29-0031, приказ Минстроя России №1039/пр от 30.12.2016г.</t>
  </si>
  <si>
    <t>Каболка</t>
  </si>
  <si>
    <t>01.7.15.14-0169</t>
  </si>
  <si>
    <t>ФССЦ-2001, 01.7.15.14-0169, приказ Минстроя России №1039/пр от 30.12.2016г.</t>
  </si>
  <si>
    <t>Шурупы с полукруглой головкой 6х40 мм</t>
  </si>
  <si>
    <t>03.2.02.08-0002</t>
  </si>
  <si>
    <t>ФССЦ-2001, 03.2.02.08-0002, приказ Минстроя России №1039/пр от 30.12.2016г.</t>
  </si>
  <si>
    <t>Цемент расширяющийся</t>
  </si>
  <si>
    <t>24.3.05.01-0101</t>
  </si>
  <si>
    <t>ФССЦ-2001, 24.3.05.01-0101, приказ Минстроя России №1039/пр от 30.12.2016г.</t>
  </si>
  <si>
    <t>Втулки полихлорвиниловые</t>
  </si>
  <si>
    <t>1-100-27</t>
  </si>
  <si>
    <t>Рабочий среднего разряда 2.7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</si>
  <si>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</si>
  <si>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</si>
  <si>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</si>
  <si>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1-100-39</t>
  </si>
  <si>
    <t>Рабочий среднего разряда 3.9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</si>
  <si>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</si>
  <si>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</si>
  <si>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</si>
  <si>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</si>
  <si>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</si>
  <si>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</si>
  <si>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</si>
  <si>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</si>
  <si>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</si>
  <si>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</si>
  <si>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</si>
  <si>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</si>
  <si>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</si>
  <si>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</si>
  <si>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</si>
  <si>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</si>
  <si>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11.3.02.03</t>
  </si>
  <si>
    <t>Блоки оконные пластиковые</t>
  </si>
  <si>
    <t>11.3.03.01</t>
  </si>
  <si>
    <t>Доски подоконные ПВХ</t>
  </si>
  <si>
    <t>01.6.01.11</t>
  </si>
  <si>
    <t>Листы облицовочные декоративные</t>
  </si>
  <si>
    <t>14.1.06.05</t>
  </si>
  <si>
    <t>Клей</t>
  </si>
  <si>
    <t>14.4.01.21</t>
  </si>
  <si>
    <t>Грунтовка</t>
  </si>
  <si>
    <t>11.3.03.13</t>
  </si>
  <si>
    <t>Уголок ПВХ</t>
  </si>
  <si>
    <t>07.2.07.13</t>
  </si>
  <si>
    <t>Конструкции стальные</t>
  </si>
  <si>
    <t>Строительный мусор</t>
  </si>
  <si>
    <t>04.3.01.09</t>
  </si>
  <si>
    <t>Раствор готовый кладочный тяжелый цементный</t>
  </si>
  <si>
    <t>11.2.04.05</t>
  </si>
  <si>
    <t>Рейки деревянные</t>
  </si>
  <si>
    <t>14.3.02.01</t>
  </si>
  <si>
    <t>Краска водоэмульсионная</t>
  </si>
  <si>
    <t>04.3.02.09</t>
  </si>
  <si>
    <t>Смесь сухая для заделки швов</t>
  </si>
  <si>
    <t>06.2.05.04</t>
  </si>
  <si>
    <t>Плитки рядовые</t>
  </si>
  <si>
    <t>14.1.06.02</t>
  </si>
  <si>
    <t>Клей для облицовочных работ (сухая смесь)</t>
  </si>
  <si>
    <t>14.4.02.04</t>
  </si>
  <si>
    <t>Краски для внутренних работ масляные готовые к применению</t>
  </si>
  <si>
    <t>07.2.07.02</t>
  </si>
  <si>
    <t>Кондуктор инвентарный металлический</t>
  </si>
  <si>
    <t>04.1.02.06</t>
  </si>
  <si>
    <t>Бетонные смеси готовые к употреблению</t>
  </si>
  <si>
    <t>18.1.02.03</t>
  </si>
  <si>
    <t>Задвижки</t>
  </si>
  <si>
    <t>19.1.01.11</t>
  </si>
  <si>
    <t>Крепления</t>
  </si>
  <si>
    <t>24.3.03.02</t>
  </si>
  <si>
    <t>18.2.06.12</t>
  </si>
  <si>
    <t>Приборы санитарно-технические</t>
  </si>
  <si>
    <t>18.1.09.06</t>
  </si>
  <si>
    <t>Арматура муфтовая</t>
  </si>
  <si>
    <t>24.1.02.01</t>
  </si>
  <si>
    <t>24.3.02.01</t>
  </si>
  <si>
    <t>Трубы напорные из полипропилена</t>
  </si>
  <si>
    <t>10М</t>
  </si>
  <si>
    <t>24.3.05.19</t>
  </si>
  <si>
    <t>Фасонные и соеденительные части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</si>
  <si>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</si>
  <si>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81-36.2004, прил.3, п.3р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</si>
  <si>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</si>
  <si>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</si>
  <si>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</si>
  <si>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</si>
  <si>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</si>
  <si>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</si>
  <si>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</si>
  <si>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</si>
  <si>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</si>
  <si>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</si>
  <si>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</si>
  <si>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</si>
  <si>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</si>
  <si>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</si>
  <si>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</si>
  <si>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</si>
  <si>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</si>
  <si>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</si>
  <si>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</si>
  <si>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</si>
  <si>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</si>
  <si>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</si>
  <si>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</si>
  <si>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</si>
  <si>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</si>
  <si>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</si>
  <si>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</si>
  <si>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</si>
  <si>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</si>
  <si>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</si>
  <si>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</si>
  <si>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</si>
  <si>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>[должность,подпись(инициалы,фамилия)]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</si>
  <si>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</si>
  <si>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</si>
  <si>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</si>
  <si>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</si>
  <si>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</si>
  <si>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</si>
  <si>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</si>
  <si>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</si>
  <si>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</si>
  <si>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</si>
  <si>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</si>
  <si>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</si>
  <si>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</si>
  <si>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</si>
  <si>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</si>
  <si>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</si>
  <si>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</si>
  <si>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</si>
  <si>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</si>
  <si>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</si>
  <si>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</si>
  <si>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</si>
  <si>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</si>
  <si>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</si>
  <si>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</si>
  <si>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</si>
  <si>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</si>
  <si>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Номер</t>
  </si>
  <si>
    <t>поз. по сме-те</t>
  </si>
  <si>
    <t>Составлен(а) в ценах 2001 г. с учетом коэффициентов пересчета к базисной стоимости СМР в текущий уровень цен базисно-индексным методом за II квартал 2018 года</t>
  </si>
  <si>
    <t xml:space="preserve">Сдал   </t>
  </si>
  <si>
    <t xml:space="preserve">Принял  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</si>
  <si>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</si>
  <si>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</si>
  <si>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</si>
  <si>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</si>
  <si>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</si>
  <si>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</si>
  <si>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</si>
  <si>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</si>
  <si>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</si>
  <si>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</si>
  <si>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</si>
  <si>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</si>
  <si>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</si>
  <si>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</si>
  <si>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</si>
  <si>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</si>
  <si>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</si>
  <si>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</si>
  <si>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</si>
  <si>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</si>
  <si>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</si>
  <si>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должность</t>
  </si>
  <si>
    <t>подпись</t>
  </si>
  <si>
    <t>расшифровка подпись</t>
  </si>
  <si>
    <t>МП</t>
  </si>
  <si>
    <t>Приложение № 1 к Приложению № 5</t>
  </si>
  <si>
    <t>к извещению о проведении запроса котировок</t>
  </si>
  <si>
    <t xml:space="preserve"> в электронной форме</t>
  </si>
  <si>
    <t>Капитальный ремонт помещения женского санузла 1-го этажа здания учебного корпуса Озерского технологического института-филиала НИЯУ МИФИП (ОТИ НИЯУ МИФИ) по адресу: Челябинская обл., г.Озерск, пр-т Победы, д.48.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</si>
</sst>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4" fontId="13" fillId="0" borderId="4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14" fontId="13" fillId="0" borderId="0" xfId="0" applyNumberFormat="1" applyFont="1"/>
    <xf numFmtId="0" fontId="13" fillId="0" borderId="6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3" fillId="0" borderId="0" xfId="0" applyFont="1" applyBorder="1"/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12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right"/>
    </xf>
    <xf numFmtId="0" fontId="13" fillId="0" borderId="3" xfId="0" applyFont="1" applyBorder="1" applyAlignment="1">
      <alignment horizontal="center"/>
    </xf>
    <xf numFmtId="14" fontId="13" fillId="0" borderId="3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wrapText="1"/>
    </xf>
    <xf numFmtId="0" fontId="13" fillId="0" borderId="0" xfId="0" applyFont="1" applyBorder="1" applyAlignment="1">
      <alignment horizontal="right"/>
    </xf>
    <xf numFmtId="0" fontId="11" fillId="0" borderId="0" xfId="0" applyFont="1" applyAlignment="1">
      <alignment horizontal="right" vertical="center"/>
    </xf>
    <xf numFmtId="0" fontId="0" fillId="0" borderId="0" xfId="0" applyAlignment="1"/>
    <xf numFmtId="0" fontId="13" fillId="0" borderId="3" xfId="0" quotePrefix="1" applyFont="1" applyBorder="1" applyAlignment="1">
      <alignment horizontal="center"/>
    </xf>
    <xf numFmtId="0" fontId="13" fillId="0" borderId="0" xfId="0" applyFont="1" applyAlignment="1">
      <alignment horizontal="right" vertical="center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2" xfId="0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6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6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8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1" xfId="0" applyFont="1" applyBorder="1" applyAlignment="1">
      <alignment horizontal="justify" vertical="top" wrapText="1" shrinkToFit="1"/>
    </xf>
    <xf numFmtId="0" fontId="13" fillId="0" borderId="8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164" fontId="13" fillId="0" borderId="6" xfId="0" applyNumberFormat="1" applyFont="1" applyBorder="1" applyAlignment="1">
      <alignment horizontal="right"/>
    </xf>
    <xf numFmtId="164" fontId="13" fillId="0" borderId="6" xfId="0" applyNumberFormat="1" applyFont="1" applyBorder="1" applyAlignment="1">
      <alignment horizontal="right" vertical="center" wrapText="1" shrinkToFit="1"/>
    </xf>
    <xf numFmtId="0" fontId="13" fillId="0" borderId="8" xfId="0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10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14" fontId="13" fillId="0" borderId="6" xfId="0" applyNumberFormat="1" applyFont="1" applyBorder="1" applyAlignment="1">
      <alignment horizontal="center"/>
    </xf>
    <xf numFmtId="14" fontId="13" fillId="0" borderId="8" xfId="0" applyNumberFormat="1" applyFont="1" applyBorder="1" applyAlignment="1">
      <alignment horizontal="center"/>
    </xf>
    <xf numFmtId="0" fontId="13" fillId="0" borderId="4" xfId="0" applyFont="1" applyBorder="1"/>
    <xf numFmtId="0" fontId="13" fillId="0" borderId="12" xfId="0" applyFont="1" applyBorder="1"/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2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6" xfId="0" applyFont="1" applyBorder="1" applyAlignment="1">
      <alignment horizontal="right"/>
    </xf>
    <xf numFmtId="0" fontId="13" fillId="0" borderId="2" xfId="0" applyFont="1" applyBorder="1"/>
    <xf numFmtId="0" fontId="13" fillId="0" borderId="1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right"/>
    </xf>
    <xf numFmtId="0" fontId="2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72"/>
  <sheetViews>
    <sheetView tabSelected="1" zoomScaleNormal="100" workbookViewId="0">
      <selection activeCell="K388" sqref="K388"/>
    </sheetView>
  </sheetViews>
  <sheetFormatPr defaultRowHeight="12.75" x14ac:dyDescent="0.2"/>
  <cols>
    <col min="1" max="1" width="5.7109375" customWidth="1"/>
    <col min="2" max="2" width="15" customWidth="1"/>
    <col min="3" max="3" width="37.5703125" customWidth="1"/>
    <col min="4" max="5" width="10.7109375" customWidth="1"/>
    <col min="6" max="7" width="12.7109375" customWidth="1"/>
    <col min="8" max="8" width="14.855468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30" ht="31.5" customHeight="1" x14ac:dyDescent="0.25">
      <c r="A3" s="14"/>
      <c r="B3" s="85"/>
      <c r="C3" s="85"/>
      <c r="D3" s="85"/>
      <c r="E3" s="85"/>
      <c r="F3" s="13"/>
      <c r="G3" s="13"/>
      <c r="H3" s="158" t="s">
        <v>858</v>
      </c>
      <c r="I3" s="85"/>
      <c r="J3" s="85"/>
      <c r="K3" s="85"/>
      <c r="L3" s="85"/>
    </row>
    <row r="4" spans="1:30" ht="14.25" x14ac:dyDescent="0.2">
      <c r="A4" s="13"/>
      <c r="B4" s="67"/>
      <c r="C4" s="67"/>
      <c r="D4" s="67"/>
      <c r="E4" s="67"/>
      <c r="F4" s="13"/>
      <c r="G4" s="13"/>
      <c r="H4" s="67" t="s">
        <v>859</v>
      </c>
      <c r="I4" s="67"/>
      <c r="J4" s="67"/>
      <c r="K4" s="67"/>
      <c r="L4" s="67"/>
    </row>
    <row r="5" spans="1:30" ht="14.25" x14ac:dyDescent="0.2">
      <c r="A5" s="15"/>
      <c r="B5" s="15"/>
      <c r="C5" s="16"/>
      <c r="D5" s="16"/>
      <c r="E5" s="16"/>
      <c r="F5" s="13"/>
      <c r="G5" s="13"/>
      <c r="H5" s="17" t="s">
        <v>860</v>
      </c>
      <c r="I5" s="16"/>
      <c r="J5" s="16"/>
      <c r="K5" s="16"/>
      <c r="L5" s="17"/>
    </row>
    <row r="6" spans="1:30" ht="14.25" x14ac:dyDescent="0.2">
      <c r="A6" s="17"/>
      <c r="B6" s="67"/>
      <c r="C6" s="67"/>
      <c r="D6" s="67"/>
      <c r="E6" s="67"/>
      <c r="F6" s="13"/>
      <c r="G6" s="13"/>
      <c r="H6" s="67"/>
      <c r="I6" s="67"/>
      <c r="J6" s="67"/>
      <c r="K6" s="67"/>
      <c r="L6" s="67"/>
    </row>
    <row r="7" spans="1:30" ht="14.25" x14ac:dyDescent="0.2">
      <c r="A7" s="18"/>
      <c r="B7" s="84"/>
      <c r="C7" s="84"/>
      <c r="D7" s="84"/>
      <c r="E7" s="84"/>
      <c r="F7" s="13"/>
      <c r="G7" s="13"/>
      <c r="H7" s="84"/>
      <c r="I7" s="84"/>
      <c r="J7" s="84"/>
      <c r="K7" s="84"/>
      <c r="L7" s="84"/>
    </row>
    <row r="9" spans="1:30" ht="15.75" x14ac:dyDescent="0.25">
      <c r="A9" s="19"/>
      <c r="B9" s="79" t="str">
        <f>CONCATENATE( "ЛОКАЛЬНАЯ СМЕТА ",IF(Source!F20&lt;&gt;"Новая локальная смета", Source!F20, ""))</f>
        <v xml:space="preserve">ЛОКАЛЬНАЯ СМЕТА </v>
      </c>
      <c r="C9" s="79"/>
      <c r="D9" s="79"/>
      <c r="E9" s="79"/>
      <c r="F9" s="79"/>
      <c r="G9" s="79"/>
      <c r="H9" s="79"/>
      <c r="I9" s="79"/>
      <c r="J9" s="79"/>
      <c r="K9" s="79"/>
      <c r="L9" s="19"/>
    </row>
    <row r="10" spans="1:30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9"/>
    </row>
    <row r="11" spans="1:30" ht="18" hidden="1" x14ac:dyDescent="0.25">
      <c r="A11" s="19"/>
      <c r="B11" s="80" t="str">
        <f>IF(Source!G20&lt;&gt;"Новая локальная смета", Source!G20, "")</f>
        <v/>
      </c>
      <c r="C11" s="80"/>
      <c r="D11" s="80"/>
      <c r="E11" s="80"/>
      <c r="F11" s="80"/>
      <c r="G11" s="80"/>
      <c r="H11" s="80"/>
      <c r="I11" s="80"/>
      <c r="J11" s="80"/>
      <c r="K11" s="80"/>
      <c r="L11" s="19"/>
    </row>
    <row r="12" spans="1:30" ht="14.25" hidden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30" ht="54" x14ac:dyDescent="0.25">
      <c r="A13" s="13"/>
      <c r="B13" s="81" t="s">
        <v>861</v>
      </c>
      <c r="C13" s="81"/>
      <c r="D13" s="81"/>
      <c r="E13" s="81"/>
      <c r="F13" s="81"/>
      <c r="G13" s="81"/>
      <c r="H13" s="81"/>
      <c r="I13" s="81"/>
      <c r="J13" s="81"/>
      <c r="K13" s="81"/>
      <c r="L13" s="21"/>
      <c r="AD13" s="54" t="str">
        <f>IF(Source!G12&lt;&gt;"Новый объект", Source!G12, "")</f>
        <v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</row>
    <row r="14" spans="1:30" ht="14.25" x14ac:dyDescent="0.2">
      <c r="A14" s="13"/>
      <c r="B14" s="82" t="s">
        <v>768</v>
      </c>
      <c r="C14" s="82"/>
      <c r="D14" s="82"/>
      <c r="E14" s="82"/>
      <c r="F14" s="82"/>
      <c r="G14" s="82"/>
      <c r="H14" s="82"/>
      <c r="I14" s="82"/>
      <c r="J14" s="82"/>
      <c r="K14" s="82"/>
      <c r="L14" s="18"/>
    </row>
    <row r="15" spans="1:30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30" ht="14.25" x14ac:dyDescent="0.2">
      <c r="A16" s="13"/>
      <c r="B16" s="13"/>
      <c r="C16" s="13"/>
      <c r="D16" s="13"/>
      <c r="E16" s="22"/>
      <c r="F16" s="22"/>
      <c r="G16" s="83" t="s">
        <v>769</v>
      </c>
      <c r="H16" s="83"/>
      <c r="I16" s="83" t="s">
        <v>770</v>
      </c>
      <c r="J16" s="83"/>
      <c r="K16" s="13"/>
      <c r="L16" s="13"/>
    </row>
    <row r="17" spans="1:22" ht="15" x14ac:dyDescent="0.25">
      <c r="A17" s="13"/>
      <c r="B17" s="13"/>
      <c r="C17" s="73" t="s">
        <v>771</v>
      </c>
      <c r="D17" s="73"/>
      <c r="E17" s="73"/>
      <c r="F17" s="73"/>
      <c r="G17" s="74">
        <f>SUM(O26:O363)/1000</f>
        <v>52.461210000000001</v>
      </c>
      <c r="H17" s="74"/>
      <c r="I17" s="74">
        <f>(Source!P187/1000)</f>
        <v>378.33418</v>
      </c>
      <c r="J17" s="74"/>
      <c r="K17" s="75" t="s">
        <v>772</v>
      </c>
      <c r="L17" s="75"/>
    </row>
    <row r="18" spans="1:22" ht="14.25" x14ac:dyDescent="0.2">
      <c r="A18" s="13"/>
      <c r="B18" s="13"/>
      <c r="C18" s="78" t="s">
        <v>773</v>
      </c>
      <c r="D18" s="78"/>
      <c r="E18" s="78"/>
      <c r="F18" s="78"/>
      <c r="G18" s="74">
        <f>SUM(W26:W363)/1000</f>
        <v>51.261929999999985</v>
      </c>
      <c r="H18" s="74"/>
      <c r="I18" s="74">
        <f>(Source!P174)/1000</f>
        <v>313.29459000000003</v>
      </c>
      <c r="J18" s="74"/>
      <c r="K18" s="75" t="s">
        <v>772</v>
      </c>
      <c r="L18" s="75"/>
    </row>
    <row r="19" spans="1:22" ht="14.25" x14ac:dyDescent="0.2">
      <c r="A19" s="13"/>
      <c r="B19" s="13"/>
      <c r="C19" s="78" t="s">
        <v>774</v>
      </c>
      <c r="D19" s="78"/>
      <c r="E19" s="78"/>
      <c r="F19" s="78"/>
      <c r="G19" s="74">
        <f>SUM(X26:X363)/1000</f>
        <v>1.1992800000000001</v>
      </c>
      <c r="H19" s="74"/>
      <c r="I19" s="74">
        <f>(Source!P175)/1000</f>
        <v>7.3276000000000003</v>
      </c>
      <c r="J19" s="74"/>
      <c r="K19" s="75" t="s">
        <v>772</v>
      </c>
      <c r="L19" s="75"/>
    </row>
    <row r="20" spans="1:22" ht="15" x14ac:dyDescent="0.25">
      <c r="A20" s="13"/>
      <c r="B20" s="13"/>
      <c r="C20" s="73" t="s">
        <v>775</v>
      </c>
      <c r="D20" s="73"/>
      <c r="E20" s="73"/>
      <c r="F20" s="73"/>
      <c r="G20" s="74">
        <f>I20</f>
        <v>397.56538270000004</v>
      </c>
      <c r="H20" s="74"/>
      <c r="I20" s="74">
        <f>(Source!P179+Source!P180)</f>
        <v>397.56538270000004</v>
      </c>
      <c r="J20" s="74"/>
      <c r="K20" s="75" t="s">
        <v>776</v>
      </c>
      <c r="L20" s="75"/>
    </row>
    <row r="21" spans="1:22" ht="15" x14ac:dyDescent="0.25">
      <c r="A21" s="13"/>
      <c r="B21" s="13"/>
      <c r="C21" s="73" t="s">
        <v>777</v>
      </c>
      <c r="D21" s="73"/>
      <c r="E21" s="73"/>
      <c r="F21" s="73"/>
      <c r="G21" s="74">
        <f>SUM(R26:R363)/1000</f>
        <v>3.4921000000000006</v>
      </c>
      <c r="H21" s="74"/>
      <c r="I21" s="74">
        <f>((Source!P172 + Source!P171)/1000)</f>
        <v>21.3367</v>
      </c>
      <c r="J21" s="74"/>
      <c r="K21" s="75" t="s">
        <v>772</v>
      </c>
      <c r="L21" s="75"/>
    </row>
    <row r="22" spans="1:22" ht="14.25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spans="1:22" ht="14.25" x14ac:dyDescent="0.2">
      <c r="A23" s="76" t="s">
        <v>790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</row>
    <row r="24" spans="1:22" ht="57" x14ac:dyDescent="0.2">
      <c r="A24" s="23" t="s">
        <v>778</v>
      </c>
      <c r="B24" s="23" t="s">
        <v>779</v>
      </c>
      <c r="C24" s="23" t="s">
        <v>780</v>
      </c>
      <c r="D24" s="23" t="s">
        <v>781</v>
      </c>
      <c r="E24" s="23" t="s">
        <v>782</v>
      </c>
      <c r="F24" s="23" t="s">
        <v>783</v>
      </c>
      <c r="G24" s="23" t="s">
        <v>784</v>
      </c>
      <c r="H24" s="23" t="s">
        <v>785</v>
      </c>
      <c r="I24" s="23" t="s">
        <v>786</v>
      </c>
      <c r="J24" s="23" t="s">
        <v>787</v>
      </c>
      <c r="K24" s="23" t="s">
        <v>788</v>
      </c>
      <c r="L24" s="23" t="s">
        <v>789</v>
      </c>
    </row>
    <row r="25" spans="1:22" ht="14.25" x14ac:dyDescent="0.2">
      <c r="A25" s="24">
        <v>1</v>
      </c>
      <c r="B25" s="24">
        <v>2</v>
      </c>
      <c r="C25" s="24">
        <v>3</v>
      </c>
      <c r="D25" s="24">
        <v>4</v>
      </c>
      <c r="E25" s="24">
        <v>5</v>
      </c>
      <c r="F25" s="24">
        <v>6</v>
      </c>
      <c r="G25" s="24">
        <v>7</v>
      </c>
      <c r="H25" s="24">
        <v>8</v>
      </c>
      <c r="I25" s="24">
        <v>9</v>
      </c>
      <c r="J25" s="24">
        <v>10</v>
      </c>
      <c r="K25" s="24">
        <v>11</v>
      </c>
      <c r="L25" s="25">
        <v>12</v>
      </c>
    </row>
    <row r="26" spans="1:22" ht="42.75" x14ac:dyDescent="0.2">
      <c r="A26" s="49" t="str">
        <f>Source!E25</f>
        <v>1</v>
      </c>
      <c r="B26" s="50" t="str">
        <f>Source!F25</f>
        <v>46-04-012-01</v>
      </c>
      <c r="C26" s="50" t="str">
        <f>Source!G25</f>
        <v>Разборка деревянных заполнений проемов оконных с подоконными досками</v>
      </c>
      <c r="D26" s="33" t="str">
        <f>Source!H25</f>
        <v>100 м2</v>
      </c>
      <c r="E26" s="12">
        <f>Source!I25</f>
        <v>6.4799999999999996E-2</v>
      </c>
      <c r="F26" s="34">
        <f>Source!AL25+Source!AM25+Source!AO25</f>
        <v>1767.24</v>
      </c>
      <c r="G26" s="35"/>
      <c r="H26" s="34"/>
      <c r="I26" s="35" t="str">
        <f>Source!BO25</f>
        <v/>
      </c>
      <c r="J26" s="35"/>
      <c r="K26" s="34"/>
      <c r="L26" s="36"/>
      <c r="S26">
        <f>ROUND((Source!FX25/100)*((ROUND(Source!AF25*Source!I25, 2)+ROUND(Source!AE25*Source!I25, 2))), 2)</f>
        <v>104.55</v>
      </c>
      <c r="T26">
        <f>Source!X25</f>
        <v>638.83000000000004</v>
      </c>
      <c r="U26">
        <f>ROUND((Source!FY25/100)*((ROUND(Source!AF25*Source!I25, 2)+ROUND(Source!AE25*Source!I25, 2))), 2)</f>
        <v>62.84</v>
      </c>
      <c r="V26">
        <f>Source!Y25</f>
        <v>387.17</v>
      </c>
    </row>
    <row r="27" spans="1:22" x14ac:dyDescent="0.2">
      <c r="C27" s="26" t="str">
        <f>"Объем: "&amp;Source!I25&amp;"=6,48/"&amp;"100"</f>
        <v>Объем: 0,0648=6,48/100</v>
      </c>
    </row>
    <row r="28" spans="1:22" ht="14.25" x14ac:dyDescent="0.2">
      <c r="A28" s="49"/>
      <c r="B28" s="50"/>
      <c r="C28" s="50" t="s">
        <v>791</v>
      </c>
      <c r="D28" s="33"/>
      <c r="E28" s="12"/>
      <c r="F28" s="34">
        <f>Source!AO25</f>
        <v>1525.29</v>
      </c>
      <c r="G28" s="35" t="str">
        <f>Source!DG25</f>
        <v/>
      </c>
      <c r="H28" s="34">
        <f>ROUND(Source!AF25*Source!I25, 2)</f>
        <v>98.84</v>
      </c>
      <c r="I28" s="35"/>
      <c r="J28" s="35">
        <f>IF(Source!BA25&lt;&gt; 0, Source!BA25, 1)</f>
        <v>6.11</v>
      </c>
      <c r="K28" s="34">
        <f>Source!S25</f>
        <v>603.91</v>
      </c>
      <c r="L28" s="36"/>
      <c r="R28">
        <f>H28</f>
        <v>98.84</v>
      </c>
    </row>
    <row r="29" spans="1:22" ht="14.25" x14ac:dyDescent="0.2">
      <c r="A29" s="49"/>
      <c r="B29" s="50"/>
      <c r="C29" s="50" t="s">
        <v>356</v>
      </c>
      <c r="D29" s="33"/>
      <c r="E29" s="12"/>
      <c r="F29" s="34">
        <f>Source!AM25</f>
        <v>241.95</v>
      </c>
      <c r="G29" s="35" t="str">
        <f>Source!DE25</f>
        <v/>
      </c>
      <c r="H29" s="34">
        <f>ROUND(Source!AD25*Source!I25, 2)</f>
        <v>15.68</v>
      </c>
      <c r="I29" s="35"/>
      <c r="J29" s="35">
        <f>IF(Source!BB25&lt;&gt; 0, Source!BB25, 1)</f>
        <v>6.11</v>
      </c>
      <c r="K29" s="34">
        <f>Source!Q25</f>
        <v>95.79</v>
      </c>
      <c r="L29" s="36"/>
    </row>
    <row r="30" spans="1:22" ht="14.25" x14ac:dyDescent="0.2">
      <c r="A30" s="49"/>
      <c r="B30" s="50"/>
      <c r="C30" s="50" t="s">
        <v>792</v>
      </c>
      <c r="D30" s="33"/>
      <c r="E30" s="12"/>
      <c r="F30" s="34">
        <f>Source!AN25</f>
        <v>104.49</v>
      </c>
      <c r="G30" s="35" t="str">
        <f>Source!DF25</f>
        <v/>
      </c>
      <c r="H30" s="37">
        <f>ROUND(Source!AE25*Source!I25, 2)</f>
        <v>6.77</v>
      </c>
      <c r="I30" s="35"/>
      <c r="J30" s="35">
        <f>IF(Source!BS25&lt;&gt; 0, Source!BS25, 1)</f>
        <v>6.11</v>
      </c>
      <c r="K30" s="37">
        <f>Source!R25</f>
        <v>41.37</v>
      </c>
      <c r="L30" s="36"/>
      <c r="R30">
        <f>H30</f>
        <v>6.77</v>
      </c>
    </row>
    <row r="31" spans="1:22" ht="14.25" x14ac:dyDescent="0.2">
      <c r="A31" s="49"/>
      <c r="B31" s="50"/>
      <c r="C31" s="50" t="s">
        <v>793</v>
      </c>
      <c r="D31" s="33" t="s">
        <v>794</v>
      </c>
      <c r="E31" s="12">
        <f>Source!BZ25</f>
        <v>110</v>
      </c>
      <c r="F31" s="67" t="str">
        <f>CONCATENATE(" )", Source!DL25, Source!FT25, "=", Source!FX25)</f>
        <v xml:space="preserve"> )*0,9=99</v>
      </c>
      <c r="G31" s="68"/>
      <c r="H31" s="34">
        <f>SUM(S26:S33)</f>
        <v>104.55</v>
      </c>
      <c r="I31" s="38"/>
      <c r="J31" s="31">
        <f>Source!AT25</f>
        <v>99</v>
      </c>
      <c r="K31" s="34">
        <f>SUM(T26:T33)</f>
        <v>638.83000000000004</v>
      </c>
      <c r="L31" s="36"/>
    </row>
    <row r="32" spans="1:22" ht="14.25" x14ac:dyDescent="0.2">
      <c r="A32" s="49"/>
      <c r="B32" s="50"/>
      <c r="C32" s="50" t="s">
        <v>795</v>
      </c>
      <c r="D32" s="33" t="s">
        <v>794</v>
      </c>
      <c r="E32" s="12">
        <f>Source!CA25</f>
        <v>70</v>
      </c>
      <c r="F32" s="67" t="str">
        <f>CONCATENATE(" )", Source!DM25, Source!FU25, "=", Source!FY25)</f>
        <v xml:space="preserve"> )*0,85=59,5</v>
      </c>
      <c r="G32" s="68"/>
      <c r="H32" s="34">
        <f>SUM(U26:U33)</f>
        <v>62.84</v>
      </c>
      <c r="I32" s="38"/>
      <c r="J32" s="31">
        <f>Source!AU25</f>
        <v>60</v>
      </c>
      <c r="K32" s="34">
        <f>SUM(V26:V33)</f>
        <v>387.17</v>
      </c>
      <c r="L32" s="36"/>
    </row>
    <row r="33" spans="1:26" ht="14.25" x14ac:dyDescent="0.2">
      <c r="A33" s="51"/>
      <c r="B33" s="52"/>
      <c r="C33" s="52" t="s">
        <v>796</v>
      </c>
      <c r="D33" s="39" t="s">
        <v>797</v>
      </c>
      <c r="E33" s="40">
        <f>Source!AQ25</f>
        <v>188.54</v>
      </c>
      <c r="F33" s="41"/>
      <c r="G33" s="42" t="str">
        <f>Source!DI25</f>
        <v/>
      </c>
      <c r="H33" s="41"/>
      <c r="I33" s="42"/>
      <c r="J33" s="42"/>
      <c r="K33" s="41"/>
      <c r="L33" s="43">
        <f>Source!U25</f>
        <v>12.217391999999998</v>
      </c>
    </row>
    <row r="34" spans="1:26" ht="15" x14ac:dyDescent="0.25">
      <c r="G34" s="66">
        <f>H28+H29+H31+H32</f>
        <v>281.90999999999997</v>
      </c>
      <c r="H34" s="66"/>
      <c r="J34" s="66">
        <f>K28+K29+K31+K32</f>
        <v>1725.7</v>
      </c>
      <c r="K34" s="66"/>
      <c r="L34" s="44">
        <f>Source!U25</f>
        <v>12.217391999999998</v>
      </c>
      <c r="O34" s="27">
        <f>G34</f>
        <v>281.90999999999997</v>
      </c>
      <c r="P34" s="27">
        <f>J34</f>
        <v>1725.7</v>
      </c>
      <c r="Q34" s="27">
        <f>L34</f>
        <v>12.217391999999998</v>
      </c>
      <c r="W34">
        <f>IF(Source!BI25&lt;=1,H28+H29+H31+H32, 0)</f>
        <v>281.90999999999997</v>
      </c>
      <c r="X34">
        <f>IF(Source!BI25=2,H28+H29+H31+H32, 0)</f>
        <v>0</v>
      </c>
      <c r="Y34">
        <f>IF(Source!BI25=3,H28+H29+H31+H32, 0)</f>
        <v>0</v>
      </c>
      <c r="Z34">
        <f>IF(Source!BI25=4,H28+H29+H31+H32, 0)</f>
        <v>0</v>
      </c>
    </row>
    <row r="35" spans="1:26" ht="71.25" x14ac:dyDescent="0.2">
      <c r="A35" s="49" t="str">
        <f>Source!E27</f>
        <v>2</v>
      </c>
      <c r="B35" s="50" t="str">
        <f>Source!F27</f>
        <v>10-01-034-06</v>
      </c>
      <c r="C35" s="50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35" s="33" t="str">
        <f>Source!H27</f>
        <v>100 м2</v>
      </c>
      <c r="E35" s="12">
        <f>Source!I27</f>
        <v>6.4799999999999996E-2</v>
      </c>
      <c r="F35" s="34">
        <f>Source!AL27+Source!AM27+Source!AO27</f>
        <v>9827.15</v>
      </c>
      <c r="G35" s="35"/>
      <c r="H35" s="34"/>
      <c r="I35" s="35" t="str">
        <f>Source!BO27</f>
        <v/>
      </c>
      <c r="J35" s="35"/>
      <c r="K35" s="34"/>
      <c r="L35" s="36"/>
      <c r="S35">
        <f>ROUND((Source!FX27/100)*((ROUND(Source!AF27*Source!I27, 2)+ROUND(Source!AE27*Source!I27, 2))), 2)</f>
        <v>105.13</v>
      </c>
      <c r="T35">
        <f>Source!X27</f>
        <v>641.08000000000004</v>
      </c>
      <c r="U35">
        <f>ROUND((Source!FY27/100)*((ROUND(Source!AF27*Source!I27, 2)+ROUND(Source!AE27*Source!I27, 2))), 2)</f>
        <v>53.01</v>
      </c>
      <c r="V35">
        <f>Source!Y27</f>
        <v>326.58999999999997</v>
      </c>
    </row>
    <row r="36" spans="1:26" x14ac:dyDescent="0.2">
      <c r="C36" s="26" t="str">
        <f>"Объем: "&amp;Source!I27&amp;"=6,48/"&amp;"100"</f>
        <v>Объем: 0,0648=6,48/100</v>
      </c>
    </row>
    <row r="37" spans="1:26" ht="14.25" x14ac:dyDescent="0.2">
      <c r="A37" s="49"/>
      <c r="B37" s="50"/>
      <c r="C37" s="50" t="s">
        <v>791</v>
      </c>
      <c r="D37" s="33"/>
      <c r="E37" s="12"/>
      <c r="F37" s="34">
        <f>Source!AO27</f>
        <v>1273.5899999999999</v>
      </c>
      <c r="G37" s="35" t="str">
        <f>Source!DG27</f>
        <v>)*1,15</v>
      </c>
      <c r="H37" s="34">
        <f>ROUND(Source!AF27*Source!I27, 2)</f>
        <v>94.91</v>
      </c>
      <c r="I37" s="35"/>
      <c r="J37" s="35">
        <f>IF(Source!BA27&lt;&gt; 0, Source!BA27, 1)</f>
        <v>6.11</v>
      </c>
      <c r="K37" s="34">
        <f>Source!S27</f>
        <v>579.89</v>
      </c>
      <c r="L37" s="36"/>
      <c r="R37">
        <f>H37</f>
        <v>94.91</v>
      </c>
    </row>
    <row r="38" spans="1:26" ht="14.25" x14ac:dyDescent="0.2">
      <c r="A38" s="49"/>
      <c r="B38" s="50"/>
      <c r="C38" s="50" t="s">
        <v>356</v>
      </c>
      <c r="D38" s="33"/>
      <c r="E38" s="12"/>
      <c r="F38" s="34">
        <f>Source!AM27</f>
        <v>255.21</v>
      </c>
      <c r="G38" s="35" t="str">
        <f>Source!DE27</f>
        <v>)*1,25</v>
      </c>
      <c r="H38" s="34">
        <f>ROUND(Source!AD27*Source!I27, 2)</f>
        <v>20.67</v>
      </c>
      <c r="I38" s="35"/>
      <c r="J38" s="35">
        <f>IF(Source!BB27&lt;&gt; 0, Source!BB27, 1)</f>
        <v>6.11</v>
      </c>
      <c r="K38" s="34">
        <f>Source!Q27</f>
        <v>126.3</v>
      </c>
      <c r="L38" s="36"/>
    </row>
    <row r="39" spans="1:26" ht="14.25" x14ac:dyDescent="0.2">
      <c r="A39" s="49"/>
      <c r="B39" s="50"/>
      <c r="C39" s="50" t="s">
        <v>792</v>
      </c>
      <c r="D39" s="33"/>
      <c r="E39" s="12"/>
      <c r="F39" s="34">
        <f>Source!AN27</f>
        <v>50.32</v>
      </c>
      <c r="G39" s="35" t="str">
        <f>Source!DF27</f>
        <v>)*1,25</v>
      </c>
      <c r="H39" s="37">
        <f>ROUND(Source!AE27*Source!I27, 2)</f>
        <v>4.08</v>
      </c>
      <c r="I39" s="35"/>
      <c r="J39" s="35">
        <f>IF(Source!BS27&lt;&gt; 0, Source!BS27, 1)</f>
        <v>6.11</v>
      </c>
      <c r="K39" s="37">
        <f>Source!R27</f>
        <v>24.9</v>
      </c>
      <c r="L39" s="36"/>
      <c r="R39">
        <f>H39</f>
        <v>4.08</v>
      </c>
    </row>
    <row r="40" spans="1:26" ht="14.25" x14ac:dyDescent="0.2">
      <c r="A40" s="49"/>
      <c r="B40" s="50"/>
      <c r="C40" s="50" t="s">
        <v>798</v>
      </c>
      <c r="D40" s="33"/>
      <c r="E40" s="12"/>
      <c r="F40" s="34">
        <f>Source!AL27</f>
        <v>8298.35</v>
      </c>
      <c r="G40" s="35" t="str">
        <f>Source!DD27</f>
        <v/>
      </c>
      <c r="H40" s="34">
        <f>ROUND(Source!AC27*Source!I27, 2)</f>
        <v>537.73</v>
      </c>
      <c r="I40" s="35"/>
      <c r="J40" s="35">
        <f>IF(Source!BC27&lt;&gt; 0, Source!BC27, 1)</f>
        <v>6.11</v>
      </c>
      <c r="K40" s="34">
        <f>Source!P27</f>
        <v>3285.55</v>
      </c>
      <c r="L40" s="36"/>
    </row>
    <row r="41" spans="1:26" ht="14.25" x14ac:dyDescent="0.2">
      <c r="A41" s="49"/>
      <c r="B41" s="50"/>
      <c r="C41" s="50" t="s">
        <v>793</v>
      </c>
      <c r="D41" s="33" t="s">
        <v>794</v>
      </c>
      <c r="E41" s="12">
        <f>Source!BZ27</f>
        <v>118</v>
      </c>
      <c r="F41" s="67" t="str">
        <f>CONCATENATE(" )", Source!DL27, Source!FT27, "=", Source!FX27)</f>
        <v xml:space="preserve"> )*0,9=106,2</v>
      </c>
      <c r="G41" s="68"/>
      <c r="H41" s="34">
        <f>SUM(S35:S44)</f>
        <v>105.13</v>
      </c>
      <c r="I41" s="38"/>
      <c r="J41" s="31">
        <f>Source!AT27</f>
        <v>106</v>
      </c>
      <c r="K41" s="34">
        <f>SUM(T35:T44)</f>
        <v>641.08000000000004</v>
      </c>
      <c r="L41" s="36"/>
    </row>
    <row r="42" spans="1:26" ht="14.25" x14ac:dyDescent="0.2">
      <c r="A42" s="49"/>
      <c r="B42" s="50"/>
      <c r="C42" s="50" t="s">
        <v>795</v>
      </c>
      <c r="D42" s="33" t="s">
        <v>794</v>
      </c>
      <c r="E42" s="12">
        <f>Source!CA27</f>
        <v>63</v>
      </c>
      <c r="F42" s="67" t="str">
        <f>CONCATENATE(" )", Source!DM27, Source!FU27, "=", Source!FY27)</f>
        <v xml:space="preserve"> )*0,85=53,55</v>
      </c>
      <c r="G42" s="68"/>
      <c r="H42" s="34">
        <f>SUM(U35:U44)</f>
        <v>53.01</v>
      </c>
      <c r="I42" s="38"/>
      <c r="J42" s="31">
        <f>Source!AU27</f>
        <v>54</v>
      </c>
      <c r="K42" s="34">
        <f>SUM(V35:V44)</f>
        <v>326.58999999999997</v>
      </c>
      <c r="L42" s="36"/>
    </row>
    <row r="43" spans="1:26" ht="14.25" x14ac:dyDescent="0.2">
      <c r="A43" s="49"/>
      <c r="B43" s="50"/>
      <c r="C43" s="50" t="s">
        <v>796</v>
      </c>
      <c r="D43" s="33" t="s">
        <v>797</v>
      </c>
      <c r="E43" s="12">
        <f>Source!AQ27</f>
        <v>145.72</v>
      </c>
      <c r="F43" s="34"/>
      <c r="G43" s="35" t="str">
        <f>Source!DI27</f>
        <v>)*1,15</v>
      </c>
      <c r="H43" s="34"/>
      <c r="I43" s="35"/>
      <c r="J43" s="35"/>
      <c r="K43" s="34"/>
      <c r="L43" s="45">
        <f>Source!U27</f>
        <v>10.859054399999998</v>
      </c>
    </row>
    <row r="44" spans="1:26" ht="71.25" x14ac:dyDescent="0.2">
      <c r="A44" s="51" t="str">
        <f>Source!E29</f>
        <v>2,1</v>
      </c>
      <c r="B44" s="52" t="str">
        <f>Source!F29</f>
        <v>11.3.02.01-0019</v>
      </c>
      <c r="C44" s="52" t="str">
        <f>Source!G29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D44" s="39" t="str">
        <f>Source!H29</f>
        <v>м2</v>
      </c>
      <c r="E44" s="40">
        <f>Source!I29</f>
        <v>6.48</v>
      </c>
      <c r="F44" s="41">
        <f>Source!AL29+Source!AM29+Source!AO29</f>
        <v>2554.73</v>
      </c>
      <c r="G44" s="46" t="s">
        <v>6</v>
      </c>
      <c r="H44" s="41">
        <f>ROUND(Source!AC29*Source!I29, 2)+ROUND(Source!AD29*Source!I29, 2)+ROUND(Source!AF29*Source!I29, 2)</f>
        <v>16554.650000000001</v>
      </c>
      <c r="I44" s="42"/>
      <c r="J44" s="42">
        <f>IF(Source!BC29&lt;&gt; 0, Source!BC29, 1)</f>
        <v>6.11</v>
      </c>
      <c r="K44" s="41">
        <f>Source!O29</f>
        <v>101148.91</v>
      </c>
      <c r="L44" s="47"/>
      <c r="S44">
        <f>ROUND((Source!FX29/100)*((ROUND(Source!AF29*Source!I29, 2)+ROUND(Source!AE29*Source!I29, 2))), 2)</f>
        <v>0</v>
      </c>
      <c r="T44">
        <f>Source!X29</f>
        <v>0</v>
      </c>
      <c r="U44">
        <f>ROUND((Source!FY29/100)*((ROUND(Source!AF29*Source!I29, 2)+ROUND(Source!AE29*Source!I29, 2))), 2)</f>
        <v>0</v>
      </c>
      <c r="V44">
        <f>Source!Y29</f>
        <v>0</v>
      </c>
      <c r="W44">
        <f>IF(Source!BI29&lt;=1,H44, 0)</f>
        <v>16554.650000000001</v>
      </c>
      <c r="X44">
        <f>IF(Source!BI29=2,H44, 0)</f>
        <v>0</v>
      </c>
      <c r="Y44">
        <f>IF(Source!BI29=3,H44, 0)</f>
        <v>0</v>
      </c>
      <c r="Z44">
        <f>IF(Source!BI29=4,H44, 0)</f>
        <v>0</v>
      </c>
    </row>
    <row r="45" spans="1:26" ht="15" x14ac:dyDescent="0.25">
      <c r="G45" s="66">
        <f>H37+H38+H40+H41+H42+SUM(H44:H44)</f>
        <v>17366.100000000002</v>
      </c>
      <c r="H45" s="66"/>
      <c r="J45" s="66">
        <f>K37+K38+K40+K41+K42+SUM(K44:K44)</f>
        <v>106108.32</v>
      </c>
      <c r="K45" s="66"/>
      <c r="L45" s="44">
        <f>Source!U27</f>
        <v>10.859054399999998</v>
      </c>
      <c r="O45" s="27">
        <f>G45</f>
        <v>17366.100000000002</v>
      </c>
      <c r="P45" s="27">
        <f>J45</f>
        <v>106108.32</v>
      </c>
      <c r="Q45" s="27">
        <f>L45</f>
        <v>10.859054399999998</v>
      </c>
      <c r="W45">
        <f>IF(Source!BI27&lt;=1,H37+H38+H40+H41+H42, 0)</f>
        <v>811.45</v>
      </c>
      <c r="X45">
        <f>IF(Source!BI27=2,H37+H38+H40+H41+H42, 0)</f>
        <v>0</v>
      </c>
      <c r="Y45">
        <f>IF(Source!BI27=3,H37+H38+H40+H41+H42, 0)</f>
        <v>0</v>
      </c>
      <c r="Z45">
        <f>IF(Source!BI27=4,H37+H38+H40+H41+H42, 0)</f>
        <v>0</v>
      </c>
    </row>
    <row r="46" spans="1:26" ht="42.75" x14ac:dyDescent="0.2">
      <c r="A46" s="49" t="str">
        <f>Source!E31</f>
        <v>3</v>
      </c>
      <c r="B46" s="50" t="str">
        <f>Source!F31</f>
        <v>10-01-035-03</v>
      </c>
      <c r="C46" s="50" t="str">
        <f>Source!G31</f>
        <v>Установка подоконных досок из ПВХ в каменных стенах толщиной свыше 0,51 м</v>
      </c>
      <c r="D46" s="33" t="str">
        <f>Source!H31</f>
        <v>100 м</v>
      </c>
      <c r="E46" s="12">
        <f>Source!I31</f>
        <v>3.2000000000000001E-2</v>
      </c>
      <c r="F46" s="34">
        <f>Source!AL31+Source!AM31+Source!AO31</f>
        <v>6481.1699999999992</v>
      </c>
      <c r="G46" s="35"/>
      <c r="H46" s="34"/>
      <c r="I46" s="35" t="str">
        <f>Source!BO31</f>
        <v/>
      </c>
      <c r="J46" s="35"/>
      <c r="K46" s="34"/>
      <c r="L46" s="36"/>
      <c r="S46">
        <f>ROUND((Source!FX31/100)*((ROUND(Source!AF31*Source!I31, 2)+ROUND(Source!AE31*Source!I31, 2))), 2)</f>
        <v>7.32</v>
      </c>
      <c r="T46">
        <f>Source!X31</f>
        <v>44.62</v>
      </c>
      <c r="U46">
        <f>ROUND((Source!FY31/100)*((ROUND(Source!AF31*Source!I31, 2)+ROUND(Source!AE31*Source!I31, 2))), 2)</f>
        <v>3.69</v>
      </c>
      <c r="V46">
        <f>Source!Y31</f>
        <v>22.73</v>
      </c>
    </row>
    <row r="47" spans="1:26" x14ac:dyDescent="0.2">
      <c r="C47" s="26" t="str">
        <f>"Объем: "&amp;Source!I31&amp;"=3,2/"&amp;"100"</f>
        <v>Объем: 0,032=3,2/100</v>
      </c>
    </row>
    <row r="48" spans="1:26" ht="14.25" x14ac:dyDescent="0.2">
      <c r="A48" s="49"/>
      <c r="B48" s="50"/>
      <c r="C48" s="50" t="s">
        <v>791</v>
      </c>
      <c r="D48" s="33"/>
      <c r="E48" s="12"/>
      <c r="F48" s="34">
        <f>Source!AO31</f>
        <v>182.37</v>
      </c>
      <c r="G48" s="35" t="str">
        <f>Source!DG31</f>
        <v>)*1,15</v>
      </c>
      <c r="H48" s="34">
        <f>ROUND(Source!AF31*Source!I31, 2)</f>
        <v>6.71</v>
      </c>
      <c r="I48" s="35"/>
      <c r="J48" s="35">
        <f>IF(Source!BA31&lt;&gt; 0, Source!BA31, 1)</f>
        <v>6.11</v>
      </c>
      <c r="K48" s="34">
        <f>Source!S31</f>
        <v>41.01</v>
      </c>
      <c r="L48" s="36"/>
      <c r="R48">
        <f>H48</f>
        <v>6.71</v>
      </c>
    </row>
    <row r="49" spans="1:26" ht="14.25" x14ac:dyDescent="0.2">
      <c r="A49" s="49"/>
      <c r="B49" s="50"/>
      <c r="C49" s="50" t="s">
        <v>356</v>
      </c>
      <c r="D49" s="33"/>
      <c r="E49" s="12"/>
      <c r="F49" s="34">
        <f>Source!AM31</f>
        <v>21.9</v>
      </c>
      <c r="G49" s="35" t="str">
        <f>Source!DE31</f>
        <v>)*1,25</v>
      </c>
      <c r="H49" s="34">
        <f>ROUND(Source!AD31*Source!I31, 2)</f>
        <v>0.88</v>
      </c>
      <c r="I49" s="35"/>
      <c r="J49" s="35">
        <f>IF(Source!BB31&lt;&gt; 0, Source!BB31, 1)</f>
        <v>6.11</v>
      </c>
      <c r="K49" s="34">
        <f>Source!Q31</f>
        <v>5.35</v>
      </c>
      <c r="L49" s="36"/>
    </row>
    <row r="50" spans="1:26" ht="14.25" x14ac:dyDescent="0.2">
      <c r="A50" s="49"/>
      <c r="B50" s="50"/>
      <c r="C50" s="50" t="s">
        <v>792</v>
      </c>
      <c r="D50" s="33"/>
      <c r="E50" s="12"/>
      <c r="F50" s="34">
        <f>Source!AN31</f>
        <v>4.43</v>
      </c>
      <c r="G50" s="35" t="str">
        <f>Source!DF31</f>
        <v>)*1,25</v>
      </c>
      <c r="H50" s="37">
        <f>ROUND(Source!AE31*Source!I31, 2)</f>
        <v>0.18</v>
      </c>
      <c r="I50" s="35"/>
      <c r="J50" s="35">
        <f>IF(Source!BS31&lt;&gt; 0, Source!BS31, 1)</f>
        <v>6.11</v>
      </c>
      <c r="K50" s="37">
        <f>Source!R31</f>
        <v>1.08</v>
      </c>
      <c r="L50" s="36"/>
      <c r="R50">
        <f>H50</f>
        <v>0.18</v>
      </c>
    </row>
    <row r="51" spans="1:26" ht="14.25" x14ac:dyDescent="0.2">
      <c r="A51" s="49"/>
      <c r="B51" s="50"/>
      <c r="C51" s="50" t="s">
        <v>798</v>
      </c>
      <c r="D51" s="33"/>
      <c r="E51" s="12"/>
      <c r="F51" s="34">
        <f>Source!AL31</f>
        <v>6276.9</v>
      </c>
      <c r="G51" s="35" t="str">
        <f>Source!DD31</f>
        <v/>
      </c>
      <c r="H51" s="34">
        <f>ROUND(Source!AC31*Source!I31, 2)</f>
        <v>200.86</v>
      </c>
      <c r="I51" s="35"/>
      <c r="J51" s="35">
        <f>IF(Source!BC31&lt;&gt; 0, Source!BC31, 1)</f>
        <v>6.11</v>
      </c>
      <c r="K51" s="34">
        <f>Source!P31</f>
        <v>1227.26</v>
      </c>
      <c r="L51" s="36"/>
    </row>
    <row r="52" spans="1:26" ht="14.25" x14ac:dyDescent="0.2">
      <c r="A52" s="49"/>
      <c r="B52" s="50"/>
      <c r="C52" s="50" t="s">
        <v>793</v>
      </c>
      <c r="D52" s="33" t="s">
        <v>794</v>
      </c>
      <c r="E52" s="12">
        <f>Source!BZ31</f>
        <v>118</v>
      </c>
      <c r="F52" s="67" t="str">
        <f>CONCATENATE(" )", Source!DL31, Source!FT31, "=", Source!FX31)</f>
        <v xml:space="preserve"> )*0,9=106,2</v>
      </c>
      <c r="G52" s="68"/>
      <c r="H52" s="34">
        <f>SUM(S46:S55)</f>
        <v>7.32</v>
      </c>
      <c r="I52" s="38"/>
      <c r="J52" s="31">
        <f>Source!AT31</f>
        <v>106</v>
      </c>
      <c r="K52" s="34">
        <f>SUM(T46:T55)</f>
        <v>44.62</v>
      </c>
      <c r="L52" s="36"/>
    </row>
    <row r="53" spans="1:26" ht="14.25" x14ac:dyDescent="0.2">
      <c r="A53" s="49"/>
      <c r="B53" s="50"/>
      <c r="C53" s="50" t="s">
        <v>795</v>
      </c>
      <c r="D53" s="33" t="s">
        <v>794</v>
      </c>
      <c r="E53" s="12">
        <f>Source!CA31</f>
        <v>63</v>
      </c>
      <c r="F53" s="67" t="str">
        <f>CONCATENATE(" )", Source!DM31, Source!FU31, "=", Source!FY31)</f>
        <v xml:space="preserve"> )*0,85=53,55</v>
      </c>
      <c r="G53" s="68"/>
      <c r="H53" s="34">
        <f>SUM(U46:U55)</f>
        <v>3.69</v>
      </c>
      <c r="I53" s="38"/>
      <c r="J53" s="31">
        <f>Source!AU31</f>
        <v>54</v>
      </c>
      <c r="K53" s="34">
        <f>SUM(V46:V55)</f>
        <v>22.73</v>
      </c>
      <c r="L53" s="36"/>
    </row>
    <row r="54" spans="1:26" ht="14.25" x14ac:dyDescent="0.2">
      <c r="A54" s="49"/>
      <c r="B54" s="50"/>
      <c r="C54" s="50" t="s">
        <v>796</v>
      </c>
      <c r="D54" s="33" t="s">
        <v>797</v>
      </c>
      <c r="E54" s="12">
        <f>Source!AQ31</f>
        <v>21.38</v>
      </c>
      <c r="F54" s="34"/>
      <c r="G54" s="35" t="str">
        <f>Source!DI31</f>
        <v>)*1,15</v>
      </c>
      <c r="H54" s="34"/>
      <c r="I54" s="35"/>
      <c r="J54" s="35"/>
      <c r="K54" s="34"/>
      <c r="L54" s="45">
        <f>Source!U31</f>
        <v>0.78678399999999993</v>
      </c>
    </row>
    <row r="55" spans="1:26" ht="28.5" x14ac:dyDescent="0.2">
      <c r="A55" s="51" t="str">
        <f>Source!E33</f>
        <v>3,1</v>
      </c>
      <c r="B55" s="52" t="str">
        <f>Source!F33</f>
        <v>11.3.03.01-0004</v>
      </c>
      <c r="C55" s="52" t="str">
        <f>Source!G33</f>
        <v>Доски подоконные ПВХ, шириной 250 мм</v>
      </c>
      <c r="D55" s="39" t="str">
        <f>Source!H33</f>
        <v>м</v>
      </c>
      <c r="E55" s="40">
        <f>Source!I33</f>
        <v>3.2</v>
      </c>
      <c r="F55" s="41">
        <f>Source!AL33+Source!AM33+Source!AO33</f>
        <v>32.42</v>
      </c>
      <c r="G55" s="46" t="s">
        <v>6</v>
      </c>
      <c r="H55" s="41">
        <f>ROUND(Source!AC33*Source!I33, 2)+ROUND(Source!AD33*Source!I33, 2)+ROUND(Source!AF33*Source!I33, 2)</f>
        <v>103.74</v>
      </c>
      <c r="I55" s="42"/>
      <c r="J55" s="42">
        <f>IF(Source!BC33&lt;&gt; 0, Source!BC33, 1)</f>
        <v>6.11</v>
      </c>
      <c r="K55" s="41">
        <f>Source!O33</f>
        <v>633.88</v>
      </c>
      <c r="L55" s="47"/>
      <c r="S55">
        <f>ROUND((Source!FX33/100)*((ROUND(Source!AF33*Source!I33, 2)+ROUND(Source!AE33*Source!I33, 2))), 2)</f>
        <v>0</v>
      </c>
      <c r="T55">
        <f>Source!X33</f>
        <v>0</v>
      </c>
      <c r="U55">
        <f>ROUND((Source!FY33/100)*((ROUND(Source!AF33*Source!I33, 2)+ROUND(Source!AE33*Source!I33, 2))), 2)</f>
        <v>0</v>
      </c>
      <c r="V55">
        <f>Source!Y33</f>
        <v>0</v>
      </c>
      <c r="W55">
        <f>IF(Source!BI33&lt;=1,H55, 0)</f>
        <v>103.74</v>
      </c>
      <c r="X55">
        <f>IF(Source!BI33=2,H55, 0)</f>
        <v>0</v>
      </c>
      <c r="Y55">
        <f>IF(Source!BI33=3,H55, 0)</f>
        <v>0</v>
      </c>
      <c r="Z55">
        <f>IF(Source!BI33=4,H55, 0)</f>
        <v>0</v>
      </c>
    </row>
    <row r="56" spans="1:26" ht="15" x14ac:dyDescent="0.25">
      <c r="G56" s="66">
        <f>H48+H49+H51+H52+H53+SUM(H55:H55)</f>
        <v>323.2</v>
      </c>
      <c r="H56" s="66"/>
      <c r="J56" s="66">
        <f>K48+K49+K51+K52+K53+SUM(K55:K55)</f>
        <v>1974.85</v>
      </c>
      <c r="K56" s="66"/>
      <c r="L56" s="44">
        <f>Source!U31</f>
        <v>0.78678399999999993</v>
      </c>
      <c r="O56" s="27">
        <f>G56</f>
        <v>323.2</v>
      </c>
      <c r="P56" s="27">
        <f>J56</f>
        <v>1974.85</v>
      </c>
      <c r="Q56" s="27">
        <f>L56</f>
        <v>0.78678399999999993</v>
      </c>
      <c r="W56">
        <f>IF(Source!BI31&lt;=1,H48+H49+H51+H52+H53, 0)</f>
        <v>219.46</v>
      </c>
      <c r="X56">
        <f>IF(Source!BI31=2,H48+H49+H51+H52+H53, 0)</f>
        <v>0</v>
      </c>
      <c r="Y56">
        <f>IF(Source!BI31=3,H48+H49+H51+H52+H53, 0)</f>
        <v>0</v>
      </c>
      <c r="Z56">
        <f>IF(Source!BI31=4,H48+H49+H51+H52+H53, 0)</f>
        <v>0</v>
      </c>
    </row>
    <row r="57" spans="1:26" ht="71.25" x14ac:dyDescent="0.2">
      <c r="A57" s="49" t="str">
        <f>Source!E35</f>
        <v>4</v>
      </c>
      <c r="B57" s="50" t="str">
        <f>Source!F35</f>
        <v>15-01-050-04</v>
      </c>
      <c r="C57" s="50" t="str">
        <f>Source!G35</f>
        <v>Облицовка оконных и дверных откосов декоративным бумажно-слоистым пластиком или листами из синтетических материалов на клее</v>
      </c>
      <c r="D57" s="33" t="str">
        <f>Source!H35</f>
        <v>100 м2</v>
      </c>
      <c r="E57" s="12">
        <f>Source!I35</f>
        <v>2.46E-2</v>
      </c>
      <c r="F57" s="34">
        <f>Source!AL35+Source!AM35+Source!AO35</f>
        <v>1563.91</v>
      </c>
      <c r="G57" s="35"/>
      <c r="H57" s="34"/>
      <c r="I57" s="35" t="str">
        <f>Source!BO35</f>
        <v/>
      </c>
      <c r="J57" s="35"/>
      <c r="K57" s="34"/>
      <c r="L57" s="36"/>
      <c r="S57">
        <f>ROUND((Source!FX35/100)*((ROUND(Source!AF35*Source!I35, 2)+ROUND(Source!AE35*Source!I35, 2))), 2)</f>
        <v>41.05</v>
      </c>
      <c r="T57">
        <f>Source!X35</f>
        <v>252.17</v>
      </c>
      <c r="U57">
        <f>ROUND((Source!FY35/100)*((ROUND(Source!AF35*Source!I35, 2)+ROUND(Source!AE35*Source!I35, 2))), 2)</f>
        <v>20.309999999999999</v>
      </c>
      <c r="V57">
        <f>Source!Y35</f>
        <v>124.76</v>
      </c>
    </row>
    <row r="58" spans="1:26" x14ac:dyDescent="0.2">
      <c r="C58" s="26" t="str">
        <f>"Объем: "&amp;Source!I35&amp;"=2,46/"&amp;"100"</f>
        <v>Объем: 0,0246=2,46/100</v>
      </c>
    </row>
    <row r="59" spans="1:26" ht="14.25" x14ac:dyDescent="0.2">
      <c r="A59" s="49"/>
      <c r="B59" s="50"/>
      <c r="C59" s="50" t="s">
        <v>791</v>
      </c>
      <c r="D59" s="33"/>
      <c r="E59" s="12"/>
      <c r="F59" s="34">
        <f>Source!AO35</f>
        <v>1528.19</v>
      </c>
      <c r="G59" s="35" t="str">
        <f>Source!DG35</f>
        <v>)*1,15</v>
      </c>
      <c r="H59" s="34">
        <f>ROUND(Source!AF35*Source!I35, 2)</f>
        <v>43.23</v>
      </c>
      <c r="I59" s="35"/>
      <c r="J59" s="35">
        <f>IF(Source!BA35&lt;&gt; 0, Source!BA35, 1)</f>
        <v>6.11</v>
      </c>
      <c r="K59" s="34">
        <f>Source!S35</f>
        <v>264.14999999999998</v>
      </c>
      <c r="L59" s="36"/>
      <c r="R59">
        <f>H59</f>
        <v>43.23</v>
      </c>
    </row>
    <row r="60" spans="1:26" ht="14.25" x14ac:dyDescent="0.2">
      <c r="A60" s="49"/>
      <c r="B60" s="50"/>
      <c r="C60" s="50" t="s">
        <v>356</v>
      </c>
      <c r="D60" s="33"/>
      <c r="E60" s="12"/>
      <c r="F60" s="34">
        <f>Source!AM35</f>
        <v>35.36</v>
      </c>
      <c r="G60" s="35" t="str">
        <f>Source!DE35</f>
        <v>)*1,25</v>
      </c>
      <c r="H60" s="34">
        <f>ROUND(Source!AD35*Source!I35, 2)</f>
        <v>1.0900000000000001</v>
      </c>
      <c r="I60" s="35"/>
      <c r="J60" s="35">
        <f>IF(Source!BB35&lt;&gt; 0, Source!BB35, 1)</f>
        <v>6.11</v>
      </c>
      <c r="K60" s="34">
        <f>Source!Q35</f>
        <v>6.64</v>
      </c>
      <c r="L60" s="36"/>
    </row>
    <row r="61" spans="1:26" ht="14.25" x14ac:dyDescent="0.2">
      <c r="A61" s="49"/>
      <c r="B61" s="50"/>
      <c r="C61" s="50" t="s">
        <v>792</v>
      </c>
      <c r="D61" s="33"/>
      <c r="E61" s="12"/>
      <c r="F61" s="34">
        <f>Source!AN35</f>
        <v>6.88</v>
      </c>
      <c r="G61" s="35" t="str">
        <f>Source!DF35</f>
        <v>)*1,25</v>
      </c>
      <c r="H61" s="37">
        <f>ROUND(Source!AE35*Source!I35, 2)</f>
        <v>0.21</v>
      </c>
      <c r="I61" s="35"/>
      <c r="J61" s="35">
        <f>IF(Source!BS35&lt;&gt; 0, Source!BS35, 1)</f>
        <v>6.11</v>
      </c>
      <c r="K61" s="37">
        <f>Source!R35</f>
        <v>1.29</v>
      </c>
      <c r="L61" s="36"/>
      <c r="R61">
        <f>H61</f>
        <v>0.21</v>
      </c>
    </row>
    <row r="62" spans="1:26" ht="14.25" x14ac:dyDescent="0.2">
      <c r="A62" s="49"/>
      <c r="B62" s="50"/>
      <c r="C62" s="50" t="s">
        <v>798</v>
      </c>
      <c r="D62" s="33"/>
      <c r="E62" s="12"/>
      <c r="F62" s="34">
        <f>Source!AL35</f>
        <v>0.36</v>
      </c>
      <c r="G62" s="35" t="str">
        <f>Source!DD35</f>
        <v/>
      </c>
      <c r="H62" s="34">
        <f>ROUND(Source!AC35*Source!I35, 2)</f>
        <v>0.01</v>
      </c>
      <c r="I62" s="35"/>
      <c r="J62" s="35">
        <f>IF(Source!BC35&lt;&gt; 0, Source!BC35, 1)</f>
        <v>6.11</v>
      </c>
      <c r="K62" s="34">
        <f>Source!P35</f>
        <v>0.05</v>
      </c>
      <c r="L62" s="36"/>
    </row>
    <row r="63" spans="1:26" ht="14.25" x14ac:dyDescent="0.2">
      <c r="A63" s="49"/>
      <c r="B63" s="50"/>
      <c r="C63" s="50" t="s">
        <v>793</v>
      </c>
      <c r="D63" s="33" t="s">
        <v>794</v>
      </c>
      <c r="E63" s="12">
        <f>Source!BZ35</f>
        <v>105</v>
      </c>
      <c r="F63" s="67" t="str">
        <f>CONCATENATE(" )", Source!DL35, Source!FT35, "=", Source!FX35)</f>
        <v xml:space="preserve"> )*0,9=94,5</v>
      </c>
      <c r="G63" s="68"/>
      <c r="H63" s="34">
        <f>SUM(S57:S68)</f>
        <v>41.05</v>
      </c>
      <c r="I63" s="38"/>
      <c r="J63" s="31">
        <f>Source!AT35</f>
        <v>95</v>
      </c>
      <c r="K63" s="34">
        <f>SUM(T57:T68)</f>
        <v>252.17</v>
      </c>
      <c r="L63" s="36"/>
    </row>
    <row r="64" spans="1:26" ht="14.25" x14ac:dyDescent="0.2">
      <c r="A64" s="49"/>
      <c r="B64" s="50"/>
      <c r="C64" s="50" t="s">
        <v>795</v>
      </c>
      <c r="D64" s="33" t="s">
        <v>794</v>
      </c>
      <c r="E64" s="12">
        <f>Source!CA35</f>
        <v>55</v>
      </c>
      <c r="F64" s="67" t="str">
        <f>CONCATENATE(" )", Source!DM35, Source!FU35, "=", Source!FY35)</f>
        <v xml:space="preserve"> )*0,85=46,75</v>
      </c>
      <c r="G64" s="68"/>
      <c r="H64" s="34">
        <f>SUM(U57:U68)</f>
        <v>20.309999999999999</v>
      </c>
      <c r="I64" s="38"/>
      <c r="J64" s="31">
        <f>Source!AU35</f>
        <v>47</v>
      </c>
      <c r="K64" s="34">
        <f>SUM(V57:V68)</f>
        <v>124.76</v>
      </c>
      <c r="L64" s="36"/>
    </row>
    <row r="65" spans="1:26" ht="14.25" x14ac:dyDescent="0.2">
      <c r="A65" s="49"/>
      <c r="B65" s="50"/>
      <c r="C65" s="50" t="s">
        <v>796</v>
      </c>
      <c r="D65" s="33" t="s">
        <v>797</v>
      </c>
      <c r="E65" s="12">
        <f>Source!AQ35</f>
        <v>166.47</v>
      </c>
      <c r="F65" s="34"/>
      <c r="G65" s="35" t="str">
        <f>Source!DI35</f>
        <v>)*1,15</v>
      </c>
      <c r="H65" s="34"/>
      <c r="I65" s="35"/>
      <c r="J65" s="35"/>
      <c r="K65" s="34"/>
      <c r="L65" s="45">
        <f>Source!U35</f>
        <v>4.7094363000000001</v>
      </c>
    </row>
    <row r="66" spans="1:26" ht="85.5" x14ac:dyDescent="0.2">
      <c r="A66" s="49" t="str">
        <f>Source!E37</f>
        <v>4,1</v>
      </c>
      <c r="B66" s="50" t="str">
        <f>Source!F37</f>
        <v>11.3.03.05-0011</v>
      </c>
      <c r="C66" s="50" t="str">
        <f>Source!G37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66" s="33" t="str">
        <f>Source!H37</f>
        <v>м2</v>
      </c>
      <c r="E66" s="12">
        <f>Source!I37</f>
        <v>2.5830000000000002</v>
      </c>
      <c r="F66" s="34">
        <f>Source!AL37+Source!AM37+Source!AO37</f>
        <v>59.16</v>
      </c>
      <c r="G66" s="48" t="s">
        <v>6</v>
      </c>
      <c r="H66" s="34">
        <f>ROUND(Source!AC37*Source!I37, 2)+ROUND(Source!AD37*Source!I37, 2)+ROUND(Source!AF37*Source!I37, 2)</f>
        <v>152.81</v>
      </c>
      <c r="I66" s="35"/>
      <c r="J66" s="35">
        <f>IF(Source!BC37&lt;&gt; 0, Source!BC37, 1)</f>
        <v>6.11</v>
      </c>
      <c r="K66" s="34">
        <f>Source!O37</f>
        <v>933.67</v>
      </c>
      <c r="L66" s="36"/>
      <c r="S66">
        <f>ROUND((Source!FX37/100)*((ROUND(Source!AF37*Source!I37, 2)+ROUND(Source!AE37*Source!I37, 2))), 2)</f>
        <v>0</v>
      </c>
      <c r="T66">
        <f>Source!X37</f>
        <v>0</v>
      </c>
      <c r="U66">
        <f>ROUND((Source!FY37/100)*((ROUND(Source!AF37*Source!I37, 2)+ROUND(Source!AE37*Source!I37, 2))), 2)</f>
        <v>0</v>
      </c>
      <c r="V66">
        <f>Source!Y37</f>
        <v>0</v>
      </c>
      <c r="W66">
        <f>IF(Source!BI37&lt;=1,H66, 0)</f>
        <v>152.81</v>
      </c>
      <c r="X66">
        <f>IF(Source!BI37=2,H66, 0)</f>
        <v>0</v>
      </c>
      <c r="Y66">
        <f>IF(Source!BI37=3,H66, 0)</f>
        <v>0</v>
      </c>
      <c r="Z66">
        <f>IF(Source!BI37=4,H66, 0)</f>
        <v>0</v>
      </c>
    </row>
    <row r="67" spans="1:26" ht="28.5" x14ac:dyDescent="0.2">
      <c r="A67" s="49" t="str">
        <f>Source!E39</f>
        <v>4,2</v>
      </c>
      <c r="B67" s="50" t="str">
        <f>Source!F39</f>
        <v>14.1.02.04-0102</v>
      </c>
      <c r="C67" s="50" t="str">
        <f>Source!G39</f>
        <v>Клей Forbo 522, для укладки ПВХ-покрытий</v>
      </c>
      <c r="D67" s="33" t="str">
        <f>Source!H39</f>
        <v>кг</v>
      </c>
      <c r="E67" s="12">
        <f>Source!I39</f>
        <v>0.73799999999999999</v>
      </c>
      <c r="F67" s="34">
        <f>Source!AL39+Source!AM39+Source!AO39</f>
        <v>25.56</v>
      </c>
      <c r="G67" s="48" t="s">
        <v>6</v>
      </c>
      <c r="H67" s="34">
        <f>ROUND(Source!AC39*Source!I39, 2)+ROUND(Source!AD39*Source!I39, 2)+ROUND(Source!AF39*Source!I39, 2)</f>
        <v>18.86</v>
      </c>
      <c r="I67" s="35"/>
      <c r="J67" s="35">
        <f>IF(Source!BC39&lt;&gt; 0, Source!BC39, 1)</f>
        <v>6.11</v>
      </c>
      <c r="K67" s="34">
        <f>Source!O39</f>
        <v>115.25</v>
      </c>
      <c r="L67" s="36"/>
      <c r="S67">
        <f>ROUND((Source!FX39/100)*((ROUND(Source!AF39*Source!I39, 2)+ROUND(Source!AE39*Source!I39, 2))), 2)</f>
        <v>0</v>
      </c>
      <c r="T67">
        <f>Source!X39</f>
        <v>0</v>
      </c>
      <c r="U67">
        <f>ROUND((Source!FY39/100)*((ROUND(Source!AF39*Source!I39, 2)+ROUND(Source!AE39*Source!I39, 2))), 2)</f>
        <v>0</v>
      </c>
      <c r="V67">
        <f>Source!Y39</f>
        <v>0</v>
      </c>
      <c r="W67">
        <f>IF(Source!BI39&lt;=1,H67, 0)</f>
        <v>18.86</v>
      </c>
      <c r="X67">
        <f>IF(Source!BI39=2,H67, 0)</f>
        <v>0</v>
      </c>
      <c r="Y67">
        <f>IF(Source!BI39=3,H67, 0)</f>
        <v>0</v>
      </c>
      <c r="Z67">
        <f>IF(Source!BI39=4,H67, 0)</f>
        <v>0</v>
      </c>
    </row>
    <row r="68" spans="1:26" ht="28.5" x14ac:dyDescent="0.2">
      <c r="A68" s="51" t="str">
        <f>Source!E41</f>
        <v>4,3</v>
      </c>
      <c r="B68" s="52" t="str">
        <f>Source!F41</f>
        <v>14.3.01.02-0102</v>
      </c>
      <c r="C68" s="52" t="str">
        <f>Source!G41</f>
        <v>Грунтовка: водно-дисперсионная "БИРСС Бетон-контакт"</v>
      </c>
      <c r="D68" s="39" t="str">
        <f>Source!H41</f>
        <v>т</v>
      </c>
      <c r="E68" s="40">
        <f>Source!I41</f>
        <v>2.1900000000000004E-4</v>
      </c>
      <c r="F68" s="41">
        <f>Source!AL41+Source!AM41+Source!AO41</f>
        <v>18390.16</v>
      </c>
      <c r="G68" s="46" t="s">
        <v>6</v>
      </c>
      <c r="H68" s="41">
        <f>ROUND(Source!AC41*Source!I41, 2)+ROUND(Source!AD41*Source!I41, 2)+ROUND(Source!AF41*Source!I41, 2)</f>
        <v>4.03</v>
      </c>
      <c r="I68" s="42"/>
      <c r="J68" s="42">
        <f>IF(Source!BC41&lt;&gt; 0, Source!BC41, 1)</f>
        <v>6.11</v>
      </c>
      <c r="K68" s="41">
        <f>Source!O41</f>
        <v>24.61</v>
      </c>
      <c r="L68" s="47"/>
      <c r="S68">
        <f>ROUND((Source!FX41/100)*((ROUND(Source!AF41*Source!I41, 2)+ROUND(Source!AE41*Source!I41, 2))), 2)</f>
        <v>0</v>
      </c>
      <c r="T68">
        <f>Source!X41</f>
        <v>0</v>
      </c>
      <c r="U68">
        <f>ROUND((Source!FY41/100)*((ROUND(Source!AF41*Source!I41, 2)+ROUND(Source!AE41*Source!I41, 2))), 2)</f>
        <v>0</v>
      </c>
      <c r="V68">
        <f>Source!Y41</f>
        <v>0</v>
      </c>
      <c r="W68">
        <f>IF(Source!BI41&lt;=1,H68, 0)</f>
        <v>4.03</v>
      </c>
      <c r="X68">
        <f>IF(Source!BI41=2,H68, 0)</f>
        <v>0</v>
      </c>
      <c r="Y68">
        <f>IF(Source!BI41=3,H68, 0)</f>
        <v>0</v>
      </c>
      <c r="Z68">
        <f>IF(Source!BI41=4,H68, 0)</f>
        <v>0</v>
      </c>
    </row>
    <row r="69" spans="1:26" ht="15" x14ac:dyDescent="0.25">
      <c r="G69" s="66">
        <f>H59+H60+H62+H63+H64+SUM(H66:H68)</f>
        <v>281.39</v>
      </c>
      <c r="H69" s="66"/>
      <c r="J69" s="66">
        <f>K59+K60+K62+K63+K64+SUM(K66:K68)</f>
        <v>1721.3</v>
      </c>
      <c r="K69" s="66"/>
      <c r="L69" s="44">
        <f>Source!U35</f>
        <v>4.7094363000000001</v>
      </c>
      <c r="O69" s="27">
        <f>G69</f>
        <v>281.39</v>
      </c>
      <c r="P69" s="27">
        <f>J69</f>
        <v>1721.3</v>
      </c>
      <c r="Q69" s="27">
        <f>L69</f>
        <v>4.7094363000000001</v>
      </c>
      <c r="W69">
        <f>IF(Source!BI35&lt;=1,H59+H60+H62+H63+H64, 0)</f>
        <v>105.69</v>
      </c>
      <c r="X69">
        <f>IF(Source!BI35=2,H59+H60+H62+H63+H64, 0)</f>
        <v>0</v>
      </c>
      <c r="Y69">
        <f>IF(Source!BI35=3,H59+H60+H62+H63+H64, 0)</f>
        <v>0</v>
      </c>
      <c r="Z69">
        <f>IF(Source!BI35=4,H59+H60+H62+H63+H64, 0)</f>
        <v>0</v>
      </c>
    </row>
    <row r="70" spans="1:26" ht="14.25" x14ac:dyDescent="0.2">
      <c r="A70" s="49" t="str">
        <f>Source!E43</f>
        <v>5</v>
      </c>
      <c r="B70" s="50" t="str">
        <f>Source!F43</f>
        <v>10-01-036-01</v>
      </c>
      <c r="C70" s="50" t="str">
        <f>Source!G43</f>
        <v>Установка уголков ПВХ на клее</v>
      </c>
      <c r="D70" s="33" t="str">
        <f>Source!H43</f>
        <v>100 м</v>
      </c>
      <c r="E70" s="12">
        <f>Source!I43</f>
        <v>0.123</v>
      </c>
      <c r="F70" s="34">
        <f>Source!AL43+Source!AM43+Source!AO43</f>
        <v>93.15</v>
      </c>
      <c r="G70" s="35"/>
      <c r="H70" s="34"/>
      <c r="I70" s="35" t="str">
        <f>Source!BO43</f>
        <v/>
      </c>
      <c r="J70" s="35"/>
      <c r="K70" s="34"/>
      <c r="L70" s="36"/>
      <c r="S70">
        <f>ROUND((Source!FX43/100)*((ROUND(Source!AF43*Source!I43, 2)+ROUND(Source!AE43*Source!I43, 2))), 2)</f>
        <v>8.58</v>
      </c>
      <c r="T70">
        <f>Source!X43</f>
        <v>52.35</v>
      </c>
      <c r="U70">
        <f>ROUND((Source!FY43/100)*((ROUND(Source!AF43*Source!I43, 2)+ROUND(Source!AE43*Source!I43, 2))), 2)</f>
        <v>4.33</v>
      </c>
      <c r="V70">
        <f>Source!Y43</f>
        <v>26.67</v>
      </c>
    </row>
    <row r="71" spans="1:26" x14ac:dyDescent="0.2">
      <c r="C71" s="26" t="str">
        <f>"Объем: "&amp;Source!I43&amp;"=12,3/"&amp;"100"</f>
        <v>Объем: 0,123=12,3/100</v>
      </c>
    </row>
    <row r="72" spans="1:26" ht="14.25" x14ac:dyDescent="0.2">
      <c r="A72" s="49"/>
      <c r="B72" s="50"/>
      <c r="C72" s="50" t="s">
        <v>791</v>
      </c>
      <c r="D72" s="33"/>
      <c r="E72" s="12"/>
      <c r="F72" s="34">
        <f>Source!AO43</f>
        <v>57.15</v>
      </c>
      <c r="G72" s="35" t="str">
        <f>Source!DG43</f>
        <v>)*1,15</v>
      </c>
      <c r="H72" s="34">
        <f>ROUND(Source!AF43*Source!I43, 2)</f>
        <v>8.08</v>
      </c>
      <c r="I72" s="35"/>
      <c r="J72" s="35">
        <f>IF(Source!BA43&lt;&gt; 0, Source!BA43, 1)</f>
        <v>6.11</v>
      </c>
      <c r="K72" s="34">
        <f>Source!S43</f>
        <v>49.39</v>
      </c>
      <c r="L72" s="36"/>
      <c r="R72">
        <f>H72</f>
        <v>8.08</v>
      </c>
    </row>
    <row r="73" spans="1:26" ht="14.25" x14ac:dyDescent="0.2">
      <c r="A73" s="49"/>
      <c r="B73" s="50"/>
      <c r="C73" s="50" t="s">
        <v>798</v>
      </c>
      <c r="D73" s="33"/>
      <c r="E73" s="12"/>
      <c r="F73" s="34">
        <f>Source!AL43</f>
        <v>36</v>
      </c>
      <c r="G73" s="35" t="str">
        <f>Source!DD43</f>
        <v/>
      </c>
      <c r="H73" s="34">
        <f>ROUND(Source!AC43*Source!I43, 2)</f>
        <v>4.43</v>
      </c>
      <c r="I73" s="35"/>
      <c r="J73" s="35">
        <f>IF(Source!BC43&lt;&gt; 0, Source!BC43, 1)</f>
        <v>6.11</v>
      </c>
      <c r="K73" s="34">
        <f>Source!P43</f>
        <v>27.06</v>
      </c>
      <c r="L73" s="36"/>
    </row>
    <row r="74" spans="1:26" ht="14.25" x14ac:dyDescent="0.2">
      <c r="A74" s="49"/>
      <c r="B74" s="50"/>
      <c r="C74" s="50" t="s">
        <v>793</v>
      </c>
      <c r="D74" s="33" t="s">
        <v>794</v>
      </c>
      <c r="E74" s="12">
        <f>Source!BZ43</f>
        <v>118</v>
      </c>
      <c r="F74" s="67" t="str">
        <f>CONCATENATE(" )", Source!DL43, Source!FT43, "=", Source!FX43)</f>
        <v xml:space="preserve"> )*0,9=106,2</v>
      </c>
      <c r="G74" s="68"/>
      <c r="H74" s="34">
        <f>SUM(S70:S77)</f>
        <v>8.58</v>
      </c>
      <c r="I74" s="38"/>
      <c r="J74" s="31">
        <f>Source!AT43</f>
        <v>106</v>
      </c>
      <c r="K74" s="34">
        <f>SUM(T70:T77)</f>
        <v>52.35</v>
      </c>
      <c r="L74" s="36"/>
    </row>
    <row r="75" spans="1:26" ht="14.25" x14ac:dyDescent="0.2">
      <c r="A75" s="49"/>
      <c r="B75" s="50"/>
      <c r="C75" s="50" t="s">
        <v>795</v>
      </c>
      <c r="D75" s="33" t="s">
        <v>794</v>
      </c>
      <c r="E75" s="12">
        <f>Source!CA43</f>
        <v>63</v>
      </c>
      <c r="F75" s="67" t="str">
        <f>CONCATENATE(" )", Source!DM43, Source!FU43, "=", Source!FY43)</f>
        <v xml:space="preserve"> )*0,85=53,55</v>
      </c>
      <c r="G75" s="68"/>
      <c r="H75" s="34">
        <f>SUM(U70:U77)</f>
        <v>4.33</v>
      </c>
      <c r="I75" s="38"/>
      <c r="J75" s="31">
        <f>Source!AU43</f>
        <v>54</v>
      </c>
      <c r="K75" s="34">
        <f>SUM(V70:V77)</f>
        <v>26.67</v>
      </c>
      <c r="L75" s="36"/>
    </row>
    <row r="76" spans="1:26" ht="14.25" x14ac:dyDescent="0.2">
      <c r="A76" s="49"/>
      <c r="B76" s="50"/>
      <c r="C76" s="50" t="s">
        <v>796</v>
      </c>
      <c r="D76" s="33" t="s">
        <v>797</v>
      </c>
      <c r="E76" s="12">
        <f>Source!AQ43</f>
        <v>6.7</v>
      </c>
      <c r="F76" s="34"/>
      <c r="G76" s="35" t="str">
        <f>Source!DI43</f>
        <v>)*1,15</v>
      </c>
      <c r="H76" s="34"/>
      <c r="I76" s="35"/>
      <c r="J76" s="35"/>
      <c r="K76" s="34"/>
      <c r="L76" s="45">
        <f>Source!U43</f>
        <v>0.94771499999999986</v>
      </c>
    </row>
    <row r="77" spans="1:26" ht="28.5" x14ac:dyDescent="0.2">
      <c r="A77" s="51" t="str">
        <f>Source!E45</f>
        <v>5,1</v>
      </c>
      <c r="B77" s="52" t="str">
        <f>Source!F45</f>
        <v>11.3.03.13-0045</v>
      </c>
      <c r="C77" s="52" t="str">
        <f>Source!G45</f>
        <v>Уголок ПВХ, размером 30х30 мм</v>
      </c>
      <c r="D77" s="39" t="str">
        <f>Source!H45</f>
        <v>10 м</v>
      </c>
      <c r="E77" s="40">
        <f>Source!I45</f>
        <v>1.23</v>
      </c>
      <c r="F77" s="41">
        <f>Source!AL45+Source!AM45+Source!AO45</f>
        <v>32.4</v>
      </c>
      <c r="G77" s="46" t="s">
        <v>6</v>
      </c>
      <c r="H77" s="41">
        <f>ROUND(Source!AC45*Source!I45, 2)+ROUND(Source!AD45*Source!I45, 2)+ROUND(Source!AF45*Source!I45, 2)</f>
        <v>39.85</v>
      </c>
      <c r="I77" s="42"/>
      <c r="J77" s="42">
        <f>IF(Source!BC45&lt;&gt; 0, Source!BC45, 1)</f>
        <v>6.11</v>
      </c>
      <c r="K77" s="41">
        <f>Source!O45</f>
        <v>243.5</v>
      </c>
      <c r="L77" s="47"/>
      <c r="S77">
        <f>ROUND((Source!FX45/100)*((ROUND(Source!AF45*Source!I45, 2)+ROUND(Source!AE45*Source!I45, 2))), 2)</f>
        <v>0</v>
      </c>
      <c r="T77">
        <f>Source!X45</f>
        <v>0</v>
      </c>
      <c r="U77">
        <f>ROUND((Source!FY45/100)*((ROUND(Source!AF45*Source!I45, 2)+ROUND(Source!AE45*Source!I45, 2))), 2)</f>
        <v>0</v>
      </c>
      <c r="V77">
        <f>Source!Y45</f>
        <v>0</v>
      </c>
      <c r="W77">
        <f>IF(Source!BI45&lt;=1,H77, 0)</f>
        <v>39.85</v>
      </c>
      <c r="X77">
        <f>IF(Source!BI45=2,H77, 0)</f>
        <v>0</v>
      </c>
      <c r="Y77">
        <f>IF(Source!BI45=3,H77, 0)</f>
        <v>0</v>
      </c>
      <c r="Z77">
        <f>IF(Source!BI45=4,H77, 0)</f>
        <v>0</v>
      </c>
    </row>
    <row r="78" spans="1:26" ht="15" x14ac:dyDescent="0.25">
      <c r="G78" s="66">
        <f>H72+H73+H74+H75+SUM(H77:H77)</f>
        <v>65.27000000000001</v>
      </c>
      <c r="H78" s="66"/>
      <c r="J78" s="66">
        <f>K72+K73+K74+K75+SUM(K77:K77)</f>
        <v>398.97</v>
      </c>
      <c r="K78" s="66"/>
      <c r="L78" s="44">
        <f>Source!U43</f>
        <v>0.94771499999999986</v>
      </c>
      <c r="O78" s="27">
        <f>G78</f>
        <v>65.27000000000001</v>
      </c>
      <c r="P78" s="27">
        <f>J78</f>
        <v>398.97</v>
      </c>
      <c r="Q78" s="27">
        <f>L78</f>
        <v>0.94771499999999986</v>
      </c>
      <c r="W78">
        <f>IF(Source!BI43&lt;=1,H72+H73+H74+H75, 0)</f>
        <v>25.42</v>
      </c>
      <c r="X78">
        <f>IF(Source!BI43=2,H72+H73+H74+H75, 0)</f>
        <v>0</v>
      </c>
      <c r="Y78">
        <f>IF(Source!BI43=3,H72+H73+H74+H75, 0)</f>
        <v>0</v>
      </c>
      <c r="Z78">
        <f>IF(Source!BI43=4,H72+H73+H74+H75, 0)</f>
        <v>0</v>
      </c>
    </row>
    <row r="79" spans="1:26" ht="42.75" x14ac:dyDescent="0.2">
      <c r="A79" s="49" t="str">
        <f>Source!E47</f>
        <v>6</v>
      </c>
      <c r="B79" s="50" t="str">
        <f>Source!F47</f>
        <v>09-06-001-02</v>
      </c>
      <c r="C79" s="50" t="str">
        <f>Source!G47</f>
        <v>Демонтаж лотков, решеток, затворов из полосовой и тонколистовой стали</v>
      </c>
      <c r="D79" s="33" t="str">
        <f>Source!H47</f>
        <v>т</v>
      </c>
      <c r="E79" s="12">
        <f>Source!I47</f>
        <v>0.05</v>
      </c>
      <c r="F79" s="34">
        <f>Source!AL47+Source!AM47+Source!AO47</f>
        <v>641</v>
      </c>
      <c r="G79" s="35"/>
      <c r="H79" s="34"/>
      <c r="I79" s="35" t="str">
        <f>Source!BO47</f>
        <v/>
      </c>
      <c r="J79" s="35"/>
      <c r="K79" s="34"/>
      <c r="L79" s="36"/>
      <c r="S79">
        <f>ROUND((Source!FX47/100)*((ROUND(Source!AF47*Source!I47, 2)+ROUND(Source!AE47*Source!I47, 2))), 2)</f>
        <v>12.38</v>
      </c>
      <c r="T79">
        <f>Source!X47</f>
        <v>75.709999999999994</v>
      </c>
      <c r="U79">
        <f>ROUND((Source!FY47/100)*((ROUND(Source!AF47*Source!I47, 2)+ROUND(Source!AE47*Source!I47, 2))), 2)</f>
        <v>11.05</v>
      </c>
      <c r="V79">
        <f>Source!Y47</f>
        <v>67.3</v>
      </c>
    </row>
    <row r="80" spans="1:26" ht="14.25" x14ac:dyDescent="0.2">
      <c r="A80" s="49"/>
      <c r="B80" s="50"/>
      <c r="C80" s="50" t="s">
        <v>791</v>
      </c>
      <c r="D80" s="33"/>
      <c r="E80" s="12"/>
      <c r="F80" s="34">
        <f>Source!AO47</f>
        <v>433.24</v>
      </c>
      <c r="G80" s="35" t="str">
        <f>Source!DG47</f>
        <v>)*0,7</v>
      </c>
      <c r="H80" s="34">
        <f>ROUND(Source!AF47*Source!I47, 2)</f>
        <v>15.16</v>
      </c>
      <c r="I80" s="35"/>
      <c r="J80" s="35">
        <f>IF(Source!BA47&lt;&gt; 0, Source!BA47, 1)</f>
        <v>6.11</v>
      </c>
      <c r="K80" s="34">
        <f>Source!S47</f>
        <v>92.65</v>
      </c>
      <c r="L80" s="36"/>
      <c r="R80">
        <f>H80</f>
        <v>15.16</v>
      </c>
    </row>
    <row r="81" spans="1:26" ht="14.25" x14ac:dyDescent="0.2">
      <c r="A81" s="49"/>
      <c r="B81" s="50"/>
      <c r="C81" s="50" t="s">
        <v>356</v>
      </c>
      <c r="D81" s="33"/>
      <c r="E81" s="12"/>
      <c r="F81" s="34">
        <f>Source!AM47</f>
        <v>125.8</v>
      </c>
      <c r="G81" s="35" t="str">
        <f>Source!DE47</f>
        <v>)*0,7</v>
      </c>
      <c r="H81" s="34">
        <f>ROUND(Source!AD47*Source!I47, 2)</f>
        <v>4.4000000000000004</v>
      </c>
      <c r="I81" s="35"/>
      <c r="J81" s="35">
        <f>IF(Source!BB47&lt;&gt; 0, Source!BB47, 1)</f>
        <v>6.11</v>
      </c>
      <c r="K81" s="34">
        <f>Source!Q47</f>
        <v>26.9</v>
      </c>
      <c r="L81" s="36"/>
    </row>
    <row r="82" spans="1:26" ht="14.25" x14ac:dyDescent="0.2">
      <c r="A82" s="49"/>
      <c r="B82" s="50"/>
      <c r="C82" s="50" t="s">
        <v>792</v>
      </c>
      <c r="D82" s="33"/>
      <c r="E82" s="12"/>
      <c r="F82" s="34">
        <f>Source!AN47</f>
        <v>3.82</v>
      </c>
      <c r="G82" s="35" t="str">
        <f>Source!DF47</f>
        <v>)*0,7</v>
      </c>
      <c r="H82" s="37">
        <f>ROUND(Source!AE47*Source!I47, 2)</f>
        <v>0.13</v>
      </c>
      <c r="I82" s="35"/>
      <c r="J82" s="35">
        <f>IF(Source!BS47&lt;&gt; 0, Source!BS47, 1)</f>
        <v>6.11</v>
      </c>
      <c r="K82" s="37">
        <f>Source!R47</f>
        <v>0.82</v>
      </c>
      <c r="L82" s="36"/>
      <c r="R82">
        <f>H82</f>
        <v>0.13</v>
      </c>
    </row>
    <row r="83" spans="1:26" ht="14.25" x14ac:dyDescent="0.2">
      <c r="A83" s="49"/>
      <c r="B83" s="50"/>
      <c r="C83" s="50" t="s">
        <v>793</v>
      </c>
      <c r="D83" s="33" t="s">
        <v>794</v>
      </c>
      <c r="E83" s="12">
        <f>Source!BZ47</f>
        <v>90</v>
      </c>
      <c r="F83" s="67" t="str">
        <f>CONCATENATE(" )", Source!DL47, Source!FT47, "=", Source!FX47)</f>
        <v xml:space="preserve"> )*0,9=81</v>
      </c>
      <c r="G83" s="68"/>
      <c r="H83" s="34">
        <f>SUM(S79:S85)</f>
        <v>12.38</v>
      </c>
      <c r="I83" s="38"/>
      <c r="J83" s="31">
        <f>Source!AT47</f>
        <v>81</v>
      </c>
      <c r="K83" s="34">
        <f>SUM(T79:T85)</f>
        <v>75.709999999999994</v>
      </c>
      <c r="L83" s="36"/>
    </row>
    <row r="84" spans="1:26" ht="14.25" x14ac:dyDescent="0.2">
      <c r="A84" s="49"/>
      <c r="B84" s="50"/>
      <c r="C84" s="50" t="s">
        <v>795</v>
      </c>
      <c r="D84" s="33" t="s">
        <v>794</v>
      </c>
      <c r="E84" s="12">
        <f>Source!CA47</f>
        <v>85</v>
      </c>
      <c r="F84" s="67" t="str">
        <f>CONCATENATE(" )", Source!DM47, Source!FU47, "=", Source!FY47)</f>
        <v xml:space="preserve"> )*0,85=72,25</v>
      </c>
      <c r="G84" s="68"/>
      <c r="H84" s="34">
        <f>SUM(U79:U85)</f>
        <v>11.05</v>
      </c>
      <c r="I84" s="38"/>
      <c r="J84" s="31">
        <f>Source!AU47</f>
        <v>72</v>
      </c>
      <c r="K84" s="34">
        <f>SUM(V79:V85)</f>
        <v>67.3</v>
      </c>
      <c r="L84" s="36"/>
    </row>
    <row r="85" spans="1:26" ht="14.25" x14ac:dyDescent="0.2">
      <c r="A85" s="51"/>
      <c r="B85" s="52"/>
      <c r="C85" s="52" t="s">
        <v>796</v>
      </c>
      <c r="D85" s="39" t="s">
        <v>797</v>
      </c>
      <c r="E85" s="40">
        <f>Source!AQ47</f>
        <v>50.79</v>
      </c>
      <c r="F85" s="41"/>
      <c r="G85" s="42" t="str">
        <f>Source!DI47</f>
        <v>)*0,7</v>
      </c>
      <c r="H85" s="41"/>
      <c r="I85" s="42"/>
      <c r="J85" s="42"/>
      <c r="K85" s="41"/>
      <c r="L85" s="43">
        <f>Source!U47</f>
        <v>1.77765</v>
      </c>
    </row>
    <row r="86" spans="1:26" ht="15" x14ac:dyDescent="0.25">
      <c r="G86" s="66">
        <f>H80+H81+H83+H84</f>
        <v>42.990000000000009</v>
      </c>
      <c r="H86" s="66"/>
      <c r="J86" s="66">
        <f>K80+K81+K83+K84</f>
        <v>262.56</v>
      </c>
      <c r="K86" s="66"/>
      <c r="L86" s="44">
        <f>Source!U47</f>
        <v>1.77765</v>
      </c>
      <c r="O86" s="27">
        <f>G86</f>
        <v>42.990000000000009</v>
      </c>
      <c r="P86" s="27">
        <f>J86</f>
        <v>262.56</v>
      </c>
      <c r="Q86" s="27">
        <f>L86</f>
        <v>1.77765</v>
      </c>
      <c r="W86">
        <f>IF(Source!BI47&lt;=1,H80+H81+H83+H84, 0)</f>
        <v>42.990000000000009</v>
      </c>
      <c r="X86">
        <f>IF(Source!BI47=2,H80+H81+H83+H84, 0)</f>
        <v>0</v>
      </c>
      <c r="Y86">
        <f>IF(Source!BI47=3,H80+H81+H83+H84, 0)</f>
        <v>0</v>
      </c>
      <c r="Z86">
        <f>IF(Source!BI47=4,H80+H81+H83+H84, 0)</f>
        <v>0</v>
      </c>
    </row>
    <row r="87" spans="1:26" ht="42.75" x14ac:dyDescent="0.2">
      <c r="A87" s="49" t="str">
        <f>Source!E49</f>
        <v>7</v>
      </c>
      <c r="B87" s="50" t="str">
        <f>Source!F49</f>
        <v>58-20-1</v>
      </c>
      <c r="C87" s="50" t="str">
        <f>Source!G49</f>
        <v>Смена обделок из листовой стали (поясков, сандриков, отливов, карнизов) шириной до 0,4 м</v>
      </c>
      <c r="D87" s="33" t="str">
        <f>Source!H49</f>
        <v>100 м</v>
      </c>
      <c r="E87" s="12">
        <f>Source!I49</f>
        <v>2.8000000000000001E-2</v>
      </c>
      <c r="F87" s="34">
        <f>Source!AL49+Source!AM49+Source!AO49</f>
        <v>454.41</v>
      </c>
      <c r="G87" s="35"/>
      <c r="H87" s="34"/>
      <c r="I87" s="35" t="str">
        <f>Source!BO49</f>
        <v/>
      </c>
      <c r="J87" s="35"/>
      <c r="K87" s="34"/>
      <c r="L87" s="36"/>
      <c r="S87">
        <f>ROUND((Source!FX49/100)*((ROUND(Source!AF49*Source!I49, 2)+ROUND(Source!AE49*Source!I49, 2))), 2)</f>
        <v>8.24</v>
      </c>
      <c r="T87">
        <f>Source!X49</f>
        <v>50.37</v>
      </c>
      <c r="U87">
        <f>ROUND((Source!FY49/100)*((ROUND(Source!AF49*Source!I49, 2)+ROUND(Source!AE49*Source!I49, 2))), 2)</f>
        <v>6.45</v>
      </c>
      <c r="V87">
        <f>Source!Y49</f>
        <v>39.450000000000003</v>
      </c>
    </row>
    <row r="88" spans="1:26" x14ac:dyDescent="0.2">
      <c r="C88" s="26" t="str">
        <f>"Объем: "&amp;Source!I49&amp;"=2,8/"&amp;"100"</f>
        <v>Объем: 0,028=2,8/100</v>
      </c>
    </row>
    <row r="89" spans="1:26" ht="14.25" x14ac:dyDescent="0.2">
      <c r="A89" s="49"/>
      <c r="B89" s="50"/>
      <c r="C89" s="50" t="s">
        <v>791</v>
      </c>
      <c r="D89" s="33"/>
      <c r="E89" s="12"/>
      <c r="F89" s="34">
        <f>Source!AO49</f>
        <v>353.23</v>
      </c>
      <c r="G89" s="35" t="str">
        <f>Source!DG49</f>
        <v/>
      </c>
      <c r="H89" s="34">
        <f>ROUND(Source!AF49*Source!I49, 2)</f>
        <v>9.89</v>
      </c>
      <c r="I89" s="35"/>
      <c r="J89" s="35">
        <f>IF(Source!BA49&lt;&gt; 0, Source!BA49, 1)</f>
        <v>6.11</v>
      </c>
      <c r="K89" s="34">
        <f>Source!S49</f>
        <v>60.43</v>
      </c>
      <c r="L89" s="36"/>
      <c r="R89">
        <f>H89</f>
        <v>9.89</v>
      </c>
    </row>
    <row r="90" spans="1:26" ht="14.25" x14ac:dyDescent="0.2">
      <c r="A90" s="49"/>
      <c r="B90" s="50"/>
      <c r="C90" s="50" t="s">
        <v>356</v>
      </c>
      <c r="D90" s="33"/>
      <c r="E90" s="12"/>
      <c r="F90" s="34">
        <f>Source!AM49</f>
        <v>5.13</v>
      </c>
      <c r="G90" s="35" t="str">
        <f>Source!DE49</f>
        <v/>
      </c>
      <c r="H90" s="34">
        <f>ROUND(Source!AD49*Source!I49, 2)</f>
        <v>0.14000000000000001</v>
      </c>
      <c r="I90" s="35"/>
      <c r="J90" s="35">
        <f>IF(Source!BB49&lt;&gt; 0, Source!BB49, 1)</f>
        <v>6.11</v>
      </c>
      <c r="K90" s="34">
        <f>Source!Q49</f>
        <v>0.88</v>
      </c>
      <c r="L90" s="36"/>
    </row>
    <row r="91" spans="1:26" ht="14.25" x14ac:dyDescent="0.2">
      <c r="A91" s="49"/>
      <c r="B91" s="50"/>
      <c r="C91" s="50" t="s">
        <v>792</v>
      </c>
      <c r="D91" s="33"/>
      <c r="E91" s="12"/>
      <c r="F91" s="34">
        <f>Source!AN49</f>
        <v>1.54</v>
      </c>
      <c r="G91" s="35" t="str">
        <f>Source!DF49</f>
        <v/>
      </c>
      <c r="H91" s="37">
        <f>ROUND(Source!AE49*Source!I49, 2)</f>
        <v>0.04</v>
      </c>
      <c r="I91" s="35"/>
      <c r="J91" s="35">
        <f>IF(Source!BS49&lt;&gt; 0, Source!BS49, 1)</f>
        <v>6.11</v>
      </c>
      <c r="K91" s="37">
        <f>Source!R49</f>
        <v>0.26</v>
      </c>
      <c r="L91" s="36"/>
      <c r="R91">
        <f>H91</f>
        <v>0.04</v>
      </c>
    </row>
    <row r="92" spans="1:26" ht="14.25" x14ac:dyDescent="0.2">
      <c r="A92" s="49"/>
      <c r="B92" s="50"/>
      <c r="C92" s="50" t="s">
        <v>798</v>
      </c>
      <c r="D92" s="33"/>
      <c r="E92" s="12"/>
      <c r="F92" s="34">
        <f>Source!AL49</f>
        <v>96.05</v>
      </c>
      <c r="G92" s="35" t="str">
        <f>Source!DD49</f>
        <v/>
      </c>
      <c r="H92" s="34">
        <f>ROUND(Source!AC49*Source!I49, 2)</f>
        <v>2.69</v>
      </c>
      <c r="I92" s="35"/>
      <c r="J92" s="35">
        <f>IF(Source!BC49&lt;&gt; 0, Source!BC49, 1)</f>
        <v>6.11</v>
      </c>
      <c r="K92" s="34">
        <f>Source!P49</f>
        <v>16.43</v>
      </c>
      <c r="L92" s="36"/>
    </row>
    <row r="93" spans="1:26" ht="14.25" x14ac:dyDescent="0.2">
      <c r="A93" s="49"/>
      <c r="B93" s="50"/>
      <c r="C93" s="50" t="s">
        <v>793</v>
      </c>
      <c r="D93" s="33" t="s">
        <v>794</v>
      </c>
      <c r="E93" s="12">
        <f>Source!BZ49</f>
        <v>83</v>
      </c>
      <c r="F93" s="53"/>
      <c r="G93" s="35"/>
      <c r="H93" s="34">
        <f>SUM(S87:S97)</f>
        <v>8.24</v>
      </c>
      <c r="I93" s="38"/>
      <c r="J93" s="31">
        <f>Source!AT49</f>
        <v>83</v>
      </c>
      <c r="K93" s="34">
        <f>SUM(T87:T97)</f>
        <v>50.37</v>
      </c>
      <c r="L93" s="36"/>
    </row>
    <row r="94" spans="1:26" ht="14.25" x14ac:dyDescent="0.2">
      <c r="A94" s="49"/>
      <c r="B94" s="50"/>
      <c r="C94" s="50" t="s">
        <v>795</v>
      </c>
      <c r="D94" s="33" t="s">
        <v>794</v>
      </c>
      <c r="E94" s="12">
        <f>Source!CA49</f>
        <v>65</v>
      </c>
      <c r="F94" s="53"/>
      <c r="G94" s="35"/>
      <c r="H94" s="34">
        <f>SUM(U87:U97)</f>
        <v>6.45</v>
      </c>
      <c r="I94" s="38"/>
      <c r="J94" s="31">
        <f>Source!AU49</f>
        <v>65</v>
      </c>
      <c r="K94" s="34">
        <f>SUM(V87:V97)</f>
        <v>39.450000000000003</v>
      </c>
      <c r="L94" s="36"/>
    </row>
    <row r="95" spans="1:26" ht="14.25" x14ac:dyDescent="0.2">
      <c r="A95" s="49"/>
      <c r="B95" s="50"/>
      <c r="C95" s="50" t="s">
        <v>796</v>
      </c>
      <c r="D95" s="33" t="s">
        <v>797</v>
      </c>
      <c r="E95" s="12">
        <f>Source!AQ49</f>
        <v>41.41</v>
      </c>
      <c r="F95" s="34"/>
      <c r="G95" s="35" t="str">
        <f>Source!DI49</f>
        <v/>
      </c>
      <c r="H95" s="34"/>
      <c r="I95" s="35"/>
      <c r="J95" s="35"/>
      <c r="K95" s="34"/>
      <c r="L95" s="45">
        <f>Source!U49</f>
        <v>1.1594799999999998</v>
      </c>
    </row>
    <row r="96" spans="1:26" ht="14.25" x14ac:dyDescent="0.2">
      <c r="A96" s="49" t="str">
        <f>Source!E51</f>
        <v>7,1</v>
      </c>
      <c r="B96" s="50" t="str">
        <f>Source!F51</f>
        <v>08.3.05.05</v>
      </c>
      <c r="C96" s="50" t="str">
        <f>Source!G51</f>
        <v>Сталь листовая оцинкованная</v>
      </c>
      <c r="D96" s="33" t="str">
        <f>Source!H51</f>
        <v>т</v>
      </c>
      <c r="E96" s="12">
        <f>Source!I51</f>
        <v>5.1520000000000003E-3</v>
      </c>
      <c r="F96" s="34">
        <f>Source!AL51+Source!AM51+Source!AO51</f>
        <v>0</v>
      </c>
      <c r="G96" s="48" t="s">
        <v>6</v>
      </c>
      <c r="H96" s="34">
        <f>ROUND(Source!AC51*Source!I51, 2)+ROUND(Source!AD51*Source!I51, 2)+ROUND(Source!AF51*Source!I51, 2)</f>
        <v>0</v>
      </c>
      <c r="I96" s="35"/>
      <c r="J96" s="35">
        <f>IF(Source!BC51&lt;&gt; 0, Source!BC51, 1)</f>
        <v>6.11</v>
      </c>
      <c r="K96" s="34">
        <f>Source!O51</f>
        <v>0</v>
      </c>
      <c r="L96" s="36"/>
      <c r="S96">
        <f>ROUND((Source!FX51/100)*((ROUND(Source!AF51*Source!I51, 2)+ROUND(Source!AE51*Source!I51, 2))), 2)</f>
        <v>0</v>
      </c>
      <c r="T96">
        <f>Source!X51</f>
        <v>0</v>
      </c>
      <c r="U96">
        <f>ROUND((Source!FY51/100)*((ROUND(Source!AF51*Source!I51, 2)+ROUND(Source!AE51*Source!I51, 2))), 2)</f>
        <v>0</v>
      </c>
      <c r="V96">
        <f>Source!Y51</f>
        <v>0</v>
      </c>
      <c r="W96">
        <f>IF(Source!BI51&lt;=1,H96, 0)</f>
        <v>0</v>
      </c>
      <c r="X96">
        <f>IF(Source!BI51=2,H96, 0)</f>
        <v>0</v>
      </c>
      <c r="Y96">
        <f>IF(Source!BI51=3,H96, 0)</f>
        <v>0</v>
      </c>
      <c r="Z96">
        <f>IF(Source!BI51=4,H96, 0)</f>
        <v>0</v>
      </c>
    </row>
    <row r="97" spans="1:26" ht="42.75" x14ac:dyDescent="0.2">
      <c r="A97" s="51" t="str">
        <f>Source!E53</f>
        <v>7,2</v>
      </c>
      <c r="B97" s="52" t="str">
        <f>Source!F53</f>
        <v>08.1.02.03-0021</v>
      </c>
      <c r="C97" s="52" t="str">
        <f>Source!G53</f>
        <v>Водоотлив оконный шириной планки 200 мм из оцинкованной стали с полимерным покрытием прим.</v>
      </c>
      <c r="D97" s="39" t="str">
        <f>Source!H53</f>
        <v>П.М</v>
      </c>
      <c r="E97" s="40">
        <f>Source!I53</f>
        <v>2.8</v>
      </c>
      <c r="F97" s="41">
        <f>Source!AL53+Source!AM53+Source!AO53</f>
        <v>26.41</v>
      </c>
      <c r="G97" s="46" t="s">
        <v>6</v>
      </c>
      <c r="H97" s="41">
        <f>ROUND(Source!AC53*Source!I53, 2)+ROUND(Source!AD53*Source!I53, 2)+ROUND(Source!AF53*Source!I53, 2)</f>
        <v>73.95</v>
      </c>
      <c r="I97" s="42"/>
      <c r="J97" s="42">
        <f>IF(Source!BC53&lt;&gt; 0, Source!BC53, 1)</f>
        <v>6.11</v>
      </c>
      <c r="K97" s="41">
        <f>Source!O53</f>
        <v>451.82</v>
      </c>
      <c r="L97" s="47"/>
      <c r="S97">
        <f>ROUND((Source!FX53/100)*((ROUND(Source!AF53*Source!I53, 2)+ROUND(Source!AE53*Source!I53, 2))), 2)</f>
        <v>0</v>
      </c>
      <c r="T97">
        <f>Source!X53</f>
        <v>0</v>
      </c>
      <c r="U97">
        <f>ROUND((Source!FY53/100)*((ROUND(Source!AF53*Source!I53, 2)+ROUND(Source!AE53*Source!I53, 2))), 2)</f>
        <v>0</v>
      </c>
      <c r="V97">
        <f>Source!Y53</f>
        <v>0</v>
      </c>
      <c r="W97">
        <f>IF(Source!BI53&lt;=1,H97, 0)</f>
        <v>73.95</v>
      </c>
      <c r="X97">
        <f>IF(Source!BI53=2,H97, 0)</f>
        <v>0</v>
      </c>
      <c r="Y97">
        <f>IF(Source!BI53=3,H97, 0)</f>
        <v>0</v>
      </c>
      <c r="Z97">
        <f>IF(Source!BI53=4,H97, 0)</f>
        <v>0</v>
      </c>
    </row>
    <row r="98" spans="1:26" ht="15" x14ac:dyDescent="0.25">
      <c r="G98" s="66">
        <f>H89+H90+H92+H93+H94+SUM(H96:H97)</f>
        <v>101.36</v>
      </c>
      <c r="H98" s="66"/>
      <c r="J98" s="66">
        <f>K89+K90+K92+K93+K94+SUM(K96:K97)</f>
        <v>619.38</v>
      </c>
      <c r="K98" s="66"/>
      <c r="L98" s="44">
        <f>Source!U49</f>
        <v>1.1594799999999998</v>
      </c>
      <c r="O98" s="27">
        <f>G98</f>
        <v>101.36</v>
      </c>
      <c r="P98" s="27">
        <f>J98</f>
        <v>619.38</v>
      </c>
      <c r="Q98" s="27">
        <f>L98</f>
        <v>1.1594799999999998</v>
      </c>
      <c r="W98">
        <f>IF(Source!BI49&lt;=1,H89+H90+H92+H93+H94, 0)</f>
        <v>27.41</v>
      </c>
      <c r="X98">
        <f>IF(Source!BI49=2,H89+H90+H92+H93+H94, 0)</f>
        <v>0</v>
      </c>
      <c r="Y98">
        <f>IF(Source!BI49=3,H89+H90+H92+H93+H94, 0)</f>
        <v>0</v>
      </c>
      <c r="Z98">
        <f>IF(Source!BI49=4,H89+H90+H92+H93+H94, 0)</f>
        <v>0</v>
      </c>
    </row>
    <row r="99" spans="1:26" ht="42.75" x14ac:dyDescent="0.2">
      <c r="A99" s="49" t="str">
        <f>Source!E55</f>
        <v>8</v>
      </c>
      <c r="B99" s="50" t="str">
        <f>Source!F55</f>
        <v>63-14-2</v>
      </c>
      <c r="C99" s="50" t="str">
        <f>Source!G55</f>
        <v>Замена элементов облицовки потолков: реечных без замены каркаса (плит "Аrmstrong") прим.</v>
      </c>
      <c r="D99" s="33" t="str">
        <f>Source!H55</f>
        <v>100 м2</v>
      </c>
      <c r="E99" s="12">
        <f>Source!I55</f>
        <v>0.108</v>
      </c>
      <c r="F99" s="34">
        <f>Source!AL55+Source!AM55+Source!AO55</f>
        <v>26574.629999999997</v>
      </c>
      <c r="G99" s="35"/>
      <c r="H99" s="34"/>
      <c r="I99" s="35" t="str">
        <f>Source!BO55</f>
        <v/>
      </c>
      <c r="J99" s="35"/>
      <c r="K99" s="34"/>
      <c r="L99" s="36"/>
      <c r="S99">
        <f>ROUND((Source!FX55/100)*((ROUND(Source!AF55*Source!I55, 2)+ROUND(Source!AE55*Source!I55, 2))), 2)</f>
        <v>52.28</v>
      </c>
      <c r="T99">
        <f>Source!X55</f>
        <v>319.43</v>
      </c>
      <c r="U99">
        <f>ROUND((Source!FY55/100)*((ROUND(Source!AF55*Source!I55, 2)+ROUND(Source!AE55*Source!I55, 2))), 2)</f>
        <v>33.950000000000003</v>
      </c>
      <c r="V99">
        <f>Source!Y55</f>
        <v>207.42</v>
      </c>
    </row>
    <row r="100" spans="1:26" x14ac:dyDescent="0.2">
      <c r="C100" s="26" t="str">
        <f>"Объем: "&amp;Source!I55&amp;"=10,8/"&amp;"100"</f>
        <v>Объем: 0,108=10,8/100</v>
      </c>
    </row>
    <row r="101" spans="1:26" ht="14.25" x14ac:dyDescent="0.2">
      <c r="A101" s="49"/>
      <c r="B101" s="50"/>
      <c r="C101" s="50" t="s">
        <v>791</v>
      </c>
      <c r="D101" s="33"/>
      <c r="E101" s="12"/>
      <c r="F101" s="34">
        <f>Source!AO55</f>
        <v>628.37</v>
      </c>
      <c r="G101" s="35" t="str">
        <f>Source!DG55</f>
        <v/>
      </c>
      <c r="H101" s="34">
        <f>ROUND(Source!AF55*Source!I55, 2)</f>
        <v>67.86</v>
      </c>
      <c r="I101" s="35"/>
      <c r="J101" s="35">
        <f>IF(Source!BA55&lt;&gt; 0, Source!BA55, 1)</f>
        <v>6.11</v>
      </c>
      <c r="K101" s="34">
        <f>Source!S55</f>
        <v>414.65</v>
      </c>
      <c r="L101" s="36"/>
      <c r="R101">
        <f>H101</f>
        <v>67.86</v>
      </c>
    </row>
    <row r="102" spans="1:26" ht="14.25" x14ac:dyDescent="0.2">
      <c r="A102" s="49"/>
      <c r="B102" s="50"/>
      <c r="C102" s="50" t="s">
        <v>356</v>
      </c>
      <c r="D102" s="33"/>
      <c r="E102" s="12"/>
      <c r="F102" s="34">
        <f>Source!AM55</f>
        <v>0.76</v>
      </c>
      <c r="G102" s="35" t="str">
        <f>Source!DE55</f>
        <v/>
      </c>
      <c r="H102" s="34">
        <f>ROUND(Source!AD55*Source!I55, 2)</f>
        <v>0.08</v>
      </c>
      <c r="I102" s="35"/>
      <c r="J102" s="35">
        <f>IF(Source!BB55&lt;&gt; 0, Source!BB55, 1)</f>
        <v>6.11</v>
      </c>
      <c r="K102" s="34">
        <f>Source!Q55</f>
        <v>0.5</v>
      </c>
      <c r="L102" s="36"/>
    </row>
    <row r="103" spans="1:26" ht="14.25" x14ac:dyDescent="0.2">
      <c r="A103" s="49"/>
      <c r="B103" s="50"/>
      <c r="C103" s="50" t="s">
        <v>792</v>
      </c>
      <c r="D103" s="33"/>
      <c r="E103" s="12"/>
      <c r="F103" s="34">
        <f>Source!AN55</f>
        <v>0.28999999999999998</v>
      </c>
      <c r="G103" s="35" t="str">
        <f>Source!DF55</f>
        <v/>
      </c>
      <c r="H103" s="37">
        <f>ROUND(Source!AE55*Source!I55, 2)</f>
        <v>0.03</v>
      </c>
      <c r="I103" s="35"/>
      <c r="J103" s="35">
        <f>IF(Source!BS55&lt;&gt; 0, Source!BS55, 1)</f>
        <v>6.11</v>
      </c>
      <c r="K103" s="37">
        <f>Source!R55</f>
        <v>0.19</v>
      </c>
      <c r="L103" s="36"/>
      <c r="R103">
        <f>H103</f>
        <v>0.03</v>
      </c>
    </row>
    <row r="104" spans="1:26" ht="14.25" x14ac:dyDescent="0.2">
      <c r="A104" s="49"/>
      <c r="B104" s="50"/>
      <c r="C104" s="50" t="s">
        <v>798</v>
      </c>
      <c r="D104" s="33"/>
      <c r="E104" s="12"/>
      <c r="F104" s="34">
        <f>Source!AL55</f>
        <v>25945.5</v>
      </c>
      <c r="G104" s="35" t="str">
        <f>Source!DD55</f>
        <v/>
      </c>
      <c r="H104" s="34">
        <f>ROUND(Source!AC55*Source!I55, 2)</f>
        <v>2802.11</v>
      </c>
      <c r="I104" s="35"/>
      <c r="J104" s="35">
        <f>IF(Source!BC55&lt;&gt; 0, Source!BC55, 1)</f>
        <v>6.11</v>
      </c>
      <c r="K104" s="34">
        <f>Source!P55</f>
        <v>17120.919999999998</v>
      </c>
      <c r="L104" s="36"/>
    </row>
    <row r="105" spans="1:26" ht="14.25" x14ac:dyDescent="0.2">
      <c r="A105" s="49"/>
      <c r="B105" s="50"/>
      <c r="C105" s="50" t="s">
        <v>793</v>
      </c>
      <c r="D105" s="33" t="s">
        <v>794</v>
      </c>
      <c r="E105" s="12">
        <f>Source!BZ55</f>
        <v>77</v>
      </c>
      <c r="F105" s="53"/>
      <c r="G105" s="35"/>
      <c r="H105" s="34">
        <f>SUM(S99:S109)</f>
        <v>52.28</v>
      </c>
      <c r="I105" s="38"/>
      <c r="J105" s="31">
        <f>Source!AT55</f>
        <v>77</v>
      </c>
      <c r="K105" s="34">
        <f>SUM(T99:T109)</f>
        <v>319.43</v>
      </c>
      <c r="L105" s="36"/>
    </row>
    <row r="106" spans="1:26" ht="14.25" x14ac:dyDescent="0.2">
      <c r="A106" s="49"/>
      <c r="B106" s="50"/>
      <c r="C106" s="50" t="s">
        <v>795</v>
      </c>
      <c r="D106" s="33" t="s">
        <v>794</v>
      </c>
      <c r="E106" s="12">
        <f>Source!CA55</f>
        <v>50</v>
      </c>
      <c r="F106" s="53"/>
      <c r="G106" s="35"/>
      <c r="H106" s="34">
        <f>SUM(U99:U109)</f>
        <v>33.950000000000003</v>
      </c>
      <c r="I106" s="38"/>
      <c r="J106" s="31">
        <f>Source!AU55</f>
        <v>50</v>
      </c>
      <c r="K106" s="34">
        <f>SUM(V99:V109)</f>
        <v>207.42</v>
      </c>
      <c r="L106" s="36"/>
    </row>
    <row r="107" spans="1:26" ht="14.25" x14ac:dyDescent="0.2">
      <c r="A107" s="49"/>
      <c r="B107" s="50"/>
      <c r="C107" s="50" t="s">
        <v>796</v>
      </c>
      <c r="D107" s="33" t="s">
        <v>797</v>
      </c>
      <c r="E107" s="12">
        <f>Source!AQ55</f>
        <v>69.28</v>
      </c>
      <c r="F107" s="34"/>
      <c r="G107" s="35" t="str">
        <f>Source!DI55</f>
        <v/>
      </c>
      <c r="H107" s="34"/>
      <c r="I107" s="35"/>
      <c r="J107" s="35"/>
      <c r="K107" s="34"/>
      <c r="L107" s="45">
        <f>Source!U55</f>
        <v>7.48224</v>
      </c>
    </row>
    <row r="108" spans="1:26" ht="28.5" x14ac:dyDescent="0.2">
      <c r="A108" s="49" t="str">
        <f>Source!E57</f>
        <v>8,1</v>
      </c>
      <c r="B108" s="50" t="str">
        <f>Source!F57</f>
        <v>09.2.02.02-0011</v>
      </c>
      <c r="C108" s="50" t="str">
        <f>Source!G57</f>
        <v>Рейка алюминиевая потолочная 100 мм</v>
      </c>
      <c r="D108" s="33" t="str">
        <f>Source!H57</f>
        <v>м</v>
      </c>
      <c r="E108" s="12">
        <f>Source!I57</f>
        <v>-113.4</v>
      </c>
      <c r="F108" s="34">
        <f>Source!AL57+Source!AM57+Source!AO57</f>
        <v>24.71</v>
      </c>
      <c r="G108" s="48" t="s">
        <v>6</v>
      </c>
      <c r="H108" s="34">
        <f>ROUND(Source!AC57*Source!I57, 2)+ROUND(Source!AD57*Source!I57, 2)+ROUND(Source!AF57*Source!I57, 2)</f>
        <v>-2802.11</v>
      </c>
      <c r="I108" s="35"/>
      <c r="J108" s="35">
        <f>IF(Source!BC57&lt;&gt; 0, Source!BC57, 1)</f>
        <v>6.11</v>
      </c>
      <c r="K108" s="34">
        <f>Source!O57</f>
        <v>-17120.919999999998</v>
      </c>
      <c r="L108" s="36"/>
      <c r="S108">
        <f>ROUND((Source!FX57/100)*((ROUND(Source!AF57*Source!I57, 2)+ROUND(Source!AE57*Source!I57, 2))), 2)</f>
        <v>0</v>
      </c>
      <c r="T108">
        <f>Source!X57</f>
        <v>0</v>
      </c>
      <c r="U108">
        <f>ROUND((Source!FY57/100)*((ROUND(Source!AF57*Source!I57, 2)+ROUND(Source!AE57*Source!I57, 2))), 2)</f>
        <v>0</v>
      </c>
      <c r="V108">
        <f>Source!Y57</f>
        <v>0</v>
      </c>
      <c r="W108">
        <f>IF(Source!BI57&lt;=1,H108, 0)</f>
        <v>-2802.11</v>
      </c>
      <c r="X108">
        <f>IF(Source!BI57=2,H108, 0)</f>
        <v>0</v>
      </c>
      <c r="Y108">
        <f>IF(Source!BI57=3,H108, 0)</f>
        <v>0</v>
      </c>
      <c r="Z108">
        <f>IF(Source!BI57=4,H108, 0)</f>
        <v>0</v>
      </c>
    </row>
    <row r="109" spans="1:26" ht="28.5" x14ac:dyDescent="0.2">
      <c r="A109" s="51" t="str">
        <f>Source!E59</f>
        <v>8,2</v>
      </c>
      <c r="B109" s="52" t="str">
        <f>Source!F59</f>
        <v>01.6.04.02-0004</v>
      </c>
      <c r="C109" s="52" t="str">
        <f>Source!G59</f>
        <v>Панели потолочные декоративные, тип ARMSTRONG OASIS</v>
      </c>
      <c r="D109" s="39" t="str">
        <f>Source!H59</f>
        <v>м2</v>
      </c>
      <c r="E109" s="40">
        <f>Source!I59</f>
        <v>10.8</v>
      </c>
      <c r="F109" s="41">
        <f>Source!AL59+Source!AM59+Source!AO59</f>
        <v>54.72</v>
      </c>
      <c r="G109" s="46" t="s">
        <v>6</v>
      </c>
      <c r="H109" s="41">
        <f>ROUND(Source!AC59*Source!I59, 2)+ROUND(Source!AD59*Source!I59, 2)+ROUND(Source!AF59*Source!I59, 2)</f>
        <v>590.98</v>
      </c>
      <c r="I109" s="42"/>
      <c r="J109" s="42">
        <f>IF(Source!BC59&lt;&gt; 0, Source!BC59, 1)</f>
        <v>6.11</v>
      </c>
      <c r="K109" s="41">
        <f>Source!O59</f>
        <v>3610.86</v>
      </c>
      <c r="L109" s="47"/>
      <c r="S109">
        <f>ROUND((Source!FX59/100)*((ROUND(Source!AF59*Source!I59, 2)+ROUND(Source!AE59*Source!I59, 2))), 2)</f>
        <v>0</v>
      </c>
      <c r="T109">
        <f>Source!X59</f>
        <v>0</v>
      </c>
      <c r="U109">
        <f>ROUND((Source!FY59/100)*((ROUND(Source!AF59*Source!I59, 2)+ROUND(Source!AE59*Source!I59, 2))), 2)</f>
        <v>0</v>
      </c>
      <c r="V109">
        <f>Source!Y59</f>
        <v>0</v>
      </c>
      <c r="W109">
        <f>IF(Source!BI59&lt;=1,H109, 0)</f>
        <v>590.98</v>
      </c>
      <c r="X109">
        <f>IF(Source!BI59=2,H109, 0)</f>
        <v>0</v>
      </c>
      <c r="Y109">
        <f>IF(Source!BI59=3,H109, 0)</f>
        <v>0</v>
      </c>
      <c r="Z109">
        <f>IF(Source!BI59=4,H109, 0)</f>
        <v>0</v>
      </c>
    </row>
    <row r="110" spans="1:26" ht="15" x14ac:dyDescent="0.25">
      <c r="G110" s="66">
        <f>H101+H102+H104+H105+H106+SUM(H108:H109)</f>
        <v>745.15000000000009</v>
      </c>
      <c r="H110" s="66"/>
      <c r="J110" s="66">
        <f>K101+K102+K104+K105+K106+SUM(K108:K109)</f>
        <v>4552.8600000000006</v>
      </c>
      <c r="K110" s="66"/>
      <c r="L110" s="44">
        <f>Source!U55</f>
        <v>7.48224</v>
      </c>
      <c r="O110" s="27">
        <f>G110</f>
        <v>745.15000000000009</v>
      </c>
      <c r="P110" s="27">
        <f>J110</f>
        <v>4552.8600000000006</v>
      </c>
      <c r="Q110" s="27">
        <f>L110</f>
        <v>7.48224</v>
      </c>
      <c r="W110">
        <f>IF(Source!BI55&lt;=1,H101+H102+H104+H105+H106, 0)</f>
        <v>2956.28</v>
      </c>
      <c r="X110">
        <f>IF(Source!BI55=2,H101+H102+H104+H105+H106, 0)</f>
        <v>0</v>
      </c>
      <c r="Y110">
        <f>IF(Source!BI55=3,H101+H102+H104+H105+H106, 0)</f>
        <v>0</v>
      </c>
      <c r="Z110">
        <f>IF(Source!BI55=4,H101+H102+H104+H105+H106, 0)</f>
        <v>0</v>
      </c>
    </row>
    <row r="111" spans="1:26" ht="28.5" x14ac:dyDescent="0.2">
      <c r="A111" s="49" t="str">
        <f>Source!E61</f>
        <v>9</v>
      </c>
      <c r="B111" s="50" t="str">
        <f>Source!F61</f>
        <v>57-2-3</v>
      </c>
      <c r="C111" s="50" t="str">
        <f>Source!G61</f>
        <v>Разборка покрытий полов из керамических плиток</v>
      </c>
      <c r="D111" s="33" t="str">
        <f>Source!H61</f>
        <v>100 м2</v>
      </c>
      <c r="E111" s="12">
        <f>Source!I61</f>
        <v>0.41599999999999998</v>
      </c>
      <c r="F111" s="34">
        <f>Source!AL61+Source!AM61+Source!AO61</f>
        <v>641</v>
      </c>
      <c r="G111" s="35"/>
      <c r="H111" s="34"/>
      <c r="I111" s="35" t="str">
        <f>Source!BO61</f>
        <v/>
      </c>
      <c r="J111" s="35"/>
      <c r="K111" s="34"/>
      <c r="L111" s="36"/>
      <c r="S111">
        <f>ROUND((Source!FX61/100)*((ROUND(Source!AF61*Source!I61, 2)+ROUND(Source!AE61*Source!I61, 2))), 2)</f>
        <v>204.82</v>
      </c>
      <c r="T111">
        <f>Source!X61</f>
        <v>1251.42</v>
      </c>
      <c r="U111">
        <f>ROUND((Source!FY61/100)*((ROUND(Source!AF61*Source!I61, 2)+ROUND(Source!AE61*Source!I61, 2))), 2)</f>
        <v>174.09</v>
      </c>
      <c r="V111">
        <f>Source!Y61</f>
        <v>1063.7</v>
      </c>
    </row>
    <row r="112" spans="1:26" x14ac:dyDescent="0.2">
      <c r="C112" s="26" t="str">
        <f>"Объем: "&amp;Source!I61&amp;"=41,6/"&amp;"100"</f>
        <v>Объем: 0,416=41,6/100</v>
      </c>
    </row>
    <row r="113" spans="1:26" ht="14.25" x14ac:dyDescent="0.2">
      <c r="A113" s="49"/>
      <c r="B113" s="50"/>
      <c r="C113" s="50" t="s">
        <v>791</v>
      </c>
      <c r="D113" s="33"/>
      <c r="E113" s="12"/>
      <c r="F113" s="34">
        <f>Source!AO61</f>
        <v>595.99</v>
      </c>
      <c r="G113" s="35" t="str">
        <f>Source!DG61</f>
        <v/>
      </c>
      <c r="H113" s="34">
        <f>ROUND(Source!AF61*Source!I61, 2)</f>
        <v>247.93</v>
      </c>
      <c r="I113" s="35"/>
      <c r="J113" s="35">
        <f>IF(Source!BA61&lt;&gt; 0, Source!BA61, 1)</f>
        <v>6.11</v>
      </c>
      <c r="K113" s="34">
        <f>Source!S61</f>
        <v>1514.86</v>
      </c>
      <c r="L113" s="36"/>
      <c r="R113">
        <f>H113</f>
        <v>247.93</v>
      </c>
    </row>
    <row r="114" spans="1:26" ht="14.25" x14ac:dyDescent="0.2">
      <c r="A114" s="49"/>
      <c r="B114" s="50"/>
      <c r="C114" s="50" t="s">
        <v>356</v>
      </c>
      <c r="D114" s="33"/>
      <c r="E114" s="12"/>
      <c r="F114" s="34">
        <f>Source!AM61</f>
        <v>45.01</v>
      </c>
      <c r="G114" s="35" t="str">
        <f>Source!DE61</f>
        <v/>
      </c>
      <c r="H114" s="34">
        <f>ROUND(Source!AD61*Source!I61, 2)</f>
        <v>18.72</v>
      </c>
      <c r="I114" s="35"/>
      <c r="J114" s="35">
        <f>IF(Source!BB61&lt;&gt; 0, Source!BB61, 1)</f>
        <v>6.11</v>
      </c>
      <c r="K114" s="34">
        <f>Source!Q61</f>
        <v>114.4</v>
      </c>
      <c r="L114" s="36"/>
    </row>
    <row r="115" spans="1:26" ht="14.25" x14ac:dyDescent="0.2">
      <c r="A115" s="49"/>
      <c r="B115" s="50"/>
      <c r="C115" s="50" t="s">
        <v>792</v>
      </c>
      <c r="D115" s="33"/>
      <c r="E115" s="12"/>
      <c r="F115" s="34">
        <f>Source!AN61</f>
        <v>19.440000000000001</v>
      </c>
      <c r="G115" s="35" t="str">
        <f>Source!DF61</f>
        <v/>
      </c>
      <c r="H115" s="37">
        <f>ROUND(Source!AE61*Source!I61, 2)</f>
        <v>8.09</v>
      </c>
      <c r="I115" s="35"/>
      <c r="J115" s="35">
        <f>IF(Source!BS61&lt;&gt; 0, Source!BS61, 1)</f>
        <v>6.11</v>
      </c>
      <c r="K115" s="37">
        <f>Source!R61</f>
        <v>49.41</v>
      </c>
      <c r="L115" s="36"/>
      <c r="R115">
        <f>H115</f>
        <v>8.09</v>
      </c>
    </row>
    <row r="116" spans="1:26" ht="14.25" x14ac:dyDescent="0.2">
      <c r="A116" s="49"/>
      <c r="B116" s="50"/>
      <c r="C116" s="50" t="s">
        <v>793</v>
      </c>
      <c r="D116" s="33" t="s">
        <v>794</v>
      </c>
      <c r="E116" s="12">
        <f>Source!BZ61</f>
        <v>80</v>
      </c>
      <c r="F116" s="53"/>
      <c r="G116" s="35"/>
      <c r="H116" s="34">
        <f>SUM(S111:S118)</f>
        <v>204.82</v>
      </c>
      <c r="I116" s="38"/>
      <c r="J116" s="31">
        <f>Source!AT61</f>
        <v>80</v>
      </c>
      <c r="K116" s="34">
        <f>SUM(T111:T118)</f>
        <v>1251.42</v>
      </c>
      <c r="L116" s="36"/>
    </row>
    <row r="117" spans="1:26" ht="14.25" x14ac:dyDescent="0.2">
      <c r="A117" s="49"/>
      <c r="B117" s="50"/>
      <c r="C117" s="50" t="s">
        <v>795</v>
      </c>
      <c r="D117" s="33" t="s">
        <v>794</v>
      </c>
      <c r="E117" s="12">
        <f>Source!CA61</f>
        <v>68</v>
      </c>
      <c r="F117" s="53"/>
      <c r="G117" s="35"/>
      <c r="H117" s="34">
        <f>SUM(U111:U118)</f>
        <v>174.09</v>
      </c>
      <c r="I117" s="38"/>
      <c r="J117" s="31">
        <f>Source!AU61</f>
        <v>68</v>
      </c>
      <c r="K117" s="34">
        <f>SUM(V111:V118)</f>
        <v>1063.7</v>
      </c>
      <c r="L117" s="36"/>
    </row>
    <row r="118" spans="1:26" ht="14.25" x14ac:dyDescent="0.2">
      <c r="A118" s="51"/>
      <c r="B118" s="52"/>
      <c r="C118" s="52" t="s">
        <v>796</v>
      </c>
      <c r="D118" s="39" t="s">
        <v>797</v>
      </c>
      <c r="E118" s="40">
        <f>Source!AQ61</f>
        <v>69.87</v>
      </c>
      <c r="F118" s="41"/>
      <c r="G118" s="42" t="str">
        <f>Source!DI61</f>
        <v/>
      </c>
      <c r="H118" s="41"/>
      <c r="I118" s="42"/>
      <c r="J118" s="42"/>
      <c r="K118" s="41"/>
      <c r="L118" s="43">
        <f>Source!U61</f>
        <v>29.065920000000002</v>
      </c>
    </row>
    <row r="119" spans="1:26" ht="15" x14ac:dyDescent="0.25">
      <c r="G119" s="66">
        <f>H113+H114+H116+H117</f>
        <v>645.55999999999995</v>
      </c>
      <c r="H119" s="66"/>
      <c r="J119" s="66">
        <f>K113+K114+K116+K117</f>
        <v>3944.38</v>
      </c>
      <c r="K119" s="66"/>
      <c r="L119" s="44">
        <f>Source!U61</f>
        <v>29.065920000000002</v>
      </c>
      <c r="O119" s="27">
        <f>G119</f>
        <v>645.55999999999995</v>
      </c>
      <c r="P119" s="27">
        <f>J119</f>
        <v>3944.38</v>
      </c>
      <c r="Q119" s="27">
        <f>L119</f>
        <v>29.065920000000002</v>
      </c>
      <c r="W119">
        <f>IF(Source!BI61&lt;=1,H113+H114+H116+H117, 0)</f>
        <v>645.55999999999995</v>
      </c>
      <c r="X119">
        <f>IF(Source!BI61=2,H113+H114+H116+H117, 0)</f>
        <v>0</v>
      </c>
      <c r="Y119">
        <f>IF(Source!BI61=3,H113+H114+H116+H117, 0)</f>
        <v>0</v>
      </c>
      <c r="Z119">
        <f>IF(Source!BI61=4,H113+H114+H116+H117, 0)</f>
        <v>0</v>
      </c>
    </row>
    <row r="120" spans="1:26" ht="28.5" x14ac:dyDescent="0.2">
      <c r="A120" s="49" t="str">
        <f>Source!E63</f>
        <v>10</v>
      </c>
      <c r="B120" s="50" t="str">
        <f>Source!F63</f>
        <v>57-3-1</v>
      </c>
      <c r="C120" s="50" t="str">
        <f>Source!G63</f>
        <v>Разборка плинтусов деревянных и из пластмассовых материалов</v>
      </c>
      <c r="D120" s="33" t="str">
        <f>Source!H63</f>
        <v>100 м</v>
      </c>
      <c r="E120" s="12">
        <f>Source!I63</f>
        <v>0.14000000000000001</v>
      </c>
      <c r="F120" s="34">
        <f>Source!AL63+Source!AM63+Source!AO63</f>
        <v>29.41</v>
      </c>
      <c r="G120" s="35"/>
      <c r="H120" s="34"/>
      <c r="I120" s="35" t="str">
        <f>Source!BO63</f>
        <v/>
      </c>
      <c r="J120" s="35"/>
      <c r="K120" s="34"/>
      <c r="L120" s="36"/>
      <c r="S120">
        <f>ROUND((Source!FX63/100)*((ROUND(Source!AF63*Source!I63, 2)+ROUND(Source!AE63*Source!I63, 2))), 2)</f>
        <v>3.3</v>
      </c>
      <c r="T120">
        <f>Source!X63</f>
        <v>20.13</v>
      </c>
      <c r="U120">
        <f>ROUND((Source!FY63/100)*((ROUND(Source!AF63*Source!I63, 2)+ROUND(Source!AE63*Source!I63, 2))), 2)</f>
        <v>2.8</v>
      </c>
      <c r="V120">
        <f>Source!Y63</f>
        <v>17.11</v>
      </c>
    </row>
    <row r="121" spans="1:26" x14ac:dyDescent="0.2">
      <c r="C121" s="26" t="str">
        <f>"Объем: "&amp;Source!I63&amp;"=14/"&amp;"100"</f>
        <v>Объем: 0,14=14/100</v>
      </c>
    </row>
    <row r="122" spans="1:26" ht="14.25" x14ac:dyDescent="0.2">
      <c r="A122" s="49"/>
      <c r="B122" s="50"/>
      <c r="C122" s="50" t="s">
        <v>791</v>
      </c>
      <c r="D122" s="33"/>
      <c r="E122" s="12"/>
      <c r="F122" s="34">
        <f>Source!AO63</f>
        <v>29.41</v>
      </c>
      <c r="G122" s="35" t="str">
        <f>Source!DG63</f>
        <v/>
      </c>
      <c r="H122" s="34">
        <f>ROUND(Source!AF63*Source!I63, 2)</f>
        <v>4.12</v>
      </c>
      <c r="I122" s="35"/>
      <c r="J122" s="35">
        <f>IF(Source!BA63&lt;&gt; 0, Source!BA63, 1)</f>
        <v>6.11</v>
      </c>
      <c r="K122" s="34">
        <f>Source!S63</f>
        <v>25.16</v>
      </c>
      <c r="L122" s="36"/>
      <c r="R122">
        <f>H122</f>
        <v>4.12</v>
      </c>
    </row>
    <row r="123" spans="1:26" ht="14.25" x14ac:dyDescent="0.2">
      <c r="A123" s="49"/>
      <c r="B123" s="50"/>
      <c r="C123" s="50" t="s">
        <v>793</v>
      </c>
      <c r="D123" s="33" t="s">
        <v>794</v>
      </c>
      <c r="E123" s="12">
        <f>Source!BZ63</f>
        <v>80</v>
      </c>
      <c r="F123" s="53"/>
      <c r="G123" s="35"/>
      <c r="H123" s="34">
        <f>SUM(S120:S125)</f>
        <v>3.3</v>
      </c>
      <c r="I123" s="38"/>
      <c r="J123" s="31">
        <f>Source!AT63</f>
        <v>80</v>
      </c>
      <c r="K123" s="34">
        <f>SUM(T120:T125)</f>
        <v>20.13</v>
      </c>
      <c r="L123" s="36"/>
    </row>
    <row r="124" spans="1:26" ht="14.25" x14ac:dyDescent="0.2">
      <c r="A124" s="49"/>
      <c r="B124" s="50"/>
      <c r="C124" s="50" t="s">
        <v>795</v>
      </c>
      <c r="D124" s="33" t="s">
        <v>794</v>
      </c>
      <c r="E124" s="12">
        <f>Source!CA63</f>
        <v>68</v>
      </c>
      <c r="F124" s="53"/>
      <c r="G124" s="35"/>
      <c r="H124" s="34">
        <f>SUM(U120:U125)</f>
        <v>2.8</v>
      </c>
      <c r="I124" s="38"/>
      <c r="J124" s="31">
        <f>Source!AU63</f>
        <v>68</v>
      </c>
      <c r="K124" s="34">
        <f>SUM(V120:V125)</f>
        <v>17.11</v>
      </c>
      <c r="L124" s="36"/>
    </row>
    <row r="125" spans="1:26" ht="14.25" x14ac:dyDescent="0.2">
      <c r="A125" s="51"/>
      <c r="B125" s="52"/>
      <c r="C125" s="52" t="s">
        <v>796</v>
      </c>
      <c r="D125" s="39" t="s">
        <v>797</v>
      </c>
      <c r="E125" s="40">
        <f>Source!AQ63</f>
        <v>3.77</v>
      </c>
      <c r="F125" s="41"/>
      <c r="G125" s="42" t="str">
        <f>Source!DI63</f>
        <v/>
      </c>
      <c r="H125" s="41"/>
      <c r="I125" s="42"/>
      <c r="J125" s="42"/>
      <c r="K125" s="41"/>
      <c r="L125" s="43">
        <f>Source!U63</f>
        <v>0.52780000000000005</v>
      </c>
    </row>
    <row r="126" spans="1:26" ht="15" x14ac:dyDescent="0.25">
      <c r="G126" s="66">
        <f>H122+H123+H124</f>
        <v>10.219999999999999</v>
      </c>
      <c r="H126" s="66"/>
      <c r="J126" s="66">
        <f>K122+K123+K124</f>
        <v>62.4</v>
      </c>
      <c r="K126" s="66"/>
      <c r="L126" s="44">
        <f>Source!U63</f>
        <v>0.52780000000000005</v>
      </c>
      <c r="O126" s="27">
        <f>G126</f>
        <v>10.219999999999999</v>
      </c>
      <c r="P126" s="27">
        <f>J126</f>
        <v>62.4</v>
      </c>
      <c r="Q126" s="27">
        <f>L126</f>
        <v>0.52780000000000005</v>
      </c>
      <c r="W126">
        <f>IF(Source!BI63&lt;=1,H122+H123+H124, 0)</f>
        <v>10.219999999999999</v>
      </c>
      <c r="X126">
        <f>IF(Source!BI63=2,H122+H123+H124, 0)</f>
        <v>0</v>
      </c>
      <c r="Y126">
        <f>IF(Source!BI63=3,H122+H123+H124, 0)</f>
        <v>0</v>
      </c>
      <c r="Z126">
        <f>IF(Source!BI63=4,H122+H123+H124, 0)</f>
        <v>0</v>
      </c>
    </row>
    <row r="127" spans="1:26" ht="28.5" x14ac:dyDescent="0.2">
      <c r="A127" s="49" t="str">
        <f>Source!E65</f>
        <v>11</v>
      </c>
      <c r="B127" s="50" t="str">
        <f>Source!F65</f>
        <v>11-01-011-01</v>
      </c>
      <c r="C127" s="50" t="str">
        <f>Source!G65</f>
        <v>Устройство стяжек цементных толщиной 20 мм</v>
      </c>
      <c r="D127" s="33" t="str">
        <f>Source!H65</f>
        <v>100 м2</v>
      </c>
      <c r="E127" s="12">
        <f>Source!I65</f>
        <v>0.41599999999999998</v>
      </c>
      <c r="F127" s="34">
        <f>Source!AL65+Source!AM65+Source!AO65</f>
        <v>366.49</v>
      </c>
      <c r="G127" s="35"/>
      <c r="H127" s="34"/>
      <c r="I127" s="35" t="str">
        <f>Source!BO65</f>
        <v/>
      </c>
      <c r="J127" s="35"/>
      <c r="K127" s="34"/>
      <c r="L127" s="36"/>
      <c r="S127">
        <f>ROUND((Source!FX65/100)*((ROUND(Source!AF65*Source!I65, 2)+ROUND(Source!AE65*Source!I65, 2))), 2)</f>
        <v>176.01</v>
      </c>
      <c r="T127">
        <f>Source!X65</f>
        <v>1078.3499999999999</v>
      </c>
      <c r="U127">
        <f>ROUND((Source!FY65/100)*((ROUND(Source!AF65*Source!I65, 2)+ROUND(Source!AE65*Source!I65, 2))), 2)</f>
        <v>101.36</v>
      </c>
      <c r="V127">
        <f>Source!Y65</f>
        <v>621.75</v>
      </c>
    </row>
    <row r="128" spans="1:26" x14ac:dyDescent="0.2">
      <c r="C128" s="26" t="str">
        <f>"Объем: "&amp;Source!I65&amp;"=41,6/"&amp;"100"</f>
        <v>Объем: 0,416=41,6/100</v>
      </c>
    </row>
    <row r="129" spans="1:26" ht="14.25" x14ac:dyDescent="0.2">
      <c r="A129" s="49"/>
      <c r="B129" s="50"/>
      <c r="C129" s="50" t="s">
        <v>791</v>
      </c>
      <c r="D129" s="33"/>
      <c r="E129" s="12"/>
      <c r="F129" s="34">
        <f>Source!AO65</f>
        <v>313.70999999999998</v>
      </c>
      <c r="G129" s="35" t="str">
        <f>Source!DG65</f>
        <v>)*1,15</v>
      </c>
      <c r="H129" s="34">
        <f>ROUND(Source!AF65*Source!I65, 2)</f>
        <v>150.08000000000001</v>
      </c>
      <c r="I129" s="35"/>
      <c r="J129" s="35">
        <f>IF(Source!BA65&lt;&gt; 0, Source!BA65, 1)</f>
        <v>6.11</v>
      </c>
      <c r="K129" s="34">
        <f>Source!S65</f>
        <v>916.99</v>
      </c>
      <c r="L129" s="36"/>
      <c r="R129">
        <f>H129</f>
        <v>150.08000000000001</v>
      </c>
    </row>
    <row r="130" spans="1:26" ht="14.25" x14ac:dyDescent="0.2">
      <c r="A130" s="49"/>
      <c r="B130" s="50"/>
      <c r="C130" s="50" t="s">
        <v>356</v>
      </c>
      <c r="D130" s="33"/>
      <c r="E130" s="12"/>
      <c r="F130" s="34">
        <f>Source!AM65</f>
        <v>44.24</v>
      </c>
      <c r="G130" s="35" t="str">
        <f>Source!DE65</f>
        <v>)*1,25</v>
      </c>
      <c r="H130" s="34">
        <f>ROUND(Source!AD65*Source!I65, 2)</f>
        <v>23</v>
      </c>
      <c r="I130" s="35"/>
      <c r="J130" s="35">
        <f>IF(Source!BB65&lt;&gt; 0, Source!BB65, 1)</f>
        <v>6.11</v>
      </c>
      <c r="K130" s="34">
        <f>Source!Q65</f>
        <v>140.56</v>
      </c>
      <c r="L130" s="36"/>
    </row>
    <row r="131" spans="1:26" ht="14.25" x14ac:dyDescent="0.2">
      <c r="A131" s="49"/>
      <c r="B131" s="50"/>
      <c r="C131" s="50" t="s">
        <v>792</v>
      </c>
      <c r="D131" s="33"/>
      <c r="E131" s="12"/>
      <c r="F131" s="34">
        <f>Source!AN65</f>
        <v>17.149999999999999</v>
      </c>
      <c r="G131" s="35" t="str">
        <f>Source!DF65</f>
        <v>)*1,25</v>
      </c>
      <c r="H131" s="37">
        <f>ROUND(Source!AE65*Source!I65, 2)</f>
        <v>8.92</v>
      </c>
      <c r="I131" s="35"/>
      <c r="J131" s="35">
        <f>IF(Source!BS65&lt;&gt; 0, Source!BS65, 1)</f>
        <v>6.11</v>
      </c>
      <c r="K131" s="37">
        <f>Source!R65</f>
        <v>54.5</v>
      </c>
      <c r="L131" s="36"/>
      <c r="R131">
        <f>H131</f>
        <v>8.92</v>
      </c>
    </row>
    <row r="132" spans="1:26" ht="14.25" x14ac:dyDescent="0.2">
      <c r="A132" s="49"/>
      <c r="B132" s="50"/>
      <c r="C132" s="50" t="s">
        <v>798</v>
      </c>
      <c r="D132" s="33"/>
      <c r="E132" s="12"/>
      <c r="F132" s="34">
        <f>Source!AL65</f>
        <v>8.5399999999999991</v>
      </c>
      <c r="G132" s="35" t="str">
        <f>Source!DD65</f>
        <v/>
      </c>
      <c r="H132" s="34">
        <f>ROUND(Source!AC65*Source!I65, 2)</f>
        <v>3.55</v>
      </c>
      <c r="I132" s="35"/>
      <c r="J132" s="35">
        <f>IF(Source!BC65&lt;&gt; 0, Source!BC65, 1)</f>
        <v>6.11</v>
      </c>
      <c r="K132" s="34">
        <f>Source!P65</f>
        <v>21.71</v>
      </c>
      <c r="L132" s="36"/>
    </row>
    <row r="133" spans="1:26" ht="14.25" x14ac:dyDescent="0.2">
      <c r="A133" s="49"/>
      <c r="B133" s="50"/>
      <c r="C133" s="50" t="s">
        <v>793</v>
      </c>
      <c r="D133" s="33" t="s">
        <v>794</v>
      </c>
      <c r="E133" s="12">
        <f>Source!BZ65</f>
        <v>123</v>
      </c>
      <c r="F133" s="67" t="str">
        <f>CONCATENATE(" )", Source!DL65, Source!FT65, "=", Source!FX65)</f>
        <v xml:space="preserve"> )*0,9=110,7</v>
      </c>
      <c r="G133" s="68"/>
      <c r="H133" s="34">
        <f>SUM(S127:S136)</f>
        <v>176.01</v>
      </c>
      <c r="I133" s="38"/>
      <c r="J133" s="31">
        <f>Source!AT65</f>
        <v>111</v>
      </c>
      <c r="K133" s="34">
        <f>SUM(T127:T136)</f>
        <v>1078.3499999999999</v>
      </c>
      <c r="L133" s="36"/>
    </row>
    <row r="134" spans="1:26" ht="14.25" x14ac:dyDescent="0.2">
      <c r="A134" s="49"/>
      <c r="B134" s="50"/>
      <c r="C134" s="50" t="s">
        <v>795</v>
      </c>
      <c r="D134" s="33" t="s">
        <v>794</v>
      </c>
      <c r="E134" s="12">
        <f>Source!CA65</f>
        <v>75</v>
      </c>
      <c r="F134" s="67" t="str">
        <f>CONCATENATE(" )", Source!DM65, Source!FU65, "=", Source!FY65)</f>
        <v xml:space="preserve"> )*0,85=63,75</v>
      </c>
      <c r="G134" s="68"/>
      <c r="H134" s="34">
        <f>SUM(U127:U136)</f>
        <v>101.36</v>
      </c>
      <c r="I134" s="38"/>
      <c r="J134" s="31">
        <f>Source!AU65</f>
        <v>64</v>
      </c>
      <c r="K134" s="34">
        <f>SUM(V127:V136)</f>
        <v>621.75</v>
      </c>
      <c r="L134" s="36"/>
    </row>
    <row r="135" spans="1:26" ht="14.25" x14ac:dyDescent="0.2">
      <c r="A135" s="49"/>
      <c r="B135" s="50"/>
      <c r="C135" s="50" t="s">
        <v>796</v>
      </c>
      <c r="D135" s="33" t="s">
        <v>797</v>
      </c>
      <c r="E135" s="12">
        <f>Source!AQ65</f>
        <v>39.51</v>
      </c>
      <c r="F135" s="34"/>
      <c r="G135" s="35" t="str">
        <f>Source!DI65</f>
        <v>)*1,15</v>
      </c>
      <c r="H135" s="34"/>
      <c r="I135" s="35"/>
      <c r="J135" s="35"/>
      <c r="K135" s="34"/>
      <c r="L135" s="45">
        <f>Source!U65</f>
        <v>18.901583999999996</v>
      </c>
    </row>
    <row r="136" spans="1:26" ht="28.5" x14ac:dyDescent="0.2">
      <c r="A136" s="51" t="str">
        <f>Source!E67</f>
        <v>11,1</v>
      </c>
      <c r="B136" s="52" t="str">
        <f>Source!F67</f>
        <v>04.3.01.09-0015</v>
      </c>
      <c r="C136" s="52" t="str">
        <f>Source!G67</f>
        <v>Раствор готовый кладочный цементный марки 150</v>
      </c>
      <c r="D136" s="39" t="str">
        <f>Source!H67</f>
        <v>м3</v>
      </c>
      <c r="E136" s="40">
        <f>Source!I67</f>
        <v>0.84863999999999995</v>
      </c>
      <c r="F136" s="41">
        <f>Source!AL67+Source!AM67+Source!AO67</f>
        <v>548.29999999999995</v>
      </c>
      <c r="G136" s="46" t="s">
        <v>6</v>
      </c>
      <c r="H136" s="41">
        <f>ROUND(Source!AC67*Source!I67, 2)+ROUND(Source!AD67*Source!I67, 2)+ROUND(Source!AF67*Source!I67, 2)</f>
        <v>465.31</v>
      </c>
      <c r="I136" s="42"/>
      <c r="J136" s="42">
        <f>IF(Source!BC67&lt;&gt; 0, Source!BC67, 1)</f>
        <v>6.11</v>
      </c>
      <c r="K136" s="41">
        <f>Source!O67</f>
        <v>2843.04</v>
      </c>
      <c r="L136" s="47"/>
      <c r="S136">
        <f>ROUND((Source!FX67/100)*((ROUND(Source!AF67*Source!I67, 2)+ROUND(Source!AE67*Source!I67, 2))), 2)</f>
        <v>0</v>
      </c>
      <c r="T136">
        <f>Source!X67</f>
        <v>0</v>
      </c>
      <c r="U136">
        <f>ROUND((Source!FY67/100)*((ROUND(Source!AF67*Source!I67, 2)+ROUND(Source!AE67*Source!I67, 2))), 2)</f>
        <v>0</v>
      </c>
      <c r="V136">
        <f>Source!Y67</f>
        <v>0</v>
      </c>
      <c r="W136">
        <f>IF(Source!BI67&lt;=1,H136, 0)</f>
        <v>465.31</v>
      </c>
      <c r="X136">
        <f>IF(Source!BI67=2,H136, 0)</f>
        <v>0</v>
      </c>
      <c r="Y136">
        <f>IF(Source!BI67=3,H136, 0)</f>
        <v>0</v>
      </c>
      <c r="Z136">
        <f>IF(Source!BI67=4,H136, 0)</f>
        <v>0</v>
      </c>
    </row>
    <row r="137" spans="1:26" ht="15" x14ac:dyDescent="0.25">
      <c r="G137" s="66">
        <f>H129+H130+H132+H133+H134+SUM(H136:H136)</f>
        <v>919.31</v>
      </c>
      <c r="H137" s="66"/>
      <c r="J137" s="66">
        <f>K129+K130+K132+K133+K134+SUM(K136:K136)</f>
        <v>5622.4</v>
      </c>
      <c r="K137" s="66"/>
      <c r="L137" s="44">
        <f>Source!U65</f>
        <v>18.901583999999996</v>
      </c>
      <c r="O137" s="27">
        <f>G137</f>
        <v>919.31</v>
      </c>
      <c r="P137" s="27">
        <f>J137</f>
        <v>5622.4</v>
      </c>
      <c r="Q137" s="27">
        <f>L137</f>
        <v>18.901583999999996</v>
      </c>
      <c r="W137">
        <f>IF(Source!BI65&lt;=1,H129+H130+H132+H133+H134, 0)</f>
        <v>454</v>
      </c>
      <c r="X137">
        <f>IF(Source!BI65=2,H129+H130+H132+H133+H134, 0)</f>
        <v>0</v>
      </c>
      <c r="Y137">
        <f>IF(Source!BI65=3,H129+H130+H132+H133+H134, 0)</f>
        <v>0</v>
      </c>
      <c r="Z137">
        <f>IF(Source!BI65=4,H129+H130+H132+H133+H134, 0)</f>
        <v>0</v>
      </c>
    </row>
    <row r="138" spans="1:26" ht="42.75" x14ac:dyDescent="0.2">
      <c r="A138" s="49" t="str">
        <f>Source!E69</f>
        <v>12</v>
      </c>
      <c r="B138" s="50" t="str">
        <f>Source!F69</f>
        <v>11-01-011-08</v>
      </c>
      <c r="C138" s="50" t="str">
        <f>Source!G69</f>
        <v>Устройство стяжек из выравнивающей смеси типа "Ветонит" 5000, толщиной 5 мм</v>
      </c>
      <c r="D138" s="33" t="str">
        <f>Source!H69</f>
        <v>100 м2</v>
      </c>
      <c r="E138" s="12">
        <f>Source!I69</f>
        <v>0.41599999999999998</v>
      </c>
      <c r="F138" s="34">
        <f>Source!AL69+Source!AM69+Source!AO69</f>
        <v>11028.89</v>
      </c>
      <c r="G138" s="35"/>
      <c r="H138" s="34"/>
      <c r="I138" s="35" t="str">
        <f>Source!BO69</f>
        <v/>
      </c>
      <c r="J138" s="35"/>
      <c r="K138" s="34"/>
      <c r="L138" s="36"/>
      <c r="S138">
        <f>ROUND((Source!FX69/100)*((ROUND(Source!AF69*Source!I69, 2)+ROUND(Source!AE69*Source!I69, 2))), 2)</f>
        <v>171.3</v>
      </c>
      <c r="T138">
        <f>Source!X69</f>
        <v>1049.52</v>
      </c>
      <c r="U138">
        <f>ROUND((Source!FY69/100)*((ROUND(Source!AF69*Source!I69, 2)+ROUND(Source!AE69*Source!I69, 2))), 2)</f>
        <v>98.65</v>
      </c>
      <c r="V138">
        <f>Source!Y69</f>
        <v>605.13</v>
      </c>
    </row>
    <row r="139" spans="1:26" x14ac:dyDescent="0.2">
      <c r="C139" s="26" t="str">
        <f>"Объем: "&amp;Source!I69&amp;"=41,6/"&amp;"100"</f>
        <v>Объем: 0,416=41,6/100</v>
      </c>
    </row>
    <row r="140" spans="1:26" ht="14.25" x14ac:dyDescent="0.2">
      <c r="A140" s="49"/>
      <c r="B140" s="50"/>
      <c r="C140" s="50" t="s">
        <v>791</v>
      </c>
      <c r="D140" s="33"/>
      <c r="E140" s="12"/>
      <c r="F140" s="34">
        <f>Source!AO69</f>
        <v>321.33</v>
      </c>
      <c r="G140" s="35" t="str">
        <f>Source!DG69</f>
        <v>)*1,15</v>
      </c>
      <c r="H140" s="34">
        <f>ROUND(Source!AF69*Source!I69, 2)</f>
        <v>153.72</v>
      </c>
      <c r="I140" s="35"/>
      <c r="J140" s="35">
        <f>IF(Source!BA69&lt;&gt; 0, Source!BA69, 1)</f>
        <v>6.11</v>
      </c>
      <c r="K140" s="34">
        <f>Source!S69</f>
        <v>939.26</v>
      </c>
      <c r="L140" s="36"/>
      <c r="R140">
        <f>H140</f>
        <v>153.72</v>
      </c>
    </row>
    <row r="141" spans="1:26" ht="14.25" x14ac:dyDescent="0.2">
      <c r="A141" s="49"/>
      <c r="B141" s="50"/>
      <c r="C141" s="50" t="s">
        <v>356</v>
      </c>
      <c r="D141" s="33"/>
      <c r="E141" s="12"/>
      <c r="F141" s="34">
        <f>Source!AM69</f>
        <v>6.23</v>
      </c>
      <c r="G141" s="35" t="str">
        <f>Source!DE69</f>
        <v>)*1,25</v>
      </c>
      <c r="H141" s="34">
        <f>ROUND(Source!AD69*Source!I69, 2)</f>
        <v>3.24</v>
      </c>
      <c r="I141" s="35"/>
      <c r="J141" s="35">
        <f>IF(Source!BB69&lt;&gt; 0, Source!BB69, 1)</f>
        <v>6.11</v>
      </c>
      <c r="K141" s="34">
        <f>Source!Q69</f>
        <v>19.8</v>
      </c>
      <c r="L141" s="36"/>
    </row>
    <row r="142" spans="1:26" ht="14.25" x14ac:dyDescent="0.2">
      <c r="A142" s="49"/>
      <c r="B142" s="50"/>
      <c r="C142" s="50" t="s">
        <v>792</v>
      </c>
      <c r="D142" s="33"/>
      <c r="E142" s="12"/>
      <c r="F142" s="34">
        <f>Source!AN69</f>
        <v>1.97</v>
      </c>
      <c r="G142" s="35" t="str">
        <f>Source!DF69</f>
        <v>)*1,25</v>
      </c>
      <c r="H142" s="37">
        <f>ROUND(Source!AE69*Source!I69, 2)</f>
        <v>1.02</v>
      </c>
      <c r="I142" s="35"/>
      <c r="J142" s="35">
        <f>IF(Source!BS69&lt;&gt; 0, Source!BS69, 1)</f>
        <v>6.11</v>
      </c>
      <c r="K142" s="37">
        <f>Source!R69</f>
        <v>6.25</v>
      </c>
      <c r="L142" s="36"/>
      <c r="R142">
        <f>H142</f>
        <v>1.02</v>
      </c>
    </row>
    <row r="143" spans="1:26" ht="14.25" x14ac:dyDescent="0.2">
      <c r="A143" s="49"/>
      <c r="B143" s="50"/>
      <c r="C143" s="50" t="s">
        <v>798</v>
      </c>
      <c r="D143" s="33"/>
      <c r="E143" s="12"/>
      <c r="F143" s="34">
        <f>Source!AL69</f>
        <v>10701.33</v>
      </c>
      <c r="G143" s="35" t="str">
        <f>Source!DD69</f>
        <v/>
      </c>
      <c r="H143" s="34">
        <f>ROUND(Source!AC69*Source!I69, 2)</f>
        <v>4451.75</v>
      </c>
      <c r="I143" s="35"/>
      <c r="J143" s="35">
        <f>IF(Source!BC69&lt;&gt; 0, Source!BC69, 1)</f>
        <v>6.11</v>
      </c>
      <c r="K143" s="34">
        <f>Source!P69</f>
        <v>27200.21</v>
      </c>
      <c r="L143" s="36"/>
    </row>
    <row r="144" spans="1:26" ht="14.25" x14ac:dyDescent="0.2">
      <c r="A144" s="49"/>
      <c r="B144" s="50"/>
      <c r="C144" s="50" t="s">
        <v>793</v>
      </c>
      <c r="D144" s="33" t="s">
        <v>794</v>
      </c>
      <c r="E144" s="12">
        <f>Source!BZ69</f>
        <v>123</v>
      </c>
      <c r="F144" s="67" t="str">
        <f>CONCATENATE(" )", Source!DL69, Source!FT69, "=", Source!FX69)</f>
        <v xml:space="preserve"> )*0,9=110,7</v>
      </c>
      <c r="G144" s="68"/>
      <c r="H144" s="34">
        <f>SUM(S138:S146)</f>
        <v>171.3</v>
      </c>
      <c r="I144" s="38"/>
      <c r="J144" s="31">
        <f>Source!AT69</f>
        <v>111</v>
      </c>
      <c r="K144" s="34">
        <f>SUM(T138:T146)</f>
        <v>1049.52</v>
      </c>
      <c r="L144" s="36"/>
    </row>
    <row r="145" spans="1:26" ht="14.25" x14ac:dyDescent="0.2">
      <c r="A145" s="49"/>
      <c r="B145" s="50"/>
      <c r="C145" s="50" t="s">
        <v>795</v>
      </c>
      <c r="D145" s="33" t="s">
        <v>794</v>
      </c>
      <c r="E145" s="12">
        <f>Source!CA69</f>
        <v>75</v>
      </c>
      <c r="F145" s="67" t="str">
        <f>CONCATENATE(" )", Source!DM69, Source!FU69, "=", Source!FY69)</f>
        <v xml:space="preserve"> )*0,85=63,75</v>
      </c>
      <c r="G145" s="68"/>
      <c r="H145" s="34">
        <f>SUM(U138:U146)</f>
        <v>98.65</v>
      </c>
      <c r="I145" s="38"/>
      <c r="J145" s="31">
        <f>Source!AU69</f>
        <v>64</v>
      </c>
      <c r="K145" s="34">
        <f>SUM(V138:V146)</f>
        <v>605.13</v>
      </c>
      <c r="L145" s="36"/>
    </row>
    <row r="146" spans="1:26" ht="14.25" x14ac:dyDescent="0.2">
      <c r="A146" s="51"/>
      <c r="B146" s="52"/>
      <c r="C146" s="52" t="s">
        <v>796</v>
      </c>
      <c r="D146" s="39" t="s">
        <v>797</v>
      </c>
      <c r="E146" s="40">
        <f>Source!AQ69</f>
        <v>37.67</v>
      </c>
      <c r="F146" s="41"/>
      <c r="G146" s="42" t="str">
        <f>Source!DI69</f>
        <v>)*1,15</v>
      </c>
      <c r="H146" s="41"/>
      <c r="I146" s="42"/>
      <c r="J146" s="42"/>
      <c r="K146" s="41"/>
      <c r="L146" s="43">
        <f>Source!U69</f>
        <v>18.021327999999997</v>
      </c>
    </row>
    <row r="147" spans="1:26" ht="15" x14ac:dyDescent="0.25">
      <c r="G147" s="66">
        <f>H140+H141+H143+H144+H145</f>
        <v>4878.66</v>
      </c>
      <c r="H147" s="66"/>
      <c r="J147" s="66">
        <f>K140+K141+K143+K144+K145</f>
        <v>29813.920000000002</v>
      </c>
      <c r="K147" s="66"/>
      <c r="L147" s="44">
        <f>Source!U69</f>
        <v>18.021327999999997</v>
      </c>
      <c r="O147" s="27">
        <f>G147</f>
        <v>4878.66</v>
      </c>
      <c r="P147" s="27">
        <f>J147</f>
        <v>29813.920000000002</v>
      </c>
      <c r="Q147" s="27">
        <f>L147</f>
        <v>18.021327999999997</v>
      </c>
      <c r="W147">
        <f>IF(Source!BI69&lt;=1,H140+H141+H143+H144+H145, 0)</f>
        <v>4878.66</v>
      </c>
      <c r="X147">
        <f>IF(Source!BI69=2,H140+H141+H143+H144+H145, 0)</f>
        <v>0</v>
      </c>
      <c r="Y147">
        <f>IF(Source!BI69=3,H140+H141+H143+H144+H145, 0)</f>
        <v>0</v>
      </c>
      <c r="Z147">
        <f>IF(Source!BI69=4,H140+H141+H143+H144+H145, 0)</f>
        <v>0</v>
      </c>
    </row>
    <row r="148" spans="1:26" ht="42.75" x14ac:dyDescent="0.2">
      <c r="A148" s="49" t="str">
        <f>Source!E71</f>
        <v>13</v>
      </c>
      <c r="B148" s="50" t="str">
        <f>Source!F71</f>
        <v>11-01-047-01</v>
      </c>
      <c r="C148" s="50" t="str">
        <f>Source!G71</f>
        <v>Устройство покрытий из плит керамогранитных размером 40х40 см</v>
      </c>
      <c r="D148" s="33" t="str">
        <f>Source!H71</f>
        <v>100 м2</v>
      </c>
      <c r="E148" s="12">
        <f>Source!I71</f>
        <v>0.41599999999999998</v>
      </c>
      <c r="F148" s="34">
        <f>Source!AL71+Source!AM71+Source!AO71</f>
        <v>21576.86</v>
      </c>
      <c r="G148" s="35"/>
      <c r="H148" s="34"/>
      <c r="I148" s="35" t="str">
        <f>Source!BO71</f>
        <v/>
      </c>
      <c r="J148" s="35"/>
      <c r="K148" s="34"/>
      <c r="L148" s="36"/>
      <c r="S148">
        <f>ROUND((Source!FX71/100)*((ROUND(Source!AF71*Source!I71, 2)+ROUND(Source!AE71*Source!I71, 2))), 2)</f>
        <v>1446.89</v>
      </c>
      <c r="T148">
        <f>Source!X71</f>
        <v>8864.4699999999993</v>
      </c>
      <c r="U148">
        <f>ROUND((Source!FY71/100)*((ROUND(Source!AF71*Source!I71, 2)+ROUND(Source!AE71*Source!I71, 2))), 2)</f>
        <v>833.24</v>
      </c>
      <c r="V148">
        <f>Source!Y71</f>
        <v>5111.05</v>
      </c>
    </row>
    <row r="149" spans="1:26" x14ac:dyDescent="0.2">
      <c r="C149" s="26" t="str">
        <f>"Объем: "&amp;Source!I71&amp;"=41,6/"&amp;"100"</f>
        <v>Объем: 0,416=41,6/100</v>
      </c>
    </row>
    <row r="150" spans="1:26" ht="14.25" x14ac:dyDescent="0.2">
      <c r="A150" s="49"/>
      <c r="B150" s="50"/>
      <c r="C150" s="50" t="s">
        <v>791</v>
      </c>
      <c r="D150" s="33"/>
      <c r="E150" s="12"/>
      <c r="F150" s="34">
        <f>Source!AO71</f>
        <v>2713.07</v>
      </c>
      <c r="G150" s="35" t="str">
        <f>Source!DG71</f>
        <v>)*1,15</v>
      </c>
      <c r="H150" s="34">
        <f>ROUND(Source!AF71*Source!I71, 2)</f>
        <v>1297.93</v>
      </c>
      <c r="I150" s="35"/>
      <c r="J150" s="35">
        <f>IF(Source!BA71&lt;&gt; 0, Source!BA71, 1)</f>
        <v>6.11</v>
      </c>
      <c r="K150" s="34">
        <f>Source!S71</f>
        <v>7930.37</v>
      </c>
      <c r="L150" s="36"/>
      <c r="R150">
        <f>H150</f>
        <v>1297.93</v>
      </c>
    </row>
    <row r="151" spans="1:26" ht="14.25" x14ac:dyDescent="0.2">
      <c r="A151" s="49"/>
      <c r="B151" s="50"/>
      <c r="C151" s="50" t="s">
        <v>356</v>
      </c>
      <c r="D151" s="33"/>
      <c r="E151" s="12"/>
      <c r="F151" s="34">
        <f>Source!AM71</f>
        <v>24.15</v>
      </c>
      <c r="G151" s="35" t="str">
        <f>Source!DE71</f>
        <v>)*1,25</v>
      </c>
      <c r="H151" s="34">
        <f>ROUND(Source!AD71*Source!I71, 2)</f>
        <v>12.56</v>
      </c>
      <c r="I151" s="35"/>
      <c r="J151" s="35">
        <f>IF(Source!BB71&lt;&gt; 0, Source!BB71, 1)</f>
        <v>6.11</v>
      </c>
      <c r="K151" s="34">
        <f>Source!Q71</f>
        <v>76.739999999999995</v>
      </c>
      <c r="L151" s="36"/>
    </row>
    <row r="152" spans="1:26" ht="14.25" x14ac:dyDescent="0.2">
      <c r="A152" s="49"/>
      <c r="B152" s="50"/>
      <c r="C152" s="50" t="s">
        <v>792</v>
      </c>
      <c r="D152" s="33"/>
      <c r="E152" s="12"/>
      <c r="F152" s="34">
        <f>Source!AN71</f>
        <v>17.510000000000002</v>
      </c>
      <c r="G152" s="35" t="str">
        <f>Source!DF71</f>
        <v>)*1,25</v>
      </c>
      <c r="H152" s="37">
        <f>ROUND(Source!AE71*Source!I71, 2)</f>
        <v>9.11</v>
      </c>
      <c r="I152" s="35"/>
      <c r="J152" s="35">
        <f>IF(Source!BS71&lt;&gt; 0, Source!BS71, 1)</f>
        <v>6.11</v>
      </c>
      <c r="K152" s="37">
        <f>Source!R71</f>
        <v>55.64</v>
      </c>
      <c r="L152" s="36"/>
      <c r="R152">
        <f>H152</f>
        <v>9.11</v>
      </c>
    </row>
    <row r="153" spans="1:26" ht="14.25" x14ac:dyDescent="0.2">
      <c r="A153" s="49"/>
      <c r="B153" s="50"/>
      <c r="C153" s="50" t="s">
        <v>798</v>
      </c>
      <c r="D153" s="33"/>
      <c r="E153" s="12"/>
      <c r="F153" s="34">
        <f>Source!AL71</f>
        <v>18839.64</v>
      </c>
      <c r="G153" s="35" t="str">
        <f>Source!DD71</f>
        <v/>
      </c>
      <c r="H153" s="34">
        <f>ROUND(Source!AC71*Source!I71, 2)</f>
        <v>7837.29</v>
      </c>
      <c r="I153" s="35"/>
      <c r="J153" s="35">
        <f>IF(Source!BC71&lt;&gt; 0, Source!BC71, 1)</f>
        <v>6.11</v>
      </c>
      <c r="K153" s="34">
        <f>Source!P71</f>
        <v>47885.84</v>
      </c>
      <c r="L153" s="36"/>
    </row>
    <row r="154" spans="1:26" ht="14.25" x14ac:dyDescent="0.2">
      <c r="A154" s="49"/>
      <c r="B154" s="50"/>
      <c r="C154" s="50" t="s">
        <v>793</v>
      </c>
      <c r="D154" s="33" t="s">
        <v>794</v>
      </c>
      <c r="E154" s="12">
        <f>Source!BZ71</f>
        <v>123</v>
      </c>
      <c r="F154" s="67" t="str">
        <f>CONCATENATE(" )", Source!DL71, Source!FT71, "=", Source!FX71)</f>
        <v xml:space="preserve"> )*0,9=110,7</v>
      </c>
      <c r="G154" s="68"/>
      <c r="H154" s="34">
        <f>SUM(S148:S159)</f>
        <v>1446.89</v>
      </c>
      <c r="I154" s="38"/>
      <c r="J154" s="31">
        <f>Source!AT71</f>
        <v>111</v>
      </c>
      <c r="K154" s="34">
        <f>SUM(T148:T159)</f>
        <v>8864.4699999999993</v>
      </c>
      <c r="L154" s="36"/>
    </row>
    <row r="155" spans="1:26" ht="14.25" x14ac:dyDescent="0.2">
      <c r="A155" s="49"/>
      <c r="B155" s="50"/>
      <c r="C155" s="50" t="s">
        <v>795</v>
      </c>
      <c r="D155" s="33" t="s">
        <v>794</v>
      </c>
      <c r="E155" s="12">
        <f>Source!CA71</f>
        <v>75</v>
      </c>
      <c r="F155" s="67" t="str">
        <f>CONCATENATE(" )", Source!DM71, Source!FU71, "=", Source!FY71)</f>
        <v xml:space="preserve"> )*0,85=63,75</v>
      </c>
      <c r="G155" s="68"/>
      <c r="H155" s="34">
        <f>SUM(U148:U159)</f>
        <v>833.24</v>
      </c>
      <c r="I155" s="38"/>
      <c r="J155" s="31">
        <f>Source!AU71</f>
        <v>64</v>
      </c>
      <c r="K155" s="34">
        <f>SUM(V148:V159)</f>
        <v>5111.05</v>
      </c>
      <c r="L155" s="36"/>
    </row>
    <row r="156" spans="1:26" ht="14.25" x14ac:dyDescent="0.2">
      <c r="A156" s="49"/>
      <c r="B156" s="50"/>
      <c r="C156" s="50" t="s">
        <v>796</v>
      </c>
      <c r="D156" s="33" t="s">
        <v>797</v>
      </c>
      <c r="E156" s="12">
        <f>Source!AQ71</f>
        <v>310.42</v>
      </c>
      <c r="F156" s="34"/>
      <c r="G156" s="35" t="str">
        <f>Source!DI71</f>
        <v>)*1,15</v>
      </c>
      <c r="H156" s="34"/>
      <c r="I156" s="35"/>
      <c r="J156" s="35"/>
      <c r="K156" s="34"/>
      <c r="L156" s="45">
        <f>Source!U71</f>
        <v>148.50492800000001</v>
      </c>
    </row>
    <row r="157" spans="1:26" ht="28.5" x14ac:dyDescent="0.2">
      <c r="A157" s="49" t="str">
        <f>Source!E73</f>
        <v>13,1</v>
      </c>
      <c r="B157" s="50" t="str">
        <f>Source!F73</f>
        <v>14.4.01.02-0113</v>
      </c>
      <c r="C157" s="50" t="str">
        <f>Source!G73</f>
        <v>Грунтовка акриловая НОРТЕКС-ГРУНТ</v>
      </c>
      <c r="D157" s="33" t="str">
        <f>Source!H73</f>
        <v>кг</v>
      </c>
      <c r="E157" s="12">
        <f>Source!I73</f>
        <v>5.4080000000000004</v>
      </c>
      <c r="F157" s="34">
        <f>Source!AL73+Source!AM73+Source!AO73</f>
        <v>15.25</v>
      </c>
      <c r="G157" s="48" t="s">
        <v>6</v>
      </c>
      <c r="H157" s="34">
        <f>ROUND(Source!AC73*Source!I73, 2)+ROUND(Source!AD73*Source!I73, 2)+ROUND(Source!AF73*Source!I73, 2)</f>
        <v>82.47</v>
      </c>
      <c r="I157" s="35"/>
      <c r="J157" s="35">
        <f>IF(Source!BC73&lt;&gt; 0, Source!BC73, 1)</f>
        <v>6.11</v>
      </c>
      <c r="K157" s="34">
        <f>Source!O73</f>
        <v>503.9</v>
      </c>
      <c r="L157" s="36"/>
      <c r="S157">
        <f>ROUND((Source!FX73/100)*((ROUND(Source!AF73*Source!I73, 2)+ROUND(Source!AE73*Source!I73, 2))), 2)</f>
        <v>0</v>
      </c>
      <c r="T157">
        <f>Source!X73</f>
        <v>0</v>
      </c>
      <c r="U157">
        <f>ROUND((Source!FY73/100)*((ROUND(Source!AF73*Source!I73, 2)+ROUND(Source!AE73*Source!I73, 2))), 2)</f>
        <v>0</v>
      </c>
      <c r="V157">
        <f>Source!Y73</f>
        <v>0</v>
      </c>
      <c r="W157">
        <f>IF(Source!BI73&lt;=1,H157, 0)</f>
        <v>82.47</v>
      </c>
      <c r="X157">
        <f>IF(Source!BI73=2,H157, 0)</f>
        <v>0</v>
      </c>
      <c r="Y157">
        <f>IF(Source!BI73=3,H157, 0)</f>
        <v>0</v>
      </c>
      <c r="Z157">
        <f>IF(Source!BI73=4,H157, 0)</f>
        <v>0</v>
      </c>
    </row>
    <row r="158" spans="1:26" ht="42.75" x14ac:dyDescent="0.2">
      <c r="A158" s="49" t="str">
        <f>Source!E75</f>
        <v>13,2</v>
      </c>
      <c r="B158" s="50" t="str">
        <f>Source!F75</f>
        <v>06.2.05.03-0003</v>
      </c>
      <c r="C158" s="50" t="str">
        <f>Source!G75</f>
        <v>Гранит керамический многоцветный неполированный, размером 400х400х9 мм</v>
      </c>
      <c r="D158" s="33" t="str">
        <f>Source!H75</f>
        <v>м2</v>
      </c>
      <c r="E158" s="12">
        <f>Source!I75</f>
        <v>-42.431999999999995</v>
      </c>
      <c r="F158" s="34">
        <f>Source!AL75+Source!AM75+Source!AO75</f>
        <v>140.44999999999999</v>
      </c>
      <c r="G158" s="48" t="s">
        <v>6</v>
      </c>
      <c r="H158" s="34">
        <f>ROUND(Source!AC75*Source!I75, 2)+ROUND(Source!AD75*Source!I75, 2)+ROUND(Source!AF75*Source!I75, 2)</f>
        <v>-5959.57</v>
      </c>
      <c r="I158" s="35"/>
      <c r="J158" s="35">
        <f>IF(Source!BC75&lt;&gt; 0, Source!BC75, 1)</f>
        <v>6.11</v>
      </c>
      <c r="K158" s="34">
        <f>Source!O75</f>
        <v>-36413</v>
      </c>
      <c r="L158" s="36"/>
      <c r="S158">
        <f>ROUND((Source!FX75/100)*((ROUND(Source!AF75*Source!I75, 2)+ROUND(Source!AE75*Source!I75, 2))), 2)</f>
        <v>0</v>
      </c>
      <c r="T158">
        <f>Source!X75</f>
        <v>0</v>
      </c>
      <c r="U158">
        <f>ROUND((Source!FY75/100)*((ROUND(Source!AF75*Source!I75, 2)+ROUND(Source!AE75*Source!I75, 2))), 2)</f>
        <v>0</v>
      </c>
      <c r="V158">
        <f>Source!Y75</f>
        <v>0</v>
      </c>
      <c r="W158">
        <f>IF(Source!BI75&lt;=1,H158, 0)</f>
        <v>-5959.57</v>
      </c>
      <c r="X158">
        <f>IF(Source!BI75=2,H158, 0)</f>
        <v>0</v>
      </c>
      <c r="Y158">
        <f>IF(Source!BI75=3,H158, 0)</f>
        <v>0</v>
      </c>
      <c r="Z158">
        <f>IF(Source!BI75=4,H158, 0)</f>
        <v>0</v>
      </c>
    </row>
    <row r="159" spans="1:26" ht="28.5" x14ac:dyDescent="0.2">
      <c r="A159" s="51" t="str">
        <f>Source!E77</f>
        <v>13,3</v>
      </c>
      <c r="B159" s="52" t="str">
        <f>Source!F77</f>
        <v>06.2.05.03-0047</v>
      </c>
      <c r="C159" s="52" t="str">
        <f>Source!G77</f>
        <v>Плитки керамогранитные размером 300х300х8 мм</v>
      </c>
      <c r="D159" s="39" t="str">
        <f>Source!H77</f>
        <v>м2</v>
      </c>
      <c r="E159" s="40">
        <f>Source!I77</f>
        <v>42.432000000000002</v>
      </c>
      <c r="F159" s="41">
        <f>Source!AL77+Source!AM77+Source!AO77</f>
        <v>83.2</v>
      </c>
      <c r="G159" s="46" t="s">
        <v>6</v>
      </c>
      <c r="H159" s="41">
        <f>ROUND(Source!AC77*Source!I77, 2)+ROUND(Source!AD77*Source!I77, 2)+ROUND(Source!AF77*Source!I77, 2)</f>
        <v>3530.34</v>
      </c>
      <c r="I159" s="42"/>
      <c r="J159" s="42">
        <f>IF(Source!BC77&lt;&gt; 0, Source!BC77, 1)</f>
        <v>6.11</v>
      </c>
      <c r="K159" s="41">
        <f>Source!O77</f>
        <v>21570.39</v>
      </c>
      <c r="L159" s="47"/>
      <c r="S159">
        <f>ROUND((Source!FX77/100)*((ROUND(Source!AF77*Source!I77, 2)+ROUND(Source!AE77*Source!I77, 2))), 2)</f>
        <v>0</v>
      </c>
      <c r="T159">
        <f>Source!X77</f>
        <v>0</v>
      </c>
      <c r="U159">
        <f>ROUND((Source!FY77/100)*((ROUND(Source!AF77*Source!I77, 2)+ROUND(Source!AE77*Source!I77, 2))), 2)</f>
        <v>0</v>
      </c>
      <c r="V159">
        <f>Source!Y77</f>
        <v>0</v>
      </c>
      <c r="W159">
        <f>IF(Source!BI77&lt;=1,H159, 0)</f>
        <v>3530.34</v>
      </c>
      <c r="X159">
        <f>IF(Source!BI77=2,H159, 0)</f>
        <v>0</v>
      </c>
      <c r="Y159">
        <f>IF(Source!BI77=3,H159, 0)</f>
        <v>0</v>
      </c>
      <c r="Z159">
        <f>IF(Source!BI77=4,H159, 0)</f>
        <v>0</v>
      </c>
    </row>
    <row r="160" spans="1:26" ht="15" x14ac:dyDescent="0.25">
      <c r="G160" s="66">
        <f>H150+H151+H153+H154+H155+SUM(H157:H159)</f>
        <v>9081.1500000000015</v>
      </c>
      <c r="H160" s="66"/>
      <c r="J160" s="66">
        <f>K150+K151+K153+K154+K155+SUM(K157:K159)</f>
        <v>55529.760000000002</v>
      </c>
      <c r="K160" s="66"/>
      <c r="L160" s="44">
        <f>Source!U71</f>
        <v>148.50492800000001</v>
      </c>
      <c r="O160" s="27">
        <f>G160</f>
        <v>9081.1500000000015</v>
      </c>
      <c r="P160" s="27">
        <f>J160</f>
        <v>55529.760000000002</v>
      </c>
      <c r="Q160" s="27">
        <f>L160</f>
        <v>148.50492800000001</v>
      </c>
      <c r="W160">
        <f>IF(Source!BI71&lt;=1,H150+H151+H153+H154+H155, 0)</f>
        <v>11427.91</v>
      </c>
      <c r="X160">
        <f>IF(Source!BI71=2,H150+H151+H153+H154+H155, 0)</f>
        <v>0</v>
      </c>
      <c r="Y160">
        <f>IF(Source!BI71=3,H150+H151+H153+H154+H155, 0)</f>
        <v>0</v>
      </c>
      <c r="Z160">
        <f>IF(Source!BI71=4,H150+H151+H153+H154+H155, 0)</f>
        <v>0</v>
      </c>
    </row>
    <row r="161" spans="1:26" ht="28.5" x14ac:dyDescent="0.2">
      <c r="A161" s="49" t="str">
        <f>Source!E79</f>
        <v>14</v>
      </c>
      <c r="B161" s="50" t="str">
        <f>Source!F79</f>
        <v>63-5-1</v>
      </c>
      <c r="C161" s="50" t="str">
        <f>Source!G79</f>
        <v>Снятие обоев простых и улучшенных</v>
      </c>
      <c r="D161" s="33" t="str">
        <f>Source!H79</f>
        <v>100 м2</v>
      </c>
      <c r="E161" s="12">
        <f>Source!I79</f>
        <v>0.1704</v>
      </c>
      <c r="F161" s="34">
        <f>Source!AL79+Source!AM79+Source!AO79</f>
        <v>81.12</v>
      </c>
      <c r="G161" s="35"/>
      <c r="H161" s="34"/>
      <c r="I161" s="35" t="str">
        <f>Source!BO79</f>
        <v/>
      </c>
      <c r="J161" s="35"/>
      <c r="K161" s="34"/>
      <c r="L161" s="36"/>
      <c r="S161">
        <f>ROUND((Source!FX79/100)*((ROUND(Source!AF79*Source!I79, 2)+ROUND(Source!AE79*Source!I79, 2))), 2)</f>
        <v>10.64</v>
      </c>
      <c r="T161">
        <f>Source!X79</f>
        <v>65.03</v>
      </c>
      <c r="U161">
        <f>ROUND((Source!FY79/100)*((ROUND(Source!AF79*Source!I79, 2)+ROUND(Source!AE79*Source!I79, 2))), 2)</f>
        <v>6.91</v>
      </c>
      <c r="V161">
        <f>Source!Y79</f>
        <v>42.23</v>
      </c>
    </row>
    <row r="162" spans="1:26" x14ac:dyDescent="0.2">
      <c r="C162" s="26" t="str">
        <f>"Объем: "&amp;Source!I79&amp;"=17,04/"&amp;"100"</f>
        <v>Объем: 0,1704=17,04/100</v>
      </c>
    </row>
    <row r="163" spans="1:26" ht="14.25" x14ac:dyDescent="0.2">
      <c r="A163" s="49"/>
      <c r="B163" s="50"/>
      <c r="C163" s="50" t="s">
        <v>791</v>
      </c>
      <c r="D163" s="33"/>
      <c r="E163" s="12"/>
      <c r="F163" s="34">
        <f>Source!AO79</f>
        <v>81.12</v>
      </c>
      <c r="G163" s="35" t="str">
        <f>Source!DG79</f>
        <v/>
      </c>
      <c r="H163" s="34">
        <f>ROUND(Source!AF79*Source!I79, 2)</f>
        <v>13.82</v>
      </c>
      <c r="I163" s="35"/>
      <c r="J163" s="35">
        <f>IF(Source!BA79&lt;&gt; 0, Source!BA79, 1)</f>
        <v>6.11</v>
      </c>
      <c r="K163" s="34">
        <f>Source!S79</f>
        <v>84.46</v>
      </c>
      <c r="L163" s="36"/>
      <c r="R163">
        <f>H163</f>
        <v>13.82</v>
      </c>
    </row>
    <row r="164" spans="1:26" ht="14.25" x14ac:dyDescent="0.2">
      <c r="A164" s="49"/>
      <c r="B164" s="50"/>
      <c r="C164" s="50" t="s">
        <v>793</v>
      </c>
      <c r="D164" s="33" t="s">
        <v>794</v>
      </c>
      <c r="E164" s="12">
        <f>Source!BZ79</f>
        <v>77</v>
      </c>
      <c r="F164" s="53"/>
      <c r="G164" s="35"/>
      <c r="H164" s="34">
        <f>SUM(S161:S166)</f>
        <v>10.64</v>
      </c>
      <c r="I164" s="38"/>
      <c r="J164" s="31">
        <f>Source!AT79</f>
        <v>77</v>
      </c>
      <c r="K164" s="34">
        <f>SUM(T161:T166)</f>
        <v>65.03</v>
      </c>
      <c r="L164" s="36"/>
    </row>
    <row r="165" spans="1:26" ht="14.25" x14ac:dyDescent="0.2">
      <c r="A165" s="49"/>
      <c r="B165" s="50"/>
      <c r="C165" s="50" t="s">
        <v>795</v>
      </c>
      <c r="D165" s="33" t="s">
        <v>794</v>
      </c>
      <c r="E165" s="12">
        <f>Source!CA79</f>
        <v>50</v>
      </c>
      <c r="F165" s="53"/>
      <c r="G165" s="35"/>
      <c r="H165" s="34">
        <f>SUM(U161:U166)</f>
        <v>6.91</v>
      </c>
      <c r="I165" s="38"/>
      <c r="J165" s="31">
        <f>Source!AU79</f>
        <v>50</v>
      </c>
      <c r="K165" s="34">
        <f>SUM(V161:V166)</f>
        <v>42.23</v>
      </c>
      <c r="L165" s="36"/>
    </row>
    <row r="166" spans="1:26" ht="14.25" x14ac:dyDescent="0.2">
      <c r="A166" s="51"/>
      <c r="B166" s="52"/>
      <c r="C166" s="52" t="s">
        <v>796</v>
      </c>
      <c r="D166" s="39" t="s">
        <v>797</v>
      </c>
      <c r="E166" s="40">
        <f>Source!AQ79</f>
        <v>10.4</v>
      </c>
      <c r="F166" s="41"/>
      <c r="G166" s="42" t="str">
        <f>Source!DI79</f>
        <v/>
      </c>
      <c r="H166" s="41"/>
      <c r="I166" s="42"/>
      <c r="J166" s="42"/>
      <c r="K166" s="41"/>
      <c r="L166" s="43">
        <f>Source!U79</f>
        <v>1.77216</v>
      </c>
    </row>
    <row r="167" spans="1:26" ht="15" x14ac:dyDescent="0.25">
      <c r="G167" s="66">
        <f>H163+H164+H165</f>
        <v>31.37</v>
      </c>
      <c r="H167" s="66"/>
      <c r="J167" s="66">
        <f>K163+K164+K165</f>
        <v>191.72</v>
      </c>
      <c r="K167" s="66"/>
      <c r="L167" s="44">
        <f>Source!U79</f>
        <v>1.77216</v>
      </c>
      <c r="O167" s="27">
        <f>G167</f>
        <v>31.37</v>
      </c>
      <c r="P167" s="27">
        <f>J167</f>
        <v>191.72</v>
      </c>
      <c r="Q167" s="27">
        <f>L167</f>
        <v>1.77216</v>
      </c>
      <c r="W167">
        <f>IF(Source!BI79&lt;=1,H163+H164+H165, 0)</f>
        <v>31.37</v>
      </c>
      <c r="X167">
        <f>IF(Source!BI79=2,H163+H164+H165, 0)</f>
        <v>0</v>
      </c>
      <c r="Y167">
        <f>IF(Source!BI79=3,H163+H164+H165, 0)</f>
        <v>0</v>
      </c>
      <c r="Z167">
        <f>IF(Source!BI79=4,H163+H164+H165, 0)</f>
        <v>0</v>
      </c>
    </row>
    <row r="168" spans="1:26" ht="42.75" x14ac:dyDescent="0.2">
      <c r="A168" s="49" t="str">
        <f>Source!E81</f>
        <v>15</v>
      </c>
      <c r="B168" s="50" t="str">
        <f>Source!F81</f>
        <v>15-04-006-04</v>
      </c>
      <c r="C168" s="50" t="str">
        <f>Source!G81</f>
        <v>Покрытие поверхностей грунтовкой глубокого проникновения за 2 раза стен</v>
      </c>
      <c r="D168" s="33" t="str">
        <f>Source!H81</f>
        <v>100 м2</v>
      </c>
      <c r="E168" s="12">
        <f>Source!I81</f>
        <v>0.1704</v>
      </c>
      <c r="F168" s="34">
        <f>Source!AL81+Source!AM81+Source!AO81</f>
        <v>158.97999999999999</v>
      </c>
      <c r="G168" s="35"/>
      <c r="H168" s="34"/>
      <c r="I168" s="35" t="str">
        <f>Source!BO81</f>
        <v/>
      </c>
      <c r="J168" s="35"/>
      <c r="K168" s="34"/>
      <c r="L168" s="36"/>
      <c r="S168">
        <f>ROUND((Source!FX81/100)*((ROUND(Source!AF81*Source!I81, 2)+ROUND(Source!AE81*Source!I81, 2))), 2)</f>
        <v>29.15</v>
      </c>
      <c r="T168">
        <f>Source!X81</f>
        <v>179.04</v>
      </c>
      <c r="U168">
        <f>ROUND((Source!FY81/100)*((ROUND(Source!AF81*Source!I81, 2)+ROUND(Source!AE81*Source!I81, 2))), 2)</f>
        <v>14.42</v>
      </c>
      <c r="V168">
        <f>Source!Y81</f>
        <v>88.58</v>
      </c>
    </row>
    <row r="169" spans="1:26" x14ac:dyDescent="0.2">
      <c r="C169" s="26" t="str">
        <f>"Объем: "&amp;Source!I81&amp;"=17,04/"&amp;"100"</f>
        <v>Объем: 0,1704=17,04/100</v>
      </c>
    </row>
    <row r="170" spans="1:26" ht="14.25" x14ac:dyDescent="0.2">
      <c r="A170" s="49"/>
      <c r="B170" s="50"/>
      <c r="C170" s="50" t="s">
        <v>791</v>
      </c>
      <c r="D170" s="33"/>
      <c r="E170" s="12"/>
      <c r="F170" s="34">
        <f>Source!AO81</f>
        <v>157</v>
      </c>
      <c r="G170" s="35" t="str">
        <f>Source!DG81</f>
        <v>)*1,15</v>
      </c>
      <c r="H170" s="34">
        <f>ROUND(Source!AF81*Source!I81, 2)</f>
        <v>30.77</v>
      </c>
      <c r="I170" s="35"/>
      <c r="J170" s="35">
        <f>IF(Source!BA81&lt;&gt; 0, Source!BA81, 1)</f>
        <v>6.11</v>
      </c>
      <c r="K170" s="34">
        <f>Source!S81</f>
        <v>187.98</v>
      </c>
      <c r="L170" s="36"/>
      <c r="R170">
        <f>H170</f>
        <v>30.77</v>
      </c>
    </row>
    <row r="171" spans="1:26" ht="14.25" x14ac:dyDescent="0.2">
      <c r="A171" s="49"/>
      <c r="B171" s="50"/>
      <c r="C171" s="50" t="s">
        <v>356</v>
      </c>
      <c r="D171" s="33"/>
      <c r="E171" s="12"/>
      <c r="F171" s="34">
        <f>Source!AM81</f>
        <v>1.62</v>
      </c>
      <c r="G171" s="35" t="str">
        <f>Source!DE81</f>
        <v>)*1,25</v>
      </c>
      <c r="H171" s="34">
        <f>ROUND(Source!AD81*Source!I81, 2)</f>
        <v>0.34</v>
      </c>
      <c r="I171" s="35"/>
      <c r="J171" s="35">
        <f>IF(Source!BB81&lt;&gt; 0, Source!BB81, 1)</f>
        <v>6.11</v>
      </c>
      <c r="K171" s="34">
        <f>Source!Q81</f>
        <v>2.1</v>
      </c>
      <c r="L171" s="36"/>
    </row>
    <row r="172" spans="1:26" ht="14.25" x14ac:dyDescent="0.2">
      <c r="A172" s="49"/>
      <c r="B172" s="50"/>
      <c r="C172" s="50" t="s">
        <v>792</v>
      </c>
      <c r="D172" s="33"/>
      <c r="E172" s="12"/>
      <c r="F172" s="34">
        <f>Source!AN81</f>
        <v>0.37</v>
      </c>
      <c r="G172" s="35" t="str">
        <f>Source!DF81</f>
        <v>)*1,25</v>
      </c>
      <c r="H172" s="37">
        <f>ROUND(Source!AE81*Source!I81, 2)</f>
        <v>0.08</v>
      </c>
      <c r="I172" s="35"/>
      <c r="J172" s="35">
        <f>IF(Source!BS81&lt;&gt; 0, Source!BS81, 1)</f>
        <v>6.11</v>
      </c>
      <c r="K172" s="37">
        <f>Source!R81</f>
        <v>0.48</v>
      </c>
      <c r="L172" s="36"/>
      <c r="R172">
        <f>H172</f>
        <v>0.08</v>
      </c>
    </row>
    <row r="173" spans="1:26" ht="14.25" x14ac:dyDescent="0.2">
      <c r="A173" s="49"/>
      <c r="B173" s="50"/>
      <c r="C173" s="50" t="s">
        <v>798</v>
      </c>
      <c r="D173" s="33"/>
      <c r="E173" s="12"/>
      <c r="F173" s="34">
        <f>Source!AL81</f>
        <v>0.36</v>
      </c>
      <c r="G173" s="35" t="str">
        <f>Source!DD81</f>
        <v/>
      </c>
      <c r="H173" s="34">
        <f>ROUND(Source!AC81*Source!I81, 2)</f>
        <v>0.06</v>
      </c>
      <c r="I173" s="35"/>
      <c r="J173" s="35">
        <f>IF(Source!BC81&lt;&gt; 0, Source!BC81, 1)</f>
        <v>6.11</v>
      </c>
      <c r="K173" s="34">
        <f>Source!P81</f>
        <v>0.37</v>
      </c>
      <c r="L173" s="36"/>
    </row>
    <row r="174" spans="1:26" ht="14.25" x14ac:dyDescent="0.2">
      <c r="A174" s="49"/>
      <c r="B174" s="50"/>
      <c r="C174" s="50" t="s">
        <v>793</v>
      </c>
      <c r="D174" s="33" t="s">
        <v>794</v>
      </c>
      <c r="E174" s="12">
        <f>Source!BZ81</f>
        <v>105</v>
      </c>
      <c r="F174" s="67" t="str">
        <f>CONCATENATE(" )", Source!DL81, Source!FT81, "=", Source!FX81)</f>
        <v xml:space="preserve"> )*0,9=94,5</v>
      </c>
      <c r="G174" s="68"/>
      <c r="H174" s="34">
        <f>SUM(S168:S177)</f>
        <v>29.15</v>
      </c>
      <c r="I174" s="38"/>
      <c r="J174" s="31">
        <f>Source!AT81</f>
        <v>95</v>
      </c>
      <c r="K174" s="34">
        <f>SUM(T168:T177)</f>
        <v>179.04</v>
      </c>
      <c r="L174" s="36"/>
    </row>
    <row r="175" spans="1:26" ht="14.25" x14ac:dyDescent="0.2">
      <c r="A175" s="49"/>
      <c r="B175" s="50"/>
      <c r="C175" s="50" t="s">
        <v>795</v>
      </c>
      <c r="D175" s="33" t="s">
        <v>794</v>
      </c>
      <c r="E175" s="12">
        <f>Source!CA81</f>
        <v>55</v>
      </c>
      <c r="F175" s="67" t="str">
        <f>CONCATENATE(" )", Source!DM81, Source!FU81, "=", Source!FY81)</f>
        <v xml:space="preserve"> )*0,85=46,75</v>
      </c>
      <c r="G175" s="68"/>
      <c r="H175" s="34">
        <f>SUM(U168:U177)</f>
        <v>14.42</v>
      </c>
      <c r="I175" s="38"/>
      <c r="J175" s="31">
        <f>Source!AU81</f>
        <v>47</v>
      </c>
      <c r="K175" s="34">
        <f>SUM(V168:V177)</f>
        <v>88.58</v>
      </c>
      <c r="L175" s="36"/>
    </row>
    <row r="176" spans="1:26" ht="14.25" x14ac:dyDescent="0.2">
      <c r="A176" s="49"/>
      <c r="B176" s="50"/>
      <c r="C176" s="50" t="s">
        <v>796</v>
      </c>
      <c r="D176" s="33" t="s">
        <v>797</v>
      </c>
      <c r="E176" s="12">
        <f>Source!AQ81</f>
        <v>16.32</v>
      </c>
      <c r="F176" s="34"/>
      <c r="G176" s="35" t="str">
        <f>Source!DI81</f>
        <v>)*1,15</v>
      </c>
      <c r="H176" s="34"/>
      <c r="I176" s="35"/>
      <c r="J176" s="35"/>
      <c r="K176" s="34"/>
      <c r="L176" s="45">
        <f>Source!U81</f>
        <v>3.1980671999999992</v>
      </c>
    </row>
    <row r="177" spans="1:26" ht="28.5" x14ac:dyDescent="0.2">
      <c r="A177" s="51" t="str">
        <f>Source!E83</f>
        <v>15,1</v>
      </c>
      <c r="B177" s="52" t="str">
        <f>Source!F83</f>
        <v>14.4.01.04-0001</v>
      </c>
      <c r="C177" s="52" t="str">
        <f>Source!G83</f>
        <v>Грунтовка для внутренних работ ВАК-01-У</v>
      </c>
      <c r="D177" s="39" t="str">
        <f>Source!H83</f>
        <v>т</v>
      </c>
      <c r="E177" s="40">
        <f>Source!I83</f>
        <v>3.408E-3</v>
      </c>
      <c r="F177" s="41">
        <f>Source!AL83+Source!AM83+Source!AO83</f>
        <v>11300</v>
      </c>
      <c r="G177" s="46" t="s">
        <v>6</v>
      </c>
      <c r="H177" s="41">
        <f>ROUND(Source!AC83*Source!I83, 2)+ROUND(Source!AD83*Source!I83, 2)+ROUND(Source!AF83*Source!I83, 2)</f>
        <v>38.51</v>
      </c>
      <c r="I177" s="42"/>
      <c r="J177" s="42">
        <f>IF(Source!BC83&lt;&gt; 0, Source!BC83, 1)</f>
        <v>6.11</v>
      </c>
      <c r="K177" s="41">
        <f>Source!O83</f>
        <v>235.3</v>
      </c>
      <c r="L177" s="47"/>
      <c r="S177">
        <f>ROUND((Source!FX83/100)*((ROUND(Source!AF83*Source!I83, 2)+ROUND(Source!AE83*Source!I83, 2))), 2)</f>
        <v>0</v>
      </c>
      <c r="T177">
        <f>Source!X83</f>
        <v>0</v>
      </c>
      <c r="U177">
        <f>ROUND((Source!FY83/100)*((ROUND(Source!AF83*Source!I83, 2)+ROUND(Source!AE83*Source!I83, 2))), 2)</f>
        <v>0</v>
      </c>
      <c r="V177">
        <f>Source!Y83</f>
        <v>0</v>
      </c>
      <c r="W177">
        <f>IF(Source!BI83&lt;=1,H177, 0)</f>
        <v>38.51</v>
      </c>
      <c r="X177">
        <f>IF(Source!BI83=2,H177, 0)</f>
        <v>0</v>
      </c>
      <c r="Y177">
        <f>IF(Source!BI83=3,H177, 0)</f>
        <v>0</v>
      </c>
      <c r="Z177">
        <f>IF(Source!BI83=4,H177, 0)</f>
        <v>0</v>
      </c>
    </row>
    <row r="178" spans="1:26" ht="15" x14ac:dyDescent="0.25">
      <c r="G178" s="66">
        <f>H170+H171+H173+H174+H175+SUM(H177:H177)</f>
        <v>113.25</v>
      </c>
      <c r="H178" s="66"/>
      <c r="J178" s="66">
        <f>K170+K171+K173+K174+K175+SUM(K177:K177)</f>
        <v>693.37</v>
      </c>
      <c r="K178" s="66"/>
      <c r="L178" s="44">
        <f>Source!U81</f>
        <v>3.1980671999999992</v>
      </c>
      <c r="O178" s="27">
        <f>G178</f>
        <v>113.25</v>
      </c>
      <c r="P178" s="27">
        <f>J178</f>
        <v>693.37</v>
      </c>
      <c r="Q178" s="27">
        <f>L178</f>
        <v>3.1980671999999992</v>
      </c>
      <c r="W178">
        <f>IF(Source!BI81&lt;=1,H170+H171+H173+H174+H175, 0)</f>
        <v>74.739999999999995</v>
      </c>
      <c r="X178">
        <f>IF(Source!BI81=2,H170+H171+H173+H174+H175, 0)</f>
        <v>0</v>
      </c>
      <c r="Y178">
        <f>IF(Source!BI81=3,H170+H171+H173+H174+H175, 0)</f>
        <v>0</v>
      </c>
      <c r="Z178">
        <f>IF(Source!BI81=4,H170+H171+H173+H174+H175, 0)</f>
        <v>0</v>
      </c>
    </row>
    <row r="179" spans="1:26" ht="85.5" x14ac:dyDescent="0.2">
      <c r="A179" s="49" t="str">
        <f>Source!E85</f>
        <v>16</v>
      </c>
      <c r="B179" s="50" t="str">
        <f>Source!F85</f>
        <v>62-16-4</v>
      </c>
      <c r="C179" s="50" t="str">
        <f>Source!G85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179" s="33" t="str">
        <f>Source!H85</f>
        <v>100 м2</v>
      </c>
      <c r="E179" s="12">
        <f>Source!I85</f>
        <v>0.1704</v>
      </c>
      <c r="F179" s="34">
        <f>Source!AL85+Source!AM85+Source!AO85</f>
        <v>759.03</v>
      </c>
      <c r="G179" s="35"/>
      <c r="H179" s="34"/>
      <c r="I179" s="35" t="str">
        <f>Source!BO85</f>
        <v/>
      </c>
      <c r="J179" s="35"/>
      <c r="K179" s="34"/>
      <c r="L179" s="36"/>
      <c r="S179">
        <f>ROUND((Source!FX85/100)*((ROUND(Source!AF85*Source!I85, 2)+ROUND(Source!AE85*Source!I85, 2))), 2)</f>
        <v>35.14</v>
      </c>
      <c r="T179">
        <f>Source!X85</f>
        <v>214.71</v>
      </c>
      <c r="U179">
        <f>ROUND((Source!FY85/100)*((ROUND(Source!AF85*Source!I85, 2)+ROUND(Source!AE85*Source!I85, 2))), 2)</f>
        <v>21.97</v>
      </c>
      <c r="V179">
        <f>Source!Y85</f>
        <v>134.19999999999999</v>
      </c>
    </row>
    <row r="180" spans="1:26" x14ac:dyDescent="0.2">
      <c r="C180" s="26" t="str">
        <f>"Объем: "&amp;Source!I85&amp;"=17,04/"&amp;"100"</f>
        <v>Объем: 0,1704=17,04/100</v>
      </c>
    </row>
    <row r="181" spans="1:26" ht="14.25" x14ac:dyDescent="0.2">
      <c r="A181" s="49"/>
      <c r="B181" s="50"/>
      <c r="C181" s="50" t="s">
        <v>791</v>
      </c>
      <c r="D181" s="33"/>
      <c r="E181" s="12"/>
      <c r="F181" s="34">
        <f>Source!AO85</f>
        <v>255.74</v>
      </c>
      <c r="G181" s="35" t="str">
        <f>Source!DG85</f>
        <v/>
      </c>
      <c r="H181" s="34">
        <f>ROUND(Source!AF85*Source!I85, 2)</f>
        <v>43.58</v>
      </c>
      <c r="I181" s="35"/>
      <c r="J181" s="35">
        <f>IF(Source!BA85&lt;&gt; 0, Source!BA85, 1)</f>
        <v>6.11</v>
      </c>
      <c r="K181" s="34">
        <f>Source!S85</f>
        <v>266.26</v>
      </c>
      <c r="L181" s="36"/>
      <c r="R181">
        <f>H181</f>
        <v>43.58</v>
      </c>
    </row>
    <row r="182" spans="1:26" ht="14.25" x14ac:dyDescent="0.2">
      <c r="A182" s="49"/>
      <c r="B182" s="50"/>
      <c r="C182" s="50" t="s">
        <v>356</v>
      </c>
      <c r="D182" s="33"/>
      <c r="E182" s="12"/>
      <c r="F182" s="34">
        <f>Source!AM85</f>
        <v>7.07</v>
      </c>
      <c r="G182" s="35" t="str">
        <f>Source!DE85</f>
        <v/>
      </c>
      <c r="H182" s="34">
        <f>ROUND(Source!AD85*Source!I85, 2)</f>
        <v>1.2</v>
      </c>
      <c r="I182" s="35"/>
      <c r="J182" s="35">
        <f>IF(Source!BB85&lt;&gt; 0, Source!BB85, 1)</f>
        <v>6.11</v>
      </c>
      <c r="K182" s="34">
        <f>Source!Q85</f>
        <v>7.36</v>
      </c>
      <c r="L182" s="36"/>
    </row>
    <row r="183" spans="1:26" ht="14.25" x14ac:dyDescent="0.2">
      <c r="A183" s="49"/>
      <c r="B183" s="50"/>
      <c r="C183" s="50" t="s">
        <v>792</v>
      </c>
      <c r="D183" s="33"/>
      <c r="E183" s="12"/>
      <c r="F183" s="34">
        <f>Source!AN85</f>
        <v>2.0499999999999998</v>
      </c>
      <c r="G183" s="35" t="str">
        <f>Source!DF85</f>
        <v/>
      </c>
      <c r="H183" s="37">
        <f>ROUND(Source!AE85*Source!I85, 2)</f>
        <v>0.35</v>
      </c>
      <c r="I183" s="35"/>
      <c r="J183" s="35">
        <f>IF(Source!BS85&lt;&gt; 0, Source!BS85, 1)</f>
        <v>6.11</v>
      </c>
      <c r="K183" s="37">
        <f>Source!R85</f>
        <v>2.13</v>
      </c>
      <c r="L183" s="36"/>
      <c r="R183">
        <f>H183</f>
        <v>0.35</v>
      </c>
    </row>
    <row r="184" spans="1:26" ht="14.25" x14ac:dyDescent="0.2">
      <c r="A184" s="49"/>
      <c r="B184" s="50"/>
      <c r="C184" s="50" t="s">
        <v>798</v>
      </c>
      <c r="D184" s="33"/>
      <c r="E184" s="12"/>
      <c r="F184" s="34">
        <f>Source!AL85</f>
        <v>496.22</v>
      </c>
      <c r="G184" s="35" t="str">
        <f>Source!DD85</f>
        <v/>
      </c>
      <c r="H184" s="34">
        <f>ROUND(Source!AC85*Source!I85, 2)</f>
        <v>84.56</v>
      </c>
      <c r="I184" s="35"/>
      <c r="J184" s="35">
        <f>IF(Source!BC85&lt;&gt; 0, Source!BC85, 1)</f>
        <v>6.11</v>
      </c>
      <c r="K184" s="34">
        <f>Source!P85</f>
        <v>516.64</v>
      </c>
      <c r="L184" s="36"/>
    </row>
    <row r="185" spans="1:26" ht="14.25" x14ac:dyDescent="0.2">
      <c r="A185" s="49"/>
      <c r="B185" s="50"/>
      <c r="C185" s="50" t="s">
        <v>793</v>
      </c>
      <c r="D185" s="33" t="s">
        <v>794</v>
      </c>
      <c r="E185" s="12">
        <f>Source!BZ85</f>
        <v>80</v>
      </c>
      <c r="F185" s="53"/>
      <c r="G185" s="35"/>
      <c r="H185" s="34">
        <f>SUM(S179:S188)</f>
        <v>35.14</v>
      </c>
      <c r="I185" s="38"/>
      <c r="J185" s="31">
        <f>Source!AT85</f>
        <v>80</v>
      </c>
      <c r="K185" s="34">
        <f>SUM(T179:T188)</f>
        <v>214.71</v>
      </c>
      <c r="L185" s="36"/>
    </row>
    <row r="186" spans="1:26" ht="14.25" x14ac:dyDescent="0.2">
      <c r="A186" s="49"/>
      <c r="B186" s="50"/>
      <c r="C186" s="50" t="s">
        <v>795</v>
      </c>
      <c r="D186" s="33" t="s">
        <v>794</v>
      </c>
      <c r="E186" s="12">
        <f>Source!CA85</f>
        <v>50</v>
      </c>
      <c r="F186" s="53"/>
      <c r="G186" s="35"/>
      <c r="H186" s="34">
        <f>SUM(U179:U188)</f>
        <v>21.97</v>
      </c>
      <c r="I186" s="38"/>
      <c r="J186" s="31">
        <f>Source!AU85</f>
        <v>50</v>
      </c>
      <c r="K186" s="34">
        <f>SUM(V179:V188)</f>
        <v>134.19999999999999</v>
      </c>
      <c r="L186" s="36"/>
    </row>
    <row r="187" spans="1:26" ht="14.25" x14ac:dyDescent="0.2">
      <c r="A187" s="49"/>
      <c r="B187" s="50"/>
      <c r="C187" s="50" t="s">
        <v>796</v>
      </c>
      <c r="D187" s="33" t="s">
        <v>797</v>
      </c>
      <c r="E187" s="12">
        <f>Source!AQ85</f>
        <v>29.6</v>
      </c>
      <c r="F187" s="34"/>
      <c r="G187" s="35" t="str">
        <f>Source!DI85</f>
        <v/>
      </c>
      <c r="H187" s="34"/>
      <c r="I187" s="35"/>
      <c r="J187" s="35"/>
      <c r="K187" s="34"/>
      <c r="L187" s="45">
        <f>Source!U85</f>
        <v>5.0438400000000003</v>
      </c>
    </row>
    <row r="188" spans="1:26" ht="28.5" x14ac:dyDescent="0.2">
      <c r="A188" s="51" t="str">
        <f>Source!E87</f>
        <v>16,1</v>
      </c>
      <c r="B188" s="52" t="str">
        <f>Source!F87</f>
        <v>14.3.02.01-0015</v>
      </c>
      <c r="C188" s="52" t="str">
        <f>Source!G87</f>
        <v>Краска акриловая  водно-дисперсионная ВД Ореол</v>
      </c>
      <c r="D188" s="39" t="str">
        <f>Source!H87</f>
        <v>т</v>
      </c>
      <c r="E188" s="40">
        <f>Source!I87</f>
        <v>1.2097999999999999E-2</v>
      </c>
      <c r="F188" s="41">
        <f>Source!AL87+Source!AM87+Source!AO87</f>
        <v>13287.69</v>
      </c>
      <c r="G188" s="46" t="s">
        <v>6</v>
      </c>
      <c r="H188" s="41">
        <f>ROUND(Source!AC87*Source!I87, 2)+ROUND(Source!AD87*Source!I87, 2)+ROUND(Source!AF87*Source!I87, 2)</f>
        <v>160.75</v>
      </c>
      <c r="I188" s="42"/>
      <c r="J188" s="42">
        <f>IF(Source!BC87&lt;&gt; 0, Source!BC87, 1)</f>
        <v>6.11</v>
      </c>
      <c r="K188" s="41">
        <f>Source!O87</f>
        <v>982.21</v>
      </c>
      <c r="L188" s="47"/>
      <c r="S188">
        <f>ROUND((Source!FX87/100)*((ROUND(Source!AF87*Source!I87, 2)+ROUND(Source!AE87*Source!I87, 2))), 2)</f>
        <v>0</v>
      </c>
      <c r="T188">
        <f>Source!X87</f>
        <v>0</v>
      </c>
      <c r="U188">
        <f>ROUND((Source!FY87/100)*((ROUND(Source!AF87*Source!I87, 2)+ROUND(Source!AE87*Source!I87, 2))), 2)</f>
        <v>0</v>
      </c>
      <c r="V188">
        <f>Source!Y87</f>
        <v>0</v>
      </c>
      <c r="W188">
        <f>IF(Source!BI87&lt;=1,H188, 0)</f>
        <v>160.75</v>
      </c>
      <c r="X188">
        <f>IF(Source!BI87=2,H188, 0)</f>
        <v>0</v>
      </c>
      <c r="Y188">
        <f>IF(Source!BI87=3,H188, 0)</f>
        <v>0</v>
      </c>
      <c r="Z188">
        <f>IF(Source!BI87=4,H188, 0)</f>
        <v>0</v>
      </c>
    </row>
    <row r="189" spans="1:26" ht="15" x14ac:dyDescent="0.25">
      <c r="G189" s="66">
        <f>H181+H182+H184+H185+H186+SUM(H188:H188)</f>
        <v>347.20000000000005</v>
      </c>
      <c r="H189" s="66"/>
      <c r="J189" s="66">
        <f>K181+K182+K184+K185+K186+SUM(K188:K188)</f>
        <v>2121.38</v>
      </c>
      <c r="K189" s="66"/>
      <c r="L189" s="44">
        <f>Source!U85</f>
        <v>5.0438400000000003</v>
      </c>
      <c r="O189" s="27">
        <f>G189</f>
        <v>347.20000000000005</v>
      </c>
      <c r="P189" s="27">
        <f>J189</f>
        <v>2121.38</v>
      </c>
      <c r="Q189" s="27">
        <f>L189</f>
        <v>5.0438400000000003</v>
      </c>
      <c r="W189">
        <f>IF(Source!BI85&lt;=1,H181+H182+H184+H185+H186, 0)</f>
        <v>186.45000000000002</v>
      </c>
      <c r="X189">
        <f>IF(Source!BI85=2,H181+H182+H184+H185+H186, 0)</f>
        <v>0</v>
      </c>
      <c r="Y189">
        <f>IF(Source!BI85=3,H181+H182+H184+H185+H186, 0)</f>
        <v>0</v>
      </c>
      <c r="Z189">
        <f>IF(Source!BI85=4,H181+H182+H184+H185+H186, 0)</f>
        <v>0</v>
      </c>
    </row>
    <row r="190" spans="1:26" ht="28.5" x14ac:dyDescent="0.2">
      <c r="A190" s="49" t="str">
        <f>Source!E89</f>
        <v>17</v>
      </c>
      <c r="B190" s="50" t="str">
        <f>Source!F89</f>
        <v>63-7-5</v>
      </c>
      <c r="C190" s="50" t="str">
        <f>Source!G89</f>
        <v>Разборка облицовки стен из керамических глазурованных плиток</v>
      </c>
      <c r="D190" s="33" t="str">
        <f>Source!H89</f>
        <v>100 м2</v>
      </c>
      <c r="E190" s="12">
        <f>Source!I89</f>
        <v>0.2346</v>
      </c>
      <c r="F190" s="34">
        <f>Source!AL89+Source!AM89+Source!AO89</f>
        <v>654</v>
      </c>
      <c r="G190" s="35"/>
      <c r="H190" s="34"/>
      <c r="I190" s="35" t="str">
        <f>Source!BO89</f>
        <v/>
      </c>
      <c r="J190" s="35"/>
      <c r="K190" s="34"/>
      <c r="L190" s="36"/>
      <c r="S190">
        <f>ROUND((Source!FX89/100)*((ROUND(Source!AF89*Source!I89, 2)+ROUND(Source!AE89*Source!I89, 2))), 2)</f>
        <v>106.48</v>
      </c>
      <c r="T190">
        <f>Source!X89</f>
        <v>650.61</v>
      </c>
      <c r="U190">
        <f>ROUND((Source!FY89/100)*((ROUND(Source!AF89*Source!I89, 2)+ROUND(Source!AE89*Source!I89, 2))), 2)</f>
        <v>69.150000000000006</v>
      </c>
      <c r="V190">
        <f>Source!Y89</f>
        <v>422.48</v>
      </c>
    </row>
    <row r="191" spans="1:26" x14ac:dyDescent="0.2">
      <c r="C191" s="26" t="str">
        <f>"Объем: "&amp;Source!I89&amp;"=23,46/"&amp;"100"</f>
        <v>Объем: 0,2346=23,46/100</v>
      </c>
    </row>
    <row r="192" spans="1:26" ht="14.25" x14ac:dyDescent="0.2">
      <c r="A192" s="49"/>
      <c r="B192" s="50"/>
      <c r="C192" s="50" t="s">
        <v>791</v>
      </c>
      <c r="D192" s="33"/>
      <c r="E192" s="12"/>
      <c r="F192" s="34">
        <f>Source!AO89</f>
        <v>584.74</v>
      </c>
      <c r="G192" s="35" t="str">
        <f>Source!DG89</f>
        <v/>
      </c>
      <c r="H192" s="34">
        <f>ROUND(Source!AF89*Source!I89, 2)</f>
        <v>137.18</v>
      </c>
      <c r="I192" s="35"/>
      <c r="J192" s="35">
        <f>IF(Source!BA89&lt;&gt; 0, Source!BA89, 1)</f>
        <v>6.11</v>
      </c>
      <c r="K192" s="34">
        <f>Source!S89</f>
        <v>838.17</v>
      </c>
      <c r="L192" s="36"/>
      <c r="R192">
        <f>H192</f>
        <v>137.18</v>
      </c>
    </row>
    <row r="193" spans="1:26" ht="14.25" x14ac:dyDescent="0.2">
      <c r="A193" s="49"/>
      <c r="B193" s="50"/>
      <c r="C193" s="50" t="s">
        <v>356</v>
      </c>
      <c r="D193" s="33"/>
      <c r="E193" s="12"/>
      <c r="F193" s="34">
        <f>Source!AM89</f>
        <v>69.260000000000005</v>
      </c>
      <c r="G193" s="35" t="str">
        <f>Source!DE89</f>
        <v/>
      </c>
      <c r="H193" s="34">
        <f>ROUND(Source!AD89*Source!I89, 2)</f>
        <v>16.25</v>
      </c>
      <c r="I193" s="35"/>
      <c r="J193" s="35">
        <f>IF(Source!BB89&lt;&gt; 0, Source!BB89, 1)</f>
        <v>6.11</v>
      </c>
      <c r="K193" s="34">
        <f>Source!Q89</f>
        <v>99.28</v>
      </c>
      <c r="L193" s="36"/>
    </row>
    <row r="194" spans="1:26" ht="14.25" x14ac:dyDescent="0.2">
      <c r="A194" s="49"/>
      <c r="B194" s="50"/>
      <c r="C194" s="50" t="s">
        <v>792</v>
      </c>
      <c r="D194" s="33"/>
      <c r="E194" s="12"/>
      <c r="F194" s="34">
        <f>Source!AN89</f>
        <v>4.7300000000000004</v>
      </c>
      <c r="G194" s="35" t="str">
        <f>Source!DF89</f>
        <v/>
      </c>
      <c r="H194" s="37">
        <f>ROUND(Source!AE89*Source!I89, 2)</f>
        <v>1.1100000000000001</v>
      </c>
      <c r="I194" s="35"/>
      <c r="J194" s="35">
        <f>IF(Source!BS89&lt;&gt; 0, Source!BS89, 1)</f>
        <v>6.11</v>
      </c>
      <c r="K194" s="37">
        <f>Source!R89</f>
        <v>6.78</v>
      </c>
      <c r="L194" s="36"/>
      <c r="R194">
        <f>H194</f>
        <v>1.1100000000000001</v>
      </c>
    </row>
    <row r="195" spans="1:26" ht="14.25" x14ac:dyDescent="0.2">
      <c r="A195" s="49"/>
      <c r="B195" s="50"/>
      <c r="C195" s="50" t="s">
        <v>793</v>
      </c>
      <c r="D195" s="33" t="s">
        <v>794</v>
      </c>
      <c r="E195" s="12">
        <f>Source!BZ89</f>
        <v>77</v>
      </c>
      <c r="F195" s="53"/>
      <c r="G195" s="35"/>
      <c r="H195" s="34">
        <f>SUM(S190:S197)</f>
        <v>106.48</v>
      </c>
      <c r="I195" s="38"/>
      <c r="J195" s="31">
        <f>Source!AT89</f>
        <v>77</v>
      </c>
      <c r="K195" s="34">
        <f>SUM(T190:T197)</f>
        <v>650.61</v>
      </c>
      <c r="L195" s="36"/>
    </row>
    <row r="196" spans="1:26" ht="14.25" x14ac:dyDescent="0.2">
      <c r="A196" s="49"/>
      <c r="B196" s="50"/>
      <c r="C196" s="50" t="s">
        <v>795</v>
      </c>
      <c r="D196" s="33" t="s">
        <v>794</v>
      </c>
      <c r="E196" s="12">
        <f>Source!CA89</f>
        <v>50</v>
      </c>
      <c r="F196" s="53"/>
      <c r="G196" s="35"/>
      <c r="H196" s="34">
        <f>SUM(U190:U197)</f>
        <v>69.150000000000006</v>
      </c>
      <c r="I196" s="38"/>
      <c r="J196" s="31">
        <f>Source!AU89</f>
        <v>50</v>
      </c>
      <c r="K196" s="34">
        <f>SUM(V190:V197)</f>
        <v>422.48</v>
      </c>
      <c r="L196" s="36"/>
    </row>
    <row r="197" spans="1:26" ht="14.25" x14ac:dyDescent="0.2">
      <c r="A197" s="51"/>
      <c r="B197" s="52"/>
      <c r="C197" s="52" t="s">
        <v>796</v>
      </c>
      <c r="D197" s="39" t="s">
        <v>797</v>
      </c>
      <c r="E197" s="40">
        <f>Source!AQ89</f>
        <v>74.3</v>
      </c>
      <c r="F197" s="41"/>
      <c r="G197" s="42" t="str">
        <f>Source!DI89</f>
        <v/>
      </c>
      <c r="H197" s="41"/>
      <c r="I197" s="42"/>
      <c r="J197" s="42"/>
      <c r="K197" s="41"/>
      <c r="L197" s="43">
        <f>Source!U89</f>
        <v>17.430779999999999</v>
      </c>
    </row>
    <row r="198" spans="1:26" ht="15" x14ac:dyDescent="0.25">
      <c r="G198" s="66">
        <f>H192+H193+H195+H196</f>
        <v>329.06000000000006</v>
      </c>
      <c r="H198" s="66"/>
      <c r="J198" s="66">
        <f>K192+K193+K195+K196</f>
        <v>2010.54</v>
      </c>
      <c r="K198" s="66"/>
      <c r="L198" s="44">
        <f>Source!U89</f>
        <v>17.430779999999999</v>
      </c>
      <c r="O198" s="27">
        <f>G198</f>
        <v>329.06000000000006</v>
      </c>
      <c r="P198" s="27">
        <f>J198</f>
        <v>2010.54</v>
      </c>
      <c r="Q198" s="27">
        <f>L198</f>
        <v>17.430779999999999</v>
      </c>
      <c r="W198">
        <f>IF(Source!BI89&lt;=1,H192+H193+H195+H196, 0)</f>
        <v>329.06000000000006</v>
      </c>
      <c r="X198">
        <f>IF(Source!BI89=2,H192+H193+H195+H196, 0)</f>
        <v>0</v>
      </c>
      <c r="Y198">
        <f>IF(Source!BI89=3,H192+H193+H195+H196, 0)</f>
        <v>0</v>
      </c>
      <c r="Z198">
        <f>IF(Source!BI89=4,H192+H193+H195+H196, 0)</f>
        <v>0</v>
      </c>
    </row>
    <row r="199" spans="1:26" ht="85.5" x14ac:dyDescent="0.2">
      <c r="A199" s="49" t="str">
        <f>Source!E91</f>
        <v>18</v>
      </c>
      <c r="B199" s="50" t="str">
        <f>Source!F91</f>
        <v>15-01-019-05</v>
      </c>
      <c r="C199" s="50" t="str">
        <f>Source!G91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199" s="33" t="str">
        <f>Source!H91</f>
        <v>100 м2</v>
      </c>
      <c r="E199" s="12">
        <f>Source!I91</f>
        <v>0.2346</v>
      </c>
      <c r="F199" s="34">
        <f>Source!AL91+Source!AM91+Source!AO91</f>
        <v>1500.7</v>
      </c>
      <c r="G199" s="35"/>
      <c r="H199" s="34"/>
      <c r="I199" s="35" t="str">
        <f>Source!BO91</f>
        <v/>
      </c>
      <c r="J199" s="35"/>
      <c r="K199" s="34"/>
      <c r="L199" s="36"/>
      <c r="S199">
        <f>ROUND((Source!FX91/100)*((ROUND(Source!AF91*Source!I91, 2)+ROUND(Source!AE91*Source!I91, 2))), 2)</f>
        <v>378.56</v>
      </c>
      <c r="T199">
        <f>Source!X91</f>
        <v>2325.2399999999998</v>
      </c>
      <c r="U199">
        <f>ROUND((Source!FY91/100)*((ROUND(Source!AF91*Source!I91, 2)+ROUND(Source!AE91*Source!I91, 2))), 2)</f>
        <v>187.28</v>
      </c>
      <c r="V199">
        <f>Source!Y91</f>
        <v>1150.3800000000001</v>
      </c>
    </row>
    <row r="200" spans="1:26" x14ac:dyDescent="0.2">
      <c r="C200" s="26" t="str">
        <f>"Объем: "&amp;Source!I91&amp;"=23,46/"&amp;"100"</f>
        <v>Объем: 0,2346=23,46/100</v>
      </c>
    </row>
    <row r="201" spans="1:26" ht="14.25" x14ac:dyDescent="0.2">
      <c r="A201" s="49"/>
      <c r="B201" s="50"/>
      <c r="C201" s="50" t="s">
        <v>791</v>
      </c>
      <c r="D201" s="33"/>
      <c r="E201" s="12"/>
      <c r="F201" s="34">
        <f>Source!AO91</f>
        <v>1465.77</v>
      </c>
      <c r="G201" s="35" t="str">
        <f>Source!DG91</f>
        <v>)*1,15</v>
      </c>
      <c r="H201" s="34">
        <f>ROUND(Source!AF91*Source!I91, 2)</f>
        <v>395.45</v>
      </c>
      <c r="I201" s="35"/>
      <c r="J201" s="35">
        <f>IF(Source!BA91&lt;&gt; 0, Source!BA91, 1)</f>
        <v>6.11</v>
      </c>
      <c r="K201" s="34">
        <f>Source!S91</f>
        <v>2416.21</v>
      </c>
      <c r="L201" s="36"/>
      <c r="R201">
        <f>H201</f>
        <v>395.45</v>
      </c>
    </row>
    <row r="202" spans="1:26" ht="14.25" x14ac:dyDescent="0.2">
      <c r="A202" s="49"/>
      <c r="B202" s="50"/>
      <c r="C202" s="50" t="s">
        <v>356</v>
      </c>
      <c r="D202" s="33"/>
      <c r="E202" s="12"/>
      <c r="F202" s="34">
        <f>Source!AM91</f>
        <v>31.75</v>
      </c>
      <c r="G202" s="35" t="str">
        <f>Source!DE91</f>
        <v>)*1,25</v>
      </c>
      <c r="H202" s="34">
        <f>ROUND(Source!AD91*Source!I91, 2)</f>
        <v>9.31</v>
      </c>
      <c r="I202" s="35"/>
      <c r="J202" s="35">
        <f>IF(Source!BB91&lt;&gt; 0, Source!BB91, 1)</f>
        <v>6.11</v>
      </c>
      <c r="K202" s="34">
        <f>Source!Q91</f>
        <v>56.89</v>
      </c>
      <c r="L202" s="36"/>
    </row>
    <row r="203" spans="1:26" ht="14.25" x14ac:dyDescent="0.2">
      <c r="A203" s="49"/>
      <c r="B203" s="50"/>
      <c r="C203" s="50" t="s">
        <v>792</v>
      </c>
      <c r="D203" s="33"/>
      <c r="E203" s="12"/>
      <c r="F203" s="34">
        <f>Source!AN91</f>
        <v>17.53</v>
      </c>
      <c r="G203" s="35" t="str">
        <f>Source!DF91</f>
        <v>)*1,25</v>
      </c>
      <c r="H203" s="37">
        <f>ROUND(Source!AE91*Source!I91, 2)</f>
        <v>5.14</v>
      </c>
      <c r="I203" s="35"/>
      <c r="J203" s="35">
        <f>IF(Source!BS91&lt;&gt; 0, Source!BS91, 1)</f>
        <v>6.11</v>
      </c>
      <c r="K203" s="37">
        <f>Source!R91</f>
        <v>31.41</v>
      </c>
      <c r="L203" s="36"/>
      <c r="R203">
        <f>H203</f>
        <v>5.14</v>
      </c>
    </row>
    <row r="204" spans="1:26" ht="14.25" x14ac:dyDescent="0.2">
      <c r="A204" s="49"/>
      <c r="B204" s="50"/>
      <c r="C204" s="50" t="s">
        <v>798</v>
      </c>
      <c r="D204" s="33"/>
      <c r="E204" s="12"/>
      <c r="F204" s="34">
        <f>Source!AL91</f>
        <v>3.18</v>
      </c>
      <c r="G204" s="35" t="str">
        <f>Source!DD91</f>
        <v/>
      </c>
      <c r="H204" s="34">
        <f>ROUND(Source!AC91*Source!I91, 2)</f>
        <v>0.75</v>
      </c>
      <c r="I204" s="35"/>
      <c r="J204" s="35">
        <f>IF(Source!BC91&lt;&gt; 0, Source!BC91, 1)</f>
        <v>6.11</v>
      </c>
      <c r="K204" s="34">
        <f>Source!P91</f>
        <v>4.5599999999999996</v>
      </c>
      <c r="L204" s="36"/>
    </row>
    <row r="205" spans="1:26" ht="14.25" x14ac:dyDescent="0.2">
      <c r="A205" s="49"/>
      <c r="B205" s="50"/>
      <c r="C205" s="50" t="s">
        <v>793</v>
      </c>
      <c r="D205" s="33" t="s">
        <v>794</v>
      </c>
      <c r="E205" s="12">
        <f>Source!BZ91</f>
        <v>105</v>
      </c>
      <c r="F205" s="67" t="str">
        <f>CONCATENATE(" )", Source!DL91, Source!FT91, "=", Source!FX91)</f>
        <v xml:space="preserve"> )*0,9=94,5</v>
      </c>
      <c r="G205" s="68"/>
      <c r="H205" s="34">
        <f>SUM(S199:S210)</f>
        <v>378.56</v>
      </c>
      <c r="I205" s="38"/>
      <c r="J205" s="31">
        <f>Source!AT91</f>
        <v>95</v>
      </c>
      <c r="K205" s="34">
        <f>SUM(T199:T210)</f>
        <v>2325.2399999999998</v>
      </c>
      <c r="L205" s="36"/>
    </row>
    <row r="206" spans="1:26" ht="14.25" x14ac:dyDescent="0.2">
      <c r="A206" s="49"/>
      <c r="B206" s="50"/>
      <c r="C206" s="50" t="s">
        <v>795</v>
      </c>
      <c r="D206" s="33" t="s">
        <v>794</v>
      </c>
      <c r="E206" s="12">
        <f>Source!CA91</f>
        <v>55</v>
      </c>
      <c r="F206" s="67" t="str">
        <f>CONCATENATE(" )", Source!DM91, Source!FU91, "=", Source!FY91)</f>
        <v xml:space="preserve"> )*0,85=46,75</v>
      </c>
      <c r="G206" s="68"/>
      <c r="H206" s="34">
        <f>SUM(U199:U210)</f>
        <v>187.28</v>
      </c>
      <c r="I206" s="38"/>
      <c r="J206" s="31">
        <f>Source!AU91</f>
        <v>47</v>
      </c>
      <c r="K206" s="34">
        <f>SUM(V199:V210)</f>
        <v>1150.3800000000001</v>
      </c>
      <c r="L206" s="36"/>
    </row>
    <row r="207" spans="1:26" ht="14.25" x14ac:dyDescent="0.2">
      <c r="A207" s="49"/>
      <c r="B207" s="50"/>
      <c r="C207" s="50" t="s">
        <v>796</v>
      </c>
      <c r="D207" s="33" t="s">
        <v>797</v>
      </c>
      <c r="E207" s="12">
        <f>Source!AQ91</f>
        <v>159.66999999999999</v>
      </c>
      <c r="F207" s="34"/>
      <c r="G207" s="35" t="str">
        <f>Source!DI91</f>
        <v>)*1,15</v>
      </c>
      <c r="H207" s="34"/>
      <c r="I207" s="35"/>
      <c r="J207" s="35"/>
      <c r="K207" s="34"/>
      <c r="L207" s="45">
        <f>Source!U91</f>
        <v>43.077369299999994</v>
      </c>
    </row>
    <row r="208" spans="1:26" ht="42.75" x14ac:dyDescent="0.2">
      <c r="A208" s="49" t="str">
        <f>Source!E93</f>
        <v>18,1</v>
      </c>
      <c r="B208" s="50" t="str">
        <f>Source!F93</f>
        <v>04.3.02.09-0741</v>
      </c>
      <c r="C208" s="50" t="str">
        <f>Source!G93</f>
        <v>Смесь сухая (фуга) АТЛАС разных цветов для заделки швов водостойкая</v>
      </c>
      <c r="D208" s="33" t="str">
        <f>Source!H93</f>
        <v>т</v>
      </c>
      <c r="E208" s="12">
        <f>Source!I93</f>
        <v>1.1730000000000001E-2</v>
      </c>
      <c r="F208" s="34">
        <f>Source!AL93+Source!AM93+Source!AO93</f>
        <v>9000</v>
      </c>
      <c r="G208" s="48" t="s">
        <v>6</v>
      </c>
      <c r="H208" s="34">
        <f>ROUND(Source!AC93*Source!I93, 2)+ROUND(Source!AD93*Source!I93, 2)+ROUND(Source!AF93*Source!I93, 2)</f>
        <v>105.57</v>
      </c>
      <c r="I208" s="35"/>
      <c r="J208" s="35">
        <f>IF(Source!BC93&lt;&gt; 0, Source!BC93, 1)</f>
        <v>6.11</v>
      </c>
      <c r="K208" s="34">
        <f>Source!O93</f>
        <v>645.03</v>
      </c>
      <c r="L208" s="36"/>
      <c r="S208">
        <f>ROUND((Source!FX93/100)*((ROUND(Source!AF93*Source!I93, 2)+ROUND(Source!AE93*Source!I93, 2))), 2)</f>
        <v>0</v>
      </c>
      <c r="T208">
        <f>Source!X93</f>
        <v>0</v>
      </c>
      <c r="U208">
        <f>ROUND((Source!FY93/100)*((ROUND(Source!AF93*Source!I93, 2)+ROUND(Source!AE93*Source!I93, 2))), 2)</f>
        <v>0</v>
      </c>
      <c r="V208">
        <f>Source!Y93</f>
        <v>0</v>
      </c>
      <c r="W208">
        <f>IF(Source!BI93&lt;=1,H208, 0)</f>
        <v>105.57</v>
      </c>
      <c r="X208">
        <f>IF(Source!BI93=2,H208, 0)</f>
        <v>0</v>
      </c>
      <c r="Y208">
        <f>IF(Source!BI93=3,H208, 0)</f>
        <v>0</v>
      </c>
      <c r="Z208">
        <f>IF(Source!BI93=4,H208, 0)</f>
        <v>0</v>
      </c>
    </row>
    <row r="209" spans="1:26" ht="85.5" x14ac:dyDescent="0.2">
      <c r="A209" s="49" t="str">
        <f>Source!E95</f>
        <v>18,2</v>
      </c>
      <c r="B209" s="50" t="str">
        <f>Source!F95</f>
        <v>06.2.01.02-0030</v>
      </c>
      <c r="C209" s="50" t="str">
        <f>Source!G95</f>
        <v>Плитки керамические глазурованные для внутренней облицовки стен многоцветные, "Итало-дизайн" (коллекция "Палермо"-эконом класс), размер 300х200х7 мм</v>
      </c>
      <c r="D209" s="33" t="str">
        <f>Source!H95</f>
        <v>м2</v>
      </c>
      <c r="E209" s="12">
        <f>Source!I95</f>
        <v>23.46</v>
      </c>
      <c r="F209" s="34">
        <f>Source!AL95+Source!AM95+Source!AO95</f>
        <v>85.71</v>
      </c>
      <c r="G209" s="48" t="s">
        <v>6</v>
      </c>
      <c r="H209" s="34">
        <f>ROUND(Source!AC95*Source!I95, 2)+ROUND(Source!AD95*Source!I95, 2)+ROUND(Source!AF95*Source!I95, 2)</f>
        <v>2010.76</v>
      </c>
      <c r="I209" s="35"/>
      <c r="J209" s="35">
        <f>IF(Source!BC95&lt;&gt; 0, Source!BC95, 1)</f>
        <v>6.11</v>
      </c>
      <c r="K209" s="34">
        <f>Source!O95</f>
        <v>12285.72</v>
      </c>
      <c r="L209" s="36"/>
      <c r="S209">
        <f>ROUND((Source!FX95/100)*((ROUND(Source!AF95*Source!I95, 2)+ROUND(Source!AE95*Source!I95, 2))), 2)</f>
        <v>0</v>
      </c>
      <c r="T209">
        <f>Source!X95</f>
        <v>0</v>
      </c>
      <c r="U209">
        <f>ROUND((Source!FY95/100)*((ROUND(Source!AF95*Source!I95, 2)+ROUND(Source!AE95*Source!I95, 2))), 2)</f>
        <v>0</v>
      </c>
      <c r="V209">
        <f>Source!Y95</f>
        <v>0</v>
      </c>
      <c r="W209">
        <f>IF(Source!BI95&lt;=1,H209, 0)</f>
        <v>2010.76</v>
      </c>
      <c r="X209">
        <f>IF(Source!BI95=2,H209, 0)</f>
        <v>0</v>
      </c>
      <c r="Y209">
        <f>IF(Source!BI95=3,H209, 0)</f>
        <v>0</v>
      </c>
      <c r="Z209">
        <f>IF(Source!BI95=4,H209, 0)</f>
        <v>0</v>
      </c>
    </row>
    <row r="210" spans="1:26" ht="28.5" x14ac:dyDescent="0.2">
      <c r="A210" s="51" t="str">
        <f>Source!E97</f>
        <v>18,3</v>
      </c>
      <c r="B210" s="52" t="str">
        <f>Source!F97</f>
        <v>14.1.06.02-0002</v>
      </c>
      <c r="C210" s="52" t="str">
        <f>Source!G97</f>
        <v>Клей для плитки "Атлас Плюс" (сухая смесь)</v>
      </c>
      <c r="D210" s="39" t="str">
        <f>Source!H97</f>
        <v>т</v>
      </c>
      <c r="E210" s="40">
        <f>Source!I97</f>
        <v>8.7974999999999998E-2</v>
      </c>
      <c r="F210" s="41">
        <f>Source!AL97+Source!AM97+Source!AO97</f>
        <v>2919.43</v>
      </c>
      <c r="G210" s="46" t="s">
        <v>6</v>
      </c>
      <c r="H210" s="41">
        <f>ROUND(Source!AC97*Source!I97, 2)+ROUND(Source!AD97*Source!I97, 2)+ROUND(Source!AF97*Source!I97, 2)</f>
        <v>256.83999999999997</v>
      </c>
      <c r="I210" s="42"/>
      <c r="J210" s="42">
        <f>IF(Source!BC97&lt;&gt; 0, Source!BC97, 1)</f>
        <v>6.11</v>
      </c>
      <c r="K210" s="41">
        <f>Source!O97</f>
        <v>1569.27</v>
      </c>
      <c r="L210" s="47"/>
      <c r="S210">
        <f>ROUND((Source!FX97/100)*((ROUND(Source!AF97*Source!I97, 2)+ROUND(Source!AE97*Source!I97, 2))), 2)</f>
        <v>0</v>
      </c>
      <c r="T210">
        <f>Source!X97</f>
        <v>0</v>
      </c>
      <c r="U210">
        <f>ROUND((Source!FY97/100)*((ROUND(Source!AF97*Source!I97, 2)+ROUND(Source!AE97*Source!I97, 2))), 2)</f>
        <v>0</v>
      </c>
      <c r="V210">
        <f>Source!Y97</f>
        <v>0</v>
      </c>
      <c r="W210">
        <f>IF(Source!BI97&lt;=1,H210, 0)</f>
        <v>256.83999999999997</v>
      </c>
      <c r="X210">
        <f>IF(Source!BI97=2,H210, 0)</f>
        <v>0</v>
      </c>
      <c r="Y210">
        <f>IF(Source!BI97=3,H210, 0)</f>
        <v>0</v>
      </c>
      <c r="Z210">
        <f>IF(Source!BI97=4,H210, 0)</f>
        <v>0</v>
      </c>
    </row>
    <row r="211" spans="1:26" ht="15" x14ac:dyDescent="0.25">
      <c r="G211" s="66">
        <f>H201+H202+H204+H205+H206+SUM(H208:H210)</f>
        <v>3344.52</v>
      </c>
      <c r="H211" s="66"/>
      <c r="J211" s="66">
        <f>K201+K202+K204+K205+K206+SUM(K208:K210)</f>
        <v>20453.3</v>
      </c>
      <c r="K211" s="66"/>
      <c r="L211" s="44">
        <f>Source!U91</f>
        <v>43.077369299999994</v>
      </c>
      <c r="O211" s="27">
        <f>G211</f>
        <v>3344.52</v>
      </c>
      <c r="P211" s="27">
        <f>J211</f>
        <v>20453.3</v>
      </c>
      <c r="Q211" s="27">
        <f>L211</f>
        <v>43.077369299999994</v>
      </c>
      <c r="W211">
        <f>IF(Source!BI91&lt;=1,H201+H202+H204+H205+H206, 0)</f>
        <v>971.34999999999991</v>
      </c>
      <c r="X211">
        <f>IF(Source!BI91=2,H201+H202+H204+H205+H206, 0)</f>
        <v>0</v>
      </c>
      <c r="Y211">
        <f>IF(Source!BI91=3,H201+H202+H204+H205+H206, 0)</f>
        <v>0</v>
      </c>
      <c r="Z211">
        <f>IF(Source!BI91=4,H201+H202+H204+H205+H206, 0)</f>
        <v>0</v>
      </c>
    </row>
    <row r="212" spans="1:26" ht="57" x14ac:dyDescent="0.2">
      <c r="A212" s="49" t="str">
        <f>Source!E99</f>
        <v>19</v>
      </c>
      <c r="B212" s="50" t="str">
        <f>Source!F99</f>
        <v>61-2-3</v>
      </c>
      <c r="C212" s="50" t="str">
        <f>Source!G99</f>
        <v>Ремонт штукатурки внутренних стен по камню известковым раствором площадью отдельных мест до 10 м2 толщиной слоя до 20 мм</v>
      </c>
      <c r="D212" s="33" t="str">
        <f>Source!H99</f>
        <v>100 м2</v>
      </c>
      <c r="E212" s="12">
        <f>Source!I99</f>
        <v>2.1000000000000001E-2</v>
      </c>
      <c r="F212" s="34">
        <f>Source!AL99+Source!AM99+Source!AO99</f>
        <v>2438.8500000000004</v>
      </c>
      <c r="G212" s="35"/>
      <c r="H212" s="34"/>
      <c r="I212" s="35" t="str">
        <f>Source!BO99</f>
        <v/>
      </c>
      <c r="J212" s="35"/>
      <c r="K212" s="34"/>
      <c r="L212" s="36"/>
      <c r="S212">
        <f>ROUND((Source!FX99/100)*((ROUND(Source!AF99*Source!I99, 2)+ROUND(Source!AE99*Source!I99, 2))), 2)</f>
        <v>21.62</v>
      </c>
      <c r="T212">
        <f>Source!X99</f>
        <v>132.1</v>
      </c>
      <c r="U212">
        <f>ROUND((Source!FY99/100)*((ROUND(Source!AF99*Source!I99, 2)+ROUND(Source!AE99*Source!I99, 2))), 2)</f>
        <v>13.69</v>
      </c>
      <c r="V212">
        <f>Source!Y99</f>
        <v>83.61</v>
      </c>
    </row>
    <row r="213" spans="1:26" x14ac:dyDescent="0.2">
      <c r="C213" s="26" t="str">
        <f>"Объем: "&amp;Source!I99&amp;"=2,1/"&amp;"100"</f>
        <v>Объем: 0,021=2,1/100</v>
      </c>
    </row>
    <row r="214" spans="1:26" ht="14.25" x14ac:dyDescent="0.2">
      <c r="A214" s="49"/>
      <c r="B214" s="50"/>
      <c r="C214" s="50" t="s">
        <v>791</v>
      </c>
      <c r="D214" s="33"/>
      <c r="E214" s="12"/>
      <c r="F214" s="34">
        <f>Source!AO99</f>
        <v>1294.18</v>
      </c>
      <c r="G214" s="35" t="str">
        <f>Source!DG99</f>
        <v/>
      </c>
      <c r="H214" s="34">
        <f>ROUND(Source!AF99*Source!I99, 2)</f>
        <v>27.18</v>
      </c>
      <c r="I214" s="35"/>
      <c r="J214" s="35">
        <f>IF(Source!BA99&lt;&gt; 0, Source!BA99, 1)</f>
        <v>6.11</v>
      </c>
      <c r="K214" s="34">
        <f>Source!S99</f>
        <v>166.06</v>
      </c>
      <c r="L214" s="36"/>
      <c r="R214">
        <f>H214</f>
        <v>27.18</v>
      </c>
    </row>
    <row r="215" spans="1:26" ht="14.25" x14ac:dyDescent="0.2">
      <c r="A215" s="49"/>
      <c r="B215" s="50"/>
      <c r="C215" s="50" t="s">
        <v>356</v>
      </c>
      <c r="D215" s="33"/>
      <c r="E215" s="12"/>
      <c r="F215" s="34">
        <f>Source!AM99</f>
        <v>20.94</v>
      </c>
      <c r="G215" s="35" t="str">
        <f>Source!DE99</f>
        <v/>
      </c>
      <c r="H215" s="34">
        <f>ROUND(Source!AD99*Source!I99, 2)</f>
        <v>0.44</v>
      </c>
      <c r="I215" s="35"/>
      <c r="J215" s="35">
        <f>IF(Source!BB99&lt;&gt; 0, Source!BB99, 1)</f>
        <v>6.11</v>
      </c>
      <c r="K215" s="34">
        <f>Source!Q99</f>
        <v>2.69</v>
      </c>
      <c r="L215" s="36"/>
    </row>
    <row r="216" spans="1:26" ht="14.25" x14ac:dyDescent="0.2">
      <c r="A216" s="49"/>
      <c r="B216" s="50"/>
      <c r="C216" s="50" t="s">
        <v>792</v>
      </c>
      <c r="D216" s="33"/>
      <c r="E216" s="12"/>
      <c r="F216" s="34">
        <f>Source!AN99</f>
        <v>9.0500000000000007</v>
      </c>
      <c r="G216" s="35" t="str">
        <f>Source!DF99</f>
        <v/>
      </c>
      <c r="H216" s="37">
        <f>ROUND(Source!AE99*Source!I99, 2)</f>
        <v>0.19</v>
      </c>
      <c r="I216" s="35"/>
      <c r="J216" s="35">
        <f>IF(Source!BS99&lt;&gt; 0, Source!BS99, 1)</f>
        <v>6.11</v>
      </c>
      <c r="K216" s="37">
        <f>Source!R99</f>
        <v>1.1599999999999999</v>
      </c>
      <c r="L216" s="36"/>
      <c r="R216">
        <f>H216</f>
        <v>0.19</v>
      </c>
    </row>
    <row r="217" spans="1:26" ht="14.25" x14ac:dyDescent="0.2">
      <c r="A217" s="49"/>
      <c r="B217" s="50"/>
      <c r="C217" s="50" t="s">
        <v>798</v>
      </c>
      <c r="D217" s="33"/>
      <c r="E217" s="12"/>
      <c r="F217" s="34">
        <f>Source!AL99</f>
        <v>1123.73</v>
      </c>
      <c r="G217" s="35" t="str">
        <f>Source!DD99</f>
        <v/>
      </c>
      <c r="H217" s="34">
        <f>ROUND(Source!AC99*Source!I99, 2)</f>
        <v>23.6</v>
      </c>
      <c r="I217" s="35"/>
      <c r="J217" s="35">
        <f>IF(Source!BC99&lt;&gt; 0, Source!BC99, 1)</f>
        <v>6.11</v>
      </c>
      <c r="K217" s="34">
        <f>Source!P99</f>
        <v>144.19</v>
      </c>
      <c r="L217" s="36"/>
    </row>
    <row r="218" spans="1:26" ht="14.25" x14ac:dyDescent="0.2">
      <c r="A218" s="49"/>
      <c r="B218" s="50"/>
      <c r="C218" s="50" t="s">
        <v>793</v>
      </c>
      <c r="D218" s="33" t="s">
        <v>794</v>
      </c>
      <c r="E218" s="12">
        <f>Source!BZ99</f>
        <v>79</v>
      </c>
      <c r="F218" s="53"/>
      <c r="G218" s="35"/>
      <c r="H218" s="34">
        <f>SUM(S212:S220)</f>
        <v>21.62</v>
      </c>
      <c r="I218" s="38"/>
      <c r="J218" s="31">
        <f>Source!AT99</f>
        <v>79</v>
      </c>
      <c r="K218" s="34">
        <f>SUM(T212:T220)</f>
        <v>132.1</v>
      </c>
      <c r="L218" s="36"/>
    </row>
    <row r="219" spans="1:26" ht="14.25" x14ac:dyDescent="0.2">
      <c r="A219" s="49"/>
      <c r="B219" s="50"/>
      <c r="C219" s="50" t="s">
        <v>795</v>
      </c>
      <c r="D219" s="33" t="s">
        <v>794</v>
      </c>
      <c r="E219" s="12">
        <f>Source!CA99</f>
        <v>50</v>
      </c>
      <c r="F219" s="53"/>
      <c r="G219" s="35"/>
      <c r="H219" s="34">
        <f>SUM(U212:U220)</f>
        <v>13.69</v>
      </c>
      <c r="I219" s="38"/>
      <c r="J219" s="31">
        <f>Source!AU99</f>
        <v>50</v>
      </c>
      <c r="K219" s="34">
        <f>SUM(V212:V220)</f>
        <v>83.61</v>
      </c>
      <c r="L219" s="36"/>
    </row>
    <row r="220" spans="1:26" ht="14.25" x14ac:dyDescent="0.2">
      <c r="A220" s="51"/>
      <c r="B220" s="52"/>
      <c r="C220" s="52" t="s">
        <v>796</v>
      </c>
      <c r="D220" s="39" t="s">
        <v>797</v>
      </c>
      <c r="E220" s="40">
        <f>Source!AQ99</f>
        <v>146.07</v>
      </c>
      <c r="F220" s="41"/>
      <c r="G220" s="42" t="str">
        <f>Source!DI99</f>
        <v/>
      </c>
      <c r="H220" s="41"/>
      <c r="I220" s="42"/>
      <c r="J220" s="42"/>
      <c r="K220" s="41"/>
      <c r="L220" s="43">
        <f>Source!U99</f>
        <v>3.0674700000000001</v>
      </c>
    </row>
    <row r="221" spans="1:26" ht="15" x14ac:dyDescent="0.25">
      <c r="G221" s="66">
        <f>H214+H215+H217+H218+H219</f>
        <v>86.53</v>
      </c>
      <c r="H221" s="66"/>
      <c r="J221" s="66">
        <f>K214+K215+K217+K218+K219</f>
        <v>528.65</v>
      </c>
      <c r="K221" s="66"/>
      <c r="L221" s="44">
        <f>Source!U99</f>
        <v>3.0674700000000001</v>
      </c>
      <c r="O221" s="27">
        <f>G221</f>
        <v>86.53</v>
      </c>
      <c r="P221" s="27">
        <f>J221</f>
        <v>528.65</v>
      </c>
      <c r="Q221" s="27">
        <f>L221</f>
        <v>3.0674700000000001</v>
      </c>
      <c r="W221">
        <f>IF(Source!BI99&lt;=1,H214+H215+H217+H218+H219, 0)</f>
        <v>86.53</v>
      </c>
      <c r="X221">
        <f>IF(Source!BI99=2,H214+H215+H217+H218+H219, 0)</f>
        <v>0</v>
      </c>
      <c r="Y221">
        <f>IF(Source!BI99=3,H214+H215+H217+H218+H219, 0)</f>
        <v>0</v>
      </c>
      <c r="Z221">
        <f>IF(Source!BI99=4,H214+H215+H217+H218+H219, 0)</f>
        <v>0</v>
      </c>
    </row>
    <row r="222" spans="1:26" ht="57" x14ac:dyDescent="0.2">
      <c r="A222" s="49" t="str">
        <f>Source!E101</f>
        <v>20</v>
      </c>
      <c r="B222" s="50" t="str">
        <f>Source!F101</f>
        <v>62-33-2</v>
      </c>
      <c r="C222" s="50" t="str">
        <f>Source!G101</f>
        <v>Окраска масляными составами ранее окрашенных поверхностей радиаторов и ребристых труб отопления за 2 раза</v>
      </c>
      <c r="D222" s="33" t="str">
        <f>Source!H101</f>
        <v>100 м2</v>
      </c>
      <c r="E222" s="12">
        <f>Source!I101</f>
        <v>6.2E-2</v>
      </c>
      <c r="F222" s="34">
        <f>Source!AL101+Source!AM101+Source!AO101</f>
        <v>729.71</v>
      </c>
      <c r="G222" s="35"/>
      <c r="H222" s="34"/>
      <c r="I222" s="35" t="str">
        <f>Source!BO101</f>
        <v/>
      </c>
      <c r="J222" s="35"/>
      <c r="K222" s="34"/>
      <c r="L222" s="36"/>
      <c r="S222">
        <f>ROUND((Source!FX101/100)*((ROUND(Source!AF101*Source!I101, 2)+ROUND(Source!AE101*Source!I101, 2))), 2)</f>
        <v>28.59</v>
      </c>
      <c r="T222">
        <f>Source!X101</f>
        <v>174.7</v>
      </c>
      <c r="U222">
        <f>ROUND((Source!FY101/100)*((ROUND(Source!AF101*Source!I101, 2)+ROUND(Source!AE101*Source!I101, 2))), 2)</f>
        <v>17.87</v>
      </c>
      <c r="V222">
        <f>Source!Y101</f>
        <v>109.19</v>
      </c>
    </row>
    <row r="223" spans="1:26" x14ac:dyDescent="0.2">
      <c r="C223" s="26" t="str">
        <f>"Объем: "&amp;Source!I101&amp;"=6,2/"&amp;"100"</f>
        <v>Объем: 0,062=6,2/100</v>
      </c>
    </row>
    <row r="224" spans="1:26" ht="14.25" x14ac:dyDescent="0.2">
      <c r="A224" s="49"/>
      <c r="B224" s="50"/>
      <c r="C224" s="50" t="s">
        <v>791</v>
      </c>
      <c r="D224" s="33"/>
      <c r="E224" s="12"/>
      <c r="F224" s="34">
        <f>Source!AO101</f>
        <v>576.32000000000005</v>
      </c>
      <c r="G224" s="35" t="str">
        <f>Source!DG101</f>
        <v/>
      </c>
      <c r="H224" s="34">
        <f>ROUND(Source!AF101*Source!I101, 2)</f>
        <v>35.729999999999997</v>
      </c>
      <c r="I224" s="35"/>
      <c r="J224" s="35">
        <f>IF(Source!BA101&lt;&gt; 0, Source!BA101, 1)</f>
        <v>6.11</v>
      </c>
      <c r="K224" s="34">
        <f>Source!S101</f>
        <v>218.32</v>
      </c>
      <c r="L224" s="36"/>
      <c r="R224">
        <f>H224</f>
        <v>35.729999999999997</v>
      </c>
    </row>
    <row r="225" spans="1:26" ht="14.25" x14ac:dyDescent="0.2">
      <c r="A225" s="49"/>
      <c r="B225" s="50"/>
      <c r="C225" s="50" t="s">
        <v>356</v>
      </c>
      <c r="D225" s="33"/>
      <c r="E225" s="12"/>
      <c r="F225" s="34">
        <f>Source!AM101</f>
        <v>0.66</v>
      </c>
      <c r="G225" s="35" t="str">
        <f>Source!DE101</f>
        <v/>
      </c>
      <c r="H225" s="34">
        <f>ROUND(Source!AD101*Source!I101, 2)</f>
        <v>0.04</v>
      </c>
      <c r="I225" s="35"/>
      <c r="J225" s="35">
        <f>IF(Source!BB101&lt;&gt; 0, Source!BB101, 1)</f>
        <v>6.11</v>
      </c>
      <c r="K225" s="34">
        <f>Source!Q101</f>
        <v>0.25</v>
      </c>
      <c r="L225" s="36"/>
    </row>
    <row r="226" spans="1:26" ht="14.25" x14ac:dyDescent="0.2">
      <c r="A226" s="49"/>
      <c r="B226" s="50"/>
      <c r="C226" s="50" t="s">
        <v>792</v>
      </c>
      <c r="D226" s="33"/>
      <c r="E226" s="12"/>
      <c r="F226" s="34">
        <f>Source!AN101</f>
        <v>0.12</v>
      </c>
      <c r="G226" s="35" t="str">
        <f>Source!DF101</f>
        <v/>
      </c>
      <c r="H226" s="37">
        <f>ROUND(Source!AE101*Source!I101, 2)</f>
        <v>0.01</v>
      </c>
      <c r="I226" s="35"/>
      <c r="J226" s="35">
        <f>IF(Source!BS101&lt;&gt; 0, Source!BS101, 1)</f>
        <v>6.11</v>
      </c>
      <c r="K226" s="37">
        <f>Source!R101</f>
        <v>0.05</v>
      </c>
      <c r="L226" s="36"/>
      <c r="R226">
        <f>H226</f>
        <v>0.01</v>
      </c>
    </row>
    <row r="227" spans="1:26" ht="14.25" x14ac:dyDescent="0.2">
      <c r="A227" s="49"/>
      <c r="B227" s="50"/>
      <c r="C227" s="50" t="s">
        <v>798</v>
      </c>
      <c r="D227" s="33"/>
      <c r="E227" s="12"/>
      <c r="F227" s="34">
        <f>Source!AL101</f>
        <v>152.72999999999999</v>
      </c>
      <c r="G227" s="35" t="str">
        <f>Source!DD101</f>
        <v/>
      </c>
      <c r="H227" s="34">
        <f>ROUND(Source!AC101*Source!I101, 2)</f>
        <v>9.4700000000000006</v>
      </c>
      <c r="I227" s="35"/>
      <c r="J227" s="35">
        <f>IF(Source!BC101&lt;&gt; 0, Source!BC101, 1)</f>
        <v>6.11</v>
      </c>
      <c r="K227" s="34">
        <f>Source!P101</f>
        <v>57.86</v>
      </c>
      <c r="L227" s="36"/>
    </row>
    <row r="228" spans="1:26" ht="14.25" x14ac:dyDescent="0.2">
      <c r="A228" s="49"/>
      <c r="B228" s="50"/>
      <c r="C228" s="50" t="s">
        <v>793</v>
      </c>
      <c r="D228" s="33" t="s">
        <v>794</v>
      </c>
      <c r="E228" s="12">
        <f>Source!BZ101</f>
        <v>80</v>
      </c>
      <c r="F228" s="53"/>
      <c r="G228" s="35"/>
      <c r="H228" s="34">
        <f>SUM(S222:S231)</f>
        <v>28.59</v>
      </c>
      <c r="I228" s="38"/>
      <c r="J228" s="31">
        <f>Source!AT101</f>
        <v>80</v>
      </c>
      <c r="K228" s="34">
        <f>SUM(T222:T231)</f>
        <v>174.7</v>
      </c>
      <c r="L228" s="36"/>
    </row>
    <row r="229" spans="1:26" ht="14.25" x14ac:dyDescent="0.2">
      <c r="A229" s="49"/>
      <c r="B229" s="50"/>
      <c r="C229" s="50" t="s">
        <v>795</v>
      </c>
      <c r="D229" s="33" t="s">
        <v>794</v>
      </c>
      <c r="E229" s="12">
        <f>Source!CA101</f>
        <v>50</v>
      </c>
      <c r="F229" s="53"/>
      <c r="G229" s="35"/>
      <c r="H229" s="34">
        <f>SUM(U222:U231)</f>
        <v>17.87</v>
      </c>
      <c r="I229" s="38"/>
      <c r="J229" s="31">
        <f>Source!AU101</f>
        <v>50</v>
      </c>
      <c r="K229" s="34">
        <f>SUM(V222:V231)</f>
        <v>109.19</v>
      </c>
      <c r="L229" s="36"/>
    </row>
    <row r="230" spans="1:26" ht="14.25" x14ac:dyDescent="0.2">
      <c r="A230" s="49"/>
      <c r="B230" s="50"/>
      <c r="C230" s="50" t="s">
        <v>796</v>
      </c>
      <c r="D230" s="33" t="s">
        <v>797</v>
      </c>
      <c r="E230" s="12">
        <f>Source!AQ101</f>
        <v>65.94</v>
      </c>
      <c r="F230" s="34"/>
      <c r="G230" s="35" t="str">
        <f>Source!DI101</f>
        <v/>
      </c>
      <c r="H230" s="34"/>
      <c r="I230" s="35"/>
      <c r="J230" s="35"/>
      <c r="K230" s="34"/>
      <c r="L230" s="45">
        <f>Source!U101</f>
        <v>4.0882800000000001</v>
      </c>
    </row>
    <row r="231" spans="1:26" ht="42.75" x14ac:dyDescent="0.2">
      <c r="A231" s="51" t="str">
        <f>Source!E103</f>
        <v>20,1</v>
      </c>
      <c r="B231" s="52" t="str">
        <f>Source!F103</f>
        <v>14.4.02.04-0152</v>
      </c>
      <c r="C231" s="52" t="str">
        <f>Source!G103</f>
        <v>Краски масляные и алкидные белила густотертые литопонные МА-025</v>
      </c>
      <c r="D231" s="39" t="str">
        <f>Source!H103</f>
        <v>т</v>
      </c>
      <c r="E231" s="40">
        <f>Source!I103</f>
        <v>9.9799999999999997E-4</v>
      </c>
      <c r="F231" s="41">
        <f>Source!AL103+Source!AM103+Source!AO103</f>
        <v>21058.67</v>
      </c>
      <c r="G231" s="46" t="s">
        <v>6</v>
      </c>
      <c r="H231" s="41">
        <f>ROUND(Source!AC103*Source!I103, 2)+ROUND(Source!AD103*Source!I103, 2)+ROUND(Source!AF103*Source!I103, 2)</f>
        <v>21.02</v>
      </c>
      <c r="I231" s="42"/>
      <c r="J231" s="42">
        <f>IF(Source!BC103&lt;&gt; 0, Source!BC103, 1)</f>
        <v>6.11</v>
      </c>
      <c r="K231" s="41">
        <f>Source!O103</f>
        <v>128.41</v>
      </c>
      <c r="L231" s="47"/>
      <c r="S231">
        <f>ROUND((Source!FX103/100)*((ROUND(Source!AF103*Source!I103, 2)+ROUND(Source!AE103*Source!I103, 2))), 2)</f>
        <v>0</v>
      </c>
      <c r="T231">
        <f>Source!X103</f>
        <v>0</v>
      </c>
      <c r="U231">
        <f>ROUND((Source!FY103/100)*((ROUND(Source!AF103*Source!I103, 2)+ROUND(Source!AE103*Source!I103, 2))), 2)</f>
        <v>0</v>
      </c>
      <c r="V231">
        <f>Source!Y103</f>
        <v>0</v>
      </c>
      <c r="W231">
        <f>IF(Source!BI103&lt;=1,H231, 0)</f>
        <v>21.02</v>
      </c>
      <c r="X231">
        <f>IF(Source!BI103=2,H231, 0)</f>
        <v>0</v>
      </c>
      <c r="Y231">
        <f>IF(Source!BI103=3,H231, 0)</f>
        <v>0</v>
      </c>
      <c r="Z231">
        <f>IF(Source!BI103=4,H231, 0)</f>
        <v>0</v>
      </c>
    </row>
    <row r="232" spans="1:26" ht="15" x14ac:dyDescent="0.25">
      <c r="G232" s="66">
        <f>H224+H225+H227+H228+H229+SUM(H231:H231)</f>
        <v>112.72</v>
      </c>
      <c r="H232" s="66"/>
      <c r="J232" s="66">
        <f>K224+K225+K227+K228+K229+SUM(K231:K231)</f>
        <v>688.7299999999999</v>
      </c>
      <c r="K232" s="66"/>
      <c r="L232" s="44">
        <f>Source!U101</f>
        <v>4.0882800000000001</v>
      </c>
      <c r="O232" s="27">
        <f>G232</f>
        <v>112.72</v>
      </c>
      <c r="P232" s="27">
        <f>J232</f>
        <v>688.7299999999999</v>
      </c>
      <c r="Q232" s="27">
        <f>L232</f>
        <v>4.0882800000000001</v>
      </c>
      <c r="W232">
        <f>IF(Source!BI101&lt;=1,H224+H225+H227+H228+H229, 0)</f>
        <v>91.7</v>
      </c>
      <c r="X232">
        <f>IF(Source!BI101=2,H224+H225+H227+H228+H229, 0)</f>
        <v>0</v>
      </c>
      <c r="Y232">
        <f>IF(Source!BI101=3,H224+H225+H227+H228+H229, 0)</f>
        <v>0</v>
      </c>
      <c r="Z232">
        <f>IF(Source!BI101=4,H224+H225+H227+H228+H229, 0)</f>
        <v>0</v>
      </c>
    </row>
    <row r="233" spans="1:26" ht="28.5" x14ac:dyDescent="0.2">
      <c r="A233" s="49" t="str">
        <f>Source!E105</f>
        <v>21</v>
      </c>
      <c r="B233" s="50" t="str">
        <f>Source!F105</f>
        <v>55-5-1</v>
      </c>
      <c r="C233" s="50" t="str">
        <f>Source!G105</f>
        <v>Разборка кирпичных перегородок на отдельные кирпичи</v>
      </c>
      <c r="D233" s="33" t="str">
        <f>Source!H105</f>
        <v>100 м2</v>
      </c>
      <c r="E233" s="12">
        <f>Source!I105</f>
        <v>4.3999999999999997E-2</v>
      </c>
      <c r="F233" s="34">
        <f>Source!AL105+Source!AM105+Source!AO105</f>
        <v>1443.4</v>
      </c>
      <c r="G233" s="35"/>
      <c r="H233" s="34"/>
      <c r="I233" s="35" t="str">
        <f>Source!BO105</f>
        <v/>
      </c>
      <c r="J233" s="35"/>
      <c r="K233" s="34"/>
      <c r="L233" s="36"/>
      <c r="S233">
        <f>ROUND((Source!FX105/100)*((ROUND(Source!AF105*Source!I105, 2)+ROUND(Source!AE105*Source!I105, 2))), 2)</f>
        <v>47.17</v>
      </c>
      <c r="T233">
        <f>Source!X105</f>
        <v>288.18</v>
      </c>
      <c r="U233">
        <f>ROUND((Source!FY105/100)*((ROUND(Source!AF105*Source!I105, 2)+ROUND(Source!AE105*Source!I105, 2))), 2)</f>
        <v>34.450000000000003</v>
      </c>
      <c r="V233">
        <f>Source!Y105</f>
        <v>210.47</v>
      </c>
    </row>
    <row r="234" spans="1:26" x14ac:dyDescent="0.2">
      <c r="C234" s="26" t="str">
        <f>"Объем: "&amp;Source!I105&amp;"=4,4/"&amp;"100"</f>
        <v>Объем: 0,044=4,4/100</v>
      </c>
    </row>
    <row r="235" spans="1:26" ht="14.25" x14ac:dyDescent="0.2">
      <c r="A235" s="49"/>
      <c r="B235" s="50"/>
      <c r="C235" s="50" t="s">
        <v>791</v>
      </c>
      <c r="D235" s="33"/>
      <c r="E235" s="12"/>
      <c r="F235" s="34">
        <f>Source!AO105</f>
        <v>1204.44</v>
      </c>
      <c r="G235" s="35" t="str">
        <f>Source!DG105</f>
        <v/>
      </c>
      <c r="H235" s="34">
        <f>ROUND(Source!AF105*Source!I105, 2)</f>
        <v>53</v>
      </c>
      <c r="I235" s="35"/>
      <c r="J235" s="35">
        <f>IF(Source!BA105&lt;&gt; 0, Source!BA105, 1)</f>
        <v>6.11</v>
      </c>
      <c r="K235" s="34">
        <f>Source!S105</f>
        <v>323.8</v>
      </c>
      <c r="L235" s="36"/>
      <c r="R235">
        <f>H235</f>
        <v>53</v>
      </c>
    </row>
    <row r="236" spans="1:26" ht="14.25" x14ac:dyDescent="0.2">
      <c r="A236" s="49"/>
      <c r="B236" s="50"/>
      <c r="C236" s="50" t="s">
        <v>356</v>
      </c>
      <c r="D236" s="33"/>
      <c r="E236" s="12"/>
      <c r="F236" s="34">
        <f>Source!AM105</f>
        <v>238.96</v>
      </c>
      <c r="G236" s="35" t="str">
        <f>Source!DE105</f>
        <v/>
      </c>
      <c r="H236" s="34">
        <f>ROUND(Source!AD105*Source!I105, 2)</f>
        <v>10.51</v>
      </c>
      <c r="I236" s="35"/>
      <c r="J236" s="35">
        <f>IF(Source!BB105&lt;&gt; 0, Source!BB105, 1)</f>
        <v>6.11</v>
      </c>
      <c r="K236" s="34">
        <f>Source!Q105</f>
        <v>64.239999999999995</v>
      </c>
      <c r="L236" s="36"/>
    </row>
    <row r="237" spans="1:26" ht="14.25" x14ac:dyDescent="0.2">
      <c r="A237" s="49"/>
      <c r="B237" s="50"/>
      <c r="C237" s="50" t="s">
        <v>793</v>
      </c>
      <c r="D237" s="33" t="s">
        <v>794</v>
      </c>
      <c r="E237" s="12">
        <f>Source!BZ105</f>
        <v>89</v>
      </c>
      <c r="F237" s="53"/>
      <c r="G237" s="35"/>
      <c r="H237" s="34">
        <f>SUM(S233:S240)</f>
        <v>47.17</v>
      </c>
      <c r="I237" s="38"/>
      <c r="J237" s="31">
        <f>Source!AT105</f>
        <v>89</v>
      </c>
      <c r="K237" s="34">
        <f>SUM(T233:T240)</f>
        <v>288.18</v>
      </c>
      <c r="L237" s="36"/>
    </row>
    <row r="238" spans="1:26" ht="14.25" x14ac:dyDescent="0.2">
      <c r="A238" s="49"/>
      <c r="B238" s="50"/>
      <c r="C238" s="50" t="s">
        <v>795</v>
      </c>
      <c r="D238" s="33" t="s">
        <v>794</v>
      </c>
      <c r="E238" s="12">
        <f>Source!CA105</f>
        <v>65</v>
      </c>
      <c r="F238" s="53"/>
      <c r="G238" s="35"/>
      <c r="H238" s="34">
        <f>SUM(U233:U240)</f>
        <v>34.450000000000003</v>
      </c>
      <c r="I238" s="38"/>
      <c r="J238" s="31">
        <f>Source!AU105</f>
        <v>65</v>
      </c>
      <c r="K238" s="34">
        <f>SUM(V233:V240)</f>
        <v>210.47</v>
      </c>
      <c r="L238" s="36"/>
    </row>
    <row r="239" spans="1:26" ht="14.25" x14ac:dyDescent="0.2">
      <c r="A239" s="49"/>
      <c r="B239" s="50"/>
      <c r="C239" s="50" t="s">
        <v>796</v>
      </c>
      <c r="D239" s="33" t="s">
        <v>797</v>
      </c>
      <c r="E239" s="12">
        <f>Source!AQ105</f>
        <v>141.19999999999999</v>
      </c>
      <c r="F239" s="34"/>
      <c r="G239" s="35" t="str">
        <f>Source!DI105</f>
        <v/>
      </c>
      <c r="H239" s="34"/>
      <c r="I239" s="35"/>
      <c r="J239" s="35"/>
      <c r="K239" s="34"/>
      <c r="L239" s="45">
        <f>Source!U105</f>
        <v>6.2127999999999988</v>
      </c>
    </row>
    <row r="240" spans="1:26" ht="28.5" x14ac:dyDescent="0.2">
      <c r="A240" s="51" t="str">
        <f>Source!E107</f>
        <v>21,1</v>
      </c>
      <c r="B240" s="52" t="str">
        <f>Source!F107</f>
        <v>01.7.07.07</v>
      </c>
      <c r="C240" s="52" t="str">
        <f>Source!G107</f>
        <v>Строительный мусор и масса возвратных материалов</v>
      </c>
      <c r="D240" s="39" t="str">
        <f>Source!H107</f>
        <v>т</v>
      </c>
      <c r="E240" s="40">
        <f>Source!I107</f>
        <v>0.85360000000000003</v>
      </c>
      <c r="F240" s="41">
        <f>Source!AL107+Source!AM107+Source!AO107</f>
        <v>0</v>
      </c>
      <c r="G240" s="46" t="s">
        <v>6</v>
      </c>
      <c r="H240" s="41">
        <f>ROUND(Source!AC107*Source!I107, 2)+ROUND(Source!AD107*Source!I107, 2)+ROUND(Source!AF107*Source!I107, 2)</f>
        <v>0</v>
      </c>
      <c r="I240" s="42"/>
      <c r="J240" s="42">
        <f>IF(Source!BC107&lt;&gt; 0, Source!BC107, 1)</f>
        <v>6.11</v>
      </c>
      <c r="K240" s="41">
        <f>Source!O107</f>
        <v>0</v>
      </c>
      <c r="L240" s="47"/>
      <c r="S240">
        <f>ROUND((Source!FX107/100)*((ROUND(Source!AF107*Source!I107, 2)+ROUND(Source!AE107*Source!I107, 2))), 2)</f>
        <v>0</v>
      </c>
      <c r="T240">
        <f>Source!X107</f>
        <v>0</v>
      </c>
      <c r="U240">
        <f>ROUND((Source!FY107/100)*((ROUND(Source!AF107*Source!I107, 2)+ROUND(Source!AE107*Source!I107, 2))), 2)</f>
        <v>0</v>
      </c>
      <c r="V240">
        <f>Source!Y107</f>
        <v>0</v>
      </c>
      <c r="W240">
        <f>IF(Source!BI107&lt;=1,H240, 0)</f>
        <v>0</v>
      </c>
      <c r="X240">
        <f>IF(Source!BI107=2,H240, 0)</f>
        <v>0</v>
      </c>
      <c r="Y240">
        <f>IF(Source!BI107=3,H240, 0)</f>
        <v>0</v>
      </c>
      <c r="Z240">
        <f>IF(Source!BI107=4,H240, 0)</f>
        <v>0</v>
      </c>
    </row>
    <row r="241" spans="1:26" ht="15" x14ac:dyDescent="0.25">
      <c r="G241" s="66">
        <f>H235+H236+H237+H238+SUM(H240:H240)</f>
        <v>145.13</v>
      </c>
      <c r="H241" s="66"/>
      <c r="J241" s="66">
        <f>K235+K236+K237+K238+SUM(K240:K240)</f>
        <v>886.69</v>
      </c>
      <c r="K241" s="66"/>
      <c r="L241" s="44">
        <f>Source!U105</f>
        <v>6.2127999999999988</v>
      </c>
      <c r="O241" s="27">
        <f>G241</f>
        <v>145.13</v>
      </c>
      <c r="P241" s="27">
        <f>J241</f>
        <v>886.69</v>
      </c>
      <c r="Q241" s="27">
        <f>L241</f>
        <v>6.2127999999999988</v>
      </c>
      <c r="W241">
        <f>IF(Source!BI105&lt;=1,H235+H236+H237+H238, 0)</f>
        <v>145.13</v>
      </c>
      <c r="X241">
        <f>IF(Source!BI105=2,H235+H236+H237+H238, 0)</f>
        <v>0</v>
      </c>
      <c r="Y241">
        <f>IF(Source!BI105=3,H235+H236+H237+H238, 0)</f>
        <v>0</v>
      </c>
      <c r="Z241">
        <f>IF(Source!BI105=4,H235+H236+H237+H238, 0)</f>
        <v>0</v>
      </c>
    </row>
    <row r="242" spans="1:26" ht="57" x14ac:dyDescent="0.2">
      <c r="A242" s="49" t="str">
        <f>Source!E109</f>
        <v>22</v>
      </c>
      <c r="B242" s="50" t="str">
        <f>Source!F109</f>
        <v>10-04-014-01</v>
      </c>
      <c r="C242" s="50" t="str">
        <f>Source!G109</f>
        <v>Устройство сантехнических перегородок (стандартные туалетные кабины) на каркасе из алюминиевого профиля</v>
      </c>
      <c r="D242" s="33" t="str">
        <f>Source!H109</f>
        <v>100 м2</v>
      </c>
      <c r="E242" s="12">
        <f>Source!I109</f>
        <v>0.10299999999999999</v>
      </c>
      <c r="F242" s="34">
        <f>Source!AL109+Source!AM109+Source!AO109</f>
        <v>70425.8</v>
      </c>
      <c r="G242" s="35"/>
      <c r="H242" s="34"/>
      <c r="I242" s="35" t="str">
        <f>Source!BO109</f>
        <v/>
      </c>
      <c r="J242" s="35"/>
      <c r="K242" s="34"/>
      <c r="L242" s="36"/>
      <c r="S242">
        <f>ROUND((Source!FX109/100)*((ROUND(Source!AF109*Source!I109, 2)+ROUND(Source!AE109*Source!I109, 2))), 2)</f>
        <v>37.090000000000003</v>
      </c>
      <c r="T242">
        <f>Source!X109</f>
        <v>226.16</v>
      </c>
      <c r="U242">
        <f>ROUND((Source!FY109/100)*((ROUND(Source!AF109*Source!I109, 2)+ROUND(Source!AE109*Source!I109, 2))), 2)</f>
        <v>18.7</v>
      </c>
      <c r="V242">
        <f>Source!Y109</f>
        <v>115.21</v>
      </c>
    </row>
    <row r="243" spans="1:26" x14ac:dyDescent="0.2">
      <c r="C243" s="26" t="str">
        <f>"Объем: "&amp;Source!I109&amp;"=10,3/"&amp;"100"</f>
        <v>Объем: 0,103=10,3/100</v>
      </c>
    </row>
    <row r="244" spans="1:26" ht="14.25" x14ac:dyDescent="0.2">
      <c r="A244" s="49"/>
      <c r="B244" s="50"/>
      <c r="C244" s="50" t="s">
        <v>791</v>
      </c>
      <c r="D244" s="33"/>
      <c r="E244" s="12"/>
      <c r="F244" s="34">
        <f>Source!AO109</f>
        <v>294.8</v>
      </c>
      <c r="G244" s="35" t="str">
        <f>Source!DG109</f>
        <v>)*1,15</v>
      </c>
      <c r="H244" s="34">
        <f>ROUND(Source!AF109*Source!I109, 2)</f>
        <v>34.92</v>
      </c>
      <c r="I244" s="35"/>
      <c r="J244" s="35">
        <f>IF(Source!BA109&lt;&gt; 0, Source!BA109, 1)</f>
        <v>6.11</v>
      </c>
      <c r="K244" s="34">
        <f>Source!S109</f>
        <v>213.36</v>
      </c>
      <c r="L244" s="36"/>
      <c r="R244">
        <f>H244</f>
        <v>34.92</v>
      </c>
    </row>
    <row r="245" spans="1:26" ht="14.25" x14ac:dyDescent="0.2">
      <c r="A245" s="49"/>
      <c r="B245" s="50"/>
      <c r="C245" s="50" t="s">
        <v>798</v>
      </c>
      <c r="D245" s="33"/>
      <c r="E245" s="12"/>
      <c r="F245" s="34">
        <f>Source!AL109</f>
        <v>70131</v>
      </c>
      <c r="G245" s="35" t="str">
        <f>Source!DD109</f>
        <v/>
      </c>
      <c r="H245" s="34">
        <f>ROUND(Source!AC109*Source!I109, 2)</f>
        <v>7223.49</v>
      </c>
      <c r="I245" s="35"/>
      <c r="J245" s="35">
        <f>IF(Source!BC109&lt;&gt; 0, Source!BC109, 1)</f>
        <v>6.11</v>
      </c>
      <c r="K245" s="34">
        <f>Source!P109</f>
        <v>44135.54</v>
      </c>
      <c r="L245" s="36"/>
    </row>
    <row r="246" spans="1:26" ht="14.25" x14ac:dyDescent="0.2">
      <c r="A246" s="49"/>
      <c r="B246" s="50"/>
      <c r="C246" s="50" t="s">
        <v>793</v>
      </c>
      <c r="D246" s="33" t="s">
        <v>794</v>
      </c>
      <c r="E246" s="12">
        <f>Source!BZ109</f>
        <v>118</v>
      </c>
      <c r="F246" s="67" t="str">
        <f>CONCATENATE(" )", Source!DL109, Source!FT109, "=", Source!FX109)</f>
        <v xml:space="preserve"> )*0,9=106,2</v>
      </c>
      <c r="G246" s="68"/>
      <c r="H246" s="34">
        <f>SUM(S242:S250)</f>
        <v>37.090000000000003</v>
      </c>
      <c r="I246" s="38"/>
      <c r="J246" s="31">
        <f>Source!AT109</f>
        <v>106</v>
      </c>
      <c r="K246" s="34">
        <f>SUM(T242:T250)</f>
        <v>226.16</v>
      </c>
      <c r="L246" s="36"/>
    </row>
    <row r="247" spans="1:26" ht="14.25" x14ac:dyDescent="0.2">
      <c r="A247" s="49"/>
      <c r="B247" s="50"/>
      <c r="C247" s="50" t="s">
        <v>795</v>
      </c>
      <c r="D247" s="33" t="s">
        <v>794</v>
      </c>
      <c r="E247" s="12">
        <f>Source!CA109</f>
        <v>63</v>
      </c>
      <c r="F247" s="67" t="str">
        <f>CONCATENATE(" )", Source!DM109, Source!FU109, "=", Source!FY109)</f>
        <v xml:space="preserve"> )*0,85=53,55</v>
      </c>
      <c r="G247" s="68"/>
      <c r="H247" s="34">
        <f>SUM(U242:U250)</f>
        <v>18.7</v>
      </c>
      <c r="I247" s="38"/>
      <c r="J247" s="31">
        <f>Source!AU109</f>
        <v>54</v>
      </c>
      <c r="K247" s="34">
        <f>SUM(V242:V250)</f>
        <v>115.21</v>
      </c>
      <c r="L247" s="36"/>
    </row>
    <row r="248" spans="1:26" ht="14.25" x14ac:dyDescent="0.2">
      <c r="A248" s="49"/>
      <c r="B248" s="50"/>
      <c r="C248" s="50" t="s">
        <v>796</v>
      </c>
      <c r="D248" s="33" t="s">
        <v>797</v>
      </c>
      <c r="E248" s="12">
        <f>Source!AQ109</f>
        <v>34.56</v>
      </c>
      <c r="F248" s="34"/>
      <c r="G248" s="35" t="str">
        <f>Source!DI109</f>
        <v>)*1,15</v>
      </c>
      <c r="H248" s="34"/>
      <c r="I248" s="35"/>
      <c r="J248" s="35"/>
      <c r="K248" s="34"/>
      <c r="L248" s="45">
        <f>Source!U109</f>
        <v>4.0936319999999995</v>
      </c>
    </row>
    <row r="249" spans="1:26" ht="42.75" x14ac:dyDescent="0.2">
      <c r="A249" s="49" t="str">
        <f>Source!E111</f>
        <v>22,1</v>
      </c>
      <c r="B249" s="50" t="str">
        <f>Source!F111</f>
        <v>11.2.02.09-0002</v>
      </c>
      <c r="C249" s="50" t="str">
        <f>Source!G111</f>
        <v>Полотна для блоков дверных внутренних, полотно глухое высотой 2000 мм ПВГ 20-6, площадь 1,2 м2</v>
      </c>
      <c r="D249" s="33" t="str">
        <f>Source!H111</f>
        <v>м2</v>
      </c>
      <c r="E249" s="12">
        <f>Source!I111</f>
        <v>3.6000000000000005</v>
      </c>
      <c r="F249" s="34">
        <f>Source!AL111+Source!AM111+Source!AO111</f>
        <v>268.88</v>
      </c>
      <c r="G249" s="48" t="s">
        <v>6</v>
      </c>
      <c r="H249" s="34">
        <f>ROUND(Source!AC111*Source!I111, 2)+ROUND(Source!AD111*Source!I111, 2)+ROUND(Source!AF111*Source!I111, 2)</f>
        <v>967.97</v>
      </c>
      <c r="I249" s="35"/>
      <c r="J249" s="35">
        <f>IF(Source!BC111&lt;&gt; 0, Source!BC111, 1)</f>
        <v>6.11</v>
      </c>
      <c r="K249" s="34">
        <f>Source!O111</f>
        <v>5914.28</v>
      </c>
      <c r="L249" s="36"/>
      <c r="S249">
        <f>ROUND((Source!FX111/100)*((ROUND(Source!AF111*Source!I111, 2)+ROUND(Source!AE111*Source!I111, 2))), 2)</f>
        <v>0</v>
      </c>
      <c r="T249">
        <f>Source!X111</f>
        <v>0</v>
      </c>
      <c r="U249">
        <f>ROUND((Source!FY111/100)*((ROUND(Source!AF111*Source!I111, 2)+ROUND(Source!AE111*Source!I111, 2))), 2)</f>
        <v>0</v>
      </c>
      <c r="V249">
        <f>Source!Y111</f>
        <v>0</v>
      </c>
      <c r="W249">
        <f>IF(Source!BI111&lt;=1,H249, 0)</f>
        <v>967.97</v>
      </c>
      <c r="X249">
        <f>IF(Source!BI111=2,H249, 0)</f>
        <v>0</v>
      </c>
      <c r="Y249">
        <f>IF(Source!BI111=3,H249, 0)</f>
        <v>0</v>
      </c>
      <c r="Z249">
        <f>IF(Source!BI111=4,H249, 0)</f>
        <v>0</v>
      </c>
    </row>
    <row r="250" spans="1:26" ht="28.5" x14ac:dyDescent="0.2">
      <c r="A250" s="51" t="str">
        <f>Source!E113</f>
        <v>22,2</v>
      </c>
      <c r="B250" s="52" t="str">
        <f>Source!F113</f>
        <v>01.7.04.11-0021</v>
      </c>
      <c r="C250" s="52" t="str">
        <f>Source!G113</f>
        <v>Приборы дверные в перегородках санузлов</v>
      </c>
      <c r="D250" s="39" t="str">
        <f>Source!H113</f>
        <v>компл.</v>
      </c>
      <c r="E250" s="40">
        <f>Source!I113</f>
        <v>3</v>
      </c>
      <c r="F250" s="41">
        <f>Source!AL113+Source!AM113+Source!AO113</f>
        <v>72.77</v>
      </c>
      <c r="G250" s="46" t="s">
        <v>6</v>
      </c>
      <c r="H250" s="41">
        <f>ROUND(Source!AC113*Source!I113, 2)+ROUND(Source!AD113*Source!I113, 2)+ROUND(Source!AF113*Source!I113, 2)</f>
        <v>218.31</v>
      </c>
      <c r="I250" s="42"/>
      <c r="J250" s="42">
        <f>IF(Source!BC113&lt;&gt; 0, Source!BC113, 1)</f>
        <v>6.11</v>
      </c>
      <c r="K250" s="41">
        <f>Source!O113</f>
        <v>1333.87</v>
      </c>
      <c r="L250" s="47"/>
      <c r="S250">
        <f>ROUND((Source!FX113/100)*((ROUND(Source!AF113*Source!I113, 2)+ROUND(Source!AE113*Source!I113, 2))), 2)</f>
        <v>0</v>
      </c>
      <c r="T250">
        <f>Source!X113</f>
        <v>0</v>
      </c>
      <c r="U250">
        <f>ROUND((Source!FY113/100)*((ROUND(Source!AF113*Source!I113, 2)+ROUND(Source!AE113*Source!I113, 2))), 2)</f>
        <v>0</v>
      </c>
      <c r="V250">
        <f>Source!Y113</f>
        <v>0</v>
      </c>
      <c r="W250">
        <f>IF(Source!BI113&lt;=1,H250, 0)</f>
        <v>218.31</v>
      </c>
      <c r="X250">
        <f>IF(Source!BI113=2,H250, 0)</f>
        <v>0</v>
      </c>
      <c r="Y250">
        <f>IF(Source!BI113=3,H250, 0)</f>
        <v>0</v>
      </c>
      <c r="Z250">
        <f>IF(Source!BI113=4,H250, 0)</f>
        <v>0</v>
      </c>
    </row>
    <row r="251" spans="1:26" ht="15" x14ac:dyDescent="0.25">
      <c r="G251" s="66">
        <f>H244+H245+H246+H247+SUM(H249:H250)</f>
        <v>8500.48</v>
      </c>
      <c r="H251" s="66"/>
      <c r="J251" s="66">
        <f>K244+K245+K246+K247+SUM(K249:K250)</f>
        <v>51938.420000000006</v>
      </c>
      <c r="K251" s="66"/>
      <c r="L251" s="44">
        <f>Source!U109</f>
        <v>4.0936319999999995</v>
      </c>
      <c r="O251" s="27">
        <f>G251</f>
        <v>8500.48</v>
      </c>
      <c r="P251" s="27">
        <f>J251</f>
        <v>51938.420000000006</v>
      </c>
      <c r="Q251" s="27">
        <f>L251</f>
        <v>4.0936319999999995</v>
      </c>
      <c r="W251">
        <f>IF(Source!BI109&lt;=1,H244+H245+H246+H247, 0)</f>
        <v>7314.2</v>
      </c>
      <c r="X251">
        <f>IF(Source!BI109=2,H244+H245+H246+H247, 0)</f>
        <v>0</v>
      </c>
      <c r="Y251">
        <f>IF(Source!BI109=3,H244+H245+H246+H247, 0)</f>
        <v>0</v>
      </c>
      <c r="Z251">
        <f>IF(Source!BI109=4,H244+H245+H246+H247, 0)</f>
        <v>0</v>
      </c>
    </row>
    <row r="252" spans="1:26" ht="42.75" x14ac:dyDescent="0.2">
      <c r="A252" s="49" t="str">
        <f>Source!E115</f>
        <v>23</v>
      </c>
      <c r="B252" s="50" t="str">
        <f>Source!F115</f>
        <v>06-01-015-01</v>
      </c>
      <c r="C252" s="50" t="str">
        <f>Source!G115</f>
        <v>Установка анкерных болтов в готовые гнезда с заделкой длиной до 1 м</v>
      </c>
      <c r="D252" s="33" t="str">
        <f>Source!H115</f>
        <v>т</v>
      </c>
      <c r="E252" s="12">
        <f>Source!I115</f>
        <v>6.0000000000000001E-3</v>
      </c>
      <c r="F252" s="34">
        <f>Source!AL115+Source!AM115+Source!AO115</f>
        <v>12943.3</v>
      </c>
      <c r="G252" s="35"/>
      <c r="H252" s="34"/>
      <c r="I252" s="35" t="str">
        <f>Source!BO115</f>
        <v/>
      </c>
      <c r="J252" s="35"/>
      <c r="K252" s="34"/>
      <c r="L252" s="36"/>
      <c r="S252">
        <f>ROUND((Source!FX115/100)*((ROUND(Source!AF115*Source!I115, 2)+ROUND(Source!AE115*Source!I115, 2))), 2)</f>
        <v>18.260000000000002</v>
      </c>
      <c r="T252">
        <f>Source!X115</f>
        <v>112.12</v>
      </c>
      <c r="U252">
        <f>ROUND((Source!FY115/100)*((ROUND(Source!AF115*Source!I115, 2)+ROUND(Source!AE115*Source!I115, 2))), 2)</f>
        <v>10.67</v>
      </c>
      <c r="V252">
        <f>Source!Y115</f>
        <v>64.91</v>
      </c>
    </row>
    <row r="253" spans="1:26" ht="14.25" x14ac:dyDescent="0.2">
      <c r="A253" s="49"/>
      <c r="B253" s="50"/>
      <c r="C253" s="50" t="s">
        <v>791</v>
      </c>
      <c r="D253" s="33"/>
      <c r="E253" s="12"/>
      <c r="F253" s="34">
        <f>Source!AO115</f>
        <v>2790.99</v>
      </c>
      <c r="G253" s="35" t="str">
        <f>Source!DG115</f>
        <v>)*1,15</v>
      </c>
      <c r="H253" s="34">
        <f>ROUND(Source!AF115*Source!I115, 2)</f>
        <v>19.260000000000002</v>
      </c>
      <c r="I253" s="35"/>
      <c r="J253" s="35">
        <f>IF(Source!BA115&lt;&gt; 0, Source!BA115, 1)</f>
        <v>6.11</v>
      </c>
      <c r="K253" s="34">
        <f>Source!S115</f>
        <v>117.67</v>
      </c>
      <c r="L253" s="36"/>
      <c r="R253">
        <f>H253</f>
        <v>19.260000000000002</v>
      </c>
    </row>
    <row r="254" spans="1:26" ht="14.25" x14ac:dyDescent="0.2">
      <c r="A254" s="49"/>
      <c r="B254" s="50"/>
      <c r="C254" s="50" t="s">
        <v>356</v>
      </c>
      <c r="D254" s="33"/>
      <c r="E254" s="12"/>
      <c r="F254" s="34">
        <f>Source!AM115</f>
        <v>52.31</v>
      </c>
      <c r="G254" s="35" t="str">
        <f>Source!DE115</f>
        <v>)*1,25</v>
      </c>
      <c r="H254" s="34">
        <f>ROUND(Source!AD115*Source!I115, 2)</f>
        <v>0.39</v>
      </c>
      <c r="I254" s="35"/>
      <c r="J254" s="35">
        <f>IF(Source!BB115&lt;&gt; 0, Source!BB115, 1)</f>
        <v>6.11</v>
      </c>
      <c r="K254" s="34">
        <f>Source!Q115</f>
        <v>2.4</v>
      </c>
      <c r="L254" s="36"/>
    </row>
    <row r="255" spans="1:26" ht="14.25" x14ac:dyDescent="0.2">
      <c r="A255" s="49"/>
      <c r="B255" s="50"/>
      <c r="C255" s="50" t="s">
        <v>792</v>
      </c>
      <c r="D255" s="33"/>
      <c r="E255" s="12"/>
      <c r="F255" s="34">
        <f>Source!AN115</f>
        <v>7.67</v>
      </c>
      <c r="G255" s="35" t="str">
        <f>Source!DF115</f>
        <v>)*1,25</v>
      </c>
      <c r="H255" s="37">
        <f>ROUND(Source!AE115*Source!I115, 2)</f>
        <v>0.06</v>
      </c>
      <c r="I255" s="35"/>
      <c r="J255" s="35">
        <f>IF(Source!BS115&lt;&gt; 0, Source!BS115, 1)</f>
        <v>6.11</v>
      </c>
      <c r="K255" s="37">
        <f>Source!R115</f>
        <v>0.35</v>
      </c>
      <c r="L255" s="36"/>
      <c r="R255">
        <f>H255</f>
        <v>0.06</v>
      </c>
    </row>
    <row r="256" spans="1:26" ht="14.25" x14ac:dyDescent="0.2">
      <c r="A256" s="49"/>
      <c r="B256" s="50"/>
      <c r="C256" s="50" t="s">
        <v>798</v>
      </c>
      <c r="D256" s="33"/>
      <c r="E256" s="12"/>
      <c r="F256" s="34">
        <f>Source!AL115</f>
        <v>10100</v>
      </c>
      <c r="G256" s="35" t="str">
        <f>Source!DD115</f>
        <v/>
      </c>
      <c r="H256" s="34">
        <f>ROUND(Source!AC115*Source!I115, 2)</f>
        <v>60.6</v>
      </c>
      <c r="I256" s="35"/>
      <c r="J256" s="35">
        <f>IF(Source!BC115&lt;&gt; 0, Source!BC115, 1)</f>
        <v>6.11</v>
      </c>
      <c r="K256" s="34">
        <f>Source!P115</f>
        <v>370.27</v>
      </c>
      <c r="L256" s="36"/>
    </row>
    <row r="257" spans="1:26" ht="14.25" x14ac:dyDescent="0.2">
      <c r="A257" s="49"/>
      <c r="B257" s="50"/>
      <c r="C257" s="50" t="s">
        <v>793</v>
      </c>
      <c r="D257" s="33" t="s">
        <v>794</v>
      </c>
      <c r="E257" s="12">
        <f>Source!BZ115</f>
        <v>105</v>
      </c>
      <c r="F257" s="67" t="str">
        <f>CONCATENATE(" )", Source!DL115, Source!FT115, "=", Source!FX115)</f>
        <v xml:space="preserve"> )*0,9=94,5</v>
      </c>
      <c r="G257" s="68"/>
      <c r="H257" s="34">
        <f>SUM(S252:S259)</f>
        <v>18.260000000000002</v>
      </c>
      <c r="I257" s="38"/>
      <c r="J257" s="31">
        <f>Source!AT115</f>
        <v>95</v>
      </c>
      <c r="K257" s="34">
        <f>SUM(T252:T259)</f>
        <v>112.12</v>
      </c>
      <c r="L257" s="36"/>
    </row>
    <row r="258" spans="1:26" ht="14.25" x14ac:dyDescent="0.2">
      <c r="A258" s="49"/>
      <c r="B258" s="50"/>
      <c r="C258" s="50" t="s">
        <v>795</v>
      </c>
      <c r="D258" s="33" t="s">
        <v>794</v>
      </c>
      <c r="E258" s="12">
        <f>Source!CA115</f>
        <v>65</v>
      </c>
      <c r="F258" s="67" t="str">
        <f>CONCATENATE(" )", Source!DM115, Source!FU115, "=", Source!FY115)</f>
        <v xml:space="preserve"> )*0,85=55,25</v>
      </c>
      <c r="G258" s="68"/>
      <c r="H258" s="34">
        <f>SUM(U252:U259)</f>
        <v>10.67</v>
      </c>
      <c r="I258" s="38"/>
      <c r="J258" s="31">
        <f>Source!AU115</f>
        <v>55</v>
      </c>
      <c r="K258" s="34">
        <f>SUM(V252:V259)</f>
        <v>64.91</v>
      </c>
      <c r="L258" s="36"/>
    </row>
    <row r="259" spans="1:26" ht="14.25" x14ac:dyDescent="0.2">
      <c r="A259" s="51"/>
      <c r="B259" s="52"/>
      <c r="C259" s="52" t="s">
        <v>796</v>
      </c>
      <c r="D259" s="39" t="s">
        <v>797</v>
      </c>
      <c r="E259" s="40">
        <f>Source!AQ115</f>
        <v>315.01</v>
      </c>
      <c r="F259" s="41"/>
      <c r="G259" s="42" t="str">
        <f>Source!DI115</f>
        <v>)*1,15</v>
      </c>
      <c r="H259" s="41"/>
      <c r="I259" s="42"/>
      <c r="J259" s="42"/>
      <c r="K259" s="41"/>
      <c r="L259" s="43">
        <f>Source!U115</f>
        <v>2.1735689999999996</v>
      </c>
    </row>
    <row r="260" spans="1:26" ht="15" x14ac:dyDescent="0.25">
      <c r="G260" s="66">
        <f>H253+H254+H256+H257+H258</f>
        <v>109.18</v>
      </c>
      <c r="H260" s="66"/>
      <c r="J260" s="66">
        <f>K253+K254+K256+K257+K258</f>
        <v>667.37</v>
      </c>
      <c r="K260" s="66"/>
      <c r="L260" s="44">
        <f>Source!U115</f>
        <v>2.1735689999999996</v>
      </c>
      <c r="O260" s="27">
        <f>G260</f>
        <v>109.18</v>
      </c>
      <c r="P260" s="27">
        <f>J260</f>
        <v>667.37</v>
      </c>
      <c r="Q260" s="27">
        <f>L260</f>
        <v>2.1735689999999996</v>
      </c>
      <c r="W260">
        <f>IF(Source!BI115&lt;=1,H253+H254+H256+H257+H258, 0)</f>
        <v>109.18</v>
      </c>
      <c r="X260">
        <f>IF(Source!BI115=2,H253+H254+H256+H257+H258, 0)</f>
        <v>0</v>
      </c>
      <c r="Y260">
        <f>IF(Source!BI115=3,H253+H254+H256+H257+H258, 0)</f>
        <v>0</v>
      </c>
      <c r="Z260">
        <f>IF(Source!BI115=4,H253+H254+H256+H257+H258, 0)</f>
        <v>0</v>
      </c>
    </row>
    <row r="261" spans="1:26" ht="71.25" x14ac:dyDescent="0.2">
      <c r="A261" s="49" t="str">
        <f>Source!E117</f>
        <v>24</v>
      </c>
      <c r="B261" s="50" t="str">
        <f>Source!F117</f>
        <v>46-03-001-14</v>
      </c>
      <c r="C261" s="50" t="str">
        <f>Source!G117</f>
        <v>Сверление установками алмазного бурения в железобетонных конструкциях вертикальных отверстий глубиной 200 мм диаметром 125 мм</v>
      </c>
      <c r="D261" s="33" t="str">
        <f>Source!H117</f>
        <v>100 ШТ</v>
      </c>
      <c r="E261" s="12">
        <f>Source!I117</f>
        <v>0.01</v>
      </c>
      <c r="F261" s="34">
        <f>Source!AL117+Source!AM117+Source!AO117</f>
        <v>7390.4000000000005</v>
      </c>
      <c r="G261" s="35"/>
      <c r="H261" s="34"/>
      <c r="I261" s="35" t="str">
        <f>Source!BO117</f>
        <v/>
      </c>
      <c r="J261" s="35"/>
      <c r="K261" s="34"/>
      <c r="L261" s="36"/>
      <c r="S261">
        <f>ROUND((Source!FX117/100)*((ROUND(Source!AF117*Source!I117, 2)+ROUND(Source!AE117*Source!I117, 2))), 2)</f>
        <v>5.55</v>
      </c>
      <c r="T261">
        <f>Source!X117</f>
        <v>33.96</v>
      </c>
      <c r="U261">
        <f>ROUND((Source!FY117/100)*((ROUND(Source!AF117*Source!I117, 2)+ROUND(Source!AE117*Source!I117, 2))), 2)</f>
        <v>3.34</v>
      </c>
      <c r="V261">
        <f>Source!Y117</f>
        <v>20.58</v>
      </c>
    </row>
    <row r="262" spans="1:26" x14ac:dyDescent="0.2">
      <c r="C262" s="26" t="str">
        <f>"Объем: "&amp;Source!I117&amp;"=1/"&amp;"100"</f>
        <v>Объем: 0,01=1/100</v>
      </c>
    </row>
    <row r="263" spans="1:26" ht="14.25" x14ac:dyDescent="0.2">
      <c r="A263" s="49"/>
      <c r="B263" s="50"/>
      <c r="C263" s="50" t="s">
        <v>791</v>
      </c>
      <c r="D263" s="33"/>
      <c r="E263" s="12"/>
      <c r="F263" s="34">
        <f>Source!AO117</f>
        <v>253.97</v>
      </c>
      <c r="G263" s="35" t="str">
        <f>Source!DG117</f>
        <v/>
      </c>
      <c r="H263" s="34">
        <f>ROUND(Source!AF117*Source!I117, 2)</f>
        <v>2.54</v>
      </c>
      <c r="I263" s="35"/>
      <c r="J263" s="35">
        <f>IF(Source!BA117&lt;&gt; 0, Source!BA117, 1)</f>
        <v>6.11</v>
      </c>
      <c r="K263" s="34">
        <f>Source!S117</f>
        <v>15.52</v>
      </c>
      <c r="L263" s="36"/>
      <c r="R263">
        <f>H263</f>
        <v>2.54</v>
      </c>
    </row>
    <row r="264" spans="1:26" ht="14.25" x14ac:dyDescent="0.2">
      <c r="A264" s="49"/>
      <c r="B264" s="50"/>
      <c r="C264" s="50" t="s">
        <v>356</v>
      </c>
      <c r="D264" s="33"/>
      <c r="E264" s="12"/>
      <c r="F264" s="34">
        <f>Source!AM117</f>
        <v>971.67</v>
      </c>
      <c r="G264" s="35" t="str">
        <f>Source!DE117</f>
        <v/>
      </c>
      <c r="H264" s="34">
        <f>ROUND(Source!AD117*Source!I117, 2)</f>
        <v>9.7200000000000006</v>
      </c>
      <c r="I264" s="35"/>
      <c r="J264" s="35">
        <f>IF(Source!BB117&lt;&gt; 0, Source!BB117, 1)</f>
        <v>6.11</v>
      </c>
      <c r="K264" s="34">
        <f>Source!Q117</f>
        <v>59.37</v>
      </c>
      <c r="L264" s="36"/>
    </row>
    <row r="265" spans="1:26" ht="14.25" x14ac:dyDescent="0.2">
      <c r="A265" s="49"/>
      <c r="B265" s="50"/>
      <c r="C265" s="50" t="s">
        <v>792</v>
      </c>
      <c r="D265" s="33"/>
      <c r="E265" s="12"/>
      <c r="F265" s="34">
        <f>Source!AN117</f>
        <v>307.39999999999998</v>
      </c>
      <c r="G265" s="35" t="str">
        <f>Source!DF117</f>
        <v/>
      </c>
      <c r="H265" s="37">
        <f>ROUND(Source!AE117*Source!I117, 2)</f>
        <v>3.07</v>
      </c>
      <c r="I265" s="35"/>
      <c r="J265" s="35">
        <f>IF(Source!BS117&lt;&gt; 0, Source!BS117, 1)</f>
        <v>6.11</v>
      </c>
      <c r="K265" s="37">
        <f>Source!R117</f>
        <v>18.78</v>
      </c>
      <c r="L265" s="36"/>
      <c r="R265">
        <f>H265</f>
        <v>3.07</v>
      </c>
    </row>
    <row r="266" spans="1:26" ht="14.25" x14ac:dyDescent="0.2">
      <c r="A266" s="49"/>
      <c r="B266" s="50"/>
      <c r="C266" s="50" t="s">
        <v>798</v>
      </c>
      <c r="D266" s="33"/>
      <c r="E266" s="12"/>
      <c r="F266" s="34">
        <f>Source!AL117</f>
        <v>6164.76</v>
      </c>
      <c r="G266" s="35" t="str">
        <f>Source!DD117</f>
        <v/>
      </c>
      <c r="H266" s="34">
        <f>ROUND(Source!AC117*Source!I117, 2)</f>
        <v>61.65</v>
      </c>
      <c r="I266" s="35"/>
      <c r="J266" s="35">
        <f>IF(Source!BC117&lt;&gt; 0, Source!BC117, 1)</f>
        <v>6.11</v>
      </c>
      <c r="K266" s="34">
        <f>Source!P117</f>
        <v>376.67</v>
      </c>
      <c r="L266" s="36"/>
    </row>
    <row r="267" spans="1:26" ht="14.25" x14ac:dyDescent="0.2">
      <c r="A267" s="49"/>
      <c r="B267" s="50"/>
      <c r="C267" s="50" t="s">
        <v>793</v>
      </c>
      <c r="D267" s="33" t="s">
        <v>794</v>
      </c>
      <c r="E267" s="12">
        <f>Source!BZ117</f>
        <v>110</v>
      </c>
      <c r="F267" s="67" t="str">
        <f>CONCATENATE(" )", Source!DL117, Source!FT117, "=", Source!FX117)</f>
        <v xml:space="preserve"> )*0,9=99</v>
      </c>
      <c r="G267" s="68"/>
      <c r="H267" s="34">
        <f>SUM(S261:S269)</f>
        <v>5.55</v>
      </c>
      <c r="I267" s="38"/>
      <c r="J267" s="31">
        <f>Source!AT117</f>
        <v>99</v>
      </c>
      <c r="K267" s="34">
        <f>SUM(T261:T269)</f>
        <v>33.96</v>
      </c>
      <c r="L267" s="36"/>
    </row>
    <row r="268" spans="1:26" ht="14.25" x14ac:dyDescent="0.2">
      <c r="A268" s="49"/>
      <c r="B268" s="50"/>
      <c r="C268" s="50" t="s">
        <v>795</v>
      </c>
      <c r="D268" s="33" t="s">
        <v>794</v>
      </c>
      <c r="E268" s="12">
        <f>Source!CA117</f>
        <v>70</v>
      </c>
      <c r="F268" s="67" t="str">
        <f>CONCATENATE(" )", Source!DM117, Source!FU117, "=", Source!FY117)</f>
        <v xml:space="preserve"> )*0,85=59,5</v>
      </c>
      <c r="G268" s="68"/>
      <c r="H268" s="34">
        <f>SUM(U261:U269)</f>
        <v>3.34</v>
      </c>
      <c r="I268" s="38"/>
      <c r="J268" s="31">
        <f>Source!AU117</f>
        <v>60</v>
      </c>
      <c r="K268" s="34">
        <f>SUM(V261:V269)</f>
        <v>20.58</v>
      </c>
      <c r="L268" s="36"/>
    </row>
    <row r="269" spans="1:26" ht="14.25" x14ac:dyDescent="0.2">
      <c r="A269" s="51"/>
      <c r="B269" s="52"/>
      <c r="C269" s="52" t="s">
        <v>796</v>
      </c>
      <c r="D269" s="39" t="s">
        <v>797</v>
      </c>
      <c r="E269" s="40">
        <f>Source!AQ117</f>
        <v>26.4</v>
      </c>
      <c r="F269" s="41"/>
      <c r="G269" s="42" t="str">
        <f>Source!DI117</f>
        <v/>
      </c>
      <c r="H269" s="41"/>
      <c r="I269" s="42"/>
      <c r="J269" s="42"/>
      <c r="K269" s="41"/>
      <c r="L269" s="43">
        <f>Source!U117</f>
        <v>0.26400000000000001</v>
      </c>
    </row>
    <row r="270" spans="1:26" ht="15" x14ac:dyDescent="0.25">
      <c r="G270" s="66">
        <f>H263+H264+H266+H267+H268</f>
        <v>82.8</v>
      </c>
      <c r="H270" s="66"/>
      <c r="J270" s="66">
        <f>K263+K264+K266+K267+K268</f>
        <v>506.09999999999997</v>
      </c>
      <c r="K270" s="66"/>
      <c r="L270" s="44">
        <f>Source!U117</f>
        <v>0.26400000000000001</v>
      </c>
      <c r="O270" s="27">
        <f>G270</f>
        <v>82.8</v>
      </c>
      <c r="P270" s="27">
        <f>J270</f>
        <v>506.09999999999997</v>
      </c>
      <c r="Q270" s="27">
        <f>L270</f>
        <v>0.26400000000000001</v>
      </c>
      <c r="W270">
        <f>IF(Source!BI117&lt;=1,H263+H264+H266+H267+H268, 0)</f>
        <v>82.8</v>
      </c>
      <c r="X270">
        <f>IF(Source!BI117=2,H263+H264+H266+H267+H268, 0)</f>
        <v>0</v>
      </c>
      <c r="Y270">
        <f>IF(Source!BI117=3,H263+H264+H266+H267+H268, 0)</f>
        <v>0</v>
      </c>
      <c r="Z270">
        <f>IF(Source!BI117=4,H263+H264+H266+H267+H268, 0)</f>
        <v>0</v>
      </c>
    </row>
    <row r="271" spans="1:26" ht="57" x14ac:dyDescent="0.2">
      <c r="A271" s="49" t="str">
        <f>Source!E119</f>
        <v>25</v>
      </c>
      <c r="B271" s="50" t="str">
        <f>Source!F119</f>
        <v>46-03-001-30</v>
      </c>
      <c r="C271" s="50" t="str">
        <f>Source!G119</f>
        <v>На каждые 10 мм изменения глубины сверления добавляется или исключается к расценке 46-03-001-14</v>
      </c>
      <c r="D271" s="33" t="str">
        <f>Source!H119</f>
        <v>100 ШТ</v>
      </c>
      <c r="E271" s="12">
        <f>Source!I119</f>
        <v>0.01</v>
      </c>
      <c r="F271" s="34">
        <f>Source!AL119+Source!AM119+Source!AO119</f>
        <v>371.28000000000003</v>
      </c>
      <c r="G271" s="35"/>
      <c r="H271" s="34"/>
      <c r="I271" s="35" t="str">
        <f>Source!BO119</f>
        <v/>
      </c>
      <c r="J271" s="35"/>
      <c r="K271" s="34"/>
      <c r="L271" s="36"/>
      <c r="S271">
        <f>ROUND((Source!FX119/100)*((ROUND(Source!AF119*Source!I119, 2)+ROUND(Source!AE119*Source!I119, 2))), 2)</f>
        <v>5.14</v>
      </c>
      <c r="T271">
        <f>Source!X119</f>
        <v>31.37</v>
      </c>
      <c r="U271">
        <f>ROUND((Source!FY119/100)*((ROUND(Source!AF119*Source!I119, 2)+ROUND(Source!AE119*Source!I119, 2))), 2)</f>
        <v>3.09</v>
      </c>
      <c r="V271">
        <f>Source!Y119</f>
        <v>19.010000000000002</v>
      </c>
    </row>
    <row r="272" spans="1:26" x14ac:dyDescent="0.2">
      <c r="C272" s="26" t="str">
        <f>"Объем: "&amp;Source!I119&amp;"=1/"&amp;"100"</f>
        <v>Объем: 0,01=1/100</v>
      </c>
    </row>
    <row r="273" spans="1:26" ht="14.25" x14ac:dyDescent="0.2">
      <c r="A273" s="49"/>
      <c r="B273" s="50"/>
      <c r="C273" s="50" t="s">
        <v>791</v>
      </c>
      <c r="D273" s="33"/>
      <c r="E273" s="12"/>
      <c r="F273" s="34">
        <f>Source!AO119</f>
        <v>20.2</v>
      </c>
      <c r="G273" s="35" t="str">
        <f>Source!DG119</f>
        <v>*15</v>
      </c>
      <c r="H273" s="34">
        <f>ROUND(Source!AF119*Source!I119, 2)</f>
        <v>3.03</v>
      </c>
      <c r="I273" s="35"/>
      <c r="J273" s="35">
        <f>IF(Source!BA119&lt;&gt; 0, Source!BA119, 1)</f>
        <v>6.11</v>
      </c>
      <c r="K273" s="34">
        <f>Source!S119</f>
        <v>18.510000000000002</v>
      </c>
      <c r="L273" s="36"/>
      <c r="R273">
        <f>H273</f>
        <v>3.03</v>
      </c>
    </row>
    <row r="274" spans="1:26" ht="14.25" x14ac:dyDescent="0.2">
      <c r="A274" s="49"/>
      <c r="B274" s="50"/>
      <c r="C274" s="50" t="s">
        <v>356</v>
      </c>
      <c r="D274" s="33"/>
      <c r="E274" s="12"/>
      <c r="F274" s="34">
        <f>Source!AM119</f>
        <v>42.84</v>
      </c>
      <c r="G274" s="35" t="str">
        <f>Source!DE119</f>
        <v>*15</v>
      </c>
      <c r="H274" s="34">
        <f>ROUND(Source!AD119*Source!I119, 2)</f>
        <v>6.43</v>
      </c>
      <c r="I274" s="35"/>
      <c r="J274" s="35">
        <f>IF(Source!BB119&lt;&gt; 0, Source!BB119, 1)</f>
        <v>6.11</v>
      </c>
      <c r="K274" s="34">
        <f>Source!Q119</f>
        <v>39.26</v>
      </c>
      <c r="L274" s="36"/>
    </row>
    <row r="275" spans="1:26" ht="14.25" x14ac:dyDescent="0.2">
      <c r="A275" s="49"/>
      <c r="B275" s="50"/>
      <c r="C275" s="50" t="s">
        <v>792</v>
      </c>
      <c r="D275" s="33"/>
      <c r="E275" s="12"/>
      <c r="F275" s="34">
        <f>Source!AN119</f>
        <v>14.38</v>
      </c>
      <c r="G275" s="35" t="str">
        <f>Source!DF119</f>
        <v>*15</v>
      </c>
      <c r="H275" s="37">
        <f>ROUND(Source!AE119*Source!I119, 2)</f>
        <v>2.16</v>
      </c>
      <c r="I275" s="35"/>
      <c r="J275" s="35">
        <f>IF(Source!BS119&lt;&gt; 0, Source!BS119, 1)</f>
        <v>6.11</v>
      </c>
      <c r="K275" s="37">
        <f>Source!R119</f>
        <v>13.18</v>
      </c>
      <c r="L275" s="36"/>
      <c r="R275">
        <f>H275</f>
        <v>2.16</v>
      </c>
    </row>
    <row r="276" spans="1:26" ht="14.25" x14ac:dyDescent="0.2">
      <c r="A276" s="49"/>
      <c r="B276" s="50"/>
      <c r="C276" s="50" t="s">
        <v>798</v>
      </c>
      <c r="D276" s="33"/>
      <c r="E276" s="12"/>
      <c r="F276" s="34">
        <f>Source!AL119</f>
        <v>308.24</v>
      </c>
      <c r="G276" s="35" t="str">
        <f>Source!DD119</f>
        <v>*15</v>
      </c>
      <c r="H276" s="34">
        <f>ROUND(Source!AC119*Source!I119, 2)</f>
        <v>46.24</v>
      </c>
      <c r="I276" s="35"/>
      <c r="J276" s="35">
        <f>IF(Source!BC119&lt;&gt; 0, Source!BC119, 1)</f>
        <v>6.11</v>
      </c>
      <c r="K276" s="34">
        <f>Source!P119</f>
        <v>282.5</v>
      </c>
      <c r="L276" s="36"/>
    </row>
    <row r="277" spans="1:26" ht="14.25" x14ac:dyDescent="0.2">
      <c r="A277" s="49"/>
      <c r="B277" s="50"/>
      <c r="C277" s="50" t="s">
        <v>793</v>
      </c>
      <c r="D277" s="33" t="s">
        <v>794</v>
      </c>
      <c r="E277" s="12">
        <f>Source!BZ119</f>
        <v>110</v>
      </c>
      <c r="F277" s="67" t="str">
        <f>CONCATENATE(" )", Source!DL119, Source!FT119, "=", Source!FX119)</f>
        <v xml:space="preserve"> )*0,9=99</v>
      </c>
      <c r="G277" s="68"/>
      <c r="H277" s="34">
        <f>SUM(S271:S279)</f>
        <v>5.14</v>
      </c>
      <c r="I277" s="38"/>
      <c r="J277" s="31">
        <f>Source!AT119</f>
        <v>99</v>
      </c>
      <c r="K277" s="34">
        <f>SUM(T271:T279)</f>
        <v>31.37</v>
      </c>
      <c r="L277" s="36"/>
    </row>
    <row r="278" spans="1:26" ht="14.25" x14ac:dyDescent="0.2">
      <c r="A278" s="49"/>
      <c r="B278" s="50"/>
      <c r="C278" s="50" t="s">
        <v>795</v>
      </c>
      <c r="D278" s="33" t="s">
        <v>794</v>
      </c>
      <c r="E278" s="12">
        <f>Source!CA119</f>
        <v>70</v>
      </c>
      <c r="F278" s="67" t="str">
        <f>CONCATENATE(" )", Source!DM119, Source!FU119, "=", Source!FY119)</f>
        <v xml:space="preserve"> )*0,85=59,5</v>
      </c>
      <c r="G278" s="68"/>
      <c r="H278" s="34">
        <f>SUM(U271:U279)</f>
        <v>3.09</v>
      </c>
      <c r="I278" s="38"/>
      <c r="J278" s="31">
        <f>Source!AU119</f>
        <v>60</v>
      </c>
      <c r="K278" s="34">
        <f>SUM(V271:V279)</f>
        <v>19.010000000000002</v>
      </c>
      <c r="L278" s="36"/>
    </row>
    <row r="279" spans="1:26" ht="14.25" x14ac:dyDescent="0.2">
      <c r="A279" s="51"/>
      <c r="B279" s="52"/>
      <c r="C279" s="52" t="s">
        <v>796</v>
      </c>
      <c r="D279" s="39" t="s">
        <v>797</v>
      </c>
      <c r="E279" s="40">
        <f>Source!AQ119</f>
        <v>2.1</v>
      </c>
      <c r="F279" s="41"/>
      <c r="G279" s="42" t="str">
        <f>Source!DI119</f>
        <v>*15</v>
      </c>
      <c r="H279" s="41"/>
      <c r="I279" s="42"/>
      <c r="J279" s="42"/>
      <c r="K279" s="41"/>
      <c r="L279" s="43">
        <f>Source!U119</f>
        <v>0.315</v>
      </c>
    </row>
    <row r="280" spans="1:26" ht="15" x14ac:dyDescent="0.25">
      <c r="G280" s="66">
        <f>H273+H274+H276+H277+H278</f>
        <v>63.930000000000007</v>
      </c>
      <c r="H280" s="66"/>
      <c r="J280" s="66">
        <f>K273+K274+K276+K277+K278</f>
        <v>390.65</v>
      </c>
      <c r="K280" s="66"/>
      <c r="L280" s="44">
        <f>Source!U119</f>
        <v>0.315</v>
      </c>
      <c r="O280" s="27">
        <f>G280</f>
        <v>63.930000000000007</v>
      </c>
      <c r="P280" s="27">
        <f>J280</f>
        <v>390.65</v>
      </c>
      <c r="Q280" s="27">
        <f>L280</f>
        <v>0.315</v>
      </c>
      <c r="W280">
        <f>IF(Source!BI119&lt;=1,H273+H274+H276+H277+H278, 0)</f>
        <v>63.930000000000007</v>
      </c>
      <c r="X280">
        <f>IF(Source!BI119=2,H273+H274+H276+H277+H278, 0)</f>
        <v>0</v>
      </c>
      <c r="Y280">
        <f>IF(Source!BI119=3,H273+H274+H276+H277+H278, 0)</f>
        <v>0</v>
      </c>
      <c r="Z280">
        <f>IF(Source!BI119=4,H273+H274+H276+H277+H278, 0)</f>
        <v>0</v>
      </c>
    </row>
    <row r="281" spans="1:26" ht="42.75" x14ac:dyDescent="0.2">
      <c r="A281" s="49" t="str">
        <f>Source!E121</f>
        <v>26</v>
      </c>
      <c r="B281" s="50" t="str">
        <f>Source!F121</f>
        <v>46-03-017-05</v>
      </c>
      <c r="C281" s="50" t="str">
        <f>Source!G121</f>
        <v>Заделка отверстий, гнезд и борозд в стенах и перегородках бетонных площадью до 0,1 м2</v>
      </c>
      <c r="D281" s="33" t="str">
        <f>Source!H121</f>
        <v>м3</v>
      </c>
      <c r="E281" s="12">
        <f>Source!I121</f>
        <v>3.0000000000000001E-3</v>
      </c>
      <c r="F281" s="34">
        <f>Source!AL121+Source!AM121+Source!AO121</f>
        <v>1229.96</v>
      </c>
      <c r="G281" s="35"/>
      <c r="H281" s="34"/>
      <c r="I281" s="35" t="str">
        <f>Source!BO121</f>
        <v/>
      </c>
      <c r="J281" s="35"/>
      <c r="K281" s="34"/>
      <c r="L281" s="36"/>
      <c r="S281">
        <f>ROUND((Source!FX121/100)*((ROUND(Source!AF121*Source!I121, 2)+ROUND(Source!AE121*Source!I121, 2))), 2)</f>
        <v>1.82</v>
      </c>
      <c r="T281">
        <f>Source!X121</f>
        <v>11.13</v>
      </c>
      <c r="U281">
        <f>ROUND((Source!FY121/100)*((ROUND(Source!AF121*Source!I121, 2)+ROUND(Source!AE121*Source!I121, 2))), 2)</f>
        <v>1.0900000000000001</v>
      </c>
      <c r="V281">
        <f>Source!Y121</f>
        <v>6.74</v>
      </c>
    </row>
    <row r="282" spans="1:26" ht="14.25" x14ac:dyDescent="0.2">
      <c r="A282" s="49"/>
      <c r="B282" s="50"/>
      <c r="C282" s="50" t="s">
        <v>791</v>
      </c>
      <c r="D282" s="33"/>
      <c r="E282" s="12"/>
      <c r="F282" s="34">
        <f>Source!AO121</f>
        <v>608.53</v>
      </c>
      <c r="G282" s="35" t="str">
        <f>Source!DG121</f>
        <v/>
      </c>
      <c r="H282" s="34">
        <f>ROUND(Source!AF121*Source!I121, 2)</f>
        <v>1.83</v>
      </c>
      <c r="I282" s="35"/>
      <c r="J282" s="35">
        <f>IF(Source!BA121&lt;&gt; 0, Source!BA121, 1)</f>
        <v>6.11</v>
      </c>
      <c r="K282" s="34">
        <f>Source!S121</f>
        <v>11.15</v>
      </c>
      <c r="L282" s="36"/>
      <c r="R282">
        <f>H282</f>
        <v>1.83</v>
      </c>
    </row>
    <row r="283" spans="1:26" ht="14.25" x14ac:dyDescent="0.2">
      <c r="A283" s="49"/>
      <c r="B283" s="50"/>
      <c r="C283" s="50" t="s">
        <v>356</v>
      </c>
      <c r="D283" s="33"/>
      <c r="E283" s="12"/>
      <c r="F283" s="34">
        <f>Source!AM121</f>
        <v>26.64</v>
      </c>
      <c r="G283" s="35" t="str">
        <f>Source!DE121</f>
        <v/>
      </c>
      <c r="H283" s="34">
        <f>ROUND(Source!AD121*Source!I121, 2)</f>
        <v>0.08</v>
      </c>
      <c r="I283" s="35"/>
      <c r="J283" s="35">
        <f>IF(Source!BB121&lt;&gt; 0, Source!BB121, 1)</f>
        <v>6.11</v>
      </c>
      <c r="K283" s="34">
        <f>Source!Q121</f>
        <v>0.49</v>
      </c>
      <c r="L283" s="36"/>
    </row>
    <row r="284" spans="1:26" ht="14.25" x14ac:dyDescent="0.2">
      <c r="A284" s="49"/>
      <c r="B284" s="50"/>
      <c r="C284" s="50" t="s">
        <v>792</v>
      </c>
      <c r="D284" s="33"/>
      <c r="E284" s="12"/>
      <c r="F284" s="34">
        <f>Source!AN121</f>
        <v>4.6399999999999997</v>
      </c>
      <c r="G284" s="35" t="str">
        <f>Source!DF121</f>
        <v/>
      </c>
      <c r="H284" s="37">
        <f>ROUND(Source!AE121*Source!I121, 2)</f>
        <v>0.01</v>
      </c>
      <c r="I284" s="35"/>
      <c r="J284" s="35">
        <f>IF(Source!BS121&lt;&gt; 0, Source!BS121, 1)</f>
        <v>6.11</v>
      </c>
      <c r="K284" s="37">
        <f>Source!R121</f>
        <v>0.09</v>
      </c>
      <c r="L284" s="36"/>
      <c r="R284">
        <f>H284</f>
        <v>0.01</v>
      </c>
    </row>
    <row r="285" spans="1:26" ht="14.25" x14ac:dyDescent="0.2">
      <c r="A285" s="49"/>
      <c r="B285" s="50"/>
      <c r="C285" s="50" t="s">
        <v>798</v>
      </c>
      <c r="D285" s="33"/>
      <c r="E285" s="12"/>
      <c r="F285" s="34">
        <f>Source!AL121</f>
        <v>594.79</v>
      </c>
      <c r="G285" s="35" t="str">
        <f>Source!DD121</f>
        <v/>
      </c>
      <c r="H285" s="34">
        <f>ROUND(Source!AC121*Source!I121, 2)</f>
        <v>1.78</v>
      </c>
      <c r="I285" s="35"/>
      <c r="J285" s="35">
        <f>IF(Source!BC121&lt;&gt; 0, Source!BC121, 1)</f>
        <v>6.11</v>
      </c>
      <c r="K285" s="34">
        <f>Source!P121</f>
        <v>10.9</v>
      </c>
      <c r="L285" s="36"/>
    </row>
    <row r="286" spans="1:26" ht="14.25" x14ac:dyDescent="0.2">
      <c r="A286" s="49"/>
      <c r="B286" s="50"/>
      <c r="C286" s="50" t="s">
        <v>793</v>
      </c>
      <c r="D286" s="33" t="s">
        <v>794</v>
      </c>
      <c r="E286" s="12">
        <f>Source!BZ121</f>
        <v>110</v>
      </c>
      <c r="F286" s="67" t="str">
        <f>CONCATENATE(" )", Source!DL121, Source!FT121, "=", Source!FX121)</f>
        <v xml:space="preserve"> )*0,9=99</v>
      </c>
      <c r="G286" s="68"/>
      <c r="H286" s="34">
        <f>SUM(S281:S289)</f>
        <v>1.82</v>
      </c>
      <c r="I286" s="38"/>
      <c r="J286" s="31">
        <f>Source!AT121</f>
        <v>99</v>
      </c>
      <c r="K286" s="34">
        <f>SUM(T281:T289)</f>
        <v>11.13</v>
      </c>
      <c r="L286" s="36"/>
    </row>
    <row r="287" spans="1:26" ht="14.25" x14ac:dyDescent="0.2">
      <c r="A287" s="49"/>
      <c r="B287" s="50"/>
      <c r="C287" s="50" t="s">
        <v>795</v>
      </c>
      <c r="D287" s="33" t="s">
        <v>794</v>
      </c>
      <c r="E287" s="12">
        <f>Source!CA121</f>
        <v>70</v>
      </c>
      <c r="F287" s="67" t="str">
        <f>CONCATENATE(" )", Source!DM121, Source!FU121, "=", Source!FY121)</f>
        <v xml:space="preserve"> )*0,85=59,5</v>
      </c>
      <c r="G287" s="68"/>
      <c r="H287" s="34">
        <f>SUM(U281:U289)</f>
        <v>1.0900000000000001</v>
      </c>
      <c r="I287" s="38"/>
      <c r="J287" s="31">
        <f>Source!AU121</f>
        <v>60</v>
      </c>
      <c r="K287" s="34">
        <f>SUM(V281:V289)</f>
        <v>6.74</v>
      </c>
      <c r="L287" s="36"/>
    </row>
    <row r="288" spans="1:26" ht="14.25" x14ac:dyDescent="0.2">
      <c r="A288" s="49"/>
      <c r="B288" s="50"/>
      <c r="C288" s="50" t="s">
        <v>796</v>
      </c>
      <c r="D288" s="33" t="s">
        <v>797</v>
      </c>
      <c r="E288" s="12">
        <f>Source!AQ121</f>
        <v>75.22</v>
      </c>
      <c r="F288" s="34"/>
      <c r="G288" s="35" t="str">
        <f>Source!DI121</f>
        <v/>
      </c>
      <c r="H288" s="34"/>
      <c r="I288" s="35"/>
      <c r="J288" s="35"/>
      <c r="K288" s="34"/>
      <c r="L288" s="45">
        <f>Source!U121</f>
        <v>0.22566</v>
      </c>
    </row>
    <row r="289" spans="1:26" ht="28.5" x14ac:dyDescent="0.2">
      <c r="A289" s="51" t="str">
        <f>Source!E123</f>
        <v>26,1</v>
      </c>
      <c r="B289" s="52" t="str">
        <f>Source!F123</f>
        <v>04.3.01.09-0022</v>
      </c>
      <c r="C289" s="52" t="str">
        <f>Source!G123</f>
        <v>Раствор готовый отделочный тяжелый, цементный 1:2</v>
      </c>
      <c r="D289" s="39" t="str">
        <f>Source!H123</f>
        <v>м3</v>
      </c>
      <c r="E289" s="40">
        <f>Source!I123</f>
        <v>3.1200000000000004E-3</v>
      </c>
      <c r="F289" s="41">
        <f>Source!AL123+Source!AM123+Source!AO123</f>
        <v>519.79999999999995</v>
      </c>
      <c r="G289" s="46" t="s">
        <v>6</v>
      </c>
      <c r="H289" s="41">
        <f>ROUND(Source!AC123*Source!I123, 2)+ROUND(Source!AD123*Source!I123, 2)+ROUND(Source!AF123*Source!I123, 2)</f>
        <v>1.62</v>
      </c>
      <c r="I289" s="42"/>
      <c r="J289" s="42">
        <f>IF(Source!BC123&lt;&gt; 0, Source!BC123, 1)</f>
        <v>6.11</v>
      </c>
      <c r="K289" s="41">
        <f>Source!O123</f>
        <v>9.91</v>
      </c>
      <c r="L289" s="47"/>
      <c r="S289">
        <f>ROUND((Source!FX123/100)*((ROUND(Source!AF123*Source!I123, 2)+ROUND(Source!AE123*Source!I123, 2))), 2)</f>
        <v>0</v>
      </c>
      <c r="T289">
        <f>Source!X123</f>
        <v>0</v>
      </c>
      <c r="U289">
        <f>ROUND((Source!FY123/100)*((ROUND(Source!AF123*Source!I123, 2)+ROUND(Source!AE123*Source!I123, 2))), 2)</f>
        <v>0</v>
      </c>
      <c r="V289">
        <f>Source!Y123</f>
        <v>0</v>
      </c>
      <c r="W289">
        <f>IF(Source!BI123&lt;=1,H289, 0)</f>
        <v>1.62</v>
      </c>
      <c r="X289">
        <f>IF(Source!BI123=2,H289, 0)</f>
        <v>0</v>
      </c>
      <c r="Y289">
        <f>IF(Source!BI123=3,H289, 0)</f>
        <v>0</v>
      </c>
      <c r="Z289">
        <f>IF(Source!BI123=4,H289, 0)</f>
        <v>0</v>
      </c>
    </row>
    <row r="290" spans="1:26" ht="15" x14ac:dyDescent="0.25">
      <c r="G290" s="66">
        <f>H282+H283+H285+H286+H287+SUM(H289:H289)</f>
        <v>8.2200000000000006</v>
      </c>
      <c r="H290" s="66"/>
      <c r="J290" s="66">
        <f>K282+K283+K285+K286+K287+SUM(K289:K289)</f>
        <v>50.320000000000007</v>
      </c>
      <c r="K290" s="66"/>
      <c r="L290" s="44">
        <f>Source!U121</f>
        <v>0.22566</v>
      </c>
      <c r="O290" s="27">
        <f>G290</f>
        <v>8.2200000000000006</v>
      </c>
      <c r="P290" s="27">
        <f>J290</f>
        <v>50.320000000000007</v>
      </c>
      <c r="Q290" s="27">
        <f>L290</f>
        <v>0.22566</v>
      </c>
      <c r="W290">
        <f>IF(Source!BI121&lt;=1,H282+H283+H285+H286+H287, 0)</f>
        <v>6.6000000000000005</v>
      </c>
      <c r="X290">
        <f>IF(Source!BI121=2,H282+H283+H285+H286+H287, 0)</f>
        <v>0</v>
      </c>
      <c r="Y290">
        <f>IF(Source!BI121=3,H282+H283+H285+H286+H287, 0)</f>
        <v>0</v>
      </c>
      <c r="Z290">
        <f>IF(Source!BI121=4,H282+H283+H285+H286+H287, 0)</f>
        <v>0</v>
      </c>
    </row>
    <row r="291" spans="1:26" ht="42.75" x14ac:dyDescent="0.2">
      <c r="A291" s="51" t="str">
        <f>Source!E125</f>
        <v>27</v>
      </c>
      <c r="B291" s="52" t="str">
        <f>Source!F125</f>
        <v>т01-01-01-041</v>
      </c>
      <c r="C291" s="52" t="str">
        <f>Source!G125</f>
        <v>Погрузочные работы при автомобильных перевозках мусора строительного с погрузкой вручную</v>
      </c>
      <c r="D291" s="39" t="str">
        <f>Source!H125</f>
        <v>1 Т ГРУЗА</v>
      </c>
      <c r="E291" s="40">
        <f>Source!I125</f>
        <v>3.88</v>
      </c>
      <c r="F291" s="41">
        <f>Source!AK125</f>
        <v>42.98</v>
      </c>
      <c r="G291" s="42" t="str">
        <f>Source!DC125</f>
        <v/>
      </c>
      <c r="H291" s="41">
        <f>ROUND(Source!AB125*Source!I125, 2)</f>
        <v>166.76</v>
      </c>
      <c r="I291" s="42" t="str">
        <f>Source!BO125</f>
        <v/>
      </c>
      <c r="J291" s="42">
        <f>Source!AZ125</f>
        <v>6.11</v>
      </c>
      <c r="K291" s="41">
        <f>Source!GM125</f>
        <v>1018.92</v>
      </c>
      <c r="L291" s="47"/>
      <c r="S291">
        <f>ROUND((Source!FX125/100)*((ROUND(0*Source!I125, 2)+ROUND(0*Source!I125, 2))), 2)</f>
        <v>0</v>
      </c>
      <c r="T291">
        <f>Source!X125</f>
        <v>0</v>
      </c>
      <c r="U291">
        <f>ROUND((Source!FY125/100)*((ROUND(0*Source!I125, 2)+ROUND(0*Source!I125, 2))), 2)</f>
        <v>0</v>
      </c>
      <c r="V291">
        <f>Source!Y125</f>
        <v>0</v>
      </c>
    </row>
    <row r="292" spans="1:26" ht="15" x14ac:dyDescent="0.25">
      <c r="G292" s="66">
        <f>H291</f>
        <v>166.76</v>
      </c>
      <c r="H292" s="66"/>
      <c r="J292" s="66">
        <f>K291</f>
        <v>1018.92</v>
      </c>
      <c r="K292" s="66"/>
      <c r="L292" s="44">
        <f>Source!U125</f>
        <v>0</v>
      </c>
      <c r="O292" s="27">
        <f>G292</f>
        <v>166.76</v>
      </c>
      <c r="P292" s="27">
        <f>J292</f>
        <v>1018.92</v>
      </c>
      <c r="Q292" s="27">
        <f>L292</f>
        <v>0</v>
      </c>
      <c r="W292">
        <f>IF(Source!BI125&lt;=1,H291, 0)</f>
        <v>166.76</v>
      </c>
      <c r="X292">
        <f>IF(Source!BI125=2,H291, 0)</f>
        <v>0</v>
      </c>
      <c r="Y292">
        <f>IF(Source!BI125=3,H291, 0)</f>
        <v>0</v>
      </c>
      <c r="Z292">
        <f>IF(Source!BI125=4,H291, 0)</f>
        <v>0</v>
      </c>
    </row>
    <row r="293" spans="1:26" ht="57" x14ac:dyDescent="0.2">
      <c r="A293" s="51" t="str">
        <f>Source!E127</f>
        <v>28</v>
      </c>
      <c r="B293" s="52" t="str">
        <f>Source!F127</f>
        <v>т03-02-01-008</v>
      </c>
      <c r="C293" s="52" t="str">
        <f>Source!G127</f>
        <v>Перевозка грузов I класса автомобилями бортовыми грузоподъемностью до 5 т на расстояние до 8 км</v>
      </c>
      <c r="D293" s="39" t="str">
        <f>Source!H127</f>
        <v>1 Т ГРУЗА</v>
      </c>
      <c r="E293" s="40">
        <f>Source!I127</f>
        <v>3.88</v>
      </c>
      <c r="F293" s="41">
        <f>Source!AK127</f>
        <v>19.04</v>
      </c>
      <c r="G293" s="42" t="str">
        <f>Source!DC127</f>
        <v/>
      </c>
      <c r="H293" s="41">
        <f>ROUND(Source!AB127*Source!I127, 2)</f>
        <v>73.88</v>
      </c>
      <c r="I293" s="42" t="str">
        <f>Source!BO127</f>
        <v/>
      </c>
      <c r="J293" s="42">
        <f>Source!AZ127</f>
        <v>6.11</v>
      </c>
      <c r="K293" s="41">
        <f>Source!GM127</f>
        <v>451.38</v>
      </c>
      <c r="L293" s="47"/>
      <c r="S293">
        <f>ROUND((Source!FX127/100)*((ROUND(0*Source!I127, 2)+ROUND(0*Source!I127, 2))), 2)</f>
        <v>0</v>
      </c>
      <c r="T293">
        <f>Source!X127</f>
        <v>0</v>
      </c>
      <c r="U293">
        <f>ROUND((Source!FY127/100)*((ROUND(0*Source!I127, 2)+ROUND(0*Source!I127, 2))), 2)</f>
        <v>0</v>
      </c>
      <c r="V293">
        <f>Source!Y127</f>
        <v>0</v>
      </c>
    </row>
    <row r="294" spans="1:26" ht="15" x14ac:dyDescent="0.25">
      <c r="G294" s="66">
        <f>H293</f>
        <v>73.88</v>
      </c>
      <c r="H294" s="66"/>
      <c r="J294" s="66">
        <f>K293</f>
        <v>451.38</v>
      </c>
      <c r="K294" s="66"/>
      <c r="L294" s="44">
        <f>Source!U127</f>
        <v>0</v>
      </c>
      <c r="O294" s="27">
        <f>G294</f>
        <v>73.88</v>
      </c>
      <c r="P294" s="27">
        <f>J294</f>
        <v>451.38</v>
      </c>
      <c r="Q294" s="27">
        <f>L294</f>
        <v>0</v>
      </c>
      <c r="W294">
        <f>IF(Source!BI127&lt;=1,H293, 0)</f>
        <v>73.88</v>
      </c>
      <c r="X294">
        <f>IF(Source!BI127=2,H293, 0)</f>
        <v>0</v>
      </c>
      <c r="Y294">
        <f>IF(Source!BI127=3,H293, 0)</f>
        <v>0</v>
      </c>
      <c r="Z294">
        <f>IF(Source!BI127=4,H293, 0)</f>
        <v>0</v>
      </c>
    </row>
    <row r="295" spans="1:26" ht="28.5" x14ac:dyDescent="0.2">
      <c r="A295" s="49" t="str">
        <f>Source!E129</f>
        <v>29</v>
      </c>
      <c r="B295" s="50" t="str">
        <f>Source!F129</f>
        <v>м08-03-594-15</v>
      </c>
      <c r="C295" s="50" t="str">
        <f>Source!G129</f>
        <v>Светильник в подвесных потолках, устанавливаемый на профиле</v>
      </c>
      <c r="D295" s="33" t="str">
        <f>Source!H129</f>
        <v>100 ШТ</v>
      </c>
      <c r="E295" s="12">
        <f>Source!I129</f>
        <v>0.05</v>
      </c>
      <c r="F295" s="34">
        <f>Source!AL129+Source!AM129+Source!AO129</f>
        <v>4000.04</v>
      </c>
      <c r="G295" s="35"/>
      <c r="H295" s="34"/>
      <c r="I295" s="35" t="str">
        <f>Source!BO129</f>
        <v/>
      </c>
      <c r="J295" s="35"/>
      <c r="K295" s="34"/>
      <c r="L295" s="36"/>
      <c r="S295">
        <f>ROUND((Source!FX129/100)*((ROUND(Source!AF129*Source!I129, 2)+ROUND(Source!AE129*Source!I129, 2))), 2)</f>
        <v>131.86000000000001</v>
      </c>
      <c r="T295">
        <f>Source!X129</f>
        <v>805.66</v>
      </c>
      <c r="U295">
        <f>ROUND((Source!FY129/100)*((ROUND(Source!AF129*Source!I129, 2)+ROUND(Source!AE129*Source!I129, 2))), 2)</f>
        <v>90.22</v>
      </c>
      <c r="V295">
        <f>Source!Y129</f>
        <v>551.24</v>
      </c>
    </row>
    <row r="296" spans="1:26" x14ac:dyDescent="0.2">
      <c r="C296" s="26" t="str">
        <f>"Объем: "&amp;Source!I129&amp;"=5/"&amp;"100"</f>
        <v>Объем: 0,05=5/100</v>
      </c>
    </row>
    <row r="297" spans="1:26" ht="14.25" x14ac:dyDescent="0.2">
      <c r="A297" s="49"/>
      <c r="B297" s="50"/>
      <c r="C297" s="50" t="s">
        <v>791</v>
      </c>
      <c r="D297" s="33"/>
      <c r="E297" s="12"/>
      <c r="F297" s="34">
        <f>Source!AO129</f>
        <v>2745.86</v>
      </c>
      <c r="G297" s="35" t="str">
        <f>Source!DG129</f>
        <v/>
      </c>
      <c r="H297" s="34">
        <f>ROUND(Source!AF129*Source!I129, 2)</f>
        <v>137.29</v>
      </c>
      <c r="I297" s="35"/>
      <c r="J297" s="35">
        <f>IF(Source!BA129&lt;&gt; 0, Source!BA129, 1)</f>
        <v>6.11</v>
      </c>
      <c r="K297" s="34">
        <f>Source!S129</f>
        <v>838.86</v>
      </c>
      <c r="L297" s="36"/>
      <c r="R297">
        <f>H297</f>
        <v>137.29</v>
      </c>
    </row>
    <row r="298" spans="1:26" ht="14.25" x14ac:dyDescent="0.2">
      <c r="A298" s="49"/>
      <c r="B298" s="50"/>
      <c r="C298" s="50" t="s">
        <v>356</v>
      </c>
      <c r="D298" s="33"/>
      <c r="E298" s="12"/>
      <c r="F298" s="34">
        <f>Source!AM129</f>
        <v>222.47</v>
      </c>
      <c r="G298" s="35" t="str">
        <f>Source!DE129</f>
        <v/>
      </c>
      <c r="H298" s="34">
        <f>ROUND(Source!AD129*Source!I129, 2)</f>
        <v>11.12</v>
      </c>
      <c r="I298" s="35"/>
      <c r="J298" s="35">
        <f>IF(Source!BB129&lt;&gt; 0, Source!BB129, 1)</f>
        <v>6.11</v>
      </c>
      <c r="K298" s="34">
        <f>Source!Q129</f>
        <v>67.959999999999994</v>
      </c>
      <c r="L298" s="36"/>
    </row>
    <row r="299" spans="1:26" ht="14.25" x14ac:dyDescent="0.2">
      <c r="A299" s="49"/>
      <c r="B299" s="50"/>
      <c r="C299" s="50" t="s">
        <v>792</v>
      </c>
      <c r="D299" s="33"/>
      <c r="E299" s="12"/>
      <c r="F299" s="34">
        <f>Source!AN129</f>
        <v>30.12</v>
      </c>
      <c r="G299" s="35" t="str">
        <f>Source!DF129</f>
        <v/>
      </c>
      <c r="H299" s="37">
        <f>ROUND(Source!AE129*Source!I129, 2)</f>
        <v>1.51</v>
      </c>
      <c r="I299" s="35"/>
      <c r="J299" s="35">
        <f>IF(Source!BS129&lt;&gt; 0, Source!BS129, 1)</f>
        <v>6.11</v>
      </c>
      <c r="K299" s="37">
        <f>Source!R129</f>
        <v>9.1999999999999993</v>
      </c>
      <c r="L299" s="36"/>
      <c r="R299">
        <f>H299</f>
        <v>1.51</v>
      </c>
    </row>
    <row r="300" spans="1:26" ht="14.25" x14ac:dyDescent="0.2">
      <c r="A300" s="49"/>
      <c r="B300" s="50"/>
      <c r="C300" s="50" t="s">
        <v>798</v>
      </c>
      <c r="D300" s="33"/>
      <c r="E300" s="12"/>
      <c r="F300" s="34">
        <f>Source!AL129</f>
        <v>1031.71</v>
      </c>
      <c r="G300" s="35" t="str">
        <f>Source!DD129</f>
        <v/>
      </c>
      <c r="H300" s="34">
        <f>ROUND(Source!AC129*Source!I129, 2)</f>
        <v>51.59</v>
      </c>
      <c r="I300" s="35"/>
      <c r="J300" s="35">
        <f>IF(Source!BC129&lt;&gt; 0, Source!BC129, 1)</f>
        <v>6.11</v>
      </c>
      <c r="K300" s="34">
        <f>Source!P129</f>
        <v>315.19</v>
      </c>
      <c r="L300" s="36"/>
    </row>
    <row r="301" spans="1:26" ht="14.25" x14ac:dyDescent="0.2">
      <c r="A301" s="49"/>
      <c r="B301" s="50"/>
      <c r="C301" s="50" t="s">
        <v>793</v>
      </c>
      <c r="D301" s="33" t="s">
        <v>794</v>
      </c>
      <c r="E301" s="12">
        <f>Source!BZ129</f>
        <v>95</v>
      </c>
      <c r="F301" s="53"/>
      <c r="G301" s="35"/>
      <c r="H301" s="34">
        <f>SUM(S295:S304)</f>
        <v>131.86000000000001</v>
      </c>
      <c r="I301" s="38"/>
      <c r="J301" s="31">
        <f>Source!AT129</f>
        <v>95</v>
      </c>
      <c r="K301" s="34">
        <f>SUM(T295:T304)</f>
        <v>805.66</v>
      </c>
      <c r="L301" s="36"/>
    </row>
    <row r="302" spans="1:26" ht="14.25" x14ac:dyDescent="0.2">
      <c r="A302" s="49"/>
      <c r="B302" s="50"/>
      <c r="C302" s="50" t="s">
        <v>795</v>
      </c>
      <c r="D302" s="33" t="s">
        <v>794</v>
      </c>
      <c r="E302" s="12">
        <f>Source!CA129</f>
        <v>65</v>
      </c>
      <c r="F302" s="53"/>
      <c r="G302" s="35"/>
      <c r="H302" s="34">
        <f>SUM(U295:U304)</f>
        <v>90.22</v>
      </c>
      <c r="I302" s="38"/>
      <c r="J302" s="31">
        <f>Source!AU129</f>
        <v>65</v>
      </c>
      <c r="K302" s="34">
        <f>SUM(V295:V304)</f>
        <v>551.24</v>
      </c>
      <c r="L302" s="36"/>
    </row>
    <row r="303" spans="1:26" ht="14.25" x14ac:dyDescent="0.2">
      <c r="A303" s="49"/>
      <c r="B303" s="50"/>
      <c r="C303" s="50" t="s">
        <v>796</v>
      </c>
      <c r="D303" s="33" t="s">
        <v>797</v>
      </c>
      <c r="E303" s="12">
        <f>Source!AQ129</f>
        <v>276.8</v>
      </c>
      <c r="F303" s="34"/>
      <c r="G303" s="35" t="str">
        <f>Source!DI129</f>
        <v/>
      </c>
      <c r="H303" s="34"/>
      <c r="I303" s="35"/>
      <c r="J303" s="35"/>
      <c r="K303" s="34"/>
      <c r="L303" s="45">
        <f>Source!U129</f>
        <v>13.840000000000002</v>
      </c>
    </row>
    <row r="304" spans="1:26" ht="42.75" x14ac:dyDescent="0.2">
      <c r="A304" s="51" t="str">
        <f>Source!E131</f>
        <v>29,1</v>
      </c>
      <c r="B304" s="52" t="str">
        <f>Source!F131</f>
        <v>20.3.03.04-0055</v>
      </c>
      <c r="C304" s="52" t="str">
        <f>Source!G131</f>
        <v>Светильник светодиодный потолочный ДВО 36Вт 6500К 3000Лм размером 595х595х25 мм</v>
      </c>
      <c r="D304" s="39" t="str">
        <f>Source!H131</f>
        <v>шт.</v>
      </c>
      <c r="E304" s="40">
        <f>Source!I131</f>
        <v>5</v>
      </c>
      <c r="F304" s="41">
        <f>Source!AL131+Source!AM131+Source!AO131</f>
        <v>155.44</v>
      </c>
      <c r="G304" s="46" t="s">
        <v>6</v>
      </c>
      <c r="H304" s="41">
        <f>ROUND(Source!AC131*Source!I131, 2)+ROUND(Source!AD131*Source!I131, 2)+ROUND(Source!AF131*Source!I131, 2)</f>
        <v>777.2</v>
      </c>
      <c r="I304" s="42"/>
      <c r="J304" s="42">
        <f>IF(Source!BC131&lt;&gt; 0, Source!BC131, 1)</f>
        <v>6.11</v>
      </c>
      <c r="K304" s="41">
        <f>Source!O131</f>
        <v>4748.6899999999996</v>
      </c>
      <c r="L304" s="47"/>
      <c r="S304">
        <f>ROUND((Source!FX131/100)*((ROUND(Source!AF131*Source!I131, 2)+ROUND(Source!AE131*Source!I131, 2))), 2)</f>
        <v>0</v>
      </c>
      <c r="T304">
        <f>Source!X131</f>
        <v>0</v>
      </c>
      <c r="U304">
        <f>ROUND((Source!FY131/100)*((ROUND(Source!AF131*Source!I131, 2)+ROUND(Source!AE131*Source!I131, 2))), 2)</f>
        <v>0</v>
      </c>
      <c r="V304">
        <f>Source!Y131</f>
        <v>0</v>
      </c>
      <c r="W304">
        <f>IF(Source!BI131&lt;=1,H304, 0)</f>
        <v>0</v>
      </c>
      <c r="X304">
        <f>IF(Source!BI131=2,H304, 0)</f>
        <v>777.2</v>
      </c>
      <c r="Y304">
        <f>IF(Source!BI131=3,H304, 0)</f>
        <v>0</v>
      </c>
      <c r="Z304">
        <f>IF(Source!BI131=4,H304, 0)</f>
        <v>0</v>
      </c>
    </row>
    <row r="305" spans="1:26" ht="15" x14ac:dyDescent="0.25">
      <c r="G305" s="66">
        <f>H297+H298+H300+H301+H302+SUM(H304:H304)</f>
        <v>1199.2800000000002</v>
      </c>
      <c r="H305" s="66"/>
      <c r="J305" s="66">
        <f>K297+K298+K300+K301+K302+SUM(K304:K304)</f>
        <v>7327.5999999999995</v>
      </c>
      <c r="K305" s="66"/>
      <c r="L305" s="44">
        <f>Source!U129</f>
        <v>13.840000000000002</v>
      </c>
      <c r="O305" s="27">
        <f>G305</f>
        <v>1199.2800000000002</v>
      </c>
      <c r="P305" s="27">
        <f>J305</f>
        <v>7327.5999999999995</v>
      </c>
      <c r="Q305" s="27">
        <f>L305</f>
        <v>13.840000000000002</v>
      </c>
      <c r="W305">
        <f>IF(Source!BI129&lt;=1,H297+H298+H300+H301+H302, 0)</f>
        <v>0</v>
      </c>
      <c r="X305">
        <f>IF(Source!BI129=2,H297+H298+H300+H301+H302, 0)</f>
        <v>422.08000000000004</v>
      </c>
      <c r="Y305">
        <f>IF(Source!BI129=3,H297+H298+H300+H301+H302, 0)</f>
        <v>0</v>
      </c>
      <c r="Z305">
        <f>IF(Source!BI129=4,H297+H298+H300+H301+H302, 0)</f>
        <v>0</v>
      </c>
    </row>
    <row r="306" spans="1:26" ht="42.75" x14ac:dyDescent="0.2">
      <c r="A306" s="49" t="str">
        <f>Source!E133</f>
        <v>30</v>
      </c>
      <c r="B306" s="50" t="str">
        <f>Source!F133</f>
        <v>65-2-2</v>
      </c>
      <c r="C306" s="50" t="str">
        <f>Source!G133</f>
        <v>Разборка трубопроводов из чугунных канализационных труб диаметром 100 мм</v>
      </c>
      <c r="D306" s="33" t="str">
        <f>Source!H133</f>
        <v>100 м</v>
      </c>
      <c r="E306" s="12">
        <f>Source!I133</f>
        <v>0.12</v>
      </c>
      <c r="F306" s="34">
        <f>Source!AL133+Source!AM133+Source!AO133</f>
        <v>731.64</v>
      </c>
      <c r="G306" s="35"/>
      <c r="H306" s="34"/>
      <c r="I306" s="35" t="str">
        <f>Source!BO133</f>
        <v/>
      </c>
      <c r="J306" s="35"/>
      <c r="K306" s="34"/>
      <c r="L306" s="36"/>
      <c r="S306">
        <f>ROUND((Source!FX133/100)*((ROUND(Source!AF133*Source!I133, 2)+ROUND(Source!AE133*Source!I133, 2))), 2)</f>
        <v>64.47</v>
      </c>
      <c r="T306">
        <f>Source!X133</f>
        <v>393.89</v>
      </c>
      <c r="U306">
        <f>ROUND((Source!FY133/100)*((ROUND(Source!AF133*Source!I133, 2)+ROUND(Source!AE133*Source!I133, 2))), 2)</f>
        <v>43.56</v>
      </c>
      <c r="V306">
        <f>Source!Y133</f>
        <v>266.14</v>
      </c>
    </row>
    <row r="307" spans="1:26" x14ac:dyDescent="0.2">
      <c r="C307" s="26" t="str">
        <f>"Объем: "&amp;Source!I133&amp;"=12/"&amp;"100"</f>
        <v>Объем: 0,12=12/100</v>
      </c>
    </row>
    <row r="308" spans="1:26" ht="14.25" x14ac:dyDescent="0.2">
      <c r="A308" s="49"/>
      <c r="B308" s="50"/>
      <c r="C308" s="50" t="s">
        <v>791</v>
      </c>
      <c r="D308" s="33"/>
      <c r="E308" s="12"/>
      <c r="F308" s="34">
        <f>Source!AO133</f>
        <v>721.64</v>
      </c>
      <c r="G308" s="35" t="str">
        <f>Source!DG133</f>
        <v/>
      </c>
      <c r="H308" s="34">
        <f>ROUND(Source!AF133*Source!I133, 2)</f>
        <v>86.6</v>
      </c>
      <c r="I308" s="35"/>
      <c r="J308" s="35">
        <f>IF(Source!BA133&lt;&gt; 0, Source!BA133, 1)</f>
        <v>6.11</v>
      </c>
      <c r="K308" s="34">
        <f>Source!S133</f>
        <v>529.11</v>
      </c>
      <c r="L308" s="36"/>
      <c r="R308">
        <f>H308</f>
        <v>86.6</v>
      </c>
    </row>
    <row r="309" spans="1:26" ht="14.25" x14ac:dyDescent="0.2">
      <c r="A309" s="49"/>
      <c r="B309" s="50"/>
      <c r="C309" s="50" t="s">
        <v>356</v>
      </c>
      <c r="D309" s="33"/>
      <c r="E309" s="12"/>
      <c r="F309" s="34">
        <f>Source!AM133</f>
        <v>10</v>
      </c>
      <c r="G309" s="35" t="str">
        <f>Source!DE133</f>
        <v/>
      </c>
      <c r="H309" s="34">
        <f>ROUND(Source!AD133*Source!I133, 2)</f>
        <v>1.2</v>
      </c>
      <c r="I309" s="35"/>
      <c r="J309" s="35">
        <f>IF(Source!BB133&lt;&gt; 0, Source!BB133, 1)</f>
        <v>6.11</v>
      </c>
      <c r="K309" s="34">
        <f>Source!Q133</f>
        <v>7.33</v>
      </c>
      <c r="L309" s="36"/>
    </row>
    <row r="310" spans="1:26" ht="14.25" x14ac:dyDescent="0.2">
      <c r="A310" s="49"/>
      <c r="B310" s="50"/>
      <c r="C310" s="50" t="s">
        <v>792</v>
      </c>
      <c r="D310" s="33"/>
      <c r="E310" s="12"/>
      <c r="F310" s="34">
        <f>Source!AN133</f>
        <v>4.32</v>
      </c>
      <c r="G310" s="35" t="str">
        <f>Source!DF133</f>
        <v/>
      </c>
      <c r="H310" s="37">
        <f>ROUND(Source!AE133*Source!I133, 2)</f>
        <v>0.52</v>
      </c>
      <c r="I310" s="35"/>
      <c r="J310" s="35">
        <f>IF(Source!BS133&lt;&gt; 0, Source!BS133, 1)</f>
        <v>6.11</v>
      </c>
      <c r="K310" s="37">
        <f>Source!R133</f>
        <v>3.17</v>
      </c>
      <c r="L310" s="36"/>
      <c r="R310">
        <f>H310</f>
        <v>0.52</v>
      </c>
    </row>
    <row r="311" spans="1:26" ht="14.25" x14ac:dyDescent="0.2">
      <c r="A311" s="49"/>
      <c r="B311" s="50"/>
      <c r="C311" s="50" t="s">
        <v>793</v>
      </c>
      <c r="D311" s="33" t="s">
        <v>794</v>
      </c>
      <c r="E311" s="12">
        <f>Source!BZ133</f>
        <v>74</v>
      </c>
      <c r="F311" s="53"/>
      <c r="G311" s="35"/>
      <c r="H311" s="34">
        <f>SUM(S306:S314)</f>
        <v>64.47</v>
      </c>
      <c r="I311" s="38"/>
      <c r="J311" s="31">
        <f>Source!AT133</f>
        <v>74</v>
      </c>
      <c r="K311" s="34">
        <f>SUM(T306:T314)</f>
        <v>393.89</v>
      </c>
      <c r="L311" s="36"/>
    </row>
    <row r="312" spans="1:26" ht="14.25" x14ac:dyDescent="0.2">
      <c r="A312" s="49"/>
      <c r="B312" s="50"/>
      <c r="C312" s="50" t="s">
        <v>795</v>
      </c>
      <c r="D312" s="33" t="s">
        <v>794</v>
      </c>
      <c r="E312" s="12">
        <f>Source!CA133</f>
        <v>50</v>
      </c>
      <c r="F312" s="53"/>
      <c r="G312" s="35"/>
      <c r="H312" s="34">
        <f>SUM(U306:U314)</f>
        <v>43.56</v>
      </c>
      <c r="I312" s="38"/>
      <c r="J312" s="31">
        <f>Source!AU133</f>
        <v>50</v>
      </c>
      <c r="K312" s="34">
        <f>SUM(V306:V314)</f>
        <v>266.14</v>
      </c>
      <c r="L312" s="36"/>
    </row>
    <row r="313" spans="1:26" ht="14.25" x14ac:dyDescent="0.2">
      <c r="A313" s="49"/>
      <c r="B313" s="50"/>
      <c r="C313" s="50" t="s">
        <v>796</v>
      </c>
      <c r="D313" s="33" t="s">
        <v>797</v>
      </c>
      <c r="E313" s="12">
        <f>Source!AQ133</f>
        <v>85.3</v>
      </c>
      <c r="F313" s="34"/>
      <c r="G313" s="35" t="str">
        <f>Source!DI133</f>
        <v/>
      </c>
      <c r="H313" s="34"/>
      <c r="I313" s="35"/>
      <c r="J313" s="35"/>
      <c r="K313" s="34"/>
      <c r="L313" s="45">
        <f>Source!U133</f>
        <v>10.235999999999999</v>
      </c>
    </row>
    <row r="314" spans="1:26" ht="28.5" x14ac:dyDescent="0.2">
      <c r="A314" s="51" t="str">
        <f>Source!E135</f>
        <v>30,1</v>
      </c>
      <c r="B314" s="52" t="str">
        <f>Source!F135</f>
        <v>01.7.07.07</v>
      </c>
      <c r="C314" s="52" t="str">
        <f>Source!G135</f>
        <v>Строительный мусор и масса возвратных материалов</v>
      </c>
      <c r="D314" s="39" t="str">
        <f>Source!H135</f>
        <v>т</v>
      </c>
      <c r="E314" s="40">
        <f>Source!I135</f>
        <v>0.1608</v>
      </c>
      <c r="F314" s="41">
        <f>Source!AL135+Source!AM135+Source!AO135</f>
        <v>0</v>
      </c>
      <c r="G314" s="46" t="s">
        <v>6</v>
      </c>
      <c r="H314" s="41">
        <f>ROUND(Source!AC135*Source!I135, 2)+ROUND(Source!AD135*Source!I135, 2)+ROUND(Source!AF135*Source!I135, 2)</f>
        <v>0</v>
      </c>
      <c r="I314" s="42"/>
      <c r="J314" s="42">
        <f>IF(Source!BC135&lt;&gt; 0, Source!BC135, 1)</f>
        <v>6.11</v>
      </c>
      <c r="K314" s="41">
        <f>Source!O135</f>
        <v>0</v>
      </c>
      <c r="L314" s="47"/>
      <c r="S314">
        <f>ROUND((Source!FX135/100)*((ROUND(Source!AF135*Source!I135, 2)+ROUND(Source!AE135*Source!I135, 2))), 2)</f>
        <v>0</v>
      </c>
      <c r="T314">
        <f>Source!X135</f>
        <v>0</v>
      </c>
      <c r="U314">
        <f>ROUND((Source!FY135/100)*((ROUND(Source!AF135*Source!I135, 2)+ROUND(Source!AE135*Source!I135, 2))), 2)</f>
        <v>0</v>
      </c>
      <c r="V314">
        <f>Source!Y135</f>
        <v>0</v>
      </c>
      <c r="W314">
        <f>IF(Source!BI135&lt;=1,H314, 0)</f>
        <v>0</v>
      </c>
      <c r="X314">
        <f>IF(Source!BI135=2,H314, 0)</f>
        <v>0</v>
      </c>
      <c r="Y314">
        <f>IF(Source!BI135=3,H314, 0)</f>
        <v>0</v>
      </c>
      <c r="Z314">
        <f>IF(Source!BI135=4,H314, 0)</f>
        <v>0</v>
      </c>
    </row>
    <row r="315" spans="1:26" ht="15" x14ac:dyDescent="0.25">
      <c r="G315" s="66">
        <f>H308+H309+H311+H312+SUM(H314:H314)</f>
        <v>195.82999999999998</v>
      </c>
      <c r="H315" s="66"/>
      <c r="J315" s="66">
        <f>K308+K309+K311+K312+SUM(K314:K314)</f>
        <v>1196.47</v>
      </c>
      <c r="K315" s="66"/>
      <c r="L315" s="44">
        <f>Source!U133</f>
        <v>10.235999999999999</v>
      </c>
      <c r="O315" s="27">
        <f>G315</f>
        <v>195.82999999999998</v>
      </c>
      <c r="P315" s="27">
        <f>J315</f>
        <v>1196.47</v>
      </c>
      <c r="Q315" s="27">
        <f>L315</f>
        <v>10.235999999999999</v>
      </c>
      <c r="W315">
        <f>IF(Source!BI133&lt;=1,H308+H309+H311+H312, 0)</f>
        <v>195.82999999999998</v>
      </c>
      <c r="X315">
        <f>IF(Source!BI133=2,H308+H309+H311+H312, 0)</f>
        <v>0</v>
      </c>
      <c r="Y315">
        <f>IF(Source!BI133=3,H308+H309+H311+H312, 0)</f>
        <v>0</v>
      </c>
      <c r="Z315">
        <f>IF(Source!BI133=4,H308+H309+H311+H312, 0)</f>
        <v>0</v>
      </c>
    </row>
    <row r="316" spans="1:26" ht="57" x14ac:dyDescent="0.2">
      <c r="A316" s="49" t="str">
        <f>Source!E137</f>
        <v>31</v>
      </c>
      <c r="B316" s="50" t="str">
        <f>Source!F137</f>
        <v>16-04-001-02</v>
      </c>
      <c r="C316" s="50" t="str">
        <f>Source!G137</f>
        <v>Прокладка трубопроводов канализации из полиэтиленовых труб высокой плотности диаметром 110 мм</v>
      </c>
      <c r="D316" s="33" t="str">
        <f>Source!H137</f>
        <v>100 м</v>
      </c>
      <c r="E316" s="12">
        <f>Source!I137</f>
        <v>0.12</v>
      </c>
      <c r="F316" s="34">
        <f>Source!AL137+Source!AM137+Source!AO137</f>
        <v>758.13</v>
      </c>
      <c r="G316" s="35"/>
      <c r="H316" s="34"/>
      <c r="I316" s="35" t="str">
        <f>Source!BO137</f>
        <v/>
      </c>
      <c r="J316" s="35"/>
      <c r="K316" s="34"/>
      <c r="L316" s="36"/>
      <c r="S316">
        <f>ROUND((Source!FX137/100)*((ROUND(Source!AF137*Source!I137, 2)+ROUND(Source!AE137*Source!I137, 2))), 2)</f>
        <v>97.31</v>
      </c>
      <c r="T316">
        <f>Source!X137</f>
        <v>593.49</v>
      </c>
      <c r="U316">
        <f>ROUND((Source!FY137/100)*((ROUND(Source!AF137*Source!I137, 2)+ROUND(Source!AE137*Source!I137, 2))), 2)</f>
        <v>59.59</v>
      </c>
      <c r="V316">
        <f>Source!Y137</f>
        <v>366.42</v>
      </c>
    </row>
    <row r="317" spans="1:26" x14ac:dyDescent="0.2">
      <c r="C317" s="26" t="str">
        <f>"Объем: "&amp;Source!I137&amp;"=12/"&amp;"100"</f>
        <v>Объем: 0,12=12/100</v>
      </c>
    </row>
    <row r="318" spans="1:26" ht="14.25" x14ac:dyDescent="0.2">
      <c r="A318" s="49"/>
      <c r="B318" s="50"/>
      <c r="C318" s="50" t="s">
        <v>791</v>
      </c>
      <c r="D318" s="33"/>
      <c r="E318" s="12"/>
      <c r="F318" s="34">
        <f>Source!AO137</f>
        <v>611.07000000000005</v>
      </c>
      <c r="G318" s="35" t="str">
        <f>Source!DG137</f>
        <v>)*1,15</v>
      </c>
      <c r="H318" s="34">
        <f>ROUND(Source!AF137*Source!I137, 2)</f>
        <v>84.33</v>
      </c>
      <c r="I318" s="35"/>
      <c r="J318" s="35">
        <f>IF(Source!BA137&lt;&gt; 0, Source!BA137, 1)</f>
        <v>6.11</v>
      </c>
      <c r="K318" s="34">
        <f>Source!S137</f>
        <v>515.24</v>
      </c>
      <c r="L318" s="36"/>
      <c r="R318">
        <f>H318</f>
        <v>84.33</v>
      </c>
    </row>
    <row r="319" spans="1:26" ht="14.25" x14ac:dyDescent="0.2">
      <c r="A319" s="49"/>
      <c r="B319" s="50"/>
      <c r="C319" s="50" t="s">
        <v>356</v>
      </c>
      <c r="D319" s="33"/>
      <c r="E319" s="12"/>
      <c r="F319" s="34">
        <f>Source!AM137</f>
        <v>6.14</v>
      </c>
      <c r="G319" s="35" t="str">
        <f>Source!DE137</f>
        <v>)*1,25</v>
      </c>
      <c r="H319" s="34">
        <f>ROUND(Source!AD137*Source!I137, 2)</f>
        <v>0.92</v>
      </c>
      <c r="I319" s="35"/>
      <c r="J319" s="35">
        <f>IF(Source!BB137&lt;&gt; 0, Source!BB137, 1)</f>
        <v>6.11</v>
      </c>
      <c r="K319" s="34">
        <f>Source!Q137</f>
        <v>5.63</v>
      </c>
      <c r="L319" s="36"/>
    </row>
    <row r="320" spans="1:26" ht="14.25" x14ac:dyDescent="0.2">
      <c r="A320" s="49"/>
      <c r="B320" s="50"/>
      <c r="C320" s="50" t="s">
        <v>792</v>
      </c>
      <c r="D320" s="33"/>
      <c r="E320" s="12"/>
      <c r="F320" s="34">
        <f>Source!AN137</f>
        <v>0.91</v>
      </c>
      <c r="G320" s="35" t="str">
        <f>Source!DF137</f>
        <v>)*1,25</v>
      </c>
      <c r="H320" s="37">
        <f>ROUND(Source!AE137*Source!I137, 2)</f>
        <v>0.14000000000000001</v>
      </c>
      <c r="I320" s="35"/>
      <c r="J320" s="35">
        <f>IF(Source!BS137&lt;&gt; 0, Source!BS137, 1)</f>
        <v>6.11</v>
      </c>
      <c r="K320" s="37">
        <f>Source!R137</f>
        <v>0.84</v>
      </c>
      <c r="L320" s="36"/>
      <c r="R320">
        <f>H320</f>
        <v>0.14000000000000001</v>
      </c>
    </row>
    <row r="321" spans="1:26" ht="14.25" x14ac:dyDescent="0.2">
      <c r="A321" s="49"/>
      <c r="B321" s="50"/>
      <c r="C321" s="50" t="s">
        <v>798</v>
      </c>
      <c r="D321" s="33"/>
      <c r="E321" s="12"/>
      <c r="F321" s="34">
        <f>Source!AL137</f>
        <v>140.91999999999999</v>
      </c>
      <c r="G321" s="35" t="str">
        <f>Source!DD137</f>
        <v/>
      </c>
      <c r="H321" s="34">
        <f>ROUND(Source!AC137*Source!I137, 2)</f>
        <v>16.91</v>
      </c>
      <c r="I321" s="35"/>
      <c r="J321" s="35">
        <f>IF(Source!BC137&lt;&gt; 0, Source!BC137, 1)</f>
        <v>6.11</v>
      </c>
      <c r="K321" s="34">
        <f>Source!P137</f>
        <v>103.32</v>
      </c>
      <c r="L321" s="36"/>
    </row>
    <row r="322" spans="1:26" ht="14.25" x14ac:dyDescent="0.2">
      <c r="A322" s="49"/>
      <c r="B322" s="50"/>
      <c r="C322" s="50" t="s">
        <v>793</v>
      </c>
      <c r="D322" s="33" t="s">
        <v>794</v>
      </c>
      <c r="E322" s="12">
        <f>Source!BZ137</f>
        <v>128</v>
      </c>
      <c r="F322" s="67" t="str">
        <f>CONCATENATE(" )", Source!DL137, Source!FT137, "=", Source!FX137)</f>
        <v xml:space="preserve"> )*0,9=115,2</v>
      </c>
      <c r="G322" s="68"/>
      <c r="H322" s="34">
        <f>SUM(S316:S325)</f>
        <v>97.31</v>
      </c>
      <c r="I322" s="38"/>
      <c r="J322" s="31">
        <f>Source!AT137</f>
        <v>115</v>
      </c>
      <c r="K322" s="34">
        <f>SUM(T316:T325)</f>
        <v>593.49</v>
      </c>
      <c r="L322" s="36"/>
    </row>
    <row r="323" spans="1:26" ht="14.25" x14ac:dyDescent="0.2">
      <c r="A323" s="49"/>
      <c r="B323" s="50"/>
      <c r="C323" s="50" t="s">
        <v>795</v>
      </c>
      <c r="D323" s="33" t="s">
        <v>794</v>
      </c>
      <c r="E323" s="12">
        <f>Source!CA137</f>
        <v>83</v>
      </c>
      <c r="F323" s="67" t="str">
        <f>CONCATENATE(" )", Source!DM137, Source!FU137, "=", Source!FY137)</f>
        <v xml:space="preserve"> )*0,85=70,55</v>
      </c>
      <c r="G323" s="68"/>
      <c r="H323" s="34">
        <f>SUM(U316:U325)</f>
        <v>59.59</v>
      </c>
      <c r="I323" s="38"/>
      <c r="J323" s="31">
        <f>Source!AU137</f>
        <v>71</v>
      </c>
      <c r="K323" s="34">
        <f>SUM(V316:V325)</f>
        <v>366.42</v>
      </c>
      <c r="L323" s="36"/>
    </row>
    <row r="324" spans="1:26" ht="14.25" x14ac:dyDescent="0.2">
      <c r="A324" s="49"/>
      <c r="B324" s="50"/>
      <c r="C324" s="50" t="s">
        <v>796</v>
      </c>
      <c r="D324" s="33" t="s">
        <v>797</v>
      </c>
      <c r="E324" s="12">
        <f>Source!AQ137</f>
        <v>61.6</v>
      </c>
      <c r="F324" s="34"/>
      <c r="G324" s="35" t="str">
        <f>Source!DI137</f>
        <v>)*1,15</v>
      </c>
      <c r="H324" s="34"/>
      <c r="I324" s="35"/>
      <c r="J324" s="35"/>
      <c r="K324" s="34"/>
      <c r="L324" s="45">
        <f>Source!U137</f>
        <v>8.5007999999999981</v>
      </c>
    </row>
    <row r="325" spans="1:26" ht="57" x14ac:dyDescent="0.2">
      <c r="A325" s="51" t="str">
        <f>Source!E139</f>
        <v>31,1</v>
      </c>
      <c r="B325" s="52" t="str">
        <f>Source!F139</f>
        <v>24.3.03.02-0002</v>
      </c>
      <c r="C325" s="52" t="str">
        <f>Source!G139</f>
        <v>Трубопроводы канализации из полиэтиленовых труб высокой плотности с гильзами, диаметром 110 мм</v>
      </c>
      <c r="D325" s="39" t="str">
        <f>Source!H139</f>
        <v>м</v>
      </c>
      <c r="E325" s="40">
        <f>Source!I139</f>
        <v>11.976000000000001</v>
      </c>
      <c r="F325" s="41">
        <f>Source!AL139+Source!AM139+Source!AO139</f>
        <v>70.400000000000006</v>
      </c>
      <c r="G325" s="46" t="s">
        <v>6</v>
      </c>
      <c r="H325" s="41">
        <f>ROUND(Source!AC139*Source!I139, 2)+ROUND(Source!AD139*Source!I139, 2)+ROUND(Source!AF139*Source!I139, 2)</f>
        <v>843.11</v>
      </c>
      <c r="I325" s="42"/>
      <c r="J325" s="42">
        <f>IF(Source!BC139&lt;&gt; 0, Source!BC139, 1)</f>
        <v>6.11</v>
      </c>
      <c r="K325" s="41">
        <f>Source!O139</f>
        <v>5151.3999999999996</v>
      </c>
      <c r="L325" s="47"/>
      <c r="S325">
        <f>ROUND((Source!FX139/100)*((ROUND(Source!AF139*Source!I139, 2)+ROUND(Source!AE139*Source!I139, 2))), 2)</f>
        <v>0</v>
      </c>
      <c r="T325">
        <f>Source!X139</f>
        <v>0</v>
      </c>
      <c r="U325">
        <f>ROUND((Source!FY139/100)*((ROUND(Source!AF139*Source!I139, 2)+ROUND(Source!AE139*Source!I139, 2))), 2)</f>
        <v>0</v>
      </c>
      <c r="V325">
        <f>Source!Y139</f>
        <v>0</v>
      </c>
      <c r="W325">
        <f>IF(Source!BI139&lt;=1,H325, 0)</f>
        <v>843.11</v>
      </c>
      <c r="X325">
        <f>IF(Source!BI139=2,H325, 0)</f>
        <v>0</v>
      </c>
      <c r="Y325">
        <f>IF(Source!BI139=3,H325, 0)</f>
        <v>0</v>
      </c>
      <c r="Z325">
        <f>IF(Source!BI139=4,H325, 0)</f>
        <v>0</v>
      </c>
    </row>
    <row r="326" spans="1:26" ht="15" x14ac:dyDescent="0.25">
      <c r="G326" s="66">
        <f>H318+H319+H321+H322+H323+SUM(H325:H325)</f>
        <v>1102.17</v>
      </c>
      <c r="H326" s="66"/>
      <c r="J326" s="66">
        <f>K318+K319+K321+K322+K323+SUM(K325:K325)</f>
        <v>6735.5</v>
      </c>
      <c r="K326" s="66"/>
      <c r="L326" s="44">
        <f>Source!U137</f>
        <v>8.5007999999999981</v>
      </c>
      <c r="O326" s="27">
        <f>G326</f>
        <v>1102.17</v>
      </c>
      <c r="P326" s="27">
        <f>J326</f>
        <v>6735.5</v>
      </c>
      <c r="Q326" s="27">
        <f>L326</f>
        <v>8.5007999999999981</v>
      </c>
      <c r="W326">
        <f>IF(Source!BI137&lt;=1,H318+H319+H321+H322+H323, 0)</f>
        <v>259.06</v>
      </c>
      <c r="X326">
        <f>IF(Source!BI137=2,H318+H319+H321+H322+H323, 0)</f>
        <v>0</v>
      </c>
      <c r="Y326">
        <f>IF(Source!BI137=3,H318+H319+H321+H322+H323, 0)</f>
        <v>0</v>
      </c>
      <c r="Z326">
        <f>IF(Source!BI137=4,H318+H319+H321+H322+H323, 0)</f>
        <v>0</v>
      </c>
    </row>
    <row r="327" spans="1:26" ht="14.25" x14ac:dyDescent="0.2">
      <c r="A327" s="49" t="str">
        <f>Source!E141</f>
        <v>32</v>
      </c>
      <c r="B327" s="50" t="str">
        <f>Source!F141</f>
        <v>65-6-14</v>
      </c>
      <c r="C327" s="50" t="str">
        <f>Source!G141</f>
        <v>Смена унитазов</v>
      </c>
      <c r="D327" s="33" t="str">
        <f>Source!H141</f>
        <v>100 ШТ</v>
      </c>
      <c r="E327" s="12">
        <f>Source!I141</f>
        <v>0.02</v>
      </c>
      <c r="F327" s="34">
        <f>Source!AL141+Source!AM141+Source!AO141</f>
        <v>3865.84</v>
      </c>
      <c r="G327" s="35"/>
      <c r="H327" s="34"/>
      <c r="I327" s="35" t="str">
        <f>Source!BO141</f>
        <v/>
      </c>
      <c r="J327" s="35"/>
      <c r="K327" s="34"/>
      <c r="L327" s="36"/>
      <c r="S327">
        <f>ROUND((Source!FX141/100)*((ROUND(Source!AF141*Source!I141, 2)+ROUND(Source!AE141*Source!I141, 2))), 2)</f>
        <v>66.48</v>
      </c>
      <c r="T327">
        <f>Source!X141</f>
        <v>406.19</v>
      </c>
      <c r="U327">
        <f>ROUND((Source!FY141/100)*((ROUND(Source!AF141*Source!I141, 2)+ROUND(Source!AE141*Source!I141, 2))), 2)</f>
        <v>38.72</v>
      </c>
      <c r="V327">
        <f>Source!Y141</f>
        <v>236.62</v>
      </c>
    </row>
    <row r="328" spans="1:26" x14ac:dyDescent="0.2">
      <c r="C328" s="26" t="str">
        <f>"Объем: "&amp;Source!I141&amp;"=2/"&amp;"100"</f>
        <v>Объем: 0,02=2/100</v>
      </c>
    </row>
    <row r="329" spans="1:26" ht="14.25" x14ac:dyDescent="0.2">
      <c r="A329" s="49"/>
      <c r="B329" s="50"/>
      <c r="C329" s="50" t="s">
        <v>791</v>
      </c>
      <c r="D329" s="33"/>
      <c r="E329" s="12"/>
      <c r="F329" s="34">
        <f>Source!AO141</f>
        <v>3217.13</v>
      </c>
      <c r="G329" s="35" t="str">
        <f>Source!DG141</f>
        <v/>
      </c>
      <c r="H329" s="34">
        <f>ROUND(Source!AF141*Source!I141, 2)</f>
        <v>64.34</v>
      </c>
      <c r="I329" s="35"/>
      <c r="J329" s="35">
        <f>IF(Source!BA141&lt;&gt; 0, Source!BA141, 1)</f>
        <v>6.11</v>
      </c>
      <c r="K329" s="34">
        <f>Source!S141</f>
        <v>393.13</v>
      </c>
      <c r="L329" s="36"/>
      <c r="R329">
        <f>H329</f>
        <v>64.34</v>
      </c>
    </row>
    <row r="330" spans="1:26" ht="14.25" x14ac:dyDescent="0.2">
      <c r="A330" s="49"/>
      <c r="B330" s="50"/>
      <c r="C330" s="50" t="s">
        <v>356</v>
      </c>
      <c r="D330" s="33"/>
      <c r="E330" s="12"/>
      <c r="F330" s="34">
        <f>Source!AM141</f>
        <v>38.78</v>
      </c>
      <c r="G330" s="35" t="str">
        <f>Source!DE141</f>
        <v/>
      </c>
      <c r="H330" s="34">
        <f>ROUND(Source!AD141*Source!I141, 2)</f>
        <v>0.78</v>
      </c>
      <c r="I330" s="35"/>
      <c r="J330" s="35">
        <f>IF(Source!BB141&lt;&gt; 0, Source!BB141, 1)</f>
        <v>6.11</v>
      </c>
      <c r="K330" s="34">
        <f>Source!Q141</f>
        <v>4.74</v>
      </c>
      <c r="L330" s="36"/>
    </row>
    <row r="331" spans="1:26" ht="14.25" x14ac:dyDescent="0.2">
      <c r="A331" s="49"/>
      <c r="B331" s="50"/>
      <c r="C331" s="50" t="s">
        <v>792</v>
      </c>
      <c r="D331" s="33"/>
      <c r="E331" s="12"/>
      <c r="F331" s="34">
        <f>Source!AN141</f>
        <v>10.039999999999999</v>
      </c>
      <c r="G331" s="35" t="str">
        <f>Source!DF141</f>
        <v/>
      </c>
      <c r="H331" s="37">
        <f>ROUND(Source!AE141*Source!I141, 2)</f>
        <v>0.2</v>
      </c>
      <c r="I331" s="35"/>
      <c r="J331" s="35">
        <f>IF(Source!BS141&lt;&gt; 0, Source!BS141, 1)</f>
        <v>6.11</v>
      </c>
      <c r="K331" s="37">
        <f>Source!R141</f>
        <v>1.23</v>
      </c>
      <c r="L331" s="36"/>
      <c r="R331">
        <f>H331</f>
        <v>0.2</v>
      </c>
    </row>
    <row r="332" spans="1:26" ht="14.25" x14ac:dyDescent="0.2">
      <c r="A332" s="49"/>
      <c r="B332" s="50"/>
      <c r="C332" s="50" t="s">
        <v>798</v>
      </c>
      <c r="D332" s="33"/>
      <c r="E332" s="12"/>
      <c r="F332" s="34">
        <f>Source!AL141</f>
        <v>609.92999999999995</v>
      </c>
      <c r="G332" s="35" t="str">
        <f>Source!DD141</f>
        <v/>
      </c>
      <c r="H332" s="34">
        <f>ROUND(Source!AC141*Source!I141, 2)</f>
        <v>12.2</v>
      </c>
      <c r="I332" s="35"/>
      <c r="J332" s="35">
        <f>IF(Source!BC141&lt;&gt; 0, Source!BC141, 1)</f>
        <v>6.11</v>
      </c>
      <c r="K332" s="34">
        <f>Source!P141</f>
        <v>74.53</v>
      </c>
      <c r="L332" s="36"/>
    </row>
    <row r="333" spans="1:26" ht="14.25" x14ac:dyDescent="0.2">
      <c r="A333" s="49"/>
      <c r="B333" s="50"/>
      <c r="C333" s="50" t="s">
        <v>793</v>
      </c>
      <c r="D333" s="33" t="s">
        <v>794</v>
      </c>
      <c r="E333" s="12">
        <f>Source!BZ141</f>
        <v>103</v>
      </c>
      <c r="F333" s="53"/>
      <c r="G333" s="35"/>
      <c r="H333" s="34">
        <f>SUM(S327:S338)</f>
        <v>66.48</v>
      </c>
      <c r="I333" s="38"/>
      <c r="J333" s="31">
        <f>Source!AT141</f>
        <v>103</v>
      </c>
      <c r="K333" s="34">
        <f>SUM(T327:T338)</f>
        <v>406.19</v>
      </c>
      <c r="L333" s="36"/>
    </row>
    <row r="334" spans="1:26" ht="14.25" x14ac:dyDescent="0.2">
      <c r="A334" s="49"/>
      <c r="B334" s="50"/>
      <c r="C334" s="50" t="s">
        <v>795</v>
      </c>
      <c r="D334" s="33" t="s">
        <v>794</v>
      </c>
      <c r="E334" s="12">
        <f>Source!CA141</f>
        <v>60</v>
      </c>
      <c r="F334" s="53"/>
      <c r="G334" s="35"/>
      <c r="H334" s="34">
        <f>SUM(U327:U338)</f>
        <v>38.72</v>
      </c>
      <c r="I334" s="38"/>
      <c r="J334" s="31">
        <f>Source!AU141</f>
        <v>60</v>
      </c>
      <c r="K334" s="34">
        <f>SUM(V327:V338)</f>
        <v>236.62</v>
      </c>
      <c r="L334" s="36"/>
    </row>
    <row r="335" spans="1:26" ht="14.25" x14ac:dyDescent="0.2">
      <c r="A335" s="49"/>
      <c r="B335" s="50"/>
      <c r="C335" s="50" t="s">
        <v>796</v>
      </c>
      <c r="D335" s="33" t="s">
        <v>797</v>
      </c>
      <c r="E335" s="12">
        <f>Source!AQ141</f>
        <v>354.7</v>
      </c>
      <c r="F335" s="34"/>
      <c r="G335" s="35" t="str">
        <f>Source!DI141</f>
        <v/>
      </c>
      <c r="H335" s="34"/>
      <c r="I335" s="35"/>
      <c r="J335" s="35"/>
      <c r="K335" s="34"/>
      <c r="L335" s="45">
        <f>Source!U141</f>
        <v>7.0940000000000003</v>
      </c>
    </row>
    <row r="336" spans="1:26" ht="71.25" x14ac:dyDescent="0.2">
      <c r="A336" s="49" t="str">
        <f>Source!E143</f>
        <v>32,1</v>
      </c>
      <c r="B336" s="50" t="str">
        <f>Source!F143</f>
        <v>18.2.01.06-0031</v>
      </c>
      <c r="C336" s="50" t="str">
        <f>Source!G143</f>
        <v>Унитазы полуфарфоровые и фарфоровые УНВЦ воронкообразные с сиденьем и креплением, с цельноотлитой полочкой</v>
      </c>
      <c r="D336" s="33" t="str">
        <f>Source!H143</f>
        <v>компл.</v>
      </c>
      <c r="E336" s="12">
        <f>Source!I143</f>
        <v>2</v>
      </c>
      <c r="F336" s="34">
        <f>Source!AL143+Source!AM143+Source!AO143</f>
        <v>405.49</v>
      </c>
      <c r="G336" s="48" t="s">
        <v>6</v>
      </c>
      <c r="H336" s="34">
        <f>ROUND(Source!AC143*Source!I143, 2)+ROUND(Source!AD143*Source!I143, 2)+ROUND(Source!AF143*Source!I143, 2)</f>
        <v>810.98</v>
      </c>
      <c r="I336" s="35"/>
      <c r="J336" s="35">
        <f>IF(Source!BC143&lt;&gt; 0, Source!BC143, 1)</f>
        <v>6.11</v>
      </c>
      <c r="K336" s="34">
        <f>Source!O143</f>
        <v>4955.09</v>
      </c>
      <c r="L336" s="36"/>
      <c r="S336">
        <f>ROUND((Source!FX143/100)*((ROUND(Source!AF143*Source!I143, 2)+ROUND(Source!AE143*Source!I143, 2))), 2)</f>
        <v>0</v>
      </c>
      <c r="T336">
        <f>Source!X143</f>
        <v>0</v>
      </c>
      <c r="U336">
        <f>ROUND((Source!FY143/100)*((ROUND(Source!AF143*Source!I143, 2)+ROUND(Source!AE143*Source!I143, 2))), 2)</f>
        <v>0</v>
      </c>
      <c r="V336">
        <f>Source!Y143</f>
        <v>0</v>
      </c>
      <c r="W336">
        <f>IF(Source!BI143&lt;=1,H336, 0)</f>
        <v>810.98</v>
      </c>
      <c r="X336">
        <f>IF(Source!BI143=2,H336, 0)</f>
        <v>0</v>
      </c>
      <c r="Y336">
        <f>IF(Source!BI143=3,H336, 0)</f>
        <v>0</v>
      </c>
      <c r="Z336">
        <f>IF(Source!BI143=4,H336, 0)</f>
        <v>0</v>
      </c>
    </row>
    <row r="337" spans="1:26" ht="57" x14ac:dyDescent="0.2">
      <c r="A337" s="49" t="str">
        <f>Source!E145</f>
        <v>32,2</v>
      </c>
      <c r="B337" s="50" t="str">
        <f>Source!F145</f>
        <v>18.2.06.01-0002</v>
      </c>
      <c r="C337" s="50" t="str">
        <f>Source!G145</f>
        <v>Бачки смывные полуфарфоровые и фарфоровые с арматурой непосредственно устанавливаемые на унитазы</v>
      </c>
      <c r="D337" s="33" t="str">
        <f>Source!H145</f>
        <v>компл.</v>
      </c>
      <c r="E337" s="12">
        <f>Source!I145</f>
        <v>2</v>
      </c>
      <c r="F337" s="34">
        <f>Source!AL145+Source!AM145+Source!AO145</f>
        <v>198.3</v>
      </c>
      <c r="G337" s="48" t="s">
        <v>6</v>
      </c>
      <c r="H337" s="34">
        <f>ROUND(Source!AC145*Source!I145, 2)+ROUND(Source!AD145*Source!I145, 2)+ROUND(Source!AF145*Source!I145, 2)</f>
        <v>396.6</v>
      </c>
      <c r="I337" s="35"/>
      <c r="J337" s="35">
        <f>IF(Source!BC145&lt;&gt; 0, Source!BC145, 1)</f>
        <v>6.11</v>
      </c>
      <c r="K337" s="34">
        <f>Source!O145</f>
        <v>2423.23</v>
      </c>
      <c r="L337" s="36"/>
      <c r="S337">
        <f>ROUND((Source!FX145/100)*((ROUND(Source!AF145*Source!I145, 2)+ROUND(Source!AE145*Source!I145, 2))), 2)</f>
        <v>0</v>
      </c>
      <c r="T337">
        <f>Source!X145</f>
        <v>0</v>
      </c>
      <c r="U337">
        <f>ROUND((Source!FY145/100)*((ROUND(Source!AF145*Source!I145, 2)+ROUND(Source!AE145*Source!I145, 2))), 2)</f>
        <v>0</v>
      </c>
      <c r="V337">
        <f>Source!Y145</f>
        <v>0</v>
      </c>
      <c r="W337">
        <f>IF(Source!BI145&lt;=1,H337, 0)</f>
        <v>396.6</v>
      </c>
      <c r="X337">
        <f>IF(Source!BI145=2,H337, 0)</f>
        <v>0</v>
      </c>
      <c r="Y337">
        <f>IF(Source!BI145=3,H337, 0)</f>
        <v>0</v>
      </c>
      <c r="Z337">
        <f>IF(Source!BI145=4,H337, 0)</f>
        <v>0</v>
      </c>
    </row>
    <row r="338" spans="1:26" ht="42.75" x14ac:dyDescent="0.2">
      <c r="A338" s="51" t="str">
        <f>Source!E147</f>
        <v>32,3</v>
      </c>
      <c r="B338" s="52" t="str">
        <f>Source!F147</f>
        <v>01.7.19.03-0001</v>
      </c>
      <c r="C338" s="52" t="str">
        <f>Source!G147</f>
        <v>Манжета резиновая канализационная для унитаза диаметром 110 мм</v>
      </c>
      <c r="D338" s="39" t="str">
        <f>Source!H147</f>
        <v>шт.</v>
      </c>
      <c r="E338" s="40">
        <f>Source!I147</f>
        <v>2</v>
      </c>
      <c r="F338" s="41">
        <f>Source!AL147+Source!AM147+Source!AO147</f>
        <v>6.81</v>
      </c>
      <c r="G338" s="46" t="s">
        <v>6</v>
      </c>
      <c r="H338" s="41">
        <f>ROUND(Source!AC147*Source!I147, 2)+ROUND(Source!AD147*Source!I147, 2)+ROUND(Source!AF147*Source!I147, 2)</f>
        <v>13.62</v>
      </c>
      <c r="I338" s="42"/>
      <c r="J338" s="42">
        <f>IF(Source!BC147&lt;&gt; 0, Source!BC147, 1)</f>
        <v>6.11</v>
      </c>
      <c r="K338" s="41">
        <f>Source!O147</f>
        <v>83.22</v>
      </c>
      <c r="L338" s="47"/>
      <c r="S338">
        <f>ROUND((Source!FX147/100)*((ROUND(Source!AF147*Source!I147, 2)+ROUND(Source!AE147*Source!I147, 2))), 2)</f>
        <v>0</v>
      </c>
      <c r="T338">
        <f>Source!X147</f>
        <v>0</v>
      </c>
      <c r="U338">
        <f>ROUND((Source!FY147/100)*((ROUND(Source!AF147*Source!I147, 2)+ROUND(Source!AE147*Source!I147, 2))), 2)</f>
        <v>0</v>
      </c>
      <c r="V338">
        <f>Source!Y147</f>
        <v>0</v>
      </c>
      <c r="W338">
        <f>IF(Source!BI147&lt;=1,H338, 0)</f>
        <v>13.62</v>
      </c>
      <c r="X338">
        <f>IF(Source!BI147=2,H338, 0)</f>
        <v>0</v>
      </c>
      <c r="Y338">
        <f>IF(Source!BI147=3,H338, 0)</f>
        <v>0</v>
      </c>
      <c r="Z338">
        <f>IF(Source!BI147=4,H338, 0)</f>
        <v>0</v>
      </c>
    </row>
    <row r="339" spans="1:26" ht="15" x14ac:dyDescent="0.25">
      <c r="G339" s="66">
        <f>H329+H330+H332+H333+H334+SUM(H336:H338)</f>
        <v>1403.7199999999998</v>
      </c>
      <c r="H339" s="66"/>
      <c r="J339" s="66">
        <f>K329+K330+K332+K333+K334+SUM(K336:K338)</f>
        <v>8576.75</v>
      </c>
      <c r="K339" s="66"/>
      <c r="L339" s="44">
        <f>Source!U141</f>
        <v>7.0940000000000003</v>
      </c>
      <c r="O339" s="27">
        <f>G339</f>
        <v>1403.7199999999998</v>
      </c>
      <c r="P339" s="27">
        <f>J339</f>
        <v>8576.75</v>
      </c>
      <c r="Q339" s="27">
        <f>L339</f>
        <v>7.0940000000000003</v>
      </c>
      <c r="W339">
        <f>IF(Source!BI141&lt;=1,H329+H330+H332+H333+H334, 0)</f>
        <v>182.52</v>
      </c>
      <c r="X339">
        <f>IF(Source!BI141=2,H329+H330+H332+H333+H334, 0)</f>
        <v>0</v>
      </c>
      <c r="Y339">
        <f>IF(Source!BI141=3,H329+H330+H332+H333+H334, 0)</f>
        <v>0</v>
      </c>
      <c r="Z339">
        <f>IF(Source!BI141=4,H329+H330+H332+H333+H334, 0)</f>
        <v>0</v>
      </c>
    </row>
    <row r="340" spans="1:26" ht="42.75" x14ac:dyDescent="0.2">
      <c r="A340" s="49" t="str">
        <f>Source!E149</f>
        <v>33</v>
      </c>
      <c r="B340" s="50" t="str">
        <f>Source!F149</f>
        <v>65-1-1</v>
      </c>
      <c r="C340" s="50" t="str">
        <f>Source!G149</f>
        <v>Разборка трубопроводов из водогазопроводных труб диаметром до 32 мм</v>
      </c>
      <c r="D340" s="33" t="str">
        <f>Source!H149</f>
        <v>100 м</v>
      </c>
      <c r="E340" s="12">
        <f>Source!I149</f>
        <v>0.05</v>
      </c>
      <c r="F340" s="34">
        <f>Source!AL149+Source!AM149+Source!AO149</f>
        <v>328.71</v>
      </c>
      <c r="G340" s="35"/>
      <c r="H340" s="34"/>
      <c r="I340" s="35" t="str">
        <f>Source!BO149</f>
        <v/>
      </c>
      <c r="J340" s="35"/>
      <c r="K340" s="34"/>
      <c r="L340" s="36"/>
      <c r="S340">
        <f>ROUND((Source!FX149/100)*((ROUND(Source!AF149*Source!I149, 2)+ROUND(Source!AE149*Source!I149, 2))), 2)</f>
        <v>12.31</v>
      </c>
      <c r="T340">
        <f>Source!X149</f>
        <v>75.23</v>
      </c>
      <c r="U340">
        <f>ROUND((Source!FY149/100)*((ROUND(Source!AF149*Source!I149, 2)+ROUND(Source!AE149*Source!I149, 2))), 2)</f>
        <v>8.32</v>
      </c>
      <c r="V340">
        <f>Source!Y149</f>
        <v>50.83</v>
      </c>
    </row>
    <row r="341" spans="1:26" x14ac:dyDescent="0.2">
      <c r="C341" s="26" t="str">
        <f>"Объем: "&amp;Source!I149&amp;"=5/"&amp;"100"</f>
        <v>Объем: 0,05=5/100</v>
      </c>
    </row>
    <row r="342" spans="1:26" ht="14.25" x14ac:dyDescent="0.2">
      <c r="A342" s="49"/>
      <c r="B342" s="50"/>
      <c r="C342" s="50" t="s">
        <v>791</v>
      </c>
      <c r="D342" s="33"/>
      <c r="E342" s="12"/>
      <c r="F342" s="34">
        <f>Source!AO149</f>
        <v>288.02</v>
      </c>
      <c r="G342" s="35" t="str">
        <f>Source!DG149</f>
        <v>)*1,15</v>
      </c>
      <c r="H342" s="34">
        <f>ROUND(Source!AF149*Source!I149, 2)</f>
        <v>16.559999999999999</v>
      </c>
      <c r="I342" s="35"/>
      <c r="J342" s="35">
        <f>IF(Source!BA149&lt;&gt; 0, Source!BA149, 1)</f>
        <v>6.11</v>
      </c>
      <c r="K342" s="34">
        <f>Source!S149</f>
        <v>101.19</v>
      </c>
      <c r="L342" s="36"/>
      <c r="R342">
        <f>H342</f>
        <v>16.559999999999999</v>
      </c>
    </row>
    <row r="343" spans="1:26" ht="14.25" x14ac:dyDescent="0.2">
      <c r="A343" s="49"/>
      <c r="B343" s="50"/>
      <c r="C343" s="50" t="s">
        <v>356</v>
      </c>
      <c r="D343" s="33"/>
      <c r="E343" s="12"/>
      <c r="F343" s="34">
        <f>Source!AM149</f>
        <v>7.09</v>
      </c>
      <c r="G343" s="35" t="str">
        <f>Source!DE149</f>
        <v>)*1,15</v>
      </c>
      <c r="H343" s="34">
        <f>ROUND(Source!AD149*Source!I149, 2)</f>
        <v>0.41</v>
      </c>
      <c r="I343" s="35"/>
      <c r="J343" s="35">
        <f>IF(Source!BB149&lt;&gt; 0, Source!BB149, 1)</f>
        <v>6.11</v>
      </c>
      <c r="K343" s="34">
        <f>Source!Q149</f>
        <v>2.4900000000000002</v>
      </c>
      <c r="L343" s="36"/>
    </row>
    <row r="344" spans="1:26" ht="14.25" x14ac:dyDescent="0.2">
      <c r="A344" s="49"/>
      <c r="B344" s="50"/>
      <c r="C344" s="50" t="s">
        <v>792</v>
      </c>
      <c r="D344" s="33"/>
      <c r="E344" s="12"/>
      <c r="F344" s="34">
        <f>Source!AN149</f>
        <v>1.35</v>
      </c>
      <c r="G344" s="35" t="str">
        <f>Source!DF149</f>
        <v>)*1,15</v>
      </c>
      <c r="H344" s="37">
        <f>ROUND(Source!AE149*Source!I149, 2)</f>
        <v>0.08</v>
      </c>
      <c r="I344" s="35"/>
      <c r="J344" s="35">
        <f>IF(Source!BS149&lt;&gt; 0, Source!BS149, 1)</f>
        <v>6.11</v>
      </c>
      <c r="K344" s="37">
        <f>Source!R149</f>
        <v>0.47</v>
      </c>
      <c r="L344" s="36"/>
      <c r="R344">
        <f>H344</f>
        <v>0.08</v>
      </c>
    </row>
    <row r="345" spans="1:26" ht="14.25" x14ac:dyDescent="0.2">
      <c r="A345" s="49"/>
      <c r="B345" s="50"/>
      <c r="C345" s="50" t="s">
        <v>798</v>
      </c>
      <c r="D345" s="33"/>
      <c r="E345" s="12"/>
      <c r="F345" s="34">
        <f>Source!AL149</f>
        <v>33.6</v>
      </c>
      <c r="G345" s="35" t="str">
        <f>Source!DD149</f>
        <v/>
      </c>
      <c r="H345" s="34">
        <f>ROUND(Source!AC149*Source!I149, 2)</f>
        <v>1.68</v>
      </c>
      <c r="I345" s="35"/>
      <c r="J345" s="35">
        <f>IF(Source!BC149&lt;&gt; 0, Source!BC149, 1)</f>
        <v>6.11</v>
      </c>
      <c r="K345" s="34">
        <f>Source!P149</f>
        <v>10.26</v>
      </c>
      <c r="L345" s="36"/>
    </row>
    <row r="346" spans="1:26" ht="14.25" x14ac:dyDescent="0.2">
      <c r="A346" s="49"/>
      <c r="B346" s="50"/>
      <c r="C346" s="50" t="s">
        <v>793</v>
      </c>
      <c r="D346" s="33" t="s">
        <v>794</v>
      </c>
      <c r="E346" s="12">
        <f>Source!BZ149</f>
        <v>74</v>
      </c>
      <c r="F346" s="53"/>
      <c r="G346" s="35"/>
      <c r="H346" s="34">
        <f>SUM(S340:S348)</f>
        <v>12.31</v>
      </c>
      <c r="I346" s="38"/>
      <c r="J346" s="31">
        <f>Source!AT149</f>
        <v>74</v>
      </c>
      <c r="K346" s="34">
        <f>SUM(T340:T348)</f>
        <v>75.23</v>
      </c>
      <c r="L346" s="36"/>
    </row>
    <row r="347" spans="1:26" ht="14.25" x14ac:dyDescent="0.2">
      <c r="A347" s="49"/>
      <c r="B347" s="50"/>
      <c r="C347" s="50" t="s">
        <v>795</v>
      </c>
      <c r="D347" s="33" t="s">
        <v>794</v>
      </c>
      <c r="E347" s="12">
        <f>Source!CA149</f>
        <v>50</v>
      </c>
      <c r="F347" s="53"/>
      <c r="G347" s="35"/>
      <c r="H347" s="34">
        <f>SUM(U340:U348)</f>
        <v>8.32</v>
      </c>
      <c r="I347" s="38"/>
      <c r="J347" s="31">
        <f>Source!AU149</f>
        <v>50</v>
      </c>
      <c r="K347" s="34">
        <f>SUM(V340:V348)</f>
        <v>50.83</v>
      </c>
      <c r="L347" s="36"/>
    </row>
    <row r="348" spans="1:26" ht="14.25" x14ac:dyDescent="0.2">
      <c r="A348" s="51"/>
      <c r="B348" s="52"/>
      <c r="C348" s="52" t="s">
        <v>796</v>
      </c>
      <c r="D348" s="39" t="s">
        <v>797</v>
      </c>
      <c r="E348" s="40">
        <f>Source!AQ149</f>
        <v>34.659999999999997</v>
      </c>
      <c r="F348" s="41"/>
      <c r="G348" s="42" t="str">
        <f>Source!DI149</f>
        <v>)*1,15</v>
      </c>
      <c r="H348" s="41"/>
      <c r="I348" s="42"/>
      <c r="J348" s="42"/>
      <c r="K348" s="41"/>
      <c r="L348" s="43">
        <f>Source!U149</f>
        <v>1.9929499999999998</v>
      </c>
    </row>
    <row r="349" spans="1:26" ht="15" x14ac:dyDescent="0.25">
      <c r="G349" s="66">
        <f>H342+H343+H345+H346+H347</f>
        <v>39.28</v>
      </c>
      <c r="H349" s="66"/>
      <c r="J349" s="66">
        <f>K342+K343+K345+K346+K347</f>
        <v>240</v>
      </c>
      <c r="K349" s="66"/>
      <c r="L349" s="44">
        <f>Source!U149</f>
        <v>1.9929499999999998</v>
      </c>
      <c r="O349" s="27">
        <f>G349</f>
        <v>39.28</v>
      </c>
      <c r="P349" s="27">
        <f>J349</f>
        <v>240</v>
      </c>
      <c r="Q349" s="27">
        <f>L349</f>
        <v>1.9929499999999998</v>
      </c>
      <c r="W349">
        <f>IF(Source!BI149&lt;=1,H342+H343+H345+H346+H347, 0)</f>
        <v>39.28</v>
      </c>
      <c r="X349">
        <f>IF(Source!BI149=2,H342+H343+H345+H346+H347, 0)</f>
        <v>0</v>
      </c>
      <c r="Y349">
        <f>IF(Source!BI149=3,H342+H343+H345+H346+H347, 0)</f>
        <v>0</v>
      </c>
      <c r="Z349">
        <f>IF(Source!BI149=4,H342+H343+H345+H346+H347, 0)</f>
        <v>0</v>
      </c>
    </row>
    <row r="350" spans="1:26" ht="57" x14ac:dyDescent="0.2">
      <c r="A350" s="49" t="str">
        <f>Source!E151</f>
        <v>34</v>
      </c>
      <c r="B350" s="50" t="str">
        <f>Source!F151</f>
        <v>16-04-005-01</v>
      </c>
      <c r="C350" s="50" t="str">
        <f>Source!G151</f>
        <v>Прокладка внутренних трубопроводов водоснабжения и отопления из полипропиленовых труб 20 мм</v>
      </c>
      <c r="D350" s="33" t="str">
        <f>Source!H151</f>
        <v>100 м</v>
      </c>
      <c r="E350" s="12">
        <f>Source!I151</f>
        <v>0.05</v>
      </c>
      <c r="F350" s="34">
        <f>Source!AL151+Source!AM151+Source!AO151</f>
        <v>1428.21</v>
      </c>
      <c r="G350" s="35"/>
      <c r="H350" s="34"/>
      <c r="I350" s="35" t="str">
        <f>Source!BO151</f>
        <v/>
      </c>
      <c r="J350" s="35"/>
      <c r="K350" s="34"/>
      <c r="L350" s="36"/>
      <c r="S350">
        <f>ROUND((Source!FX151/100)*((ROUND(Source!AF151*Source!I151, 2)+ROUND(Source!AE151*Source!I151, 2))), 2)</f>
        <v>61.08</v>
      </c>
      <c r="T350">
        <f>Source!X151</f>
        <v>372.54</v>
      </c>
      <c r="U350">
        <f>ROUND((Source!FY151/100)*((ROUND(Source!AF151*Source!I151, 2)+ROUND(Source!AE151*Source!I151, 2))), 2)</f>
        <v>37.409999999999997</v>
      </c>
      <c r="V350">
        <f>Source!Y151</f>
        <v>230</v>
      </c>
    </row>
    <row r="351" spans="1:26" x14ac:dyDescent="0.2">
      <c r="C351" s="26" t="str">
        <f>"Объем: "&amp;Source!I151&amp;"=5/"&amp;"100"</f>
        <v>Объем: 0,05=5/100</v>
      </c>
    </row>
    <row r="352" spans="1:26" ht="14.25" x14ac:dyDescent="0.2">
      <c r="A352" s="49"/>
      <c r="B352" s="50"/>
      <c r="C352" s="50" t="s">
        <v>791</v>
      </c>
      <c r="D352" s="33"/>
      <c r="E352" s="12"/>
      <c r="F352" s="34">
        <f>Source!AO151</f>
        <v>921.99</v>
      </c>
      <c r="G352" s="35" t="str">
        <f>Source!DG151</f>
        <v>)*1,15</v>
      </c>
      <c r="H352" s="34">
        <f>ROUND(Source!AF151*Source!I151, 2)</f>
        <v>53.01</v>
      </c>
      <c r="I352" s="35"/>
      <c r="J352" s="35">
        <f>IF(Source!BA151&lt;&gt; 0, Source!BA151, 1)</f>
        <v>6.11</v>
      </c>
      <c r="K352" s="34">
        <f>Source!S151</f>
        <v>323.92</v>
      </c>
      <c r="L352" s="36"/>
      <c r="R352">
        <f>H352</f>
        <v>53.01</v>
      </c>
    </row>
    <row r="353" spans="1:26" ht="14.25" x14ac:dyDescent="0.2">
      <c r="A353" s="49"/>
      <c r="B353" s="50"/>
      <c r="C353" s="50" t="s">
        <v>356</v>
      </c>
      <c r="D353" s="33"/>
      <c r="E353" s="12"/>
      <c r="F353" s="34">
        <f>Source!AM151</f>
        <v>468.26</v>
      </c>
      <c r="G353" s="35" t="str">
        <f>Source!DE151</f>
        <v>)*1,25</v>
      </c>
      <c r="H353" s="34">
        <f>ROUND(Source!AD151*Source!I151, 2)</f>
        <v>29.27</v>
      </c>
      <c r="I353" s="35"/>
      <c r="J353" s="35">
        <f>IF(Source!BB151&lt;&gt; 0, Source!BB151, 1)</f>
        <v>6.11</v>
      </c>
      <c r="K353" s="34">
        <f>Source!Q151</f>
        <v>178.82</v>
      </c>
      <c r="L353" s="36"/>
    </row>
    <row r="354" spans="1:26" ht="14.25" x14ac:dyDescent="0.2">
      <c r="A354" s="49"/>
      <c r="B354" s="50"/>
      <c r="C354" s="50" t="s">
        <v>792</v>
      </c>
      <c r="D354" s="33"/>
      <c r="E354" s="12"/>
      <c r="F354" s="34">
        <f>Source!AN151</f>
        <v>0.09</v>
      </c>
      <c r="G354" s="35" t="str">
        <f>Source!DF151</f>
        <v>)*1,25</v>
      </c>
      <c r="H354" s="37">
        <f>ROUND(Source!AE151*Source!I151, 2)</f>
        <v>0.01</v>
      </c>
      <c r="I354" s="35"/>
      <c r="J354" s="35">
        <f>IF(Source!BS151&lt;&gt; 0, Source!BS151, 1)</f>
        <v>6.11</v>
      </c>
      <c r="K354" s="37">
        <f>Source!R151</f>
        <v>0.03</v>
      </c>
      <c r="L354" s="36"/>
      <c r="R354">
        <f>H354</f>
        <v>0.01</v>
      </c>
    </row>
    <row r="355" spans="1:26" ht="14.25" x14ac:dyDescent="0.2">
      <c r="A355" s="49"/>
      <c r="B355" s="50"/>
      <c r="C355" s="50" t="s">
        <v>798</v>
      </c>
      <c r="D355" s="33"/>
      <c r="E355" s="12"/>
      <c r="F355" s="34">
        <f>Source!AL151</f>
        <v>37.96</v>
      </c>
      <c r="G355" s="35" t="str">
        <f>Source!DD151</f>
        <v/>
      </c>
      <c r="H355" s="34">
        <f>ROUND(Source!AC151*Source!I151, 2)</f>
        <v>1.9</v>
      </c>
      <c r="I355" s="35"/>
      <c r="J355" s="35">
        <f>IF(Source!BC151&lt;&gt; 0, Source!BC151, 1)</f>
        <v>6.11</v>
      </c>
      <c r="K355" s="34">
        <f>Source!P151</f>
        <v>11.6</v>
      </c>
      <c r="L355" s="36"/>
    </row>
    <row r="356" spans="1:26" ht="14.25" x14ac:dyDescent="0.2">
      <c r="A356" s="49"/>
      <c r="B356" s="50"/>
      <c r="C356" s="50" t="s">
        <v>793</v>
      </c>
      <c r="D356" s="33" t="s">
        <v>794</v>
      </c>
      <c r="E356" s="12">
        <f>Source!BZ151</f>
        <v>128</v>
      </c>
      <c r="F356" s="67" t="str">
        <f>CONCATENATE(" )", Source!DL151, Source!FT151, "=", Source!FX151)</f>
        <v xml:space="preserve"> )*0,9=115,2</v>
      </c>
      <c r="G356" s="68"/>
      <c r="H356" s="34">
        <f>SUM(S350:S360)</f>
        <v>61.08</v>
      </c>
      <c r="I356" s="38"/>
      <c r="J356" s="31">
        <f>Source!AT151</f>
        <v>115</v>
      </c>
      <c r="K356" s="34">
        <f>SUM(T350:T360)</f>
        <v>372.54</v>
      </c>
      <c r="L356" s="36"/>
    </row>
    <row r="357" spans="1:26" ht="14.25" x14ac:dyDescent="0.2">
      <c r="A357" s="49"/>
      <c r="B357" s="50"/>
      <c r="C357" s="50" t="s">
        <v>795</v>
      </c>
      <c r="D357" s="33" t="s">
        <v>794</v>
      </c>
      <c r="E357" s="12">
        <f>Source!CA151</f>
        <v>83</v>
      </c>
      <c r="F357" s="67" t="str">
        <f>CONCATENATE(" )", Source!DM151, Source!FU151, "=", Source!FY151)</f>
        <v xml:space="preserve"> )*0,85=70,55</v>
      </c>
      <c r="G357" s="68"/>
      <c r="H357" s="34">
        <f>SUM(U350:U360)</f>
        <v>37.409999999999997</v>
      </c>
      <c r="I357" s="38"/>
      <c r="J357" s="31">
        <f>Source!AU151</f>
        <v>71</v>
      </c>
      <c r="K357" s="34">
        <f>SUM(V350:V360)</f>
        <v>230</v>
      </c>
      <c r="L357" s="36"/>
    </row>
    <row r="358" spans="1:26" ht="14.25" x14ac:dyDescent="0.2">
      <c r="A358" s="49"/>
      <c r="B358" s="50"/>
      <c r="C358" s="50" t="s">
        <v>796</v>
      </c>
      <c r="D358" s="33" t="s">
        <v>797</v>
      </c>
      <c r="E358" s="12">
        <f>Source!AQ151</f>
        <v>96.95</v>
      </c>
      <c r="F358" s="34"/>
      <c r="G358" s="35" t="str">
        <f>Source!DI151</f>
        <v>)*1,15</v>
      </c>
      <c r="H358" s="34"/>
      <c r="I358" s="35"/>
      <c r="J358" s="35"/>
      <c r="K358" s="34"/>
      <c r="L358" s="45">
        <f>Source!U151</f>
        <v>5.5746250000000002</v>
      </c>
    </row>
    <row r="359" spans="1:26" ht="28.5" x14ac:dyDescent="0.2">
      <c r="A359" s="49" t="str">
        <f>Source!E153</f>
        <v>34,1</v>
      </c>
      <c r="B359" s="50" t="str">
        <f>Source!F153</f>
        <v>24.1.02.01-0113</v>
      </c>
      <c r="C359" s="50" t="str">
        <f>Source!G153</f>
        <v>Хомуты для крепления труб</v>
      </c>
      <c r="D359" s="33" t="str">
        <f>Source!H153</f>
        <v>шт.</v>
      </c>
      <c r="E359" s="12">
        <f>Source!I153</f>
        <v>7.15</v>
      </c>
      <c r="F359" s="34">
        <f>Source!AL153+Source!AM153+Source!AO153</f>
        <v>8.09</v>
      </c>
      <c r="G359" s="48" t="s">
        <v>6</v>
      </c>
      <c r="H359" s="34">
        <f>ROUND(Source!AC153*Source!I153, 2)+ROUND(Source!AD153*Source!I153, 2)+ROUND(Source!AF153*Source!I153, 2)</f>
        <v>57.84</v>
      </c>
      <c r="I359" s="35"/>
      <c r="J359" s="35">
        <f>IF(Source!BC153&lt;&gt; 0, Source!BC153, 1)</f>
        <v>6.11</v>
      </c>
      <c r="K359" s="34">
        <f>Source!O153</f>
        <v>353.42</v>
      </c>
      <c r="L359" s="36"/>
      <c r="S359">
        <f>ROUND((Source!FX153/100)*((ROUND(Source!AF153*Source!I153, 2)+ROUND(Source!AE153*Source!I153, 2))), 2)</f>
        <v>0</v>
      </c>
      <c r="T359">
        <f>Source!X153</f>
        <v>0</v>
      </c>
      <c r="U359">
        <f>ROUND((Source!FY153/100)*((ROUND(Source!AF153*Source!I153, 2)+ROUND(Source!AE153*Source!I153, 2))), 2)</f>
        <v>0</v>
      </c>
      <c r="V359">
        <f>Source!Y153</f>
        <v>0</v>
      </c>
      <c r="W359">
        <f>IF(Source!BI153&lt;=1,H359, 0)</f>
        <v>57.84</v>
      </c>
      <c r="X359">
        <f>IF(Source!BI153=2,H359, 0)</f>
        <v>0</v>
      </c>
      <c r="Y359">
        <f>IF(Source!BI153=3,H359, 0)</f>
        <v>0</v>
      </c>
      <c r="Z359">
        <f>IF(Source!BI153=4,H359, 0)</f>
        <v>0</v>
      </c>
    </row>
    <row r="360" spans="1:26" ht="85.5" x14ac:dyDescent="0.2">
      <c r="A360" s="51" t="str">
        <f>Source!E155</f>
        <v>34,2</v>
      </c>
      <c r="B360" s="52" t="str">
        <f>Source!F155</f>
        <v>24.3.02.01-0002</v>
      </c>
      <c r="C360" s="52" t="str">
        <f>Source!G155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360" s="39" t="str">
        <f>Source!H155</f>
        <v>м</v>
      </c>
      <c r="E360" s="40">
        <f>Source!I155</f>
        <v>5.0250000000000004</v>
      </c>
      <c r="F360" s="41">
        <f>Source!AL155+Source!AM155+Source!AO155</f>
        <v>4.5999999999999996</v>
      </c>
      <c r="G360" s="46" t="s">
        <v>6</v>
      </c>
      <c r="H360" s="41">
        <f>ROUND(Source!AC155*Source!I155, 2)+ROUND(Source!AD155*Source!I155, 2)+ROUND(Source!AF155*Source!I155, 2)</f>
        <v>23.12</v>
      </c>
      <c r="I360" s="42"/>
      <c r="J360" s="42">
        <f>IF(Source!BC155&lt;&gt; 0, Source!BC155, 1)</f>
        <v>6.11</v>
      </c>
      <c r="K360" s="41">
        <f>Source!O155</f>
        <v>141.22999999999999</v>
      </c>
      <c r="L360" s="47"/>
      <c r="S360">
        <f>ROUND((Source!FX155/100)*((ROUND(Source!AF155*Source!I155, 2)+ROUND(Source!AE155*Source!I155, 2))), 2)</f>
        <v>0</v>
      </c>
      <c r="T360">
        <f>Source!X155</f>
        <v>0</v>
      </c>
      <c r="U360">
        <f>ROUND((Source!FY155/100)*((ROUND(Source!AF155*Source!I155, 2)+ROUND(Source!AE155*Source!I155, 2))), 2)</f>
        <v>0</v>
      </c>
      <c r="V360">
        <f>Source!Y155</f>
        <v>0</v>
      </c>
      <c r="W360">
        <f>IF(Source!BI155&lt;=1,H360, 0)</f>
        <v>23.12</v>
      </c>
      <c r="X360">
        <f>IF(Source!BI155=2,H360, 0)</f>
        <v>0</v>
      </c>
      <c r="Y360">
        <f>IF(Source!BI155=3,H360, 0)</f>
        <v>0</v>
      </c>
      <c r="Z360">
        <f>IF(Source!BI155=4,H360, 0)</f>
        <v>0</v>
      </c>
    </row>
    <row r="361" spans="1:26" ht="15" x14ac:dyDescent="0.25">
      <c r="G361" s="66">
        <f>H352+H353+H355+H356+H357+SUM(H359:H360)</f>
        <v>263.63</v>
      </c>
      <c r="H361" s="66"/>
      <c r="J361" s="66">
        <f>K352+K353+K355+K356+K357+SUM(K359:K360)</f>
        <v>1611.5300000000002</v>
      </c>
      <c r="K361" s="66"/>
      <c r="L361" s="44">
        <f>Source!U151</f>
        <v>5.5746250000000002</v>
      </c>
      <c r="O361" s="27">
        <f>G361</f>
        <v>263.63</v>
      </c>
      <c r="P361" s="27">
        <f>J361</f>
        <v>1611.5300000000002</v>
      </c>
      <c r="Q361" s="27">
        <f>L361</f>
        <v>5.5746250000000002</v>
      </c>
      <c r="W361">
        <f>IF(Source!BI151&lt;=1,H352+H353+H355+H356+H357, 0)</f>
        <v>182.67</v>
      </c>
      <c r="X361">
        <f>IF(Source!BI151=2,H352+H353+H355+H356+H357, 0)</f>
        <v>0</v>
      </c>
      <c r="Y361">
        <f>IF(Source!BI151=3,H352+H353+H355+H356+H357, 0)</f>
        <v>0</v>
      </c>
      <c r="Z361">
        <f>IF(Source!BI151=4,H352+H353+H355+H356+H357, 0)</f>
        <v>0</v>
      </c>
    </row>
    <row r="363" spans="1:26" ht="15" x14ac:dyDescent="0.25">
      <c r="A363" s="70" t="str">
        <f>CONCATENATE("Итого по локальной смете: ",IF(Source!G157&lt;&gt;"Новая локальная смета", Source!G157, ""))</f>
        <v xml:space="preserve">Итого по локальной смете: </v>
      </c>
      <c r="B363" s="70"/>
      <c r="C363" s="70"/>
      <c r="D363" s="70"/>
      <c r="E363" s="70"/>
      <c r="F363" s="70"/>
      <c r="G363" s="69">
        <f>SUM(O26:O362)</f>
        <v>52461.21</v>
      </c>
      <c r="H363" s="69"/>
      <c r="I363" s="30"/>
      <c r="J363" s="69">
        <f>SUM(P26:P362)</f>
        <v>320622.19</v>
      </c>
      <c r="K363" s="69"/>
      <c r="L363" s="44">
        <f>SUM(Q26:Q362)</f>
        <v>393.16231420000003</v>
      </c>
    </row>
    <row r="364" spans="1:26" ht="14.25" x14ac:dyDescent="0.2">
      <c r="C364" s="77" t="str">
        <f>Source!H186</f>
        <v>НДС 18%</v>
      </c>
      <c r="D364" s="77"/>
      <c r="E364" s="77"/>
      <c r="F364" s="77"/>
      <c r="G364" s="77"/>
      <c r="H364" s="77"/>
      <c r="I364" s="77"/>
      <c r="J364" s="74">
        <f>IF(Source!P186=0, "", Source!P186)</f>
        <v>57711.99</v>
      </c>
      <c r="K364" s="74"/>
    </row>
    <row r="365" spans="1:26" ht="14.25" x14ac:dyDescent="0.2">
      <c r="C365" s="77" t="str">
        <f>Source!H187</f>
        <v>Всего по смете</v>
      </c>
      <c r="D365" s="77"/>
      <c r="E365" s="77"/>
      <c r="F365" s="77"/>
      <c r="G365" s="77"/>
      <c r="H365" s="77"/>
      <c r="I365" s="77"/>
      <c r="J365" s="74">
        <f>IF(Source!P187=0, "", Source!P187)</f>
        <v>378334.18</v>
      </c>
      <c r="K365" s="74"/>
    </row>
    <row r="368" spans="1:26" ht="14.25" x14ac:dyDescent="0.2">
      <c r="A368" s="29" t="s">
        <v>799</v>
      </c>
      <c r="B368" s="29"/>
      <c r="C368" s="12"/>
      <c r="D368" s="65"/>
      <c r="E368" s="65"/>
      <c r="F368" s="65"/>
      <c r="G368" s="65"/>
      <c r="H368" s="65"/>
      <c r="I368" s="13"/>
      <c r="J368" s="13"/>
      <c r="K368" s="13"/>
      <c r="L368" s="13"/>
    </row>
    <row r="369" spans="1:12" ht="14.25" x14ac:dyDescent="0.2">
      <c r="A369" s="13"/>
      <c r="B369" s="13"/>
      <c r="C369" s="12"/>
      <c r="D369" s="71"/>
      <c r="E369" s="71"/>
      <c r="F369" s="71"/>
      <c r="G369" s="71"/>
      <c r="H369" s="71"/>
      <c r="I369" s="13"/>
      <c r="J369" s="13"/>
      <c r="K369" s="13"/>
      <c r="L369" s="13"/>
    </row>
    <row r="370" spans="1:12" ht="14.25" x14ac:dyDescent="0.2">
      <c r="A370" s="13"/>
      <c r="B370" s="13"/>
      <c r="C370" s="12"/>
      <c r="D370" s="13"/>
      <c r="E370" s="13"/>
      <c r="F370" s="13"/>
      <c r="G370" s="13"/>
      <c r="H370" s="13"/>
      <c r="I370" s="13"/>
      <c r="J370" s="13"/>
      <c r="K370" s="13"/>
      <c r="L370" s="13"/>
    </row>
    <row r="371" spans="1:12" ht="14.25" x14ac:dyDescent="0.2">
      <c r="A371" s="29" t="s">
        <v>799</v>
      </c>
      <c r="B371" s="29"/>
      <c r="C371" s="12"/>
      <c r="D371" s="65"/>
      <c r="E371" s="65"/>
      <c r="F371" s="65"/>
      <c r="G371" s="65"/>
      <c r="H371" s="65"/>
      <c r="I371" s="13"/>
      <c r="J371" s="13"/>
      <c r="K371" s="13"/>
      <c r="L371" s="13"/>
    </row>
    <row r="372" spans="1:12" ht="14.25" x14ac:dyDescent="0.2">
      <c r="A372" s="13"/>
      <c r="B372" s="13"/>
      <c r="C372" s="13"/>
      <c r="D372" s="71"/>
      <c r="E372" s="71"/>
      <c r="F372" s="71"/>
      <c r="G372" s="71"/>
      <c r="H372" s="71"/>
      <c r="I372" s="13"/>
      <c r="J372" s="13"/>
      <c r="K372" s="13"/>
      <c r="L372" s="13"/>
    </row>
  </sheetData>
  <mergeCells count="148">
    <mergeCell ref="B9:K9"/>
    <mergeCell ref="B11:K11"/>
    <mergeCell ref="B13:K13"/>
    <mergeCell ref="B14:K14"/>
    <mergeCell ref="G16:H16"/>
    <mergeCell ref="I16:J16"/>
    <mergeCell ref="B7:E7"/>
    <mergeCell ref="H7:L7"/>
    <mergeCell ref="B3:E3"/>
    <mergeCell ref="H3:L3"/>
    <mergeCell ref="B4:E4"/>
    <mergeCell ref="H4:L4"/>
    <mergeCell ref="B6:E6"/>
    <mergeCell ref="H6:L6"/>
    <mergeCell ref="C20:F20"/>
    <mergeCell ref="G20:H20"/>
    <mergeCell ref="I20:J20"/>
    <mergeCell ref="K20:L20"/>
    <mergeCell ref="C19:F19"/>
    <mergeCell ref="G19:H19"/>
    <mergeCell ref="I19:J19"/>
    <mergeCell ref="K19:L19"/>
    <mergeCell ref="C17:F17"/>
    <mergeCell ref="G17:H17"/>
    <mergeCell ref="I17:J17"/>
    <mergeCell ref="K17:L17"/>
    <mergeCell ref="C18:F18"/>
    <mergeCell ref="G18:H18"/>
    <mergeCell ref="I18:J18"/>
    <mergeCell ref="K18:L18"/>
    <mergeCell ref="D369:H369"/>
    <mergeCell ref="D372:H372"/>
    <mergeCell ref="C21:F21"/>
    <mergeCell ref="G21:H21"/>
    <mergeCell ref="I21:J21"/>
    <mergeCell ref="K21:L21"/>
    <mergeCell ref="A23:L23"/>
    <mergeCell ref="J98:K98"/>
    <mergeCell ref="G98:H98"/>
    <mergeCell ref="J86:K86"/>
    <mergeCell ref="F84:G84"/>
    <mergeCell ref="F83:G83"/>
    <mergeCell ref="J78:K78"/>
    <mergeCell ref="G78:H78"/>
    <mergeCell ref="F75:G75"/>
    <mergeCell ref="C364:I364"/>
    <mergeCell ref="J364:K364"/>
    <mergeCell ref="C365:I365"/>
    <mergeCell ref="J365:K365"/>
    <mergeCell ref="J34:K34"/>
    <mergeCell ref="G34:H34"/>
    <mergeCell ref="F32:G32"/>
    <mergeCell ref="F31:G31"/>
    <mergeCell ref="J167:K167"/>
    <mergeCell ref="G167:H167"/>
    <mergeCell ref="J160:K160"/>
    <mergeCell ref="G160:H160"/>
    <mergeCell ref="F155:G155"/>
    <mergeCell ref="F154:G154"/>
    <mergeCell ref="F53:G53"/>
    <mergeCell ref="F52:G52"/>
    <mergeCell ref="J45:K45"/>
    <mergeCell ref="G45:H45"/>
    <mergeCell ref="G86:H86"/>
    <mergeCell ref="F42:G42"/>
    <mergeCell ref="F41:G41"/>
    <mergeCell ref="F74:G74"/>
    <mergeCell ref="J69:K69"/>
    <mergeCell ref="G69:H69"/>
    <mergeCell ref="F64:G64"/>
    <mergeCell ref="F63:G63"/>
    <mergeCell ref="J56:K56"/>
    <mergeCell ref="G56:H56"/>
    <mergeCell ref="J110:K110"/>
    <mergeCell ref="G110:H110"/>
    <mergeCell ref="F134:G134"/>
    <mergeCell ref="F133:G133"/>
    <mergeCell ref="J126:K126"/>
    <mergeCell ref="G126:H126"/>
    <mergeCell ref="J119:K119"/>
    <mergeCell ref="G119:H119"/>
    <mergeCell ref="J147:K147"/>
    <mergeCell ref="G147:H147"/>
    <mergeCell ref="F145:G145"/>
    <mergeCell ref="F144:G144"/>
    <mergeCell ref="J137:K137"/>
    <mergeCell ref="G137:H137"/>
    <mergeCell ref="J251:K251"/>
    <mergeCell ref="G251:H251"/>
    <mergeCell ref="F267:G267"/>
    <mergeCell ref="J260:K260"/>
    <mergeCell ref="G260:H260"/>
    <mergeCell ref="F258:G258"/>
    <mergeCell ref="F257:G257"/>
    <mergeCell ref="F175:G175"/>
    <mergeCell ref="F174:G174"/>
    <mergeCell ref="J211:K211"/>
    <mergeCell ref="G211:H211"/>
    <mergeCell ref="F206:G206"/>
    <mergeCell ref="F205:G205"/>
    <mergeCell ref="J198:K198"/>
    <mergeCell ref="G198:H198"/>
    <mergeCell ref="J189:K189"/>
    <mergeCell ref="G189:H189"/>
    <mergeCell ref="J178:K178"/>
    <mergeCell ref="G178:H178"/>
    <mergeCell ref="F247:G247"/>
    <mergeCell ref="F246:G246"/>
    <mergeCell ref="J241:K241"/>
    <mergeCell ref="G241:H241"/>
    <mergeCell ref="J232:K232"/>
    <mergeCell ref="G232:H232"/>
    <mergeCell ref="J221:K221"/>
    <mergeCell ref="G221:H221"/>
    <mergeCell ref="F322:G322"/>
    <mergeCell ref="J315:K315"/>
    <mergeCell ref="G315:H315"/>
    <mergeCell ref="J305:K305"/>
    <mergeCell ref="G305:H305"/>
    <mergeCell ref="J294:K294"/>
    <mergeCell ref="G349:H349"/>
    <mergeCell ref="J292:K292"/>
    <mergeCell ref="G292:H292"/>
    <mergeCell ref="F268:G268"/>
    <mergeCell ref="F286:G286"/>
    <mergeCell ref="J280:K280"/>
    <mergeCell ref="G280:H280"/>
    <mergeCell ref="F278:G278"/>
    <mergeCell ref="F277:G277"/>
    <mergeCell ref="J270:K270"/>
    <mergeCell ref="G270:H270"/>
    <mergeCell ref="G294:H294"/>
    <mergeCell ref="J290:K290"/>
    <mergeCell ref="G290:H290"/>
    <mergeCell ref="F287:G287"/>
    <mergeCell ref="J339:K339"/>
    <mergeCell ref="G339:H339"/>
    <mergeCell ref="J326:K326"/>
    <mergeCell ref="G326:H326"/>
    <mergeCell ref="F323:G323"/>
    <mergeCell ref="G363:H363"/>
    <mergeCell ref="J363:K363"/>
    <mergeCell ref="A363:F363"/>
    <mergeCell ref="J361:K361"/>
    <mergeCell ref="G361:H361"/>
    <mergeCell ref="F357:G357"/>
    <mergeCell ref="F356:G356"/>
    <mergeCell ref="J349:K349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84"/>
  <sheetViews>
    <sheetView zoomScaleNormal="100" workbookViewId="0">
      <selection activeCell="A274" sqref="A274"/>
    </sheetView>
  </sheetViews>
  <sheetFormatPr defaultRowHeight="12.75" x14ac:dyDescent="0.2"/>
  <cols>
    <col min="1" max="2" width="5.7109375" customWidth="1"/>
    <col min="3" max="3" width="11.7109375" customWidth="1"/>
    <col min="4" max="4" width="40.7109375" customWidth="1"/>
    <col min="5" max="6" width="10.7109375" customWidth="1"/>
    <col min="7" max="9" width="12.7109375" customWidth="1"/>
    <col min="10" max="10" width="17.7109375" customWidth="1"/>
    <col min="11" max="11" width="8.7109375" customWidth="1"/>
    <col min="12" max="12" width="12.7109375" customWidth="1"/>
    <col min="13" max="13" width="8.7109375" customWidth="1"/>
    <col min="15" max="29" width="0" hidden="1" customWidth="1"/>
    <col min="30" max="30" width="110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5" x14ac:dyDescent="0.25">
      <c r="A2" s="13"/>
      <c r="B2" s="13"/>
      <c r="C2" s="13"/>
      <c r="D2" s="30"/>
      <c r="E2" s="30"/>
      <c r="F2" s="30"/>
      <c r="G2" s="13"/>
      <c r="H2" s="13"/>
      <c r="I2" s="13"/>
      <c r="J2" s="100" t="s">
        <v>801</v>
      </c>
      <c r="K2" s="100"/>
      <c r="L2" s="100"/>
      <c r="M2" s="100"/>
    </row>
    <row r="3" spans="1:30" ht="14.25" x14ac:dyDescent="0.2">
      <c r="A3" s="13"/>
      <c r="B3" s="13"/>
      <c r="C3" s="13"/>
      <c r="D3" s="13"/>
      <c r="E3" s="13"/>
      <c r="F3" s="13"/>
      <c r="G3" s="13"/>
      <c r="H3" s="13"/>
      <c r="I3" s="100" t="s">
        <v>802</v>
      </c>
      <c r="J3" s="101"/>
      <c r="K3" s="101"/>
      <c r="L3" s="101"/>
      <c r="M3" s="101"/>
    </row>
    <row r="4" spans="1:30" ht="14.25" x14ac:dyDescent="0.2">
      <c r="A4" s="13"/>
      <c r="B4" s="13"/>
      <c r="C4" s="13"/>
      <c r="D4" s="13"/>
      <c r="E4" s="13"/>
      <c r="F4" s="13"/>
      <c r="G4" s="13"/>
      <c r="H4" s="13"/>
      <c r="I4" s="13"/>
      <c r="J4" s="100" t="s">
        <v>803</v>
      </c>
      <c r="K4" s="100"/>
      <c r="L4" s="100"/>
      <c r="M4" s="100"/>
    </row>
    <row r="5" spans="1:30" ht="14.25" x14ac:dyDescent="0.2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30" ht="14.25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91" t="s">
        <v>804</v>
      </c>
      <c r="L6" s="91"/>
      <c r="M6" s="91"/>
    </row>
    <row r="7" spans="1:30" ht="14.25" x14ac:dyDescent="0.2">
      <c r="A7" s="13"/>
      <c r="B7" s="13"/>
      <c r="C7" s="13"/>
      <c r="D7" s="13"/>
      <c r="E7" s="13"/>
      <c r="F7" s="13"/>
      <c r="G7" s="13"/>
      <c r="H7" s="13"/>
      <c r="I7" s="13"/>
      <c r="J7" s="12" t="s">
        <v>805</v>
      </c>
      <c r="K7" s="102" t="s">
        <v>806</v>
      </c>
      <c r="L7" s="102"/>
      <c r="M7" s="102"/>
    </row>
    <row r="8" spans="1:30" ht="14.25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91" t="str">
        <f>IF(Source!AT15 &lt;&gt; "", Source!AT15, "")</f>
        <v/>
      </c>
      <c r="L8" s="91"/>
      <c r="M8" s="91"/>
    </row>
    <row r="9" spans="1:30" ht="14.25" x14ac:dyDescent="0.2">
      <c r="A9" s="67" t="s">
        <v>807</v>
      </c>
      <c r="B9" s="67"/>
      <c r="C9" s="98" t="str">
        <f>IF(Source!BA15 &lt;&gt; "", Source!BA15, IF(Source!AU15 &lt;&gt; "", Source!AU15, ""))</f>
        <v/>
      </c>
      <c r="D9" s="98"/>
      <c r="E9" s="98"/>
      <c r="F9" s="98"/>
      <c r="G9" s="98"/>
      <c r="H9" s="98"/>
      <c r="I9" s="98"/>
      <c r="J9" s="12" t="s">
        <v>808</v>
      </c>
      <c r="K9" s="91"/>
      <c r="L9" s="91"/>
      <c r="M9" s="91"/>
    </row>
    <row r="10" spans="1:30" ht="14.25" x14ac:dyDescent="0.2">
      <c r="A10" s="13"/>
      <c r="B10" s="13"/>
      <c r="C10" s="72" t="s">
        <v>809</v>
      </c>
      <c r="D10" s="72"/>
      <c r="E10" s="72"/>
      <c r="F10" s="72"/>
      <c r="G10" s="72"/>
      <c r="H10" s="72"/>
      <c r="I10" s="72"/>
      <c r="J10" s="13"/>
      <c r="K10" s="91" t="str">
        <f>IF(Source!AK15 &lt;&gt; "", Source!AK15, "")</f>
        <v/>
      </c>
      <c r="L10" s="91"/>
      <c r="M10" s="91"/>
    </row>
    <row r="11" spans="1:30" ht="14.25" x14ac:dyDescent="0.2">
      <c r="A11" s="67" t="s">
        <v>810</v>
      </c>
      <c r="B11" s="67"/>
      <c r="C11" s="98" t="str">
        <f>IF(Source!AX12&lt;&gt; "", Source!AX12, IF(Source!AJ12 &lt;&gt; "", Source!AJ12, ""))</f>
        <v/>
      </c>
      <c r="D11" s="98"/>
      <c r="E11" s="98"/>
      <c r="F11" s="98"/>
      <c r="G11" s="98"/>
      <c r="H11" s="98"/>
      <c r="I11" s="98"/>
      <c r="J11" s="12" t="s">
        <v>808</v>
      </c>
      <c r="K11" s="91"/>
      <c r="L11" s="91"/>
      <c r="M11" s="91"/>
    </row>
    <row r="12" spans="1:30" ht="14.25" x14ac:dyDescent="0.2">
      <c r="A12" s="13"/>
      <c r="B12" s="13"/>
      <c r="C12" s="72" t="s">
        <v>809</v>
      </c>
      <c r="D12" s="72"/>
      <c r="E12" s="72"/>
      <c r="F12" s="72"/>
      <c r="G12" s="72"/>
      <c r="H12" s="72"/>
      <c r="I12" s="72"/>
      <c r="J12" s="13"/>
      <c r="K12" s="91" t="str">
        <f>IF(Source!AO15 &lt;&gt; "", Source!AO15, "")</f>
        <v/>
      </c>
      <c r="L12" s="91"/>
      <c r="M12" s="91"/>
    </row>
    <row r="13" spans="1:30" ht="14.25" x14ac:dyDescent="0.2">
      <c r="A13" s="67" t="s">
        <v>811</v>
      </c>
      <c r="B13" s="67"/>
      <c r="C13" s="98" t="str">
        <f>IF(Source!AY12&lt;&gt; "", Source!AY12, IF(Source!AN12 &lt;&gt; "", Source!AN12, ""))</f>
        <v/>
      </c>
      <c r="D13" s="98"/>
      <c r="E13" s="98"/>
      <c r="F13" s="98"/>
      <c r="G13" s="98"/>
      <c r="H13" s="98"/>
      <c r="I13" s="98"/>
      <c r="J13" s="12" t="s">
        <v>808</v>
      </c>
      <c r="K13" s="91"/>
      <c r="L13" s="91"/>
      <c r="M13" s="91"/>
    </row>
    <row r="14" spans="1:30" ht="14.25" x14ac:dyDescent="0.2">
      <c r="A14" s="13"/>
      <c r="B14" s="13"/>
      <c r="C14" s="72" t="s">
        <v>809</v>
      </c>
      <c r="D14" s="72"/>
      <c r="E14" s="72"/>
      <c r="F14" s="72"/>
      <c r="G14" s="72"/>
      <c r="H14" s="72"/>
      <c r="I14" s="72"/>
      <c r="J14" s="13"/>
      <c r="K14" s="91" t="str">
        <f>IF(Source!CO15 &lt;&gt; "", Source!CO15, "")</f>
        <v/>
      </c>
      <c r="L14" s="91"/>
      <c r="M14" s="91"/>
    </row>
    <row r="15" spans="1:30" ht="42.75" x14ac:dyDescent="0.2">
      <c r="A15" s="67" t="s">
        <v>812</v>
      </c>
      <c r="B15" s="67"/>
      <c r="C15" s="98" t="s">
        <v>5</v>
      </c>
      <c r="D15" s="98"/>
      <c r="E15" s="98"/>
      <c r="F15" s="98"/>
      <c r="G15" s="98"/>
      <c r="H15" s="98"/>
      <c r="I15" s="98"/>
      <c r="J15" s="13"/>
      <c r="K15" s="91"/>
      <c r="L15" s="91"/>
      <c r="M15" s="91"/>
      <c r="AD15" s="32" t="s">
        <v>5</v>
      </c>
    </row>
    <row r="16" spans="1:30" ht="14.25" x14ac:dyDescent="0.2">
      <c r="A16" s="13"/>
      <c r="B16" s="13"/>
      <c r="C16" s="72" t="s">
        <v>813</v>
      </c>
      <c r="D16" s="72"/>
      <c r="E16" s="72"/>
      <c r="F16" s="72"/>
      <c r="G16" s="72"/>
      <c r="H16" s="72"/>
      <c r="I16" s="72"/>
      <c r="J16" s="13"/>
      <c r="K16" s="91" t="str">
        <f>IF(Source!CP15 &lt;&gt; "", Source!CP15, "")</f>
        <v/>
      </c>
      <c r="L16" s="91"/>
      <c r="M16" s="91"/>
    </row>
    <row r="17" spans="1:30" ht="42.75" x14ac:dyDescent="0.2">
      <c r="A17" s="67" t="s">
        <v>814</v>
      </c>
      <c r="B17" s="67"/>
      <c r="C17" s="98" t="str">
        <f>IF(Source!G12&lt;&gt;"Новый объект", Source!G12, "")</f>
        <v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D17" s="98"/>
      <c r="E17" s="98"/>
      <c r="F17" s="98"/>
      <c r="G17" s="98"/>
      <c r="H17" s="98"/>
      <c r="I17" s="98"/>
      <c r="J17" s="13"/>
      <c r="K17" s="91"/>
      <c r="L17" s="91"/>
      <c r="M17" s="91"/>
      <c r="AD17" s="32" t="str">
        <f>IF(Source!G12&lt;&gt;"Новый объект", Source!G12, "")</f>
        <v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</row>
    <row r="18" spans="1:30" ht="14.25" x14ac:dyDescent="0.2">
      <c r="A18" s="13"/>
      <c r="B18" s="13"/>
      <c r="C18" s="72" t="s">
        <v>815</v>
      </c>
      <c r="D18" s="72"/>
      <c r="E18" s="72"/>
      <c r="F18" s="72"/>
      <c r="G18" s="72"/>
      <c r="H18" s="72"/>
      <c r="I18" s="72"/>
      <c r="J18" s="13"/>
      <c r="K18" s="13"/>
      <c r="L18" s="13"/>
      <c r="M18" s="13"/>
    </row>
    <row r="19" spans="1:30" ht="14.25" x14ac:dyDescent="0.2">
      <c r="A19" s="13"/>
      <c r="B19" s="13"/>
      <c r="C19" s="13"/>
      <c r="D19" s="13"/>
      <c r="E19" s="13"/>
      <c r="F19" s="13"/>
      <c r="G19" s="13"/>
      <c r="H19" s="78" t="s">
        <v>816</v>
      </c>
      <c r="I19" s="78"/>
      <c r="J19" s="99"/>
      <c r="K19" s="91" t="str">
        <f>IF(Source!CQ15 &lt;&gt; "", Source!CQ15, "")</f>
        <v/>
      </c>
      <c r="L19" s="91"/>
      <c r="M19" s="91"/>
    </row>
    <row r="20" spans="1:30" ht="14.25" x14ac:dyDescent="0.2">
      <c r="A20" s="13"/>
      <c r="B20" s="13"/>
      <c r="C20" s="13"/>
      <c r="D20" s="13"/>
      <c r="E20" s="13"/>
      <c r="F20" s="13"/>
      <c r="G20" s="13"/>
      <c r="H20" s="78" t="s">
        <v>817</v>
      </c>
      <c r="I20" s="90"/>
      <c r="J20" s="55" t="s">
        <v>818</v>
      </c>
      <c r="K20" s="91" t="str">
        <f>IF(Source!CR15 &lt;&gt; "", Source!CR15, "")</f>
        <v/>
      </c>
      <c r="L20" s="91"/>
      <c r="M20" s="91"/>
    </row>
    <row r="21" spans="1:30" ht="14.25" x14ac:dyDescent="0.2">
      <c r="A21" s="13"/>
      <c r="B21" s="13"/>
      <c r="C21" s="13"/>
      <c r="D21" s="13"/>
      <c r="E21" s="13"/>
      <c r="F21" s="13"/>
      <c r="G21" s="13"/>
      <c r="H21" s="13"/>
      <c r="I21" s="13"/>
      <c r="J21" s="24" t="s">
        <v>819</v>
      </c>
      <c r="K21" s="92" t="str">
        <f>IF(Source!CS15 &lt;&gt; 0, Source!CS15, "")</f>
        <v/>
      </c>
      <c r="L21" s="92"/>
      <c r="M21" s="92"/>
    </row>
    <row r="22" spans="1:30" ht="14.25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2" t="s">
        <v>820</v>
      </c>
      <c r="K22" s="91" t="str">
        <f>IF(Source!CT15 &lt;&gt; "", Source!CT15, "")</f>
        <v/>
      </c>
      <c r="L22" s="91"/>
      <c r="M22" s="91"/>
    </row>
    <row r="23" spans="1:30" ht="14.25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30" ht="14.25" x14ac:dyDescent="0.2">
      <c r="A24" s="13"/>
      <c r="B24" s="13"/>
      <c r="C24" s="13"/>
      <c r="D24" s="13"/>
      <c r="E24" s="13"/>
      <c r="F24" s="13"/>
      <c r="G24" s="93" t="s">
        <v>821</v>
      </c>
      <c r="H24" s="95" t="s">
        <v>822</v>
      </c>
      <c r="I24" s="95" t="s">
        <v>823</v>
      </c>
      <c r="J24" s="97"/>
      <c r="K24" s="13"/>
      <c r="L24" s="13"/>
      <c r="M24" s="13"/>
    </row>
    <row r="25" spans="1:30" ht="14.25" x14ac:dyDescent="0.2">
      <c r="A25" s="13"/>
      <c r="B25" s="13"/>
      <c r="C25" s="13"/>
      <c r="D25" s="13"/>
      <c r="E25" s="13"/>
      <c r="F25" s="13"/>
      <c r="G25" s="94"/>
      <c r="H25" s="96"/>
      <c r="I25" s="56" t="s">
        <v>824</v>
      </c>
      <c r="J25" s="57" t="s">
        <v>825</v>
      </c>
      <c r="K25" s="13"/>
      <c r="L25" s="13"/>
      <c r="M25" s="13"/>
    </row>
    <row r="26" spans="1:30" ht="14.25" x14ac:dyDescent="0.2">
      <c r="A26" s="13"/>
      <c r="B26" s="13"/>
      <c r="C26" s="13"/>
      <c r="D26" s="13"/>
      <c r="E26" s="13"/>
      <c r="F26" s="13"/>
      <c r="G26" s="24" t="str">
        <f>IF(Source!CN15 &lt;&gt; "", Source!CN15, "")</f>
        <v/>
      </c>
      <c r="H26" s="58">
        <v>43363.408148148148</v>
      </c>
      <c r="I26" s="24"/>
      <c r="J26" s="25"/>
      <c r="K26" s="13"/>
      <c r="L26" s="13"/>
      <c r="M26" s="13"/>
    </row>
    <row r="27" spans="1:30" ht="14.25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30" ht="18" x14ac:dyDescent="0.25">
      <c r="A28" s="13"/>
      <c r="B28" s="87" t="s">
        <v>826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</row>
    <row r="29" spans="1:30" ht="18" x14ac:dyDescent="0.25">
      <c r="A29" s="13"/>
      <c r="B29" s="87" t="s">
        <v>827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</row>
    <row r="30" spans="1:30" ht="14.25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30" x14ac:dyDescent="0.2">
      <c r="A31" s="88" t="s">
        <v>830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</row>
    <row r="32" spans="1:30" ht="14.25" x14ac:dyDescent="0.2">
      <c r="A32" s="89" t="s">
        <v>828</v>
      </c>
      <c r="B32" s="89"/>
      <c r="C32" s="89" t="s">
        <v>779</v>
      </c>
      <c r="D32" s="89" t="s">
        <v>780</v>
      </c>
      <c r="E32" s="89" t="s">
        <v>781</v>
      </c>
      <c r="F32" s="89" t="s">
        <v>782</v>
      </c>
      <c r="G32" s="89" t="s">
        <v>783</v>
      </c>
      <c r="H32" s="89" t="s">
        <v>784</v>
      </c>
      <c r="I32" s="89" t="s">
        <v>785</v>
      </c>
      <c r="J32" s="89" t="s">
        <v>786</v>
      </c>
      <c r="K32" s="89" t="s">
        <v>787</v>
      </c>
      <c r="L32" s="89" t="s">
        <v>788</v>
      </c>
      <c r="M32" s="89" t="s">
        <v>789</v>
      </c>
    </row>
    <row r="33" spans="1:26" ht="57" x14ac:dyDescent="0.2">
      <c r="A33" s="23" t="s">
        <v>778</v>
      </c>
      <c r="B33" s="23" t="s">
        <v>829</v>
      </c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</row>
    <row r="34" spans="1:26" ht="14.25" x14ac:dyDescent="0.2">
      <c r="A34" s="59">
        <v>1</v>
      </c>
      <c r="B34" s="59">
        <v>2</v>
      </c>
      <c r="C34" s="59">
        <v>3</v>
      </c>
      <c r="D34" s="59">
        <v>4</v>
      </c>
      <c r="E34" s="59">
        <v>5</v>
      </c>
      <c r="F34" s="59">
        <v>6</v>
      </c>
      <c r="G34" s="59">
        <v>7</v>
      </c>
      <c r="H34" s="59">
        <v>8</v>
      </c>
      <c r="I34" s="59">
        <v>9</v>
      </c>
      <c r="J34" s="59">
        <v>10</v>
      </c>
      <c r="K34" s="59">
        <v>11</v>
      </c>
      <c r="L34" s="59">
        <v>12</v>
      </c>
      <c r="M34" s="59">
        <v>13</v>
      </c>
    </row>
    <row r="35" spans="1:26" ht="42.75" x14ac:dyDescent="0.2">
      <c r="A35" s="49">
        <v>1</v>
      </c>
      <c r="B35" s="49" t="str">
        <f>Source!E25</f>
        <v>1</v>
      </c>
      <c r="C35" s="50" t="str">
        <f>Source!F25</f>
        <v>46-04-012-01</v>
      </c>
      <c r="D35" s="50" t="str">
        <f>Source!G25</f>
        <v>Разборка деревянных заполнений проемов оконных с подоконными досками</v>
      </c>
      <c r="E35" s="33" t="str">
        <f>Source!H25</f>
        <v>100 м2</v>
      </c>
      <c r="F35" s="12">
        <f>Source!I25</f>
        <v>6.4799999999999996E-2</v>
      </c>
      <c r="G35" s="34">
        <f>Source!AL25+Source!AM25+Source!AO25</f>
        <v>1767.24</v>
      </c>
      <c r="H35" s="35"/>
      <c r="I35" s="34"/>
      <c r="J35" s="35" t="str">
        <f>Source!BO25</f>
        <v/>
      </c>
      <c r="K35" s="35"/>
      <c r="L35" s="34"/>
      <c r="M35" s="36"/>
      <c r="S35">
        <f>ROUND((Source!FX25/100)*((ROUND(Source!AF25*Source!I25, 2)+ROUND(Source!AE25*Source!I25, 2))), 2)</f>
        <v>104.55</v>
      </c>
      <c r="T35">
        <f>Source!X25</f>
        <v>638.83000000000004</v>
      </c>
      <c r="U35">
        <f>ROUND((Source!FY25/100)*((ROUND(Source!AF25*Source!I25, 2)+ROUND(Source!AE25*Source!I25, 2))), 2)</f>
        <v>62.84</v>
      </c>
      <c r="V35">
        <f>Source!Y25</f>
        <v>387.17</v>
      </c>
    </row>
    <row r="36" spans="1:26" x14ac:dyDescent="0.2">
      <c r="D36" s="26" t="str">
        <f>"Объем: "&amp;Source!I25&amp;"=6,48/"&amp;"100"</f>
        <v>Объем: 0,0648=6,48/100</v>
      </c>
    </row>
    <row r="37" spans="1:26" ht="14.25" x14ac:dyDescent="0.2">
      <c r="A37" s="49"/>
      <c r="B37" s="49"/>
      <c r="C37" s="50"/>
      <c r="D37" s="50" t="s">
        <v>791</v>
      </c>
      <c r="E37" s="33"/>
      <c r="F37" s="12"/>
      <c r="G37" s="34">
        <f>Source!AO25</f>
        <v>1525.29</v>
      </c>
      <c r="H37" s="35" t="str">
        <f>Source!DG25</f>
        <v/>
      </c>
      <c r="I37" s="34">
        <f>ROUND(Source!AF25*Source!I25, 2)</f>
        <v>98.84</v>
      </c>
      <c r="J37" s="35"/>
      <c r="K37" s="35">
        <f>IF(Source!BA25&lt;&gt; 0, Source!BA25, 1)</f>
        <v>6.11</v>
      </c>
      <c r="L37" s="34">
        <f>Source!S25</f>
        <v>603.91</v>
      </c>
      <c r="M37" s="36"/>
      <c r="R37">
        <f>I37</f>
        <v>98.84</v>
      </c>
    </row>
    <row r="38" spans="1:26" ht="14.25" x14ac:dyDescent="0.2">
      <c r="A38" s="49"/>
      <c r="B38" s="49"/>
      <c r="C38" s="50"/>
      <c r="D38" s="50" t="s">
        <v>356</v>
      </c>
      <c r="E38" s="33"/>
      <c r="F38" s="12"/>
      <c r="G38" s="34">
        <f>Source!AM25</f>
        <v>241.95</v>
      </c>
      <c r="H38" s="35" t="str">
        <f>Source!DE25</f>
        <v/>
      </c>
      <c r="I38" s="34">
        <f>ROUND(Source!AD25*Source!I25, 2)</f>
        <v>15.68</v>
      </c>
      <c r="J38" s="35"/>
      <c r="K38" s="35">
        <f>IF(Source!BB25&lt;&gt; 0, Source!BB25, 1)</f>
        <v>6.11</v>
      </c>
      <c r="L38" s="34">
        <f>Source!Q25</f>
        <v>95.79</v>
      </c>
      <c r="M38" s="36"/>
    </row>
    <row r="39" spans="1:26" ht="14.25" x14ac:dyDescent="0.2">
      <c r="A39" s="49"/>
      <c r="B39" s="49"/>
      <c r="C39" s="50"/>
      <c r="D39" s="50" t="s">
        <v>792</v>
      </c>
      <c r="E39" s="33"/>
      <c r="F39" s="12"/>
      <c r="G39" s="34">
        <f>Source!AN25</f>
        <v>104.49</v>
      </c>
      <c r="H39" s="35" t="str">
        <f>Source!DF25</f>
        <v/>
      </c>
      <c r="I39" s="37">
        <f>ROUND(Source!AE25*Source!I25, 2)</f>
        <v>6.77</v>
      </c>
      <c r="J39" s="35"/>
      <c r="K39" s="35">
        <f>IF(Source!BS25&lt;&gt; 0, Source!BS25, 1)</f>
        <v>6.11</v>
      </c>
      <c r="L39" s="37">
        <f>Source!R25</f>
        <v>41.37</v>
      </c>
      <c r="M39" s="36"/>
      <c r="R39">
        <f>I39</f>
        <v>6.77</v>
      </c>
    </row>
    <row r="40" spans="1:26" ht="14.25" x14ac:dyDescent="0.2">
      <c r="A40" s="49"/>
      <c r="B40" s="49"/>
      <c r="C40" s="50"/>
      <c r="D40" s="50" t="s">
        <v>793</v>
      </c>
      <c r="E40" s="33" t="s">
        <v>794</v>
      </c>
      <c r="F40" s="12">
        <f>Source!BZ25</f>
        <v>110</v>
      </c>
      <c r="G40" s="67" t="str">
        <f>CONCATENATE(" )", Source!DL25, Source!FT25, "=", Source!FX25)</f>
        <v xml:space="preserve"> )*0,9=99</v>
      </c>
      <c r="H40" s="68"/>
      <c r="I40" s="34">
        <f>SUM(S35:S42)</f>
        <v>104.55</v>
      </c>
      <c r="J40" s="38"/>
      <c r="K40" s="31">
        <f>Source!AT25</f>
        <v>99</v>
      </c>
      <c r="L40" s="34">
        <f>SUM(T35:T42)</f>
        <v>638.83000000000004</v>
      </c>
      <c r="M40" s="36"/>
    </row>
    <row r="41" spans="1:26" ht="14.25" x14ac:dyDescent="0.2">
      <c r="A41" s="49"/>
      <c r="B41" s="49"/>
      <c r="C41" s="50"/>
      <c r="D41" s="50" t="s">
        <v>795</v>
      </c>
      <c r="E41" s="33" t="s">
        <v>794</v>
      </c>
      <c r="F41" s="12">
        <f>Source!CA25</f>
        <v>70</v>
      </c>
      <c r="G41" s="67" t="str">
        <f>CONCATENATE(" )", Source!DM25, Source!FU25, "=", Source!FY25)</f>
        <v xml:space="preserve"> )*0,85=59,5</v>
      </c>
      <c r="H41" s="68"/>
      <c r="I41" s="34">
        <f>SUM(U35:U42)</f>
        <v>62.84</v>
      </c>
      <c r="J41" s="38"/>
      <c r="K41" s="31">
        <f>Source!AU25</f>
        <v>60</v>
      </c>
      <c r="L41" s="34">
        <f>SUM(V35:V42)</f>
        <v>387.17</v>
      </c>
      <c r="M41" s="36"/>
    </row>
    <row r="42" spans="1:26" ht="14.25" x14ac:dyDescent="0.2">
      <c r="A42" s="51"/>
      <c r="B42" s="51"/>
      <c r="C42" s="52"/>
      <c r="D42" s="52" t="s">
        <v>796</v>
      </c>
      <c r="E42" s="39" t="s">
        <v>797</v>
      </c>
      <c r="F42" s="40">
        <f>Source!AQ25</f>
        <v>188.54</v>
      </c>
      <c r="G42" s="41"/>
      <c r="H42" s="42" t="str">
        <f>Source!DI25</f>
        <v/>
      </c>
      <c r="I42" s="41"/>
      <c r="J42" s="42"/>
      <c r="K42" s="42"/>
      <c r="L42" s="41"/>
      <c r="M42" s="43">
        <f>Source!U25</f>
        <v>12.217391999999998</v>
      </c>
    </row>
    <row r="43" spans="1:26" ht="15" x14ac:dyDescent="0.25">
      <c r="H43" s="66">
        <f>I37+I38+I40+I41</f>
        <v>281.90999999999997</v>
      </c>
      <c r="I43" s="66"/>
      <c r="K43" s="66">
        <f>L37+L38+L40+L41</f>
        <v>1725.7</v>
      </c>
      <c r="L43" s="66"/>
      <c r="M43" s="44">
        <f>Source!U25</f>
        <v>12.217391999999998</v>
      </c>
      <c r="O43" s="27">
        <f>H43</f>
        <v>281.90999999999997</v>
      </c>
      <c r="P43" s="27">
        <f>K43</f>
        <v>1725.7</v>
      </c>
      <c r="Q43" s="27">
        <f>M43</f>
        <v>12.217391999999998</v>
      </c>
      <c r="W43">
        <f>IF(Source!BI25&lt;=1,I37+I38+I40+I41, 0)</f>
        <v>281.90999999999997</v>
      </c>
      <c r="X43">
        <f>IF(Source!BI25=2,I37+I38+I40+I41, 0)</f>
        <v>0</v>
      </c>
      <c r="Y43">
        <f>IF(Source!BI25=3,I37+I38+I40+I41, 0)</f>
        <v>0</v>
      </c>
      <c r="Z43">
        <f>IF(Source!BI25=4,I37+I38+I40+I41, 0)</f>
        <v>0</v>
      </c>
    </row>
    <row r="44" spans="1:26" ht="71.25" x14ac:dyDescent="0.2">
      <c r="A44" s="49">
        <v>2</v>
      </c>
      <c r="B44" s="49" t="str">
        <f>Source!E27</f>
        <v>2</v>
      </c>
      <c r="C44" s="50" t="str">
        <f>Source!F27</f>
        <v>10-01-034-06</v>
      </c>
      <c r="D44" s="50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E44" s="33" t="str">
        <f>Source!H27</f>
        <v>100 м2</v>
      </c>
      <c r="F44" s="12">
        <f>Source!I27</f>
        <v>6.4799999999999996E-2</v>
      </c>
      <c r="G44" s="34">
        <f>Source!AL27+Source!AM27+Source!AO27</f>
        <v>9827.15</v>
      </c>
      <c r="H44" s="35"/>
      <c r="I44" s="34"/>
      <c r="J44" s="35" t="str">
        <f>Source!BO27</f>
        <v/>
      </c>
      <c r="K44" s="35"/>
      <c r="L44" s="34"/>
      <c r="M44" s="36"/>
      <c r="S44">
        <f>ROUND((Source!FX27/100)*((ROUND(Source!AF27*Source!I27, 2)+ROUND(Source!AE27*Source!I27, 2))), 2)</f>
        <v>105.13</v>
      </c>
      <c r="T44">
        <f>Source!X27</f>
        <v>641.08000000000004</v>
      </c>
      <c r="U44">
        <f>ROUND((Source!FY27/100)*((ROUND(Source!AF27*Source!I27, 2)+ROUND(Source!AE27*Source!I27, 2))), 2)</f>
        <v>53.01</v>
      </c>
      <c r="V44">
        <f>Source!Y27</f>
        <v>326.58999999999997</v>
      </c>
    </row>
    <row r="45" spans="1:26" x14ac:dyDescent="0.2">
      <c r="D45" s="26" t="str">
        <f>"Объем: "&amp;Source!I27&amp;"=6,48/"&amp;"100"</f>
        <v>Объем: 0,0648=6,48/100</v>
      </c>
    </row>
    <row r="46" spans="1:26" ht="14.25" x14ac:dyDescent="0.2">
      <c r="A46" s="49"/>
      <c r="B46" s="49"/>
      <c r="C46" s="50"/>
      <c r="D46" s="50" t="s">
        <v>791</v>
      </c>
      <c r="E46" s="33"/>
      <c r="F46" s="12"/>
      <c r="G46" s="34">
        <f>Source!AO27</f>
        <v>1273.5899999999999</v>
      </c>
      <c r="H46" s="35" t="str">
        <f>Source!DG27</f>
        <v>)*1,15</v>
      </c>
      <c r="I46" s="34">
        <f>ROUND(Source!AF27*Source!I27, 2)</f>
        <v>94.91</v>
      </c>
      <c r="J46" s="35"/>
      <c r="K46" s="35">
        <f>IF(Source!BA27&lt;&gt; 0, Source!BA27, 1)</f>
        <v>6.11</v>
      </c>
      <c r="L46" s="34">
        <f>Source!S27</f>
        <v>579.89</v>
      </c>
      <c r="M46" s="36"/>
      <c r="R46">
        <f>I46</f>
        <v>94.91</v>
      </c>
    </row>
    <row r="47" spans="1:26" ht="14.25" x14ac:dyDescent="0.2">
      <c r="A47" s="49"/>
      <c r="B47" s="49"/>
      <c r="C47" s="50"/>
      <c r="D47" s="50" t="s">
        <v>356</v>
      </c>
      <c r="E47" s="33"/>
      <c r="F47" s="12"/>
      <c r="G47" s="34">
        <f>Source!AM27</f>
        <v>255.21</v>
      </c>
      <c r="H47" s="35" t="str">
        <f>Source!DE27</f>
        <v>)*1,25</v>
      </c>
      <c r="I47" s="34">
        <f>ROUND(Source!AD27*Source!I27, 2)</f>
        <v>20.67</v>
      </c>
      <c r="J47" s="35"/>
      <c r="K47" s="35">
        <f>IF(Source!BB27&lt;&gt; 0, Source!BB27, 1)</f>
        <v>6.11</v>
      </c>
      <c r="L47" s="34">
        <f>Source!Q27</f>
        <v>126.3</v>
      </c>
      <c r="M47" s="36"/>
    </row>
    <row r="48" spans="1:26" ht="14.25" x14ac:dyDescent="0.2">
      <c r="A48" s="49"/>
      <c r="B48" s="49"/>
      <c r="C48" s="50"/>
      <c r="D48" s="50" t="s">
        <v>792</v>
      </c>
      <c r="E48" s="33"/>
      <c r="F48" s="12"/>
      <c r="G48" s="34">
        <f>Source!AN27</f>
        <v>50.32</v>
      </c>
      <c r="H48" s="35" t="str">
        <f>Source!DF27</f>
        <v>)*1,25</v>
      </c>
      <c r="I48" s="37">
        <f>ROUND(Source!AE27*Source!I27, 2)</f>
        <v>4.08</v>
      </c>
      <c r="J48" s="35"/>
      <c r="K48" s="35">
        <f>IF(Source!BS27&lt;&gt; 0, Source!BS27, 1)</f>
        <v>6.11</v>
      </c>
      <c r="L48" s="37">
        <f>Source!R27</f>
        <v>24.9</v>
      </c>
      <c r="M48" s="36"/>
      <c r="R48">
        <f>I48</f>
        <v>4.08</v>
      </c>
    </row>
    <row r="49" spans="1:26" ht="14.25" x14ac:dyDescent="0.2">
      <c r="A49" s="49"/>
      <c r="B49" s="49"/>
      <c r="C49" s="50"/>
      <c r="D49" s="50" t="s">
        <v>798</v>
      </c>
      <c r="E49" s="33"/>
      <c r="F49" s="12"/>
      <c r="G49" s="34">
        <f>Source!AL27</f>
        <v>8298.35</v>
      </c>
      <c r="H49" s="35" t="str">
        <f>Source!DD27</f>
        <v/>
      </c>
      <c r="I49" s="34">
        <f>ROUND(Source!AC27*Source!I27, 2)</f>
        <v>537.73</v>
      </c>
      <c r="J49" s="35"/>
      <c r="K49" s="35">
        <f>IF(Source!BC27&lt;&gt; 0, Source!BC27, 1)</f>
        <v>6.11</v>
      </c>
      <c r="L49" s="34">
        <f>Source!P27</f>
        <v>3285.55</v>
      </c>
      <c r="M49" s="36"/>
    </row>
    <row r="50" spans="1:26" ht="14.25" x14ac:dyDescent="0.2">
      <c r="A50" s="49"/>
      <c r="B50" s="49"/>
      <c r="C50" s="50"/>
      <c r="D50" s="50" t="s">
        <v>793</v>
      </c>
      <c r="E50" s="33" t="s">
        <v>794</v>
      </c>
      <c r="F50" s="12">
        <f>Source!BZ27</f>
        <v>118</v>
      </c>
      <c r="G50" s="67" t="str">
        <f>CONCATENATE(" )", Source!DL27, Source!FT27, "=", Source!FX27)</f>
        <v xml:space="preserve"> )*0,9=106,2</v>
      </c>
      <c r="H50" s="68"/>
      <c r="I50" s="34">
        <f>SUM(S44:S53)</f>
        <v>105.13</v>
      </c>
      <c r="J50" s="38"/>
      <c r="K50" s="31">
        <f>Source!AT27</f>
        <v>106</v>
      </c>
      <c r="L50" s="34">
        <f>SUM(T44:T53)</f>
        <v>641.08000000000004</v>
      </c>
      <c r="M50" s="36"/>
    </row>
    <row r="51" spans="1:26" ht="14.25" x14ac:dyDescent="0.2">
      <c r="A51" s="49"/>
      <c r="B51" s="49"/>
      <c r="C51" s="50"/>
      <c r="D51" s="50" t="s">
        <v>795</v>
      </c>
      <c r="E51" s="33" t="s">
        <v>794</v>
      </c>
      <c r="F51" s="12">
        <f>Source!CA27</f>
        <v>63</v>
      </c>
      <c r="G51" s="67" t="str">
        <f>CONCATENATE(" )", Source!DM27, Source!FU27, "=", Source!FY27)</f>
        <v xml:space="preserve"> )*0,85=53,55</v>
      </c>
      <c r="H51" s="68"/>
      <c r="I51" s="34">
        <f>SUM(U44:U53)</f>
        <v>53.01</v>
      </c>
      <c r="J51" s="38"/>
      <c r="K51" s="31">
        <f>Source!AU27</f>
        <v>54</v>
      </c>
      <c r="L51" s="34">
        <f>SUM(V44:V53)</f>
        <v>326.58999999999997</v>
      </c>
      <c r="M51" s="36"/>
    </row>
    <row r="52" spans="1:26" ht="14.25" x14ac:dyDescent="0.2">
      <c r="A52" s="49"/>
      <c r="B52" s="49"/>
      <c r="C52" s="50"/>
      <c r="D52" s="50" t="s">
        <v>796</v>
      </c>
      <c r="E52" s="33" t="s">
        <v>797</v>
      </c>
      <c r="F52" s="12">
        <f>Source!AQ27</f>
        <v>145.72</v>
      </c>
      <c r="G52" s="34"/>
      <c r="H52" s="35" t="str">
        <f>Source!DI27</f>
        <v>)*1,15</v>
      </c>
      <c r="I52" s="34"/>
      <c r="J52" s="35"/>
      <c r="K52" s="35"/>
      <c r="L52" s="34"/>
      <c r="M52" s="45">
        <f>Source!U27</f>
        <v>10.859054399999998</v>
      </c>
    </row>
    <row r="53" spans="1:26" ht="71.25" x14ac:dyDescent="0.2">
      <c r="A53" s="51">
        <v>3</v>
      </c>
      <c r="B53" s="51" t="str">
        <f>Source!E29</f>
        <v>2,1</v>
      </c>
      <c r="C53" s="52" t="str">
        <f>Source!F29</f>
        <v>11.3.02.01-0019</v>
      </c>
      <c r="D53" s="52" t="str">
        <f>Source!G29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E53" s="39" t="str">
        <f>Source!H29</f>
        <v>м2</v>
      </c>
      <c r="F53" s="40">
        <f>Source!I29</f>
        <v>6.48</v>
      </c>
      <c r="G53" s="41">
        <f>Source!AL29+Source!AM29+Source!AO29</f>
        <v>2554.73</v>
      </c>
      <c r="H53" s="46" t="s">
        <v>6</v>
      </c>
      <c r="I53" s="41">
        <f>ROUND(Source!AC29*Source!I29, 2)+ROUND(Source!AD29*Source!I29, 2)+ROUND(Source!AF29*Source!I29, 2)</f>
        <v>16554.650000000001</v>
      </c>
      <c r="J53" s="42"/>
      <c r="K53" s="42">
        <f>IF(Source!BC29&lt;&gt; 0, Source!BC29, 1)</f>
        <v>6.11</v>
      </c>
      <c r="L53" s="41">
        <f>Source!O29</f>
        <v>101148.91</v>
      </c>
      <c r="M53" s="47"/>
      <c r="S53">
        <f>ROUND((Source!FX29/100)*((ROUND(Source!AF29*Source!I29, 2)+ROUND(Source!AE29*Source!I29, 2))), 2)</f>
        <v>0</v>
      </c>
      <c r="T53">
        <f>Source!X29</f>
        <v>0</v>
      </c>
      <c r="U53">
        <f>ROUND((Source!FY29/100)*((ROUND(Source!AF29*Source!I29, 2)+ROUND(Source!AE29*Source!I29, 2))), 2)</f>
        <v>0</v>
      </c>
      <c r="V53">
        <f>Source!Y29</f>
        <v>0</v>
      </c>
      <c r="W53">
        <f>IF(Source!BI29&lt;=1,I53, 0)</f>
        <v>16554.650000000001</v>
      </c>
      <c r="X53">
        <f>IF(Source!BI29=2,I53, 0)</f>
        <v>0</v>
      </c>
      <c r="Y53">
        <f>IF(Source!BI29=3,I53, 0)</f>
        <v>0</v>
      </c>
      <c r="Z53">
        <f>IF(Source!BI29=4,I53, 0)</f>
        <v>0</v>
      </c>
    </row>
    <row r="54" spans="1:26" ht="15" x14ac:dyDescent="0.25">
      <c r="H54" s="66">
        <f>I46+I47+I49+I50+I51+SUM(I53:I53)</f>
        <v>17366.100000000002</v>
      </c>
      <c r="I54" s="66"/>
      <c r="K54" s="66">
        <f>L46+L47+L49+L50+L51+SUM(L53:L53)</f>
        <v>106108.32</v>
      </c>
      <c r="L54" s="66"/>
      <c r="M54" s="44">
        <f>Source!U27</f>
        <v>10.859054399999998</v>
      </c>
      <c r="O54" s="27">
        <f>H54</f>
        <v>17366.100000000002</v>
      </c>
      <c r="P54" s="27">
        <f>K54</f>
        <v>106108.32</v>
      </c>
      <c r="Q54" s="27">
        <f>M54</f>
        <v>10.859054399999998</v>
      </c>
      <c r="W54">
        <f>IF(Source!BI27&lt;=1,I46+I47+I49+I50+I51, 0)</f>
        <v>811.45</v>
      </c>
      <c r="X54">
        <f>IF(Source!BI27=2,I46+I47+I49+I50+I51, 0)</f>
        <v>0</v>
      </c>
      <c r="Y54">
        <f>IF(Source!BI27=3,I46+I47+I49+I50+I51, 0)</f>
        <v>0</v>
      </c>
      <c r="Z54">
        <f>IF(Source!BI27=4,I46+I47+I49+I50+I51, 0)</f>
        <v>0</v>
      </c>
    </row>
    <row r="55" spans="1:26" ht="42.75" x14ac:dyDescent="0.2">
      <c r="A55" s="49">
        <v>4</v>
      </c>
      <c r="B55" s="49" t="str">
        <f>Source!E31</f>
        <v>3</v>
      </c>
      <c r="C55" s="50" t="str">
        <f>Source!F31</f>
        <v>10-01-035-03</v>
      </c>
      <c r="D55" s="50" t="str">
        <f>Source!G31</f>
        <v>Установка подоконных досок из ПВХ в каменных стенах толщиной свыше 0,51 м</v>
      </c>
      <c r="E55" s="33" t="str">
        <f>Source!H31</f>
        <v>100 м</v>
      </c>
      <c r="F55" s="12">
        <f>Source!I31</f>
        <v>3.2000000000000001E-2</v>
      </c>
      <c r="G55" s="34">
        <f>Source!AL31+Source!AM31+Source!AO31</f>
        <v>6481.1699999999992</v>
      </c>
      <c r="H55" s="35"/>
      <c r="I55" s="34"/>
      <c r="J55" s="35" t="str">
        <f>Source!BO31</f>
        <v/>
      </c>
      <c r="K55" s="35"/>
      <c r="L55" s="34"/>
      <c r="M55" s="36"/>
      <c r="S55">
        <f>ROUND((Source!FX31/100)*((ROUND(Source!AF31*Source!I31, 2)+ROUND(Source!AE31*Source!I31, 2))), 2)</f>
        <v>7.32</v>
      </c>
      <c r="T55">
        <f>Source!X31</f>
        <v>44.62</v>
      </c>
      <c r="U55">
        <f>ROUND((Source!FY31/100)*((ROUND(Source!AF31*Source!I31, 2)+ROUND(Source!AE31*Source!I31, 2))), 2)</f>
        <v>3.69</v>
      </c>
      <c r="V55">
        <f>Source!Y31</f>
        <v>22.73</v>
      </c>
    </row>
    <row r="56" spans="1:26" x14ac:dyDescent="0.2">
      <c r="D56" s="26" t="str">
        <f>"Объем: "&amp;Source!I31&amp;"=3,2/"&amp;"100"</f>
        <v>Объем: 0,032=3,2/100</v>
      </c>
    </row>
    <row r="57" spans="1:26" ht="14.25" x14ac:dyDescent="0.2">
      <c r="A57" s="49"/>
      <c r="B57" s="49"/>
      <c r="C57" s="50"/>
      <c r="D57" s="50" t="s">
        <v>791</v>
      </c>
      <c r="E57" s="33"/>
      <c r="F57" s="12"/>
      <c r="G57" s="34">
        <f>Source!AO31</f>
        <v>182.37</v>
      </c>
      <c r="H57" s="35" t="str">
        <f>Source!DG31</f>
        <v>)*1,15</v>
      </c>
      <c r="I57" s="34">
        <f>ROUND(Source!AF31*Source!I31, 2)</f>
        <v>6.71</v>
      </c>
      <c r="J57" s="35"/>
      <c r="K57" s="35">
        <f>IF(Source!BA31&lt;&gt; 0, Source!BA31, 1)</f>
        <v>6.11</v>
      </c>
      <c r="L57" s="34">
        <f>Source!S31</f>
        <v>41.01</v>
      </c>
      <c r="M57" s="36"/>
      <c r="R57">
        <f>I57</f>
        <v>6.71</v>
      </c>
    </row>
    <row r="58" spans="1:26" ht="14.25" x14ac:dyDescent="0.2">
      <c r="A58" s="49"/>
      <c r="B58" s="49"/>
      <c r="C58" s="50"/>
      <c r="D58" s="50" t="s">
        <v>356</v>
      </c>
      <c r="E58" s="33"/>
      <c r="F58" s="12"/>
      <c r="G58" s="34">
        <f>Source!AM31</f>
        <v>21.9</v>
      </c>
      <c r="H58" s="35" t="str">
        <f>Source!DE31</f>
        <v>)*1,25</v>
      </c>
      <c r="I58" s="34">
        <f>ROUND(Source!AD31*Source!I31, 2)</f>
        <v>0.88</v>
      </c>
      <c r="J58" s="35"/>
      <c r="K58" s="35">
        <f>IF(Source!BB31&lt;&gt; 0, Source!BB31, 1)</f>
        <v>6.11</v>
      </c>
      <c r="L58" s="34">
        <f>Source!Q31</f>
        <v>5.35</v>
      </c>
      <c r="M58" s="36"/>
    </row>
    <row r="59" spans="1:26" ht="14.25" x14ac:dyDescent="0.2">
      <c r="A59" s="49"/>
      <c r="B59" s="49"/>
      <c r="C59" s="50"/>
      <c r="D59" s="50" t="s">
        <v>792</v>
      </c>
      <c r="E59" s="33"/>
      <c r="F59" s="12"/>
      <c r="G59" s="34">
        <f>Source!AN31</f>
        <v>4.43</v>
      </c>
      <c r="H59" s="35" t="str">
        <f>Source!DF31</f>
        <v>)*1,25</v>
      </c>
      <c r="I59" s="37">
        <f>ROUND(Source!AE31*Source!I31, 2)</f>
        <v>0.18</v>
      </c>
      <c r="J59" s="35"/>
      <c r="K59" s="35">
        <f>IF(Source!BS31&lt;&gt; 0, Source!BS31, 1)</f>
        <v>6.11</v>
      </c>
      <c r="L59" s="37">
        <f>Source!R31</f>
        <v>1.08</v>
      </c>
      <c r="M59" s="36"/>
      <c r="R59">
        <f>I59</f>
        <v>0.18</v>
      </c>
    </row>
    <row r="60" spans="1:26" ht="14.25" x14ac:dyDescent="0.2">
      <c r="A60" s="49"/>
      <c r="B60" s="49"/>
      <c r="C60" s="50"/>
      <c r="D60" s="50" t="s">
        <v>798</v>
      </c>
      <c r="E60" s="33"/>
      <c r="F60" s="12"/>
      <c r="G60" s="34">
        <f>Source!AL31</f>
        <v>6276.9</v>
      </c>
      <c r="H60" s="35" t="str">
        <f>Source!DD31</f>
        <v/>
      </c>
      <c r="I60" s="34">
        <f>ROUND(Source!AC31*Source!I31, 2)</f>
        <v>200.86</v>
      </c>
      <c r="J60" s="35"/>
      <c r="K60" s="35">
        <f>IF(Source!BC31&lt;&gt; 0, Source!BC31, 1)</f>
        <v>6.11</v>
      </c>
      <c r="L60" s="34">
        <f>Source!P31</f>
        <v>1227.26</v>
      </c>
      <c r="M60" s="36"/>
    </row>
    <row r="61" spans="1:26" ht="14.25" x14ac:dyDescent="0.2">
      <c r="A61" s="49"/>
      <c r="B61" s="49"/>
      <c r="C61" s="50"/>
      <c r="D61" s="50" t="s">
        <v>793</v>
      </c>
      <c r="E61" s="33" t="s">
        <v>794</v>
      </c>
      <c r="F61" s="12">
        <f>Source!BZ31</f>
        <v>118</v>
      </c>
      <c r="G61" s="67" t="str">
        <f>CONCATENATE(" )", Source!DL31, Source!FT31, "=", Source!FX31)</f>
        <v xml:space="preserve"> )*0,9=106,2</v>
      </c>
      <c r="H61" s="68"/>
      <c r="I61" s="34">
        <f>SUM(S55:S64)</f>
        <v>7.32</v>
      </c>
      <c r="J61" s="38"/>
      <c r="K61" s="31">
        <f>Source!AT31</f>
        <v>106</v>
      </c>
      <c r="L61" s="34">
        <f>SUM(T55:T64)</f>
        <v>44.62</v>
      </c>
      <c r="M61" s="36"/>
    </row>
    <row r="62" spans="1:26" ht="14.25" x14ac:dyDescent="0.2">
      <c r="A62" s="49"/>
      <c r="B62" s="49"/>
      <c r="C62" s="50"/>
      <c r="D62" s="50" t="s">
        <v>795</v>
      </c>
      <c r="E62" s="33" t="s">
        <v>794</v>
      </c>
      <c r="F62" s="12">
        <f>Source!CA31</f>
        <v>63</v>
      </c>
      <c r="G62" s="67" t="str">
        <f>CONCATENATE(" )", Source!DM31, Source!FU31, "=", Source!FY31)</f>
        <v xml:space="preserve"> )*0,85=53,55</v>
      </c>
      <c r="H62" s="68"/>
      <c r="I62" s="34">
        <f>SUM(U55:U64)</f>
        <v>3.69</v>
      </c>
      <c r="J62" s="38"/>
      <c r="K62" s="31">
        <f>Source!AU31</f>
        <v>54</v>
      </c>
      <c r="L62" s="34">
        <f>SUM(V55:V64)</f>
        <v>22.73</v>
      </c>
      <c r="M62" s="36"/>
    </row>
    <row r="63" spans="1:26" ht="14.25" x14ac:dyDescent="0.2">
      <c r="A63" s="49"/>
      <c r="B63" s="49"/>
      <c r="C63" s="50"/>
      <c r="D63" s="50" t="s">
        <v>796</v>
      </c>
      <c r="E63" s="33" t="s">
        <v>797</v>
      </c>
      <c r="F63" s="12">
        <f>Source!AQ31</f>
        <v>21.38</v>
      </c>
      <c r="G63" s="34"/>
      <c r="H63" s="35" t="str">
        <f>Source!DI31</f>
        <v>)*1,15</v>
      </c>
      <c r="I63" s="34"/>
      <c r="J63" s="35"/>
      <c r="K63" s="35"/>
      <c r="L63" s="34"/>
      <c r="M63" s="45">
        <f>Source!U31</f>
        <v>0.78678399999999993</v>
      </c>
    </row>
    <row r="64" spans="1:26" ht="28.5" x14ac:dyDescent="0.2">
      <c r="A64" s="51">
        <v>5</v>
      </c>
      <c r="B64" s="51" t="str">
        <f>Source!E33</f>
        <v>3,1</v>
      </c>
      <c r="C64" s="52" t="str">
        <f>Source!F33</f>
        <v>11.3.03.01-0004</v>
      </c>
      <c r="D64" s="52" t="str">
        <f>Source!G33</f>
        <v>Доски подоконные ПВХ, шириной 250 мм</v>
      </c>
      <c r="E64" s="39" t="str">
        <f>Source!H33</f>
        <v>м</v>
      </c>
      <c r="F64" s="40">
        <f>Source!I33</f>
        <v>3.2</v>
      </c>
      <c r="G64" s="41">
        <f>Source!AL33+Source!AM33+Source!AO33</f>
        <v>32.42</v>
      </c>
      <c r="H64" s="46" t="s">
        <v>6</v>
      </c>
      <c r="I64" s="41">
        <f>ROUND(Source!AC33*Source!I33, 2)+ROUND(Source!AD33*Source!I33, 2)+ROUND(Source!AF33*Source!I33, 2)</f>
        <v>103.74</v>
      </c>
      <c r="J64" s="42"/>
      <c r="K64" s="42">
        <f>IF(Source!BC33&lt;&gt; 0, Source!BC33, 1)</f>
        <v>6.11</v>
      </c>
      <c r="L64" s="41">
        <f>Source!O33</f>
        <v>633.88</v>
      </c>
      <c r="M64" s="47"/>
      <c r="S64">
        <f>ROUND((Source!FX33/100)*((ROUND(Source!AF33*Source!I33, 2)+ROUND(Source!AE33*Source!I33, 2))), 2)</f>
        <v>0</v>
      </c>
      <c r="T64">
        <f>Source!X33</f>
        <v>0</v>
      </c>
      <c r="U64">
        <f>ROUND((Source!FY33/100)*((ROUND(Source!AF33*Source!I33, 2)+ROUND(Source!AE33*Source!I33, 2))), 2)</f>
        <v>0</v>
      </c>
      <c r="V64">
        <f>Source!Y33</f>
        <v>0</v>
      </c>
      <c r="W64">
        <f>IF(Source!BI33&lt;=1,I64, 0)</f>
        <v>103.74</v>
      </c>
      <c r="X64">
        <f>IF(Source!BI33=2,I64, 0)</f>
        <v>0</v>
      </c>
      <c r="Y64">
        <f>IF(Source!BI33=3,I64, 0)</f>
        <v>0</v>
      </c>
      <c r="Z64">
        <f>IF(Source!BI33=4,I64, 0)</f>
        <v>0</v>
      </c>
    </row>
    <row r="65" spans="1:26" ht="15" x14ac:dyDescent="0.25">
      <c r="H65" s="66">
        <f>I57+I58+I60+I61+I62+SUM(I64:I64)</f>
        <v>323.2</v>
      </c>
      <c r="I65" s="66"/>
      <c r="K65" s="66">
        <f>L57+L58+L60+L61+L62+SUM(L64:L64)</f>
        <v>1974.85</v>
      </c>
      <c r="L65" s="66"/>
      <c r="M65" s="44">
        <f>Source!U31</f>
        <v>0.78678399999999993</v>
      </c>
      <c r="O65" s="27">
        <f>H65</f>
        <v>323.2</v>
      </c>
      <c r="P65" s="27">
        <f>K65</f>
        <v>1974.85</v>
      </c>
      <c r="Q65" s="27">
        <f>M65</f>
        <v>0.78678399999999993</v>
      </c>
      <c r="W65">
        <f>IF(Source!BI31&lt;=1,I57+I58+I60+I61+I62, 0)</f>
        <v>219.46</v>
      </c>
      <c r="X65">
        <f>IF(Source!BI31=2,I57+I58+I60+I61+I62, 0)</f>
        <v>0</v>
      </c>
      <c r="Y65">
        <f>IF(Source!BI31=3,I57+I58+I60+I61+I62, 0)</f>
        <v>0</v>
      </c>
      <c r="Z65">
        <f>IF(Source!BI31=4,I57+I58+I60+I61+I62, 0)</f>
        <v>0</v>
      </c>
    </row>
    <row r="66" spans="1:26" ht="57" x14ac:dyDescent="0.2">
      <c r="A66" s="49">
        <v>6</v>
      </c>
      <c r="B66" s="49" t="str">
        <f>Source!E35</f>
        <v>4</v>
      </c>
      <c r="C66" s="50" t="str">
        <f>Source!F35</f>
        <v>15-01-050-04</v>
      </c>
      <c r="D66" s="50" t="str">
        <f>Source!G35</f>
        <v>Облицовка оконных и дверных откосов декоративным бумажно-слоистым пластиком или листами из синтетических материалов на клее</v>
      </c>
      <c r="E66" s="33" t="str">
        <f>Source!H35</f>
        <v>100 м2</v>
      </c>
      <c r="F66" s="12">
        <f>Source!I35</f>
        <v>2.46E-2</v>
      </c>
      <c r="G66" s="34">
        <f>Source!AL35+Source!AM35+Source!AO35</f>
        <v>1563.91</v>
      </c>
      <c r="H66" s="35"/>
      <c r="I66" s="34"/>
      <c r="J66" s="35" t="str">
        <f>Source!BO35</f>
        <v/>
      </c>
      <c r="K66" s="35"/>
      <c r="L66" s="34"/>
      <c r="M66" s="36"/>
      <c r="S66">
        <f>ROUND((Source!FX35/100)*((ROUND(Source!AF35*Source!I35, 2)+ROUND(Source!AE35*Source!I35, 2))), 2)</f>
        <v>41.05</v>
      </c>
      <c r="T66">
        <f>Source!X35</f>
        <v>252.17</v>
      </c>
      <c r="U66">
        <f>ROUND((Source!FY35/100)*((ROUND(Source!AF35*Source!I35, 2)+ROUND(Source!AE35*Source!I35, 2))), 2)</f>
        <v>20.309999999999999</v>
      </c>
      <c r="V66">
        <f>Source!Y35</f>
        <v>124.76</v>
      </c>
    </row>
    <row r="67" spans="1:26" x14ac:dyDescent="0.2">
      <c r="D67" s="26" t="str">
        <f>"Объем: "&amp;Source!I35&amp;"=2,46/"&amp;"100"</f>
        <v>Объем: 0,0246=2,46/100</v>
      </c>
    </row>
    <row r="68" spans="1:26" ht="14.25" x14ac:dyDescent="0.2">
      <c r="A68" s="49"/>
      <c r="B68" s="49"/>
      <c r="C68" s="50"/>
      <c r="D68" s="50" t="s">
        <v>791</v>
      </c>
      <c r="E68" s="33"/>
      <c r="F68" s="12"/>
      <c r="G68" s="34">
        <f>Source!AO35</f>
        <v>1528.19</v>
      </c>
      <c r="H68" s="35" t="str">
        <f>Source!DG35</f>
        <v>)*1,15</v>
      </c>
      <c r="I68" s="34">
        <f>ROUND(Source!AF35*Source!I35, 2)</f>
        <v>43.23</v>
      </c>
      <c r="J68" s="35"/>
      <c r="K68" s="35">
        <f>IF(Source!BA35&lt;&gt; 0, Source!BA35, 1)</f>
        <v>6.11</v>
      </c>
      <c r="L68" s="34">
        <f>Source!S35</f>
        <v>264.14999999999998</v>
      </c>
      <c r="M68" s="36"/>
      <c r="R68">
        <f>I68</f>
        <v>43.23</v>
      </c>
    </row>
    <row r="69" spans="1:26" ht="14.25" x14ac:dyDescent="0.2">
      <c r="A69" s="49"/>
      <c r="B69" s="49"/>
      <c r="C69" s="50"/>
      <c r="D69" s="50" t="s">
        <v>356</v>
      </c>
      <c r="E69" s="33"/>
      <c r="F69" s="12"/>
      <c r="G69" s="34">
        <f>Source!AM35</f>
        <v>35.36</v>
      </c>
      <c r="H69" s="35" t="str">
        <f>Source!DE35</f>
        <v>)*1,25</v>
      </c>
      <c r="I69" s="34">
        <f>ROUND(Source!AD35*Source!I35, 2)</f>
        <v>1.0900000000000001</v>
      </c>
      <c r="J69" s="35"/>
      <c r="K69" s="35">
        <f>IF(Source!BB35&lt;&gt; 0, Source!BB35, 1)</f>
        <v>6.11</v>
      </c>
      <c r="L69" s="34">
        <f>Source!Q35</f>
        <v>6.64</v>
      </c>
      <c r="M69" s="36"/>
    </row>
    <row r="70" spans="1:26" ht="14.25" x14ac:dyDescent="0.2">
      <c r="A70" s="49"/>
      <c r="B70" s="49"/>
      <c r="C70" s="50"/>
      <c r="D70" s="50" t="s">
        <v>792</v>
      </c>
      <c r="E70" s="33"/>
      <c r="F70" s="12"/>
      <c r="G70" s="34">
        <f>Source!AN35</f>
        <v>6.88</v>
      </c>
      <c r="H70" s="35" t="str">
        <f>Source!DF35</f>
        <v>)*1,25</v>
      </c>
      <c r="I70" s="37">
        <f>ROUND(Source!AE35*Source!I35, 2)</f>
        <v>0.21</v>
      </c>
      <c r="J70" s="35"/>
      <c r="K70" s="35">
        <f>IF(Source!BS35&lt;&gt; 0, Source!BS35, 1)</f>
        <v>6.11</v>
      </c>
      <c r="L70" s="37">
        <f>Source!R35</f>
        <v>1.29</v>
      </c>
      <c r="M70" s="36"/>
      <c r="R70">
        <f>I70</f>
        <v>0.21</v>
      </c>
    </row>
    <row r="71" spans="1:26" ht="14.25" x14ac:dyDescent="0.2">
      <c r="A71" s="49"/>
      <c r="B71" s="49"/>
      <c r="C71" s="50"/>
      <c r="D71" s="50" t="s">
        <v>798</v>
      </c>
      <c r="E71" s="33"/>
      <c r="F71" s="12"/>
      <c r="G71" s="34">
        <f>Source!AL35</f>
        <v>0.36</v>
      </c>
      <c r="H71" s="35" t="str">
        <f>Source!DD35</f>
        <v/>
      </c>
      <c r="I71" s="34">
        <f>ROUND(Source!AC35*Source!I35, 2)</f>
        <v>0.01</v>
      </c>
      <c r="J71" s="35"/>
      <c r="K71" s="35">
        <f>IF(Source!BC35&lt;&gt; 0, Source!BC35, 1)</f>
        <v>6.11</v>
      </c>
      <c r="L71" s="34">
        <f>Source!P35</f>
        <v>0.05</v>
      </c>
      <c r="M71" s="36"/>
    </row>
    <row r="72" spans="1:26" ht="14.25" x14ac:dyDescent="0.2">
      <c r="A72" s="49"/>
      <c r="B72" s="49"/>
      <c r="C72" s="50"/>
      <c r="D72" s="50" t="s">
        <v>793</v>
      </c>
      <c r="E72" s="33" t="s">
        <v>794</v>
      </c>
      <c r="F72" s="12">
        <f>Source!BZ35</f>
        <v>105</v>
      </c>
      <c r="G72" s="67" t="str">
        <f>CONCATENATE(" )", Source!DL35, Source!FT35, "=", Source!FX35)</f>
        <v xml:space="preserve"> )*0,9=94,5</v>
      </c>
      <c r="H72" s="68"/>
      <c r="I72" s="34">
        <f>SUM(S66:S77)</f>
        <v>41.05</v>
      </c>
      <c r="J72" s="38"/>
      <c r="K72" s="31">
        <f>Source!AT35</f>
        <v>95</v>
      </c>
      <c r="L72" s="34">
        <f>SUM(T66:T77)</f>
        <v>252.17</v>
      </c>
      <c r="M72" s="36"/>
    </row>
    <row r="73" spans="1:26" ht="14.25" x14ac:dyDescent="0.2">
      <c r="A73" s="49"/>
      <c r="B73" s="49"/>
      <c r="C73" s="50"/>
      <c r="D73" s="50" t="s">
        <v>795</v>
      </c>
      <c r="E73" s="33" t="s">
        <v>794</v>
      </c>
      <c r="F73" s="12">
        <f>Source!CA35</f>
        <v>55</v>
      </c>
      <c r="G73" s="67" t="str">
        <f>CONCATENATE(" )", Source!DM35, Source!FU35, "=", Source!FY35)</f>
        <v xml:space="preserve"> )*0,85=46,75</v>
      </c>
      <c r="H73" s="68"/>
      <c r="I73" s="34">
        <f>SUM(U66:U77)</f>
        <v>20.309999999999999</v>
      </c>
      <c r="J73" s="38"/>
      <c r="K73" s="31">
        <f>Source!AU35</f>
        <v>47</v>
      </c>
      <c r="L73" s="34">
        <f>SUM(V66:V77)</f>
        <v>124.76</v>
      </c>
      <c r="M73" s="36"/>
    </row>
    <row r="74" spans="1:26" ht="14.25" x14ac:dyDescent="0.2">
      <c r="A74" s="49"/>
      <c r="B74" s="49"/>
      <c r="C74" s="50"/>
      <c r="D74" s="50" t="s">
        <v>796</v>
      </c>
      <c r="E74" s="33" t="s">
        <v>797</v>
      </c>
      <c r="F74" s="12">
        <f>Source!AQ35</f>
        <v>166.47</v>
      </c>
      <c r="G74" s="34"/>
      <c r="H74" s="35" t="str">
        <f>Source!DI35</f>
        <v>)*1,15</v>
      </c>
      <c r="I74" s="34"/>
      <c r="J74" s="35"/>
      <c r="K74" s="35"/>
      <c r="L74" s="34"/>
      <c r="M74" s="45">
        <f>Source!U35</f>
        <v>4.7094363000000001</v>
      </c>
    </row>
    <row r="75" spans="1:26" ht="85.5" x14ac:dyDescent="0.2">
      <c r="A75" s="49">
        <v>7</v>
      </c>
      <c r="B75" s="49" t="str">
        <f>Source!E37</f>
        <v>4,1</v>
      </c>
      <c r="C75" s="50" t="str">
        <f>Source!F37</f>
        <v>11.3.03.05-0011</v>
      </c>
      <c r="D75" s="50" t="str">
        <f>Source!G37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E75" s="33" t="str">
        <f>Source!H37</f>
        <v>м2</v>
      </c>
      <c r="F75" s="12">
        <f>Source!I37</f>
        <v>2.5830000000000002</v>
      </c>
      <c r="G75" s="34">
        <f>Source!AL37+Source!AM37+Source!AO37</f>
        <v>59.16</v>
      </c>
      <c r="H75" s="48" t="s">
        <v>6</v>
      </c>
      <c r="I75" s="34">
        <f>ROUND(Source!AC37*Source!I37, 2)+ROUND(Source!AD37*Source!I37, 2)+ROUND(Source!AF37*Source!I37, 2)</f>
        <v>152.81</v>
      </c>
      <c r="J75" s="35"/>
      <c r="K75" s="35">
        <f>IF(Source!BC37&lt;&gt; 0, Source!BC37, 1)</f>
        <v>6.11</v>
      </c>
      <c r="L75" s="34">
        <f>Source!O37</f>
        <v>933.67</v>
      </c>
      <c r="M75" s="36"/>
      <c r="S75">
        <f>ROUND((Source!FX37/100)*((ROUND(Source!AF37*Source!I37, 2)+ROUND(Source!AE37*Source!I37, 2))), 2)</f>
        <v>0</v>
      </c>
      <c r="T75">
        <f>Source!X37</f>
        <v>0</v>
      </c>
      <c r="U75">
        <f>ROUND((Source!FY37/100)*((ROUND(Source!AF37*Source!I37, 2)+ROUND(Source!AE37*Source!I37, 2))), 2)</f>
        <v>0</v>
      </c>
      <c r="V75">
        <f>Source!Y37</f>
        <v>0</v>
      </c>
      <c r="W75">
        <f>IF(Source!BI37&lt;=1,I75, 0)</f>
        <v>152.81</v>
      </c>
      <c r="X75">
        <f>IF(Source!BI37=2,I75, 0)</f>
        <v>0</v>
      </c>
      <c r="Y75">
        <f>IF(Source!BI37=3,I75, 0)</f>
        <v>0</v>
      </c>
      <c r="Z75">
        <f>IF(Source!BI37=4,I75, 0)</f>
        <v>0</v>
      </c>
    </row>
    <row r="76" spans="1:26" ht="28.5" x14ac:dyDescent="0.2">
      <c r="A76" s="49">
        <v>8</v>
      </c>
      <c r="B76" s="49" t="str">
        <f>Source!E39</f>
        <v>4,2</v>
      </c>
      <c r="C76" s="50" t="str">
        <f>Source!F39</f>
        <v>14.1.02.04-0102</v>
      </c>
      <c r="D76" s="50" t="str">
        <f>Source!G39</f>
        <v>Клей Forbo 522, для укладки ПВХ-покрытий</v>
      </c>
      <c r="E76" s="33" t="str">
        <f>Source!H39</f>
        <v>кг</v>
      </c>
      <c r="F76" s="12">
        <f>Source!I39</f>
        <v>0.73799999999999999</v>
      </c>
      <c r="G76" s="34">
        <f>Source!AL39+Source!AM39+Source!AO39</f>
        <v>25.56</v>
      </c>
      <c r="H76" s="48" t="s">
        <v>6</v>
      </c>
      <c r="I76" s="34">
        <f>ROUND(Source!AC39*Source!I39, 2)+ROUND(Source!AD39*Source!I39, 2)+ROUND(Source!AF39*Source!I39, 2)</f>
        <v>18.86</v>
      </c>
      <c r="J76" s="35"/>
      <c r="K76" s="35">
        <f>IF(Source!BC39&lt;&gt; 0, Source!BC39, 1)</f>
        <v>6.11</v>
      </c>
      <c r="L76" s="34">
        <f>Source!O39</f>
        <v>115.25</v>
      </c>
      <c r="M76" s="36"/>
      <c r="S76">
        <f>ROUND((Source!FX39/100)*((ROUND(Source!AF39*Source!I39, 2)+ROUND(Source!AE39*Source!I39, 2))), 2)</f>
        <v>0</v>
      </c>
      <c r="T76">
        <f>Source!X39</f>
        <v>0</v>
      </c>
      <c r="U76">
        <f>ROUND((Source!FY39/100)*((ROUND(Source!AF39*Source!I39, 2)+ROUND(Source!AE39*Source!I39, 2))), 2)</f>
        <v>0</v>
      </c>
      <c r="V76">
        <f>Source!Y39</f>
        <v>0</v>
      </c>
      <c r="W76">
        <f>IF(Source!BI39&lt;=1,I76, 0)</f>
        <v>18.86</v>
      </c>
      <c r="X76">
        <f>IF(Source!BI39=2,I76, 0)</f>
        <v>0</v>
      </c>
      <c r="Y76">
        <f>IF(Source!BI39=3,I76, 0)</f>
        <v>0</v>
      </c>
      <c r="Z76">
        <f>IF(Source!BI39=4,I76, 0)</f>
        <v>0</v>
      </c>
    </row>
    <row r="77" spans="1:26" ht="28.5" x14ac:dyDescent="0.2">
      <c r="A77" s="51">
        <v>9</v>
      </c>
      <c r="B77" s="51" t="str">
        <f>Source!E41</f>
        <v>4,3</v>
      </c>
      <c r="C77" s="52" t="str">
        <f>Source!F41</f>
        <v>14.3.01.02-0102</v>
      </c>
      <c r="D77" s="52" t="str">
        <f>Source!G41</f>
        <v>Грунтовка: водно-дисперсионная "БИРСС Бетон-контакт"</v>
      </c>
      <c r="E77" s="39" t="str">
        <f>Source!H41</f>
        <v>т</v>
      </c>
      <c r="F77" s="40">
        <f>Source!I41</f>
        <v>2.1900000000000004E-4</v>
      </c>
      <c r="G77" s="41">
        <f>Source!AL41+Source!AM41+Source!AO41</f>
        <v>18390.16</v>
      </c>
      <c r="H77" s="46" t="s">
        <v>6</v>
      </c>
      <c r="I77" s="41">
        <f>ROUND(Source!AC41*Source!I41, 2)+ROUND(Source!AD41*Source!I41, 2)+ROUND(Source!AF41*Source!I41, 2)</f>
        <v>4.03</v>
      </c>
      <c r="J77" s="42"/>
      <c r="K77" s="42">
        <f>IF(Source!BC41&lt;&gt; 0, Source!BC41, 1)</f>
        <v>6.11</v>
      </c>
      <c r="L77" s="41">
        <f>Source!O41</f>
        <v>24.61</v>
      </c>
      <c r="M77" s="47"/>
      <c r="S77">
        <f>ROUND((Source!FX41/100)*((ROUND(Source!AF41*Source!I41, 2)+ROUND(Source!AE41*Source!I41, 2))), 2)</f>
        <v>0</v>
      </c>
      <c r="T77">
        <f>Source!X41</f>
        <v>0</v>
      </c>
      <c r="U77">
        <f>ROUND((Source!FY41/100)*((ROUND(Source!AF41*Source!I41, 2)+ROUND(Source!AE41*Source!I41, 2))), 2)</f>
        <v>0</v>
      </c>
      <c r="V77">
        <f>Source!Y41</f>
        <v>0</v>
      </c>
      <c r="W77">
        <f>IF(Source!BI41&lt;=1,I77, 0)</f>
        <v>4.03</v>
      </c>
      <c r="X77">
        <f>IF(Source!BI41=2,I77, 0)</f>
        <v>0</v>
      </c>
      <c r="Y77">
        <f>IF(Source!BI41=3,I77, 0)</f>
        <v>0</v>
      </c>
      <c r="Z77">
        <f>IF(Source!BI41=4,I77, 0)</f>
        <v>0</v>
      </c>
    </row>
    <row r="78" spans="1:26" ht="15" x14ac:dyDescent="0.25">
      <c r="H78" s="66">
        <f>I68+I69+I71+I72+I73+SUM(I75:I77)</f>
        <v>281.39</v>
      </c>
      <c r="I78" s="66"/>
      <c r="K78" s="66">
        <f>L68+L69+L71+L72+L73+SUM(L75:L77)</f>
        <v>1721.3</v>
      </c>
      <c r="L78" s="66"/>
      <c r="M78" s="44">
        <f>Source!U35</f>
        <v>4.7094363000000001</v>
      </c>
      <c r="O78" s="27">
        <f>H78</f>
        <v>281.39</v>
      </c>
      <c r="P78" s="27">
        <f>K78</f>
        <v>1721.3</v>
      </c>
      <c r="Q78" s="27">
        <f>M78</f>
        <v>4.7094363000000001</v>
      </c>
      <c r="W78">
        <f>IF(Source!BI35&lt;=1,I68+I69+I71+I72+I73, 0)</f>
        <v>105.69</v>
      </c>
      <c r="X78">
        <f>IF(Source!BI35=2,I68+I69+I71+I72+I73, 0)</f>
        <v>0</v>
      </c>
      <c r="Y78">
        <f>IF(Source!BI35=3,I68+I69+I71+I72+I73, 0)</f>
        <v>0</v>
      </c>
      <c r="Z78">
        <f>IF(Source!BI35=4,I68+I69+I71+I72+I73, 0)</f>
        <v>0</v>
      </c>
    </row>
    <row r="79" spans="1:26" ht="28.5" x14ac:dyDescent="0.2">
      <c r="A79" s="49">
        <v>10</v>
      </c>
      <c r="B79" s="49" t="str">
        <f>Source!E43</f>
        <v>5</v>
      </c>
      <c r="C79" s="50" t="str">
        <f>Source!F43</f>
        <v>10-01-036-01</v>
      </c>
      <c r="D79" s="50" t="str">
        <f>Source!G43</f>
        <v>Установка уголков ПВХ на клее</v>
      </c>
      <c r="E79" s="33" t="str">
        <f>Source!H43</f>
        <v>100 м</v>
      </c>
      <c r="F79" s="12">
        <f>Source!I43</f>
        <v>0.123</v>
      </c>
      <c r="G79" s="34">
        <f>Source!AL43+Source!AM43+Source!AO43</f>
        <v>93.15</v>
      </c>
      <c r="H79" s="35"/>
      <c r="I79" s="34"/>
      <c r="J79" s="35" t="str">
        <f>Source!BO43</f>
        <v/>
      </c>
      <c r="K79" s="35"/>
      <c r="L79" s="34"/>
      <c r="M79" s="36"/>
      <c r="S79">
        <f>ROUND((Source!FX43/100)*((ROUND(Source!AF43*Source!I43, 2)+ROUND(Source!AE43*Source!I43, 2))), 2)</f>
        <v>8.58</v>
      </c>
      <c r="T79">
        <f>Source!X43</f>
        <v>52.35</v>
      </c>
      <c r="U79">
        <f>ROUND((Source!FY43/100)*((ROUND(Source!AF43*Source!I43, 2)+ROUND(Source!AE43*Source!I43, 2))), 2)</f>
        <v>4.33</v>
      </c>
      <c r="V79">
        <f>Source!Y43</f>
        <v>26.67</v>
      </c>
    </row>
    <row r="80" spans="1:26" x14ac:dyDescent="0.2">
      <c r="D80" s="26" t="str">
        <f>"Объем: "&amp;Source!I43&amp;"=12,3/"&amp;"100"</f>
        <v>Объем: 0,123=12,3/100</v>
      </c>
    </row>
    <row r="81" spans="1:26" ht="14.25" x14ac:dyDescent="0.2">
      <c r="A81" s="49"/>
      <c r="B81" s="49"/>
      <c r="C81" s="50"/>
      <c r="D81" s="50" t="s">
        <v>791</v>
      </c>
      <c r="E81" s="33"/>
      <c r="F81" s="12"/>
      <c r="G81" s="34">
        <f>Source!AO43</f>
        <v>57.15</v>
      </c>
      <c r="H81" s="35" t="str">
        <f>Source!DG43</f>
        <v>)*1,15</v>
      </c>
      <c r="I81" s="34">
        <f>ROUND(Source!AF43*Source!I43, 2)</f>
        <v>8.08</v>
      </c>
      <c r="J81" s="35"/>
      <c r="K81" s="35">
        <f>IF(Source!BA43&lt;&gt; 0, Source!BA43, 1)</f>
        <v>6.11</v>
      </c>
      <c r="L81" s="34">
        <f>Source!S43</f>
        <v>49.39</v>
      </c>
      <c r="M81" s="36"/>
      <c r="R81">
        <f>I81</f>
        <v>8.08</v>
      </c>
    </row>
    <row r="82" spans="1:26" ht="14.25" x14ac:dyDescent="0.2">
      <c r="A82" s="49"/>
      <c r="B82" s="49"/>
      <c r="C82" s="50"/>
      <c r="D82" s="50" t="s">
        <v>798</v>
      </c>
      <c r="E82" s="33"/>
      <c r="F82" s="12"/>
      <c r="G82" s="34">
        <f>Source!AL43</f>
        <v>36</v>
      </c>
      <c r="H82" s="35" t="str">
        <f>Source!DD43</f>
        <v/>
      </c>
      <c r="I82" s="34">
        <f>ROUND(Source!AC43*Source!I43, 2)</f>
        <v>4.43</v>
      </c>
      <c r="J82" s="35"/>
      <c r="K82" s="35">
        <f>IF(Source!BC43&lt;&gt; 0, Source!BC43, 1)</f>
        <v>6.11</v>
      </c>
      <c r="L82" s="34">
        <f>Source!P43</f>
        <v>27.06</v>
      </c>
      <c r="M82" s="36"/>
    </row>
    <row r="83" spans="1:26" ht="14.25" x14ac:dyDescent="0.2">
      <c r="A83" s="49"/>
      <c r="B83" s="49"/>
      <c r="C83" s="50"/>
      <c r="D83" s="50" t="s">
        <v>793</v>
      </c>
      <c r="E83" s="33" t="s">
        <v>794</v>
      </c>
      <c r="F83" s="12">
        <f>Source!BZ43</f>
        <v>118</v>
      </c>
      <c r="G83" s="67" t="str">
        <f>CONCATENATE(" )", Source!DL43, Source!FT43, "=", Source!FX43)</f>
        <v xml:space="preserve"> )*0,9=106,2</v>
      </c>
      <c r="H83" s="68"/>
      <c r="I83" s="34">
        <f>SUM(S79:S86)</f>
        <v>8.58</v>
      </c>
      <c r="J83" s="38"/>
      <c r="K83" s="31">
        <f>Source!AT43</f>
        <v>106</v>
      </c>
      <c r="L83" s="34">
        <f>SUM(T79:T86)</f>
        <v>52.35</v>
      </c>
      <c r="M83" s="36"/>
    </row>
    <row r="84" spans="1:26" ht="14.25" x14ac:dyDescent="0.2">
      <c r="A84" s="49"/>
      <c r="B84" s="49"/>
      <c r="C84" s="50"/>
      <c r="D84" s="50" t="s">
        <v>795</v>
      </c>
      <c r="E84" s="33" t="s">
        <v>794</v>
      </c>
      <c r="F84" s="12">
        <f>Source!CA43</f>
        <v>63</v>
      </c>
      <c r="G84" s="67" t="str">
        <f>CONCATENATE(" )", Source!DM43, Source!FU43, "=", Source!FY43)</f>
        <v xml:space="preserve"> )*0,85=53,55</v>
      </c>
      <c r="H84" s="68"/>
      <c r="I84" s="34">
        <f>SUM(U79:U86)</f>
        <v>4.33</v>
      </c>
      <c r="J84" s="38"/>
      <c r="K84" s="31">
        <f>Source!AU43</f>
        <v>54</v>
      </c>
      <c r="L84" s="34">
        <f>SUM(V79:V86)</f>
        <v>26.67</v>
      </c>
      <c r="M84" s="36"/>
    </row>
    <row r="85" spans="1:26" ht="14.25" x14ac:dyDescent="0.2">
      <c r="A85" s="49"/>
      <c r="B85" s="49"/>
      <c r="C85" s="50"/>
      <c r="D85" s="50" t="s">
        <v>796</v>
      </c>
      <c r="E85" s="33" t="s">
        <v>797</v>
      </c>
      <c r="F85" s="12">
        <f>Source!AQ43</f>
        <v>6.7</v>
      </c>
      <c r="G85" s="34"/>
      <c r="H85" s="35" t="str">
        <f>Source!DI43</f>
        <v>)*1,15</v>
      </c>
      <c r="I85" s="34"/>
      <c r="J85" s="35"/>
      <c r="K85" s="35"/>
      <c r="L85" s="34"/>
      <c r="M85" s="45">
        <f>Source!U43</f>
        <v>0.94771499999999986</v>
      </c>
    </row>
    <row r="86" spans="1:26" ht="28.5" x14ac:dyDescent="0.2">
      <c r="A86" s="51">
        <v>11</v>
      </c>
      <c r="B86" s="51" t="str">
        <f>Source!E45</f>
        <v>5,1</v>
      </c>
      <c r="C86" s="52" t="str">
        <f>Source!F45</f>
        <v>11.3.03.13-0045</v>
      </c>
      <c r="D86" s="52" t="str">
        <f>Source!G45</f>
        <v>Уголок ПВХ, размером 30х30 мм</v>
      </c>
      <c r="E86" s="39" t="str">
        <f>Source!H45</f>
        <v>10 м</v>
      </c>
      <c r="F86" s="40">
        <f>Source!I45</f>
        <v>1.23</v>
      </c>
      <c r="G86" s="41">
        <f>Source!AL45+Source!AM45+Source!AO45</f>
        <v>32.4</v>
      </c>
      <c r="H86" s="46" t="s">
        <v>6</v>
      </c>
      <c r="I86" s="41">
        <f>ROUND(Source!AC45*Source!I45, 2)+ROUND(Source!AD45*Source!I45, 2)+ROUND(Source!AF45*Source!I45, 2)</f>
        <v>39.85</v>
      </c>
      <c r="J86" s="42"/>
      <c r="K86" s="42">
        <f>IF(Source!BC45&lt;&gt; 0, Source!BC45, 1)</f>
        <v>6.11</v>
      </c>
      <c r="L86" s="41">
        <f>Source!O45</f>
        <v>243.5</v>
      </c>
      <c r="M86" s="47"/>
      <c r="S86">
        <f>ROUND((Source!FX45/100)*((ROUND(Source!AF45*Source!I45, 2)+ROUND(Source!AE45*Source!I45, 2))), 2)</f>
        <v>0</v>
      </c>
      <c r="T86">
        <f>Source!X45</f>
        <v>0</v>
      </c>
      <c r="U86">
        <f>ROUND((Source!FY45/100)*((ROUND(Source!AF45*Source!I45, 2)+ROUND(Source!AE45*Source!I45, 2))), 2)</f>
        <v>0</v>
      </c>
      <c r="V86">
        <f>Source!Y45</f>
        <v>0</v>
      </c>
      <c r="W86">
        <f>IF(Source!BI45&lt;=1,I86, 0)</f>
        <v>39.85</v>
      </c>
      <c r="X86">
        <f>IF(Source!BI45=2,I86, 0)</f>
        <v>0</v>
      </c>
      <c r="Y86">
        <f>IF(Source!BI45=3,I86, 0)</f>
        <v>0</v>
      </c>
      <c r="Z86">
        <f>IF(Source!BI45=4,I86, 0)</f>
        <v>0</v>
      </c>
    </row>
    <row r="87" spans="1:26" ht="15" x14ac:dyDescent="0.25">
      <c r="H87" s="66">
        <f>I81+I82+I83+I84+SUM(I86:I86)</f>
        <v>65.27000000000001</v>
      </c>
      <c r="I87" s="66"/>
      <c r="K87" s="66">
        <f>L81+L82+L83+L84+SUM(L86:L86)</f>
        <v>398.97</v>
      </c>
      <c r="L87" s="66"/>
      <c r="M87" s="44">
        <f>Source!U43</f>
        <v>0.94771499999999986</v>
      </c>
      <c r="O87" s="27">
        <f>H87</f>
        <v>65.27000000000001</v>
      </c>
      <c r="P87" s="27">
        <f>K87</f>
        <v>398.97</v>
      </c>
      <c r="Q87" s="27">
        <f>M87</f>
        <v>0.94771499999999986</v>
      </c>
      <c r="W87">
        <f>IF(Source!BI43&lt;=1,I81+I82+I83+I84, 0)</f>
        <v>25.42</v>
      </c>
      <c r="X87">
        <f>IF(Source!BI43=2,I81+I82+I83+I84, 0)</f>
        <v>0</v>
      </c>
      <c r="Y87">
        <f>IF(Source!BI43=3,I81+I82+I83+I84, 0)</f>
        <v>0</v>
      </c>
      <c r="Z87">
        <f>IF(Source!BI43=4,I81+I82+I83+I84, 0)</f>
        <v>0</v>
      </c>
    </row>
    <row r="88" spans="1:26" ht="28.5" x14ac:dyDescent="0.2">
      <c r="A88" s="49">
        <v>12</v>
      </c>
      <c r="B88" s="49" t="str">
        <f>Source!E47</f>
        <v>6</v>
      </c>
      <c r="C88" s="50" t="str">
        <f>Source!F47</f>
        <v>09-06-001-02</v>
      </c>
      <c r="D88" s="50" t="str">
        <f>Source!G47</f>
        <v>Демонтаж лотков, решеток, затворов из полосовой и тонколистовой стали</v>
      </c>
      <c r="E88" s="33" t="str">
        <f>Source!H47</f>
        <v>т</v>
      </c>
      <c r="F88" s="12">
        <f>Source!I47</f>
        <v>0.05</v>
      </c>
      <c r="G88" s="34">
        <f>Source!AL47+Source!AM47+Source!AO47</f>
        <v>641</v>
      </c>
      <c r="H88" s="35"/>
      <c r="I88" s="34"/>
      <c r="J88" s="35" t="str">
        <f>Source!BO47</f>
        <v/>
      </c>
      <c r="K88" s="35"/>
      <c r="L88" s="34"/>
      <c r="M88" s="36"/>
      <c r="S88">
        <f>ROUND((Source!FX47/100)*((ROUND(Source!AF47*Source!I47, 2)+ROUND(Source!AE47*Source!I47, 2))), 2)</f>
        <v>12.38</v>
      </c>
      <c r="T88">
        <f>Source!X47</f>
        <v>75.709999999999994</v>
      </c>
      <c r="U88">
        <f>ROUND((Source!FY47/100)*((ROUND(Source!AF47*Source!I47, 2)+ROUND(Source!AE47*Source!I47, 2))), 2)</f>
        <v>11.05</v>
      </c>
      <c r="V88">
        <f>Source!Y47</f>
        <v>67.3</v>
      </c>
    </row>
    <row r="89" spans="1:26" ht="14.25" x14ac:dyDescent="0.2">
      <c r="A89" s="49"/>
      <c r="B89" s="49"/>
      <c r="C89" s="50"/>
      <c r="D89" s="50" t="s">
        <v>791</v>
      </c>
      <c r="E89" s="33"/>
      <c r="F89" s="12"/>
      <c r="G89" s="34">
        <f>Source!AO47</f>
        <v>433.24</v>
      </c>
      <c r="H89" s="35" t="str">
        <f>Source!DG47</f>
        <v>)*0,7</v>
      </c>
      <c r="I89" s="34">
        <f>ROUND(Source!AF47*Source!I47, 2)</f>
        <v>15.16</v>
      </c>
      <c r="J89" s="35"/>
      <c r="K89" s="35">
        <f>IF(Source!BA47&lt;&gt; 0, Source!BA47, 1)</f>
        <v>6.11</v>
      </c>
      <c r="L89" s="34">
        <f>Source!S47</f>
        <v>92.65</v>
      </c>
      <c r="M89" s="36"/>
      <c r="R89">
        <f>I89</f>
        <v>15.16</v>
      </c>
    </row>
    <row r="90" spans="1:26" ht="14.25" x14ac:dyDescent="0.2">
      <c r="A90" s="49"/>
      <c r="B90" s="49"/>
      <c r="C90" s="50"/>
      <c r="D90" s="50" t="s">
        <v>356</v>
      </c>
      <c r="E90" s="33"/>
      <c r="F90" s="12"/>
      <c r="G90" s="34">
        <f>Source!AM47</f>
        <v>125.8</v>
      </c>
      <c r="H90" s="35" t="str">
        <f>Source!DE47</f>
        <v>)*0,7</v>
      </c>
      <c r="I90" s="34">
        <f>ROUND(Source!AD47*Source!I47, 2)</f>
        <v>4.4000000000000004</v>
      </c>
      <c r="J90" s="35"/>
      <c r="K90" s="35">
        <f>IF(Source!BB47&lt;&gt; 0, Source!BB47, 1)</f>
        <v>6.11</v>
      </c>
      <c r="L90" s="34">
        <f>Source!Q47</f>
        <v>26.9</v>
      </c>
      <c r="M90" s="36"/>
    </row>
    <row r="91" spans="1:26" ht="14.25" x14ac:dyDescent="0.2">
      <c r="A91" s="49"/>
      <c r="B91" s="49"/>
      <c r="C91" s="50"/>
      <c r="D91" s="50" t="s">
        <v>792</v>
      </c>
      <c r="E91" s="33"/>
      <c r="F91" s="12"/>
      <c r="G91" s="34">
        <f>Source!AN47</f>
        <v>3.82</v>
      </c>
      <c r="H91" s="35" t="str">
        <f>Source!DF47</f>
        <v>)*0,7</v>
      </c>
      <c r="I91" s="37">
        <f>ROUND(Source!AE47*Source!I47, 2)</f>
        <v>0.13</v>
      </c>
      <c r="J91" s="35"/>
      <c r="K91" s="35">
        <f>IF(Source!BS47&lt;&gt; 0, Source!BS47, 1)</f>
        <v>6.11</v>
      </c>
      <c r="L91" s="37">
        <f>Source!R47</f>
        <v>0.82</v>
      </c>
      <c r="M91" s="36"/>
      <c r="R91">
        <f>I91</f>
        <v>0.13</v>
      </c>
    </row>
    <row r="92" spans="1:26" ht="14.25" x14ac:dyDescent="0.2">
      <c r="A92" s="49"/>
      <c r="B92" s="49"/>
      <c r="C92" s="50"/>
      <c r="D92" s="50" t="s">
        <v>793</v>
      </c>
      <c r="E92" s="33" t="s">
        <v>794</v>
      </c>
      <c r="F92" s="12">
        <f>Source!BZ47</f>
        <v>90</v>
      </c>
      <c r="G92" s="67" t="str">
        <f>CONCATENATE(" )", Source!DL47, Source!FT47, "=", Source!FX47)</f>
        <v xml:space="preserve"> )*0,9=81</v>
      </c>
      <c r="H92" s="68"/>
      <c r="I92" s="34">
        <f>SUM(S88:S94)</f>
        <v>12.38</v>
      </c>
      <c r="J92" s="38"/>
      <c r="K92" s="31">
        <f>Source!AT47</f>
        <v>81</v>
      </c>
      <c r="L92" s="34">
        <f>SUM(T88:T94)</f>
        <v>75.709999999999994</v>
      </c>
      <c r="M92" s="36"/>
    </row>
    <row r="93" spans="1:26" ht="14.25" x14ac:dyDescent="0.2">
      <c r="A93" s="49"/>
      <c r="B93" s="49"/>
      <c r="C93" s="50"/>
      <c r="D93" s="50" t="s">
        <v>795</v>
      </c>
      <c r="E93" s="33" t="s">
        <v>794</v>
      </c>
      <c r="F93" s="12">
        <f>Source!CA47</f>
        <v>85</v>
      </c>
      <c r="G93" s="67" t="str">
        <f>CONCATENATE(" )", Source!DM47, Source!FU47, "=", Source!FY47)</f>
        <v xml:space="preserve"> )*0,85=72,25</v>
      </c>
      <c r="H93" s="68"/>
      <c r="I93" s="34">
        <f>SUM(U88:U94)</f>
        <v>11.05</v>
      </c>
      <c r="J93" s="38"/>
      <c r="K93" s="31">
        <f>Source!AU47</f>
        <v>72</v>
      </c>
      <c r="L93" s="34">
        <f>SUM(V88:V94)</f>
        <v>67.3</v>
      </c>
      <c r="M93" s="36"/>
    </row>
    <row r="94" spans="1:26" ht="14.25" x14ac:dyDescent="0.2">
      <c r="A94" s="51"/>
      <c r="B94" s="51"/>
      <c r="C94" s="52"/>
      <c r="D94" s="52" t="s">
        <v>796</v>
      </c>
      <c r="E94" s="39" t="s">
        <v>797</v>
      </c>
      <c r="F94" s="40">
        <f>Source!AQ47</f>
        <v>50.79</v>
      </c>
      <c r="G94" s="41"/>
      <c r="H94" s="42" t="str">
        <f>Source!DI47</f>
        <v>)*0,7</v>
      </c>
      <c r="I94" s="41"/>
      <c r="J94" s="42"/>
      <c r="K94" s="42"/>
      <c r="L94" s="41"/>
      <c r="M94" s="43">
        <f>Source!U47</f>
        <v>1.77765</v>
      </c>
    </row>
    <row r="95" spans="1:26" ht="15" x14ac:dyDescent="0.25">
      <c r="H95" s="66">
        <f>I89+I90+I92+I93</f>
        <v>42.990000000000009</v>
      </c>
      <c r="I95" s="66"/>
      <c r="K95" s="66">
        <f>L89+L90+L92+L93</f>
        <v>262.56</v>
      </c>
      <c r="L95" s="66"/>
      <c r="M95" s="44">
        <f>Source!U47</f>
        <v>1.77765</v>
      </c>
      <c r="O95" s="27">
        <f>H95</f>
        <v>42.990000000000009</v>
      </c>
      <c r="P95" s="27">
        <f>K95</f>
        <v>262.56</v>
      </c>
      <c r="Q95" s="27">
        <f>M95</f>
        <v>1.77765</v>
      </c>
      <c r="W95">
        <f>IF(Source!BI47&lt;=1,I89+I90+I92+I93, 0)</f>
        <v>42.990000000000009</v>
      </c>
      <c r="X95">
        <f>IF(Source!BI47=2,I89+I90+I92+I93, 0)</f>
        <v>0</v>
      </c>
      <c r="Y95">
        <f>IF(Source!BI47=3,I89+I90+I92+I93, 0)</f>
        <v>0</v>
      </c>
      <c r="Z95">
        <f>IF(Source!BI47=4,I89+I90+I92+I93, 0)</f>
        <v>0</v>
      </c>
    </row>
    <row r="96" spans="1:26" ht="42.75" x14ac:dyDescent="0.2">
      <c r="A96" s="49">
        <v>13</v>
      </c>
      <c r="B96" s="49" t="str">
        <f>Source!E49</f>
        <v>7</v>
      </c>
      <c r="C96" s="50" t="str">
        <f>Source!F49</f>
        <v>58-20-1</v>
      </c>
      <c r="D96" s="50" t="str">
        <f>Source!G49</f>
        <v>Смена обделок из листовой стали (поясков, сандриков, отливов, карнизов) шириной до 0,4 м</v>
      </c>
      <c r="E96" s="33" t="str">
        <f>Source!H49</f>
        <v>100 м</v>
      </c>
      <c r="F96" s="12">
        <f>Source!I49</f>
        <v>2.8000000000000001E-2</v>
      </c>
      <c r="G96" s="34">
        <f>Source!AL49+Source!AM49+Source!AO49</f>
        <v>454.41</v>
      </c>
      <c r="H96" s="35"/>
      <c r="I96" s="34"/>
      <c r="J96" s="35" t="str">
        <f>Source!BO49</f>
        <v/>
      </c>
      <c r="K96" s="35"/>
      <c r="L96" s="34"/>
      <c r="M96" s="36"/>
      <c r="S96">
        <f>ROUND((Source!FX49/100)*((ROUND(Source!AF49*Source!I49, 2)+ROUND(Source!AE49*Source!I49, 2))), 2)</f>
        <v>8.24</v>
      </c>
      <c r="T96">
        <f>Source!X49</f>
        <v>50.37</v>
      </c>
      <c r="U96">
        <f>ROUND((Source!FY49/100)*((ROUND(Source!AF49*Source!I49, 2)+ROUND(Source!AE49*Source!I49, 2))), 2)</f>
        <v>6.45</v>
      </c>
      <c r="V96">
        <f>Source!Y49</f>
        <v>39.450000000000003</v>
      </c>
    </row>
    <row r="97" spans="1:26" x14ac:dyDescent="0.2">
      <c r="D97" s="26" t="str">
        <f>"Объем: "&amp;Source!I49&amp;"=2,8/"&amp;"100"</f>
        <v>Объем: 0,028=2,8/100</v>
      </c>
    </row>
    <row r="98" spans="1:26" ht="14.25" x14ac:dyDescent="0.2">
      <c r="A98" s="49"/>
      <c r="B98" s="49"/>
      <c r="C98" s="50"/>
      <c r="D98" s="50" t="s">
        <v>791</v>
      </c>
      <c r="E98" s="33"/>
      <c r="F98" s="12"/>
      <c r="G98" s="34">
        <f>Source!AO49</f>
        <v>353.23</v>
      </c>
      <c r="H98" s="35" t="str">
        <f>Source!DG49</f>
        <v/>
      </c>
      <c r="I98" s="34">
        <f>ROUND(Source!AF49*Source!I49, 2)</f>
        <v>9.89</v>
      </c>
      <c r="J98" s="35"/>
      <c r="K98" s="35">
        <f>IF(Source!BA49&lt;&gt; 0, Source!BA49, 1)</f>
        <v>6.11</v>
      </c>
      <c r="L98" s="34">
        <f>Source!S49</f>
        <v>60.43</v>
      </c>
      <c r="M98" s="36"/>
      <c r="R98">
        <f>I98</f>
        <v>9.89</v>
      </c>
    </row>
    <row r="99" spans="1:26" ht="14.25" x14ac:dyDescent="0.2">
      <c r="A99" s="49"/>
      <c r="B99" s="49"/>
      <c r="C99" s="50"/>
      <c r="D99" s="50" t="s">
        <v>356</v>
      </c>
      <c r="E99" s="33"/>
      <c r="F99" s="12"/>
      <c r="G99" s="34">
        <f>Source!AM49</f>
        <v>5.13</v>
      </c>
      <c r="H99" s="35" t="str">
        <f>Source!DE49</f>
        <v/>
      </c>
      <c r="I99" s="34">
        <f>ROUND(Source!AD49*Source!I49, 2)</f>
        <v>0.14000000000000001</v>
      </c>
      <c r="J99" s="35"/>
      <c r="K99" s="35">
        <f>IF(Source!BB49&lt;&gt; 0, Source!BB49, 1)</f>
        <v>6.11</v>
      </c>
      <c r="L99" s="34">
        <f>Source!Q49</f>
        <v>0.88</v>
      </c>
      <c r="M99" s="36"/>
    </row>
    <row r="100" spans="1:26" ht="14.25" x14ac:dyDescent="0.2">
      <c r="A100" s="49"/>
      <c r="B100" s="49"/>
      <c r="C100" s="50"/>
      <c r="D100" s="50" t="s">
        <v>792</v>
      </c>
      <c r="E100" s="33"/>
      <c r="F100" s="12"/>
      <c r="G100" s="34">
        <f>Source!AN49</f>
        <v>1.54</v>
      </c>
      <c r="H100" s="35" t="str">
        <f>Source!DF49</f>
        <v/>
      </c>
      <c r="I100" s="37">
        <f>ROUND(Source!AE49*Source!I49, 2)</f>
        <v>0.04</v>
      </c>
      <c r="J100" s="35"/>
      <c r="K100" s="35">
        <f>IF(Source!BS49&lt;&gt; 0, Source!BS49, 1)</f>
        <v>6.11</v>
      </c>
      <c r="L100" s="37">
        <f>Source!R49</f>
        <v>0.26</v>
      </c>
      <c r="M100" s="36"/>
      <c r="R100">
        <f>I100</f>
        <v>0.04</v>
      </c>
    </row>
    <row r="101" spans="1:26" ht="14.25" x14ac:dyDescent="0.2">
      <c r="A101" s="49"/>
      <c r="B101" s="49"/>
      <c r="C101" s="50"/>
      <c r="D101" s="50" t="s">
        <v>798</v>
      </c>
      <c r="E101" s="33"/>
      <c r="F101" s="12"/>
      <c r="G101" s="34">
        <f>Source!AL49</f>
        <v>96.05</v>
      </c>
      <c r="H101" s="35" t="str">
        <f>Source!DD49</f>
        <v/>
      </c>
      <c r="I101" s="34">
        <f>ROUND(Source!AC49*Source!I49, 2)</f>
        <v>2.69</v>
      </c>
      <c r="J101" s="35"/>
      <c r="K101" s="35">
        <f>IF(Source!BC49&lt;&gt; 0, Source!BC49, 1)</f>
        <v>6.11</v>
      </c>
      <c r="L101" s="34">
        <f>Source!P49</f>
        <v>16.43</v>
      </c>
      <c r="M101" s="36"/>
    </row>
    <row r="102" spans="1:26" ht="14.25" x14ac:dyDescent="0.2">
      <c r="A102" s="49"/>
      <c r="B102" s="49"/>
      <c r="C102" s="50"/>
      <c r="D102" s="50" t="s">
        <v>793</v>
      </c>
      <c r="E102" s="33" t="s">
        <v>794</v>
      </c>
      <c r="F102" s="12">
        <f>Source!BZ49</f>
        <v>83</v>
      </c>
      <c r="G102" s="53"/>
      <c r="H102" s="35"/>
      <c r="I102" s="34">
        <f>SUM(S96:S106)</f>
        <v>8.24</v>
      </c>
      <c r="J102" s="38"/>
      <c r="K102" s="31">
        <f>Source!AT49</f>
        <v>83</v>
      </c>
      <c r="L102" s="34">
        <f>SUM(T96:T106)</f>
        <v>50.37</v>
      </c>
      <c r="M102" s="36"/>
    </row>
    <row r="103" spans="1:26" ht="14.25" x14ac:dyDescent="0.2">
      <c r="A103" s="49"/>
      <c r="B103" s="49"/>
      <c r="C103" s="50"/>
      <c r="D103" s="50" t="s">
        <v>795</v>
      </c>
      <c r="E103" s="33" t="s">
        <v>794</v>
      </c>
      <c r="F103" s="12">
        <f>Source!CA49</f>
        <v>65</v>
      </c>
      <c r="G103" s="53"/>
      <c r="H103" s="35"/>
      <c r="I103" s="34">
        <f>SUM(U96:U106)</f>
        <v>6.45</v>
      </c>
      <c r="J103" s="38"/>
      <c r="K103" s="31">
        <f>Source!AU49</f>
        <v>65</v>
      </c>
      <c r="L103" s="34">
        <f>SUM(V96:V106)</f>
        <v>39.450000000000003</v>
      </c>
      <c r="M103" s="36"/>
    </row>
    <row r="104" spans="1:26" ht="14.25" x14ac:dyDescent="0.2">
      <c r="A104" s="49"/>
      <c r="B104" s="49"/>
      <c r="C104" s="50"/>
      <c r="D104" s="50" t="s">
        <v>796</v>
      </c>
      <c r="E104" s="33" t="s">
        <v>797</v>
      </c>
      <c r="F104" s="12">
        <f>Source!AQ49</f>
        <v>41.41</v>
      </c>
      <c r="G104" s="34"/>
      <c r="H104" s="35" t="str">
        <f>Source!DI49</f>
        <v/>
      </c>
      <c r="I104" s="34"/>
      <c r="J104" s="35"/>
      <c r="K104" s="35"/>
      <c r="L104" s="34"/>
      <c r="M104" s="45">
        <f>Source!U49</f>
        <v>1.1594799999999998</v>
      </c>
    </row>
    <row r="105" spans="1:26" ht="14.25" x14ac:dyDescent="0.2">
      <c r="A105" s="49">
        <v>14</v>
      </c>
      <c r="B105" s="49" t="str">
        <f>Source!E51</f>
        <v>7,1</v>
      </c>
      <c r="C105" s="50" t="str">
        <f>Source!F51</f>
        <v>08.3.05.05</v>
      </c>
      <c r="D105" s="50" t="str">
        <f>Source!G51</f>
        <v>Сталь листовая оцинкованная</v>
      </c>
      <c r="E105" s="33" t="str">
        <f>Source!H51</f>
        <v>т</v>
      </c>
      <c r="F105" s="12">
        <f>Source!I51</f>
        <v>5.1520000000000003E-3</v>
      </c>
      <c r="G105" s="34">
        <f>Source!AL51+Source!AM51+Source!AO51</f>
        <v>0</v>
      </c>
      <c r="H105" s="48" t="s">
        <v>6</v>
      </c>
      <c r="I105" s="34">
        <f>ROUND(Source!AC51*Source!I51, 2)+ROUND(Source!AD51*Source!I51, 2)+ROUND(Source!AF51*Source!I51, 2)</f>
        <v>0</v>
      </c>
      <c r="J105" s="35"/>
      <c r="K105" s="35">
        <f>IF(Source!BC51&lt;&gt; 0, Source!BC51, 1)</f>
        <v>6.11</v>
      </c>
      <c r="L105" s="34">
        <f>Source!O51</f>
        <v>0</v>
      </c>
      <c r="M105" s="36"/>
      <c r="S105">
        <f>ROUND((Source!FX51/100)*((ROUND(Source!AF51*Source!I51, 2)+ROUND(Source!AE51*Source!I51, 2))), 2)</f>
        <v>0</v>
      </c>
      <c r="T105">
        <f>Source!X51</f>
        <v>0</v>
      </c>
      <c r="U105">
        <f>ROUND((Source!FY51/100)*((ROUND(Source!AF51*Source!I51, 2)+ROUND(Source!AE51*Source!I51, 2))), 2)</f>
        <v>0</v>
      </c>
      <c r="V105">
        <f>Source!Y51</f>
        <v>0</v>
      </c>
      <c r="W105">
        <f>IF(Source!BI51&lt;=1,I105, 0)</f>
        <v>0</v>
      </c>
      <c r="X105">
        <f>IF(Source!BI51=2,I105, 0)</f>
        <v>0</v>
      </c>
      <c r="Y105">
        <f>IF(Source!BI51=3,I105, 0)</f>
        <v>0</v>
      </c>
      <c r="Z105">
        <f>IF(Source!BI51=4,I105, 0)</f>
        <v>0</v>
      </c>
    </row>
    <row r="106" spans="1:26" ht="42.75" x14ac:dyDescent="0.2">
      <c r="A106" s="51">
        <v>15</v>
      </c>
      <c r="B106" s="51" t="str">
        <f>Source!E53</f>
        <v>7,2</v>
      </c>
      <c r="C106" s="52" t="str">
        <f>Source!F53</f>
        <v>08.1.02.03-0021</v>
      </c>
      <c r="D106" s="52" t="str">
        <f>Source!G53</f>
        <v>Водоотлив оконный шириной планки 200 мм из оцинкованной стали с полимерным покрытием прим.</v>
      </c>
      <c r="E106" s="39" t="str">
        <f>Source!H53</f>
        <v>П.М</v>
      </c>
      <c r="F106" s="40">
        <f>Source!I53</f>
        <v>2.8</v>
      </c>
      <c r="G106" s="41">
        <f>Source!AL53+Source!AM53+Source!AO53</f>
        <v>26.41</v>
      </c>
      <c r="H106" s="46" t="s">
        <v>6</v>
      </c>
      <c r="I106" s="41">
        <f>ROUND(Source!AC53*Source!I53, 2)+ROUND(Source!AD53*Source!I53, 2)+ROUND(Source!AF53*Source!I53, 2)</f>
        <v>73.95</v>
      </c>
      <c r="J106" s="42"/>
      <c r="K106" s="42">
        <f>IF(Source!BC53&lt;&gt; 0, Source!BC53, 1)</f>
        <v>6.11</v>
      </c>
      <c r="L106" s="41">
        <f>Source!O53</f>
        <v>451.82</v>
      </c>
      <c r="M106" s="47"/>
      <c r="S106">
        <f>ROUND((Source!FX53/100)*((ROUND(Source!AF53*Source!I53, 2)+ROUND(Source!AE53*Source!I53, 2))), 2)</f>
        <v>0</v>
      </c>
      <c r="T106">
        <f>Source!X53</f>
        <v>0</v>
      </c>
      <c r="U106">
        <f>ROUND((Source!FY53/100)*((ROUND(Source!AF53*Source!I53, 2)+ROUND(Source!AE53*Source!I53, 2))), 2)</f>
        <v>0</v>
      </c>
      <c r="V106">
        <f>Source!Y53</f>
        <v>0</v>
      </c>
      <c r="W106">
        <f>IF(Source!BI53&lt;=1,I106, 0)</f>
        <v>73.95</v>
      </c>
      <c r="X106">
        <f>IF(Source!BI53=2,I106, 0)</f>
        <v>0</v>
      </c>
      <c r="Y106">
        <f>IF(Source!BI53=3,I106, 0)</f>
        <v>0</v>
      </c>
      <c r="Z106">
        <f>IF(Source!BI53=4,I106, 0)</f>
        <v>0</v>
      </c>
    </row>
    <row r="107" spans="1:26" ht="15" x14ac:dyDescent="0.25">
      <c r="H107" s="66">
        <f>I98+I99+I101+I102+I103+SUM(I105:I106)</f>
        <v>101.36</v>
      </c>
      <c r="I107" s="66"/>
      <c r="K107" s="66">
        <f>L98+L99+L101+L102+L103+SUM(L105:L106)</f>
        <v>619.38</v>
      </c>
      <c r="L107" s="66"/>
      <c r="M107" s="44">
        <f>Source!U49</f>
        <v>1.1594799999999998</v>
      </c>
      <c r="O107" s="27">
        <f>H107</f>
        <v>101.36</v>
      </c>
      <c r="P107" s="27">
        <f>K107</f>
        <v>619.38</v>
      </c>
      <c r="Q107" s="27">
        <f>M107</f>
        <v>1.1594799999999998</v>
      </c>
      <c r="W107">
        <f>IF(Source!BI49&lt;=1,I98+I99+I101+I102+I103, 0)</f>
        <v>27.41</v>
      </c>
      <c r="X107">
        <f>IF(Source!BI49=2,I98+I99+I101+I102+I103, 0)</f>
        <v>0</v>
      </c>
      <c r="Y107">
        <f>IF(Source!BI49=3,I98+I99+I101+I102+I103, 0)</f>
        <v>0</v>
      </c>
      <c r="Z107">
        <f>IF(Source!BI49=4,I98+I99+I101+I102+I103, 0)</f>
        <v>0</v>
      </c>
    </row>
    <row r="108" spans="1:26" ht="42.75" x14ac:dyDescent="0.2">
      <c r="A108" s="49">
        <v>16</v>
      </c>
      <c r="B108" s="49" t="str">
        <f>Source!E55</f>
        <v>8</v>
      </c>
      <c r="C108" s="50" t="str">
        <f>Source!F55</f>
        <v>63-14-2</v>
      </c>
      <c r="D108" s="50" t="str">
        <f>Source!G55</f>
        <v>Замена элементов облицовки потолков: реечных без замены каркаса (плит "Аrmstrong") прим.</v>
      </c>
      <c r="E108" s="33" t="str">
        <f>Source!H55</f>
        <v>100 м2</v>
      </c>
      <c r="F108" s="12">
        <f>Source!I55</f>
        <v>0.108</v>
      </c>
      <c r="G108" s="34">
        <f>Source!AL55+Source!AM55+Source!AO55</f>
        <v>26574.629999999997</v>
      </c>
      <c r="H108" s="35"/>
      <c r="I108" s="34"/>
      <c r="J108" s="35" t="str">
        <f>Source!BO55</f>
        <v/>
      </c>
      <c r="K108" s="35"/>
      <c r="L108" s="34"/>
      <c r="M108" s="36"/>
      <c r="S108">
        <f>ROUND((Source!FX55/100)*((ROUND(Source!AF55*Source!I55, 2)+ROUND(Source!AE55*Source!I55, 2))), 2)</f>
        <v>52.28</v>
      </c>
      <c r="T108">
        <f>Source!X55</f>
        <v>319.43</v>
      </c>
      <c r="U108">
        <f>ROUND((Source!FY55/100)*((ROUND(Source!AF55*Source!I55, 2)+ROUND(Source!AE55*Source!I55, 2))), 2)</f>
        <v>33.950000000000003</v>
      </c>
      <c r="V108">
        <f>Source!Y55</f>
        <v>207.42</v>
      </c>
    </row>
    <row r="109" spans="1:26" x14ac:dyDescent="0.2">
      <c r="D109" s="26" t="str">
        <f>"Объем: "&amp;Source!I55&amp;"=10,8/"&amp;"100"</f>
        <v>Объем: 0,108=10,8/100</v>
      </c>
    </row>
    <row r="110" spans="1:26" ht="14.25" x14ac:dyDescent="0.2">
      <c r="A110" s="49"/>
      <c r="B110" s="49"/>
      <c r="C110" s="50"/>
      <c r="D110" s="50" t="s">
        <v>791</v>
      </c>
      <c r="E110" s="33"/>
      <c r="F110" s="12"/>
      <c r="G110" s="34">
        <f>Source!AO55</f>
        <v>628.37</v>
      </c>
      <c r="H110" s="35" t="str">
        <f>Source!DG55</f>
        <v/>
      </c>
      <c r="I110" s="34">
        <f>ROUND(Source!AF55*Source!I55, 2)</f>
        <v>67.86</v>
      </c>
      <c r="J110" s="35"/>
      <c r="K110" s="35">
        <f>IF(Source!BA55&lt;&gt; 0, Source!BA55, 1)</f>
        <v>6.11</v>
      </c>
      <c r="L110" s="34">
        <f>Source!S55</f>
        <v>414.65</v>
      </c>
      <c r="M110" s="36"/>
      <c r="R110">
        <f>I110</f>
        <v>67.86</v>
      </c>
    </row>
    <row r="111" spans="1:26" ht="14.25" x14ac:dyDescent="0.2">
      <c r="A111" s="49"/>
      <c r="B111" s="49"/>
      <c r="C111" s="50"/>
      <c r="D111" s="50" t="s">
        <v>356</v>
      </c>
      <c r="E111" s="33"/>
      <c r="F111" s="12"/>
      <c r="G111" s="34">
        <f>Source!AM55</f>
        <v>0.76</v>
      </c>
      <c r="H111" s="35" t="str">
        <f>Source!DE55</f>
        <v/>
      </c>
      <c r="I111" s="34">
        <f>ROUND(Source!AD55*Source!I55, 2)</f>
        <v>0.08</v>
      </c>
      <c r="J111" s="35"/>
      <c r="K111" s="35">
        <f>IF(Source!BB55&lt;&gt; 0, Source!BB55, 1)</f>
        <v>6.11</v>
      </c>
      <c r="L111" s="34">
        <f>Source!Q55</f>
        <v>0.5</v>
      </c>
      <c r="M111" s="36"/>
    </row>
    <row r="112" spans="1:26" ht="14.25" x14ac:dyDescent="0.2">
      <c r="A112" s="49"/>
      <c r="B112" s="49"/>
      <c r="C112" s="50"/>
      <c r="D112" s="50" t="s">
        <v>792</v>
      </c>
      <c r="E112" s="33"/>
      <c r="F112" s="12"/>
      <c r="G112" s="34">
        <f>Source!AN55</f>
        <v>0.28999999999999998</v>
      </c>
      <c r="H112" s="35" t="str">
        <f>Source!DF55</f>
        <v/>
      </c>
      <c r="I112" s="37">
        <f>ROUND(Source!AE55*Source!I55, 2)</f>
        <v>0.03</v>
      </c>
      <c r="J112" s="35"/>
      <c r="K112" s="35">
        <f>IF(Source!BS55&lt;&gt; 0, Source!BS55, 1)</f>
        <v>6.11</v>
      </c>
      <c r="L112" s="37">
        <f>Source!R55</f>
        <v>0.19</v>
      </c>
      <c r="M112" s="36"/>
      <c r="R112">
        <f>I112</f>
        <v>0.03</v>
      </c>
    </row>
    <row r="113" spans="1:26" ht="14.25" x14ac:dyDescent="0.2">
      <c r="A113" s="49"/>
      <c r="B113" s="49"/>
      <c r="C113" s="50"/>
      <c r="D113" s="50" t="s">
        <v>798</v>
      </c>
      <c r="E113" s="33"/>
      <c r="F113" s="12"/>
      <c r="G113" s="34">
        <f>Source!AL55</f>
        <v>25945.5</v>
      </c>
      <c r="H113" s="35" t="str">
        <f>Source!DD55</f>
        <v/>
      </c>
      <c r="I113" s="34">
        <f>ROUND(Source!AC55*Source!I55, 2)</f>
        <v>2802.11</v>
      </c>
      <c r="J113" s="35"/>
      <c r="K113" s="35">
        <f>IF(Source!BC55&lt;&gt; 0, Source!BC55, 1)</f>
        <v>6.11</v>
      </c>
      <c r="L113" s="34">
        <f>Source!P55</f>
        <v>17120.919999999998</v>
      </c>
      <c r="M113" s="36"/>
    </row>
    <row r="114" spans="1:26" ht="14.25" x14ac:dyDescent="0.2">
      <c r="A114" s="49"/>
      <c r="B114" s="49"/>
      <c r="C114" s="50"/>
      <c r="D114" s="50" t="s">
        <v>793</v>
      </c>
      <c r="E114" s="33" t="s">
        <v>794</v>
      </c>
      <c r="F114" s="12">
        <f>Source!BZ55</f>
        <v>77</v>
      </c>
      <c r="G114" s="53"/>
      <c r="H114" s="35"/>
      <c r="I114" s="34">
        <f>SUM(S108:S118)</f>
        <v>52.28</v>
      </c>
      <c r="J114" s="38"/>
      <c r="K114" s="31">
        <f>Source!AT55</f>
        <v>77</v>
      </c>
      <c r="L114" s="34">
        <f>SUM(T108:T118)</f>
        <v>319.43</v>
      </c>
      <c r="M114" s="36"/>
    </row>
    <row r="115" spans="1:26" ht="14.25" x14ac:dyDescent="0.2">
      <c r="A115" s="49"/>
      <c r="B115" s="49"/>
      <c r="C115" s="50"/>
      <c r="D115" s="50" t="s">
        <v>795</v>
      </c>
      <c r="E115" s="33" t="s">
        <v>794</v>
      </c>
      <c r="F115" s="12">
        <f>Source!CA55</f>
        <v>50</v>
      </c>
      <c r="G115" s="53"/>
      <c r="H115" s="35"/>
      <c r="I115" s="34">
        <f>SUM(U108:U118)</f>
        <v>33.950000000000003</v>
      </c>
      <c r="J115" s="38"/>
      <c r="K115" s="31">
        <f>Source!AU55</f>
        <v>50</v>
      </c>
      <c r="L115" s="34">
        <f>SUM(V108:V118)</f>
        <v>207.42</v>
      </c>
      <c r="M115" s="36"/>
    </row>
    <row r="116" spans="1:26" ht="14.25" x14ac:dyDescent="0.2">
      <c r="A116" s="49"/>
      <c r="B116" s="49"/>
      <c r="C116" s="50"/>
      <c r="D116" s="50" t="s">
        <v>796</v>
      </c>
      <c r="E116" s="33" t="s">
        <v>797</v>
      </c>
      <c r="F116" s="12">
        <f>Source!AQ55</f>
        <v>69.28</v>
      </c>
      <c r="G116" s="34"/>
      <c r="H116" s="35" t="str">
        <f>Source!DI55</f>
        <v/>
      </c>
      <c r="I116" s="34"/>
      <c r="J116" s="35"/>
      <c r="K116" s="35"/>
      <c r="L116" s="34"/>
      <c r="M116" s="45">
        <f>Source!U55</f>
        <v>7.48224</v>
      </c>
    </row>
    <row r="117" spans="1:26" ht="28.5" x14ac:dyDescent="0.2">
      <c r="A117" s="49">
        <v>17</v>
      </c>
      <c r="B117" s="49" t="str">
        <f>Source!E57</f>
        <v>8,1</v>
      </c>
      <c r="C117" s="50" t="str">
        <f>Source!F57</f>
        <v>09.2.02.02-0011</v>
      </c>
      <c r="D117" s="50" t="str">
        <f>Source!G57</f>
        <v>Рейка алюминиевая потолочная 100 мм</v>
      </c>
      <c r="E117" s="33" t="str">
        <f>Source!H57</f>
        <v>м</v>
      </c>
      <c r="F117" s="12">
        <f>Source!I57</f>
        <v>-113.4</v>
      </c>
      <c r="G117" s="34">
        <f>Source!AL57+Source!AM57+Source!AO57</f>
        <v>24.71</v>
      </c>
      <c r="H117" s="48" t="s">
        <v>6</v>
      </c>
      <c r="I117" s="34">
        <f>ROUND(Source!AC57*Source!I57, 2)+ROUND(Source!AD57*Source!I57, 2)+ROUND(Source!AF57*Source!I57, 2)</f>
        <v>-2802.11</v>
      </c>
      <c r="J117" s="35"/>
      <c r="K117" s="35">
        <f>IF(Source!BC57&lt;&gt; 0, Source!BC57, 1)</f>
        <v>6.11</v>
      </c>
      <c r="L117" s="34">
        <f>Source!O57</f>
        <v>-17120.919999999998</v>
      </c>
      <c r="M117" s="36"/>
      <c r="S117">
        <f>ROUND((Source!FX57/100)*((ROUND(Source!AF57*Source!I57, 2)+ROUND(Source!AE57*Source!I57, 2))), 2)</f>
        <v>0</v>
      </c>
      <c r="T117">
        <f>Source!X57</f>
        <v>0</v>
      </c>
      <c r="U117">
        <f>ROUND((Source!FY57/100)*((ROUND(Source!AF57*Source!I57, 2)+ROUND(Source!AE57*Source!I57, 2))), 2)</f>
        <v>0</v>
      </c>
      <c r="V117">
        <f>Source!Y57</f>
        <v>0</v>
      </c>
      <c r="W117">
        <f>IF(Source!BI57&lt;=1,I117, 0)</f>
        <v>-2802.11</v>
      </c>
      <c r="X117">
        <f>IF(Source!BI57=2,I117, 0)</f>
        <v>0</v>
      </c>
      <c r="Y117">
        <f>IF(Source!BI57=3,I117, 0)</f>
        <v>0</v>
      </c>
      <c r="Z117">
        <f>IF(Source!BI57=4,I117, 0)</f>
        <v>0</v>
      </c>
    </row>
    <row r="118" spans="1:26" ht="28.5" x14ac:dyDescent="0.2">
      <c r="A118" s="51">
        <v>18</v>
      </c>
      <c r="B118" s="51" t="str">
        <f>Source!E59</f>
        <v>8,2</v>
      </c>
      <c r="C118" s="52" t="str">
        <f>Source!F59</f>
        <v>01.6.04.02-0004</v>
      </c>
      <c r="D118" s="52" t="str">
        <f>Source!G59</f>
        <v>Панели потолочные декоративные, тип ARMSTRONG OASIS</v>
      </c>
      <c r="E118" s="39" t="str">
        <f>Source!H59</f>
        <v>м2</v>
      </c>
      <c r="F118" s="40">
        <f>Source!I59</f>
        <v>10.8</v>
      </c>
      <c r="G118" s="41">
        <f>Source!AL59+Source!AM59+Source!AO59</f>
        <v>54.72</v>
      </c>
      <c r="H118" s="46" t="s">
        <v>6</v>
      </c>
      <c r="I118" s="41">
        <f>ROUND(Source!AC59*Source!I59, 2)+ROUND(Source!AD59*Source!I59, 2)+ROUND(Source!AF59*Source!I59, 2)</f>
        <v>590.98</v>
      </c>
      <c r="J118" s="42"/>
      <c r="K118" s="42">
        <f>IF(Source!BC59&lt;&gt; 0, Source!BC59, 1)</f>
        <v>6.11</v>
      </c>
      <c r="L118" s="41">
        <f>Source!O59</f>
        <v>3610.86</v>
      </c>
      <c r="M118" s="47"/>
      <c r="S118">
        <f>ROUND((Source!FX59/100)*((ROUND(Source!AF59*Source!I59, 2)+ROUND(Source!AE59*Source!I59, 2))), 2)</f>
        <v>0</v>
      </c>
      <c r="T118">
        <f>Source!X59</f>
        <v>0</v>
      </c>
      <c r="U118">
        <f>ROUND((Source!FY59/100)*((ROUND(Source!AF59*Source!I59, 2)+ROUND(Source!AE59*Source!I59, 2))), 2)</f>
        <v>0</v>
      </c>
      <c r="V118">
        <f>Source!Y59</f>
        <v>0</v>
      </c>
      <c r="W118">
        <f>IF(Source!BI59&lt;=1,I118, 0)</f>
        <v>590.98</v>
      </c>
      <c r="X118">
        <f>IF(Source!BI59=2,I118, 0)</f>
        <v>0</v>
      </c>
      <c r="Y118">
        <f>IF(Source!BI59=3,I118, 0)</f>
        <v>0</v>
      </c>
      <c r="Z118">
        <f>IF(Source!BI59=4,I118, 0)</f>
        <v>0</v>
      </c>
    </row>
    <row r="119" spans="1:26" ht="15" x14ac:dyDescent="0.25">
      <c r="H119" s="66">
        <f>I110+I111+I113+I114+I115+SUM(I117:I118)</f>
        <v>745.15000000000009</v>
      </c>
      <c r="I119" s="66"/>
      <c r="K119" s="66">
        <f>L110+L111+L113+L114+L115+SUM(L117:L118)</f>
        <v>4552.8600000000006</v>
      </c>
      <c r="L119" s="66"/>
      <c r="M119" s="44">
        <f>Source!U55</f>
        <v>7.48224</v>
      </c>
      <c r="O119" s="27">
        <f>H119</f>
        <v>745.15000000000009</v>
      </c>
      <c r="P119" s="27">
        <f>K119</f>
        <v>4552.8600000000006</v>
      </c>
      <c r="Q119" s="27">
        <f>M119</f>
        <v>7.48224</v>
      </c>
      <c r="W119">
        <f>IF(Source!BI55&lt;=1,I110+I111+I113+I114+I115, 0)</f>
        <v>2956.28</v>
      </c>
      <c r="X119">
        <f>IF(Source!BI55=2,I110+I111+I113+I114+I115, 0)</f>
        <v>0</v>
      </c>
      <c r="Y119">
        <f>IF(Source!BI55=3,I110+I111+I113+I114+I115, 0)</f>
        <v>0</v>
      </c>
      <c r="Z119">
        <f>IF(Source!BI55=4,I110+I111+I113+I114+I115, 0)</f>
        <v>0</v>
      </c>
    </row>
    <row r="120" spans="1:26" ht="28.5" x14ac:dyDescent="0.2">
      <c r="A120" s="49">
        <v>19</v>
      </c>
      <c r="B120" s="49" t="str">
        <f>Source!E61</f>
        <v>9</v>
      </c>
      <c r="C120" s="50" t="str">
        <f>Source!F61</f>
        <v>57-2-3</v>
      </c>
      <c r="D120" s="50" t="str">
        <f>Source!G61</f>
        <v>Разборка покрытий полов из керамических плиток</v>
      </c>
      <c r="E120" s="33" t="str">
        <f>Source!H61</f>
        <v>100 м2</v>
      </c>
      <c r="F120" s="12">
        <f>Source!I61</f>
        <v>0.41599999999999998</v>
      </c>
      <c r="G120" s="34">
        <f>Source!AL61+Source!AM61+Source!AO61</f>
        <v>641</v>
      </c>
      <c r="H120" s="35"/>
      <c r="I120" s="34"/>
      <c r="J120" s="35" t="str">
        <f>Source!BO61</f>
        <v/>
      </c>
      <c r="K120" s="35"/>
      <c r="L120" s="34"/>
      <c r="M120" s="36"/>
      <c r="S120">
        <f>ROUND((Source!FX61/100)*((ROUND(Source!AF61*Source!I61, 2)+ROUND(Source!AE61*Source!I61, 2))), 2)</f>
        <v>204.82</v>
      </c>
      <c r="T120">
        <f>Source!X61</f>
        <v>1251.42</v>
      </c>
      <c r="U120">
        <f>ROUND((Source!FY61/100)*((ROUND(Source!AF61*Source!I61, 2)+ROUND(Source!AE61*Source!I61, 2))), 2)</f>
        <v>174.09</v>
      </c>
      <c r="V120">
        <f>Source!Y61</f>
        <v>1063.7</v>
      </c>
    </row>
    <row r="121" spans="1:26" x14ac:dyDescent="0.2">
      <c r="D121" s="26" t="str">
        <f>"Объем: "&amp;Source!I61&amp;"=41,6/"&amp;"100"</f>
        <v>Объем: 0,416=41,6/100</v>
      </c>
    </row>
    <row r="122" spans="1:26" ht="14.25" x14ac:dyDescent="0.2">
      <c r="A122" s="49"/>
      <c r="B122" s="49"/>
      <c r="C122" s="50"/>
      <c r="D122" s="50" t="s">
        <v>791</v>
      </c>
      <c r="E122" s="33"/>
      <c r="F122" s="12"/>
      <c r="G122" s="34">
        <f>Source!AO61</f>
        <v>595.99</v>
      </c>
      <c r="H122" s="35" t="str">
        <f>Source!DG61</f>
        <v/>
      </c>
      <c r="I122" s="34">
        <f>ROUND(Source!AF61*Source!I61, 2)</f>
        <v>247.93</v>
      </c>
      <c r="J122" s="35"/>
      <c r="K122" s="35">
        <f>IF(Source!BA61&lt;&gt; 0, Source!BA61, 1)</f>
        <v>6.11</v>
      </c>
      <c r="L122" s="34">
        <f>Source!S61</f>
        <v>1514.86</v>
      </c>
      <c r="M122" s="36"/>
      <c r="R122">
        <f>I122</f>
        <v>247.93</v>
      </c>
    </row>
    <row r="123" spans="1:26" ht="14.25" x14ac:dyDescent="0.2">
      <c r="A123" s="49"/>
      <c r="B123" s="49"/>
      <c r="C123" s="50"/>
      <c r="D123" s="50" t="s">
        <v>356</v>
      </c>
      <c r="E123" s="33"/>
      <c r="F123" s="12"/>
      <c r="G123" s="34">
        <f>Source!AM61</f>
        <v>45.01</v>
      </c>
      <c r="H123" s="35" t="str">
        <f>Source!DE61</f>
        <v/>
      </c>
      <c r="I123" s="34">
        <f>ROUND(Source!AD61*Source!I61, 2)</f>
        <v>18.72</v>
      </c>
      <c r="J123" s="35"/>
      <c r="K123" s="35">
        <f>IF(Source!BB61&lt;&gt; 0, Source!BB61, 1)</f>
        <v>6.11</v>
      </c>
      <c r="L123" s="34">
        <f>Source!Q61</f>
        <v>114.4</v>
      </c>
      <c r="M123" s="36"/>
    </row>
    <row r="124" spans="1:26" ht="14.25" x14ac:dyDescent="0.2">
      <c r="A124" s="49"/>
      <c r="B124" s="49"/>
      <c r="C124" s="50"/>
      <c r="D124" s="50" t="s">
        <v>792</v>
      </c>
      <c r="E124" s="33"/>
      <c r="F124" s="12"/>
      <c r="G124" s="34">
        <f>Source!AN61</f>
        <v>19.440000000000001</v>
      </c>
      <c r="H124" s="35" t="str">
        <f>Source!DF61</f>
        <v/>
      </c>
      <c r="I124" s="37">
        <f>ROUND(Source!AE61*Source!I61, 2)</f>
        <v>8.09</v>
      </c>
      <c r="J124" s="35"/>
      <c r="K124" s="35">
        <f>IF(Source!BS61&lt;&gt; 0, Source!BS61, 1)</f>
        <v>6.11</v>
      </c>
      <c r="L124" s="37">
        <f>Source!R61</f>
        <v>49.41</v>
      </c>
      <c r="M124" s="36"/>
      <c r="R124">
        <f>I124</f>
        <v>8.09</v>
      </c>
    </row>
    <row r="125" spans="1:26" ht="14.25" x14ac:dyDescent="0.2">
      <c r="A125" s="49"/>
      <c r="B125" s="49"/>
      <c r="C125" s="50"/>
      <c r="D125" s="50" t="s">
        <v>793</v>
      </c>
      <c r="E125" s="33" t="s">
        <v>794</v>
      </c>
      <c r="F125" s="12">
        <f>Source!BZ61</f>
        <v>80</v>
      </c>
      <c r="G125" s="53"/>
      <c r="H125" s="35"/>
      <c r="I125" s="34">
        <f>SUM(S120:S127)</f>
        <v>204.82</v>
      </c>
      <c r="J125" s="38"/>
      <c r="K125" s="31">
        <f>Source!AT61</f>
        <v>80</v>
      </c>
      <c r="L125" s="34">
        <f>SUM(T120:T127)</f>
        <v>1251.42</v>
      </c>
      <c r="M125" s="36"/>
    </row>
    <row r="126" spans="1:26" ht="14.25" x14ac:dyDescent="0.2">
      <c r="A126" s="49"/>
      <c r="B126" s="49"/>
      <c r="C126" s="50"/>
      <c r="D126" s="50" t="s">
        <v>795</v>
      </c>
      <c r="E126" s="33" t="s">
        <v>794</v>
      </c>
      <c r="F126" s="12">
        <f>Source!CA61</f>
        <v>68</v>
      </c>
      <c r="G126" s="53"/>
      <c r="H126" s="35"/>
      <c r="I126" s="34">
        <f>SUM(U120:U127)</f>
        <v>174.09</v>
      </c>
      <c r="J126" s="38"/>
      <c r="K126" s="31">
        <f>Source!AU61</f>
        <v>68</v>
      </c>
      <c r="L126" s="34">
        <f>SUM(V120:V127)</f>
        <v>1063.7</v>
      </c>
      <c r="M126" s="36"/>
    </row>
    <row r="127" spans="1:26" ht="14.25" x14ac:dyDescent="0.2">
      <c r="A127" s="51"/>
      <c r="B127" s="51"/>
      <c r="C127" s="52"/>
      <c r="D127" s="52" t="s">
        <v>796</v>
      </c>
      <c r="E127" s="39" t="s">
        <v>797</v>
      </c>
      <c r="F127" s="40">
        <f>Source!AQ61</f>
        <v>69.87</v>
      </c>
      <c r="G127" s="41"/>
      <c r="H127" s="42" t="str">
        <f>Source!DI61</f>
        <v/>
      </c>
      <c r="I127" s="41"/>
      <c r="J127" s="42"/>
      <c r="K127" s="42"/>
      <c r="L127" s="41"/>
      <c r="M127" s="43">
        <f>Source!U61</f>
        <v>29.065920000000002</v>
      </c>
    </row>
    <row r="128" spans="1:26" ht="15" x14ac:dyDescent="0.25">
      <c r="H128" s="66">
        <f>I122+I123+I125+I126</f>
        <v>645.55999999999995</v>
      </c>
      <c r="I128" s="66"/>
      <c r="K128" s="66">
        <f>L122+L123+L125+L126</f>
        <v>3944.38</v>
      </c>
      <c r="L128" s="66"/>
      <c r="M128" s="44">
        <f>Source!U61</f>
        <v>29.065920000000002</v>
      </c>
      <c r="O128" s="27">
        <f>H128</f>
        <v>645.55999999999995</v>
      </c>
      <c r="P128" s="27">
        <f>K128</f>
        <v>3944.38</v>
      </c>
      <c r="Q128" s="27">
        <f>M128</f>
        <v>29.065920000000002</v>
      </c>
      <c r="W128">
        <f>IF(Source!BI61&lt;=1,I122+I123+I125+I126, 0)</f>
        <v>645.55999999999995</v>
      </c>
      <c r="X128">
        <f>IF(Source!BI61=2,I122+I123+I125+I126, 0)</f>
        <v>0</v>
      </c>
      <c r="Y128">
        <f>IF(Source!BI61=3,I122+I123+I125+I126, 0)</f>
        <v>0</v>
      </c>
      <c r="Z128">
        <f>IF(Source!BI61=4,I122+I123+I125+I126, 0)</f>
        <v>0</v>
      </c>
    </row>
    <row r="129" spans="1:26" ht="28.5" x14ac:dyDescent="0.2">
      <c r="A129" s="49">
        <v>20</v>
      </c>
      <c r="B129" s="49" t="str">
        <f>Source!E63</f>
        <v>10</v>
      </c>
      <c r="C129" s="50" t="str">
        <f>Source!F63</f>
        <v>57-3-1</v>
      </c>
      <c r="D129" s="50" t="str">
        <f>Source!G63</f>
        <v>Разборка плинтусов деревянных и из пластмассовых материалов</v>
      </c>
      <c r="E129" s="33" t="str">
        <f>Source!H63</f>
        <v>100 м</v>
      </c>
      <c r="F129" s="12">
        <f>Source!I63</f>
        <v>0.14000000000000001</v>
      </c>
      <c r="G129" s="34">
        <f>Source!AL63+Source!AM63+Source!AO63</f>
        <v>29.41</v>
      </c>
      <c r="H129" s="35"/>
      <c r="I129" s="34"/>
      <c r="J129" s="35" t="str">
        <f>Source!BO63</f>
        <v/>
      </c>
      <c r="K129" s="35"/>
      <c r="L129" s="34"/>
      <c r="M129" s="36"/>
      <c r="S129">
        <f>ROUND((Source!FX63/100)*((ROUND(Source!AF63*Source!I63, 2)+ROUND(Source!AE63*Source!I63, 2))), 2)</f>
        <v>3.3</v>
      </c>
      <c r="T129">
        <f>Source!X63</f>
        <v>20.13</v>
      </c>
      <c r="U129">
        <f>ROUND((Source!FY63/100)*((ROUND(Source!AF63*Source!I63, 2)+ROUND(Source!AE63*Source!I63, 2))), 2)</f>
        <v>2.8</v>
      </c>
      <c r="V129">
        <f>Source!Y63</f>
        <v>17.11</v>
      </c>
    </row>
    <row r="130" spans="1:26" x14ac:dyDescent="0.2">
      <c r="D130" s="26" t="str">
        <f>"Объем: "&amp;Source!I63&amp;"=14/"&amp;"100"</f>
        <v>Объем: 0,14=14/100</v>
      </c>
    </row>
    <row r="131" spans="1:26" ht="14.25" x14ac:dyDescent="0.2">
      <c r="A131" s="49"/>
      <c r="B131" s="49"/>
      <c r="C131" s="50"/>
      <c r="D131" s="50" t="s">
        <v>791</v>
      </c>
      <c r="E131" s="33"/>
      <c r="F131" s="12"/>
      <c r="G131" s="34">
        <f>Source!AO63</f>
        <v>29.41</v>
      </c>
      <c r="H131" s="35" t="str">
        <f>Source!DG63</f>
        <v/>
      </c>
      <c r="I131" s="34">
        <f>ROUND(Source!AF63*Source!I63, 2)</f>
        <v>4.12</v>
      </c>
      <c r="J131" s="35"/>
      <c r="K131" s="35">
        <f>IF(Source!BA63&lt;&gt; 0, Source!BA63, 1)</f>
        <v>6.11</v>
      </c>
      <c r="L131" s="34">
        <f>Source!S63</f>
        <v>25.16</v>
      </c>
      <c r="M131" s="36"/>
      <c r="R131">
        <f>I131</f>
        <v>4.12</v>
      </c>
    </row>
    <row r="132" spans="1:26" ht="14.25" x14ac:dyDescent="0.2">
      <c r="A132" s="49"/>
      <c r="B132" s="49"/>
      <c r="C132" s="50"/>
      <c r="D132" s="50" t="s">
        <v>793</v>
      </c>
      <c r="E132" s="33" t="s">
        <v>794</v>
      </c>
      <c r="F132" s="12">
        <f>Source!BZ63</f>
        <v>80</v>
      </c>
      <c r="G132" s="53"/>
      <c r="H132" s="35"/>
      <c r="I132" s="34">
        <f>SUM(S129:S134)</f>
        <v>3.3</v>
      </c>
      <c r="J132" s="38"/>
      <c r="K132" s="31">
        <f>Source!AT63</f>
        <v>80</v>
      </c>
      <c r="L132" s="34">
        <f>SUM(T129:T134)</f>
        <v>20.13</v>
      </c>
      <c r="M132" s="36"/>
    </row>
    <row r="133" spans="1:26" ht="14.25" x14ac:dyDescent="0.2">
      <c r="A133" s="49"/>
      <c r="B133" s="49"/>
      <c r="C133" s="50"/>
      <c r="D133" s="50" t="s">
        <v>795</v>
      </c>
      <c r="E133" s="33" t="s">
        <v>794</v>
      </c>
      <c r="F133" s="12">
        <f>Source!CA63</f>
        <v>68</v>
      </c>
      <c r="G133" s="53"/>
      <c r="H133" s="35"/>
      <c r="I133" s="34">
        <f>SUM(U129:U134)</f>
        <v>2.8</v>
      </c>
      <c r="J133" s="38"/>
      <c r="K133" s="31">
        <f>Source!AU63</f>
        <v>68</v>
      </c>
      <c r="L133" s="34">
        <f>SUM(V129:V134)</f>
        <v>17.11</v>
      </c>
      <c r="M133" s="36"/>
    </row>
    <row r="134" spans="1:26" ht="14.25" x14ac:dyDescent="0.2">
      <c r="A134" s="51"/>
      <c r="B134" s="51"/>
      <c r="C134" s="52"/>
      <c r="D134" s="52" t="s">
        <v>796</v>
      </c>
      <c r="E134" s="39" t="s">
        <v>797</v>
      </c>
      <c r="F134" s="40">
        <f>Source!AQ63</f>
        <v>3.77</v>
      </c>
      <c r="G134" s="41"/>
      <c r="H134" s="42" t="str">
        <f>Source!DI63</f>
        <v/>
      </c>
      <c r="I134" s="41"/>
      <c r="J134" s="42"/>
      <c r="K134" s="42"/>
      <c r="L134" s="41"/>
      <c r="M134" s="43">
        <f>Source!U63</f>
        <v>0.52780000000000005</v>
      </c>
    </row>
    <row r="135" spans="1:26" ht="15" x14ac:dyDescent="0.25">
      <c r="H135" s="66">
        <f>I131+I132+I133</f>
        <v>10.219999999999999</v>
      </c>
      <c r="I135" s="66"/>
      <c r="K135" s="66">
        <f>L131+L132+L133</f>
        <v>62.4</v>
      </c>
      <c r="L135" s="66"/>
      <c r="M135" s="44">
        <f>Source!U63</f>
        <v>0.52780000000000005</v>
      </c>
      <c r="O135" s="27">
        <f>H135</f>
        <v>10.219999999999999</v>
      </c>
      <c r="P135" s="27">
        <f>K135</f>
        <v>62.4</v>
      </c>
      <c r="Q135" s="27">
        <f>M135</f>
        <v>0.52780000000000005</v>
      </c>
      <c r="W135">
        <f>IF(Source!BI63&lt;=1,I131+I132+I133, 0)</f>
        <v>10.219999999999999</v>
      </c>
      <c r="X135">
        <f>IF(Source!BI63=2,I131+I132+I133, 0)</f>
        <v>0</v>
      </c>
      <c r="Y135">
        <f>IF(Source!BI63=3,I131+I132+I133, 0)</f>
        <v>0</v>
      </c>
      <c r="Z135">
        <f>IF(Source!BI63=4,I131+I132+I133, 0)</f>
        <v>0</v>
      </c>
    </row>
    <row r="136" spans="1:26" ht="28.5" x14ac:dyDescent="0.2">
      <c r="A136" s="49">
        <v>21</v>
      </c>
      <c r="B136" s="49" t="str">
        <f>Source!E65</f>
        <v>11</v>
      </c>
      <c r="C136" s="50" t="str">
        <f>Source!F65</f>
        <v>11-01-011-01</v>
      </c>
      <c r="D136" s="50" t="str">
        <f>Source!G65</f>
        <v>Устройство стяжек цементных толщиной 20 мм</v>
      </c>
      <c r="E136" s="33" t="str">
        <f>Source!H65</f>
        <v>100 м2</v>
      </c>
      <c r="F136" s="12">
        <f>Source!I65</f>
        <v>0.41599999999999998</v>
      </c>
      <c r="G136" s="34">
        <f>Source!AL65+Source!AM65+Source!AO65</f>
        <v>366.49</v>
      </c>
      <c r="H136" s="35"/>
      <c r="I136" s="34"/>
      <c r="J136" s="35" t="str">
        <f>Source!BO65</f>
        <v/>
      </c>
      <c r="K136" s="35"/>
      <c r="L136" s="34"/>
      <c r="M136" s="36"/>
      <c r="S136">
        <f>ROUND((Source!FX65/100)*((ROUND(Source!AF65*Source!I65, 2)+ROUND(Source!AE65*Source!I65, 2))), 2)</f>
        <v>176.01</v>
      </c>
      <c r="T136">
        <f>Source!X65</f>
        <v>1078.3499999999999</v>
      </c>
      <c r="U136">
        <f>ROUND((Source!FY65/100)*((ROUND(Source!AF65*Source!I65, 2)+ROUND(Source!AE65*Source!I65, 2))), 2)</f>
        <v>101.36</v>
      </c>
      <c r="V136">
        <f>Source!Y65</f>
        <v>621.75</v>
      </c>
    </row>
    <row r="137" spans="1:26" x14ac:dyDescent="0.2">
      <c r="D137" s="26" t="str">
        <f>"Объем: "&amp;Source!I65&amp;"=41,6/"&amp;"100"</f>
        <v>Объем: 0,416=41,6/100</v>
      </c>
    </row>
    <row r="138" spans="1:26" ht="14.25" x14ac:dyDescent="0.2">
      <c r="A138" s="49"/>
      <c r="B138" s="49"/>
      <c r="C138" s="50"/>
      <c r="D138" s="50" t="s">
        <v>791</v>
      </c>
      <c r="E138" s="33"/>
      <c r="F138" s="12"/>
      <c r="G138" s="34">
        <f>Source!AO65</f>
        <v>313.70999999999998</v>
      </c>
      <c r="H138" s="35" t="str">
        <f>Source!DG65</f>
        <v>)*1,15</v>
      </c>
      <c r="I138" s="34">
        <f>ROUND(Source!AF65*Source!I65, 2)</f>
        <v>150.08000000000001</v>
      </c>
      <c r="J138" s="35"/>
      <c r="K138" s="35">
        <f>IF(Source!BA65&lt;&gt; 0, Source!BA65, 1)</f>
        <v>6.11</v>
      </c>
      <c r="L138" s="34">
        <f>Source!S65</f>
        <v>916.99</v>
      </c>
      <c r="M138" s="36"/>
      <c r="R138">
        <f>I138</f>
        <v>150.08000000000001</v>
      </c>
    </row>
    <row r="139" spans="1:26" ht="14.25" x14ac:dyDescent="0.2">
      <c r="A139" s="49"/>
      <c r="B139" s="49"/>
      <c r="C139" s="50"/>
      <c r="D139" s="50" t="s">
        <v>356</v>
      </c>
      <c r="E139" s="33"/>
      <c r="F139" s="12"/>
      <c r="G139" s="34">
        <f>Source!AM65</f>
        <v>44.24</v>
      </c>
      <c r="H139" s="35" t="str">
        <f>Source!DE65</f>
        <v>)*1,25</v>
      </c>
      <c r="I139" s="34">
        <f>ROUND(Source!AD65*Source!I65, 2)</f>
        <v>23</v>
      </c>
      <c r="J139" s="35"/>
      <c r="K139" s="35">
        <f>IF(Source!BB65&lt;&gt; 0, Source!BB65, 1)</f>
        <v>6.11</v>
      </c>
      <c r="L139" s="34">
        <f>Source!Q65</f>
        <v>140.56</v>
      </c>
      <c r="M139" s="36"/>
    </row>
    <row r="140" spans="1:26" ht="14.25" x14ac:dyDescent="0.2">
      <c r="A140" s="49"/>
      <c r="B140" s="49"/>
      <c r="C140" s="50"/>
      <c r="D140" s="50" t="s">
        <v>792</v>
      </c>
      <c r="E140" s="33"/>
      <c r="F140" s="12"/>
      <c r="G140" s="34">
        <f>Source!AN65</f>
        <v>17.149999999999999</v>
      </c>
      <c r="H140" s="35" t="str">
        <f>Source!DF65</f>
        <v>)*1,25</v>
      </c>
      <c r="I140" s="37">
        <f>ROUND(Source!AE65*Source!I65, 2)</f>
        <v>8.92</v>
      </c>
      <c r="J140" s="35"/>
      <c r="K140" s="35">
        <f>IF(Source!BS65&lt;&gt; 0, Source!BS65, 1)</f>
        <v>6.11</v>
      </c>
      <c r="L140" s="37">
        <f>Source!R65</f>
        <v>54.5</v>
      </c>
      <c r="M140" s="36"/>
      <c r="R140">
        <f>I140</f>
        <v>8.92</v>
      </c>
    </row>
    <row r="141" spans="1:26" ht="14.25" x14ac:dyDescent="0.2">
      <c r="A141" s="49"/>
      <c r="B141" s="49"/>
      <c r="C141" s="50"/>
      <c r="D141" s="50" t="s">
        <v>798</v>
      </c>
      <c r="E141" s="33"/>
      <c r="F141" s="12"/>
      <c r="G141" s="34">
        <f>Source!AL65</f>
        <v>8.5399999999999991</v>
      </c>
      <c r="H141" s="35" t="str">
        <f>Source!DD65</f>
        <v/>
      </c>
      <c r="I141" s="34">
        <f>ROUND(Source!AC65*Source!I65, 2)</f>
        <v>3.55</v>
      </c>
      <c r="J141" s="35"/>
      <c r="K141" s="35">
        <f>IF(Source!BC65&lt;&gt; 0, Source!BC65, 1)</f>
        <v>6.11</v>
      </c>
      <c r="L141" s="34">
        <f>Source!P65</f>
        <v>21.71</v>
      </c>
      <c r="M141" s="36"/>
    </row>
    <row r="142" spans="1:26" ht="14.25" x14ac:dyDescent="0.2">
      <c r="A142" s="49"/>
      <c r="B142" s="49"/>
      <c r="C142" s="50"/>
      <c r="D142" s="50" t="s">
        <v>793</v>
      </c>
      <c r="E142" s="33" t="s">
        <v>794</v>
      </c>
      <c r="F142" s="12">
        <f>Source!BZ65</f>
        <v>123</v>
      </c>
      <c r="G142" s="67" t="str">
        <f>CONCATENATE(" )", Source!DL65, Source!FT65, "=", Source!FX65)</f>
        <v xml:space="preserve"> )*0,9=110,7</v>
      </c>
      <c r="H142" s="68"/>
      <c r="I142" s="34">
        <f>SUM(S136:S145)</f>
        <v>176.01</v>
      </c>
      <c r="J142" s="38"/>
      <c r="K142" s="31">
        <f>Source!AT65</f>
        <v>111</v>
      </c>
      <c r="L142" s="34">
        <f>SUM(T136:T145)</f>
        <v>1078.3499999999999</v>
      </c>
      <c r="M142" s="36"/>
    </row>
    <row r="143" spans="1:26" ht="14.25" x14ac:dyDescent="0.2">
      <c r="A143" s="49"/>
      <c r="B143" s="49"/>
      <c r="C143" s="50"/>
      <c r="D143" s="50" t="s">
        <v>795</v>
      </c>
      <c r="E143" s="33" t="s">
        <v>794</v>
      </c>
      <c r="F143" s="12">
        <f>Source!CA65</f>
        <v>75</v>
      </c>
      <c r="G143" s="67" t="str">
        <f>CONCATENATE(" )", Source!DM65, Source!FU65, "=", Source!FY65)</f>
        <v xml:space="preserve"> )*0,85=63,75</v>
      </c>
      <c r="H143" s="68"/>
      <c r="I143" s="34">
        <f>SUM(U136:U145)</f>
        <v>101.36</v>
      </c>
      <c r="J143" s="38"/>
      <c r="K143" s="31">
        <f>Source!AU65</f>
        <v>64</v>
      </c>
      <c r="L143" s="34">
        <f>SUM(V136:V145)</f>
        <v>621.75</v>
      </c>
      <c r="M143" s="36"/>
    </row>
    <row r="144" spans="1:26" ht="14.25" x14ac:dyDescent="0.2">
      <c r="A144" s="49"/>
      <c r="B144" s="49"/>
      <c r="C144" s="50"/>
      <c r="D144" s="50" t="s">
        <v>796</v>
      </c>
      <c r="E144" s="33" t="s">
        <v>797</v>
      </c>
      <c r="F144" s="12">
        <f>Source!AQ65</f>
        <v>39.51</v>
      </c>
      <c r="G144" s="34"/>
      <c r="H144" s="35" t="str">
        <f>Source!DI65</f>
        <v>)*1,15</v>
      </c>
      <c r="I144" s="34"/>
      <c r="J144" s="35"/>
      <c r="K144" s="35"/>
      <c r="L144" s="34"/>
      <c r="M144" s="45">
        <f>Source!U65</f>
        <v>18.901583999999996</v>
      </c>
    </row>
    <row r="145" spans="1:26" ht="28.5" x14ac:dyDescent="0.2">
      <c r="A145" s="51">
        <v>22</v>
      </c>
      <c r="B145" s="51" t="str">
        <f>Source!E67</f>
        <v>11,1</v>
      </c>
      <c r="C145" s="52" t="str">
        <f>Source!F67</f>
        <v>04.3.01.09-0015</v>
      </c>
      <c r="D145" s="52" t="str">
        <f>Source!G67</f>
        <v>Раствор готовый кладочный цементный марки 150</v>
      </c>
      <c r="E145" s="39" t="str">
        <f>Source!H67</f>
        <v>м3</v>
      </c>
      <c r="F145" s="40">
        <f>Source!I67</f>
        <v>0.84863999999999995</v>
      </c>
      <c r="G145" s="41">
        <f>Source!AL67+Source!AM67+Source!AO67</f>
        <v>548.29999999999995</v>
      </c>
      <c r="H145" s="46" t="s">
        <v>6</v>
      </c>
      <c r="I145" s="41">
        <f>ROUND(Source!AC67*Source!I67, 2)+ROUND(Source!AD67*Source!I67, 2)+ROUND(Source!AF67*Source!I67, 2)</f>
        <v>465.31</v>
      </c>
      <c r="J145" s="42"/>
      <c r="K145" s="42">
        <f>IF(Source!BC67&lt;&gt; 0, Source!BC67, 1)</f>
        <v>6.11</v>
      </c>
      <c r="L145" s="41">
        <f>Source!O67</f>
        <v>2843.04</v>
      </c>
      <c r="M145" s="47"/>
      <c r="S145">
        <f>ROUND((Source!FX67/100)*((ROUND(Source!AF67*Source!I67, 2)+ROUND(Source!AE67*Source!I67, 2))), 2)</f>
        <v>0</v>
      </c>
      <c r="T145">
        <f>Source!X67</f>
        <v>0</v>
      </c>
      <c r="U145">
        <f>ROUND((Source!FY67/100)*((ROUND(Source!AF67*Source!I67, 2)+ROUND(Source!AE67*Source!I67, 2))), 2)</f>
        <v>0</v>
      </c>
      <c r="V145">
        <f>Source!Y67</f>
        <v>0</v>
      </c>
      <c r="W145">
        <f>IF(Source!BI67&lt;=1,I145, 0)</f>
        <v>465.31</v>
      </c>
      <c r="X145">
        <f>IF(Source!BI67=2,I145, 0)</f>
        <v>0</v>
      </c>
      <c r="Y145">
        <f>IF(Source!BI67=3,I145, 0)</f>
        <v>0</v>
      </c>
      <c r="Z145">
        <f>IF(Source!BI67=4,I145, 0)</f>
        <v>0</v>
      </c>
    </row>
    <row r="146" spans="1:26" ht="15" x14ac:dyDescent="0.25">
      <c r="H146" s="66">
        <f>I138+I139+I141+I142+I143+SUM(I145:I145)</f>
        <v>919.31</v>
      </c>
      <c r="I146" s="66"/>
      <c r="K146" s="66">
        <f>L138+L139+L141+L142+L143+SUM(L145:L145)</f>
        <v>5622.4</v>
      </c>
      <c r="L146" s="66"/>
      <c r="M146" s="44">
        <f>Source!U65</f>
        <v>18.901583999999996</v>
      </c>
      <c r="O146" s="27">
        <f>H146</f>
        <v>919.31</v>
      </c>
      <c r="P146" s="27">
        <f>K146</f>
        <v>5622.4</v>
      </c>
      <c r="Q146" s="27">
        <f>M146</f>
        <v>18.901583999999996</v>
      </c>
      <c r="W146">
        <f>IF(Source!BI65&lt;=1,I138+I139+I141+I142+I143, 0)</f>
        <v>454</v>
      </c>
      <c r="X146">
        <f>IF(Source!BI65=2,I138+I139+I141+I142+I143, 0)</f>
        <v>0</v>
      </c>
      <c r="Y146">
        <f>IF(Source!BI65=3,I138+I139+I141+I142+I143, 0)</f>
        <v>0</v>
      </c>
      <c r="Z146">
        <f>IF(Source!BI65=4,I138+I139+I141+I142+I143, 0)</f>
        <v>0</v>
      </c>
    </row>
    <row r="147" spans="1:26" ht="42.75" x14ac:dyDescent="0.2">
      <c r="A147" s="49">
        <v>23</v>
      </c>
      <c r="B147" s="49" t="str">
        <f>Source!E69</f>
        <v>12</v>
      </c>
      <c r="C147" s="50" t="str">
        <f>Source!F69</f>
        <v>11-01-011-08</v>
      </c>
      <c r="D147" s="50" t="str">
        <f>Source!G69</f>
        <v>Устройство стяжек из выравнивающей смеси типа "Ветонит" 5000, толщиной 5 мм</v>
      </c>
      <c r="E147" s="33" t="str">
        <f>Source!H69</f>
        <v>100 м2</v>
      </c>
      <c r="F147" s="12">
        <f>Source!I69</f>
        <v>0.41599999999999998</v>
      </c>
      <c r="G147" s="34">
        <f>Source!AL69+Source!AM69+Source!AO69</f>
        <v>11028.89</v>
      </c>
      <c r="H147" s="35"/>
      <c r="I147" s="34"/>
      <c r="J147" s="35" t="str">
        <f>Source!BO69</f>
        <v/>
      </c>
      <c r="K147" s="35"/>
      <c r="L147" s="34"/>
      <c r="M147" s="36"/>
      <c r="S147">
        <f>ROUND((Source!FX69/100)*((ROUND(Source!AF69*Source!I69, 2)+ROUND(Source!AE69*Source!I69, 2))), 2)</f>
        <v>171.3</v>
      </c>
      <c r="T147">
        <f>Source!X69</f>
        <v>1049.52</v>
      </c>
      <c r="U147">
        <f>ROUND((Source!FY69/100)*((ROUND(Source!AF69*Source!I69, 2)+ROUND(Source!AE69*Source!I69, 2))), 2)</f>
        <v>98.65</v>
      </c>
      <c r="V147">
        <f>Source!Y69</f>
        <v>605.13</v>
      </c>
    </row>
    <row r="148" spans="1:26" x14ac:dyDescent="0.2">
      <c r="D148" s="26" t="str">
        <f>"Объем: "&amp;Source!I69&amp;"=41,6/"&amp;"100"</f>
        <v>Объем: 0,416=41,6/100</v>
      </c>
    </row>
    <row r="149" spans="1:26" ht="14.25" x14ac:dyDescent="0.2">
      <c r="A149" s="49"/>
      <c r="B149" s="49"/>
      <c r="C149" s="50"/>
      <c r="D149" s="50" t="s">
        <v>791</v>
      </c>
      <c r="E149" s="33"/>
      <c r="F149" s="12"/>
      <c r="G149" s="34">
        <f>Source!AO69</f>
        <v>321.33</v>
      </c>
      <c r="H149" s="35" t="str">
        <f>Source!DG69</f>
        <v>)*1,15</v>
      </c>
      <c r="I149" s="34">
        <f>ROUND(Source!AF69*Source!I69, 2)</f>
        <v>153.72</v>
      </c>
      <c r="J149" s="35"/>
      <c r="K149" s="35">
        <f>IF(Source!BA69&lt;&gt; 0, Source!BA69, 1)</f>
        <v>6.11</v>
      </c>
      <c r="L149" s="34">
        <f>Source!S69</f>
        <v>939.26</v>
      </c>
      <c r="M149" s="36"/>
      <c r="R149">
        <f>I149</f>
        <v>153.72</v>
      </c>
    </row>
    <row r="150" spans="1:26" ht="14.25" x14ac:dyDescent="0.2">
      <c r="A150" s="49"/>
      <c r="B150" s="49"/>
      <c r="C150" s="50"/>
      <c r="D150" s="50" t="s">
        <v>356</v>
      </c>
      <c r="E150" s="33"/>
      <c r="F150" s="12"/>
      <c r="G150" s="34">
        <f>Source!AM69</f>
        <v>6.23</v>
      </c>
      <c r="H150" s="35" t="str">
        <f>Source!DE69</f>
        <v>)*1,25</v>
      </c>
      <c r="I150" s="34">
        <f>ROUND(Source!AD69*Source!I69, 2)</f>
        <v>3.24</v>
      </c>
      <c r="J150" s="35"/>
      <c r="K150" s="35">
        <f>IF(Source!BB69&lt;&gt; 0, Source!BB69, 1)</f>
        <v>6.11</v>
      </c>
      <c r="L150" s="34">
        <f>Source!Q69</f>
        <v>19.8</v>
      </c>
      <c r="M150" s="36"/>
    </row>
    <row r="151" spans="1:26" ht="14.25" x14ac:dyDescent="0.2">
      <c r="A151" s="49"/>
      <c r="B151" s="49"/>
      <c r="C151" s="50"/>
      <c r="D151" s="50" t="s">
        <v>792</v>
      </c>
      <c r="E151" s="33"/>
      <c r="F151" s="12"/>
      <c r="G151" s="34">
        <f>Source!AN69</f>
        <v>1.97</v>
      </c>
      <c r="H151" s="35" t="str">
        <f>Source!DF69</f>
        <v>)*1,25</v>
      </c>
      <c r="I151" s="37">
        <f>ROUND(Source!AE69*Source!I69, 2)</f>
        <v>1.02</v>
      </c>
      <c r="J151" s="35"/>
      <c r="K151" s="35">
        <f>IF(Source!BS69&lt;&gt; 0, Source!BS69, 1)</f>
        <v>6.11</v>
      </c>
      <c r="L151" s="37">
        <f>Source!R69</f>
        <v>6.25</v>
      </c>
      <c r="M151" s="36"/>
      <c r="R151">
        <f>I151</f>
        <v>1.02</v>
      </c>
    </row>
    <row r="152" spans="1:26" ht="14.25" x14ac:dyDescent="0.2">
      <c r="A152" s="49"/>
      <c r="B152" s="49"/>
      <c r="C152" s="50"/>
      <c r="D152" s="50" t="s">
        <v>798</v>
      </c>
      <c r="E152" s="33"/>
      <c r="F152" s="12"/>
      <c r="G152" s="34">
        <f>Source!AL69</f>
        <v>10701.33</v>
      </c>
      <c r="H152" s="35" t="str">
        <f>Source!DD69</f>
        <v/>
      </c>
      <c r="I152" s="34">
        <f>ROUND(Source!AC69*Source!I69, 2)</f>
        <v>4451.75</v>
      </c>
      <c r="J152" s="35"/>
      <c r="K152" s="35">
        <f>IF(Source!BC69&lt;&gt; 0, Source!BC69, 1)</f>
        <v>6.11</v>
      </c>
      <c r="L152" s="34">
        <f>Source!P69</f>
        <v>27200.21</v>
      </c>
      <c r="M152" s="36"/>
    </row>
    <row r="153" spans="1:26" ht="14.25" x14ac:dyDescent="0.2">
      <c r="A153" s="49"/>
      <c r="B153" s="49"/>
      <c r="C153" s="50"/>
      <c r="D153" s="50" t="s">
        <v>793</v>
      </c>
      <c r="E153" s="33" t="s">
        <v>794</v>
      </c>
      <c r="F153" s="12">
        <f>Source!BZ69</f>
        <v>123</v>
      </c>
      <c r="G153" s="67" t="str">
        <f>CONCATENATE(" )", Source!DL69, Source!FT69, "=", Source!FX69)</f>
        <v xml:space="preserve"> )*0,9=110,7</v>
      </c>
      <c r="H153" s="68"/>
      <c r="I153" s="34">
        <f>SUM(S147:S155)</f>
        <v>171.3</v>
      </c>
      <c r="J153" s="38"/>
      <c r="K153" s="31">
        <f>Source!AT69</f>
        <v>111</v>
      </c>
      <c r="L153" s="34">
        <f>SUM(T147:T155)</f>
        <v>1049.52</v>
      </c>
      <c r="M153" s="36"/>
    </row>
    <row r="154" spans="1:26" ht="14.25" x14ac:dyDescent="0.2">
      <c r="A154" s="49"/>
      <c r="B154" s="49"/>
      <c r="C154" s="50"/>
      <c r="D154" s="50" t="s">
        <v>795</v>
      </c>
      <c r="E154" s="33" t="s">
        <v>794</v>
      </c>
      <c r="F154" s="12">
        <f>Source!CA69</f>
        <v>75</v>
      </c>
      <c r="G154" s="67" t="str">
        <f>CONCATENATE(" )", Source!DM69, Source!FU69, "=", Source!FY69)</f>
        <v xml:space="preserve"> )*0,85=63,75</v>
      </c>
      <c r="H154" s="68"/>
      <c r="I154" s="34">
        <f>SUM(U147:U155)</f>
        <v>98.65</v>
      </c>
      <c r="J154" s="38"/>
      <c r="K154" s="31">
        <f>Source!AU69</f>
        <v>64</v>
      </c>
      <c r="L154" s="34">
        <f>SUM(V147:V155)</f>
        <v>605.13</v>
      </c>
      <c r="M154" s="36"/>
    </row>
    <row r="155" spans="1:26" ht="14.25" x14ac:dyDescent="0.2">
      <c r="A155" s="51"/>
      <c r="B155" s="51"/>
      <c r="C155" s="52"/>
      <c r="D155" s="52" t="s">
        <v>796</v>
      </c>
      <c r="E155" s="39" t="s">
        <v>797</v>
      </c>
      <c r="F155" s="40">
        <f>Source!AQ69</f>
        <v>37.67</v>
      </c>
      <c r="G155" s="41"/>
      <c r="H155" s="42" t="str">
        <f>Source!DI69</f>
        <v>)*1,15</v>
      </c>
      <c r="I155" s="41"/>
      <c r="J155" s="42"/>
      <c r="K155" s="42"/>
      <c r="L155" s="41"/>
      <c r="M155" s="43">
        <f>Source!U69</f>
        <v>18.021327999999997</v>
      </c>
    </row>
    <row r="156" spans="1:26" ht="15" x14ac:dyDescent="0.25">
      <c r="H156" s="66">
        <f>I149+I150+I152+I153+I154</f>
        <v>4878.66</v>
      </c>
      <c r="I156" s="66"/>
      <c r="K156" s="66">
        <f>L149+L150+L152+L153+L154</f>
        <v>29813.920000000002</v>
      </c>
      <c r="L156" s="66"/>
      <c r="M156" s="44">
        <f>Source!U69</f>
        <v>18.021327999999997</v>
      </c>
      <c r="O156" s="27">
        <f>H156</f>
        <v>4878.66</v>
      </c>
      <c r="P156" s="27">
        <f>K156</f>
        <v>29813.920000000002</v>
      </c>
      <c r="Q156" s="27">
        <f>M156</f>
        <v>18.021327999999997</v>
      </c>
      <c r="W156">
        <f>IF(Source!BI69&lt;=1,I149+I150+I152+I153+I154, 0)</f>
        <v>4878.66</v>
      </c>
      <c r="X156">
        <f>IF(Source!BI69=2,I149+I150+I152+I153+I154, 0)</f>
        <v>0</v>
      </c>
      <c r="Y156">
        <f>IF(Source!BI69=3,I149+I150+I152+I153+I154, 0)</f>
        <v>0</v>
      </c>
      <c r="Z156">
        <f>IF(Source!BI69=4,I149+I150+I152+I153+I154, 0)</f>
        <v>0</v>
      </c>
    </row>
    <row r="157" spans="1:26" ht="28.5" x14ac:dyDescent="0.2">
      <c r="A157" s="49">
        <v>24</v>
      </c>
      <c r="B157" s="49" t="str">
        <f>Source!E71</f>
        <v>13</v>
      </c>
      <c r="C157" s="50" t="str">
        <f>Source!F71</f>
        <v>11-01-047-01</v>
      </c>
      <c r="D157" s="50" t="str">
        <f>Source!G71</f>
        <v>Устройство покрытий из плит керамогранитных размером 40х40 см</v>
      </c>
      <c r="E157" s="33" t="str">
        <f>Source!H71</f>
        <v>100 м2</v>
      </c>
      <c r="F157" s="12">
        <f>Source!I71</f>
        <v>0.41599999999999998</v>
      </c>
      <c r="G157" s="34">
        <f>Source!AL71+Source!AM71+Source!AO71</f>
        <v>21576.86</v>
      </c>
      <c r="H157" s="35"/>
      <c r="I157" s="34"/>
      <c r="J157" s="35" t="str">
        <f>Source!BO71</f>
        <v/>
      </c>
      <c r="K157" s="35"/>
      <c r="L157" s="34"/>
      <c r="M157" s="36"/>
      <c r="S157">
        <f>ROUND((Source!FX71/100)*((ROUND(Source!AF71*Source!I71, 2)+ROUND(Source!AE71*Source!I71, 2))), 2)</f>
        <v>1446.89</v>
      </c>
      <c r="T157">
        <f>Source!X71</f>
        <v>8864.4699999999993</v>
      </c>
      <c r="U157">
        <f>ROUND((Source!FY71/100)*((ROUND(Source!AF71*Source!I71, 2)+ROUND(Source!AE71*Source!I71, 2))), 2)</f>
        <v>833.24</v>
      </c>
      <c r="V157">
        <f>Source!Y71</f>
        <v>5111.05</v>
      </c>
    </row>
    <row r="158" spans="1:26" x14ac:dyDescent="0.2">
      <c r="D158" s="26" t="str">
        <f>"Объем: "&amp;Source!I71&amp;"=41,6/"&amp;"100"</f>
        <v>Объем: 0,416=41,6/100</v>
      </c>
    </row>
    <row r="159" spans="1:26" ht="14.25" x14ac:dyDescent="0.2">
      <c r="A159" s="49"/>
      <c r="B159" s="49"/>
      <c r="C159" s="50"/>
      <c r="D159" s="50" t="s">
        <v>791</v>
      </c>
      <c r="E159" s="33"/>
      <c r="F159" s="12"/>
      <c r="G159" s="34">
        <f>Source!AO71</f>
        <v>2713.07</v>
      </c>
      <c r="H159" s="35" t="str">
        <f>Source!DG71</f>
        <v>)*1,15</v>
      </c>
      <c r="I159" s="34">
        <f>ROUND(Source!AF71*Source!I71, 2)</f>
        <v>1297.93</v>
      </c>
      <c r="J159" s="35"/>
      <c r="K159" s="35">
        <f>IF(Source!BA71&lt;&gt; 0, Source!BA71, 1)</f>
        <v>6.11</v>
      </c>
      <c r="L159" s="34">
        <f>Source!S71</f>
        <v>7930.37</v>
      </c>
      <c r="M159" s="36"/>
      <c r="R159">
        <f>I159</f>
        <v>1297.93</v>
      </c>
    </row>
    <row r="160" spans="1:26" ht="14.25" x14ac:dyDescent="0.2">
      <c r="A160" s="49"/>
      <c r="B160" s="49"/>
      <c r="C160" s="50"/>
      <c r="D160" s="50" t="s">
        <v>356</v>
      </c>
      <c r="E160" s="33"/>
      <c r="F160" s="12"/>
      <c r="G160" s="34">
        <f>Source!AM71</f>
        <v>24.15</v>
      </c>
      <c r="H160" s="35" t="str">
        <f>Source!DE71</f>
        <v>)*1,25</v>
      </c>
      <c r="I160" s="34">
        <f>ROUND(Source!AD71*Source!I71, 2)</f>
        <v>12.56</v>
      </c>
      <c r="J160" s="35"/>
      <c r="K160" s="35">
        <f>IF(Source!BB71&lt;&gt; 0, Source!BB71, 1)</f>
        <v>6.11</v>
      </c>
      <c r="L160" s="34">
        <f>Source!Q71</f>
        <v>76.739999999999995</v>
      </c>
      <c r="M160" s="36"/>
    </row>
    <row r="161" spans="1:26" ht="14.25" x14ac:dyDescent="0.2">
      <c r="A161" s="49"/>
      <c r="B161" s="49"/>
      <c r="C161" s="50"/>
      <c r="D161" s="50" t="s">
        <v>792</v>
      </c>
      <c r="E161" s="33"/>
      <c r="F161" s="12"/>
      <c r="G161" s="34">
        <f>Source!AN71</f>
        <v>17.510000000000002</v>
      </c>
      <c r="H161" s="35" t="str">
        <f>Source!DF71</f>
        <v>)*1,25</v>
      </c>
      <c r="I161" s="37">
        <f>ROUND(Source!AE71*Source!I71, 2)</f>
        <v>9.11</v>
      </c>
      <c r="J161" s="35"/>
      <c r="K161" s="35">
        <f>IF(Source!BS71&lt;&gt; 0, Source!BS71, 1)</f>
        <v>6.11</v>
      </c>
      <c r="L161" s="37">
        <f>Source!R71</f>
        <v>55.64</v>
      </c>
      <c r="M161" s="36"/>
      <c r="R161">
        <f>I161</f>
        <v>9.11</v>
      </c>
    </row>
    <row r="162" spans="1:26" ht="14.25" x14ac:dyDescent="0.2">
      <c r="A162" s="49"/>
      <c r="B162" s="49"/>
      <c r="C162" s="50"/>
      <c r="D162" s="50" t="s">
        <v>798</v>
      </c>
      <c r="E162" s="33"/>
      <c r="F162" s="12"/>
      <c r="G162" s="34">
        <f>Source!AL71</f>
        <v>18839.64</v>
      </c>
      <c r="H162" s="35" t="str">
        <f>Source!DD71</f>
        <v/>
      </c>
      <c r="I162" s="34">
        <f>ROUND(Source!AC71*Source!I71, 2)</f>
        <v>7837.29</v>
      </c>
      <c r="J162" s="35"/>
      <c r="K162" s="35">
        <f>IF(Source!BC71&lt;&gt; 0, Source!BC71, 1)</f>
        <v>6.11</v>
      </c>
      <c r="L162" s="34">
        <f>Source!P71</f>
        <v>47885.84</v>
      </c>
      <c r="M162" s="36"/>
    </row>
    <row r="163" spans="1:26" ht="14.25" x14ac:dyDescent="0.2">
      <c r="A163" s="49"/>
      <c r="B163" s="49"/>
      <c r="C163" s="50"/>
      <c r="D163" s="50" t="s">
        <v>793</v>
      </c>
      <c r="E163" s="33" t="s">
        <v>794</v>
      </c>
      <c r="F163" s="12">
        <f>Source!BZ71</f>
        <v>123</v>
      </c>
      <c r="G163" s="67" t="str">
        <f>CONCATENATE(" )", Source!DL71, Source!FT71, "=", Source!FX71)</f>
        <v xml:space="preserve"> )*0,9=110,7</v>
      </c>
      <c r="H163" s="68"/>
      <c r="I163" s="34">
        <f>SUM(S157:S168)</f>
        <v>1446.89</v>
      </c>
      <c r="J163" s="38"/>
      <c r="K163" s="31">
        <f>Source!AT71</f>
        <v>111</v>
      </c>
      <c r="L163" s="34">
        <f>SUM(T157:T168)</f>
        <v>8864.4699999999993</v>
      </c>
      <c r="M163" s="36"/>
    </row>
    <row r="164" spans="1:26" ht="14.25" x14ac:dyDescent="0.2">
      <c r="A164" s="49"/>
      <c r="B164" s="49"/>
      <c r="C164" s="50"/>
      <c r="D164" s="50" t="s">
        <v>795</v>
      </c>
      <c r="E164" s="33" t="s">
        <v>794</v>
      </c>
      <c r="F164" s="12">
        <f>Source!CA71</f>
        <v>75</v>
      </c>
      <c r="G164" s="67" t="str">
        <f>CONCATENATE(" )", Source!DM71, Source!FU71, "=", Source!FY71)</f>
        <v xml:space="preserve"> )*0,85=63,75</v>
      </c>
      <c r="H164" s="68"/>
      <c r="I164" s="34">
        <f>SUM(U157:U168)</f>
        <v>833.24</v>
      </c>
      <c r="J164" s="38"/>
      <c r="K164" s="31">
        <f>Source!AU71</f>
        <v>64</v>
      </c>
      <c r="L164" s="34">
        <f>SUM(V157:V168)</f>
        <v>5111.05</v>
      </c>
      <c r="M164" s="36"/>
    </row>
    <row r="165" spans="1:26" ht="14.25" x14ac:dyDescent="0.2">
      <c r="A165" s="49"/>
      <c r="B165" s="49"/>
      <c r="C165" s="50"/>
      <c r="D165" s="50" t="s">
        <v>796</v>
      </c>
      <c r="E165" s="33" t="s">
        <v>797</v>
      </c>
      <c r="F165" s="12">
        <f>Source!AQ71</f>
        <v>310.42</v>
      </c>
      <c r="G165" s="34"/>
      <c r="H165" s="35" t="str">
        <f>Source!DI71</f>
        <v>)*1,15</v>
      </c>
      <c r="I165" s="34"/>
      <c r="J165" s="35"/>
      <c r="K165" s="35"/>
      <c r="L165" s="34"/>
      <c r="M165" s="45">
        <f>Source!U71</f>
        <v>148.50492800000001</v>
      </c>
    </row>
    <row r="166" spans="1:26" ht="28.5" x14ac:dyDescent="0.2">
      <c r="A166" s="49">
        <v>25</v>
      </c>
      <c r="B166" s="49" t="str">
        <f>Source!E73</f>
        <v>13,1</v>
      </c>
      <c r="C166" s="50" t="str">
        <f>Source!F73</f>
        <v>14.4.01.02-0113</v>
      </c>
      <c r="D166" s="50" t="str">
        <f>Source!G73</f>
        <v>Грунтовка акриловая НОРТЕКС-ГРУНТ</v>
      </c>
      <c r="E166" s="33" t="str">
        <f>Source!H73</f>
        <v>кг</v>
      </c>
      <c r="F166" s="12">
        <f>Source!I73</f>
        <v>5.4080000000000004</v>
      </c>
      <c r="G166" s="34">
        <f>Source!AL73+Source!AM73+Source!AO73</f>
        <v>15.25</v>
      </c>
      <c r="H166" s="48" t="s">
        <v>6</v>
      </c>
      <c r="I166" s="34">
        <f>ROUND(Source!AC73*Source!I73, 2)+ROUND(Source!AD73*Source!I73, 2)+ROUND(Source!AF73*Source!I73, 2)</f>
        <v>82.47</v>
      </c>
      <c r="J166" s="35"/>
      <c r="K166" s="35">
        <f>IF(Source!BC73&lt;&gt; 0, Source!BC73, 1)</f>
        <v>6.11</v>
      </c>
      <c r="L166" s="34">
        <f>Source!O73</f>
        <v>503.9</v>
      </c>
      <c r="M166" s="36"/>
      <c r="S166">
        <f>ROUND((Source!FX73/100)*((ROUND(Source!AF73*Source!I73, 2)+ROUND(Source!AE73*Source!I73, 2))), 2)</f>
        <v>0</v>
      </c>
      <c r="T166">
        <f>Source!X73</f>
        <v>0</v>
      </c>
      <c r="U166">
        <f>ROUND((Source!FY73/100)*((ROUND(Source!AF73*Source!I73, 2)+ROUND(Source!AE73*Source!I73, 2))), 2)</f>
        <v>0</v>
      </c>
      <c r="V166">
        <f>Source!Y73</f>
        <v>0</v>
      </c>
      <c r="W166">
        <f>IF(Source!BI73&lt;=1,I166, 0)</f>
        <v>82.47</v>
      </c>
      <c r="X166">
        <f>IF(Source!BI73=2,I166, 0)</f>
        <v>0</v>
      </c>
      <c r="Y166">
        <f>IF(Source!BI73=3,I166, 0)</f>
        <v>0</v>
      </c>
      <c r="Z166">
        <f>IF(Source!BI73=4,I166, 0)</f>
        <v>0</v>
      </c>
    </row>
    <row r="167" spans="1:26" ht="42.75" x14ac:dyDescent="0.2">
      <c r="A167" s="49">
        <v>26</v>
      </c>
      <c r="B167" s="49" t="str">
        <f>Source!E75</f>
        <v>13,2</v>
      </c>
      <c r="C167" s="50" t="str">
        <f>Source!F75</f>
        <v>06.2.05.03-0003</v>
      </c>
      <c r="D167" s="50" t="str">
        <f>Source!G75</f>
        <v>Гранит керамический многоцветный неполированный, размером 400х400х9 мм</v>
      </c>
      <c r="E167" s="33" t="str">
        <f>Source!H75</f>
        <v>м2</v>
      </c>
      <c r="F167" s="12">
        <f>Source!I75</f>
        <v>-42.431999999999995</v>
      </c>
      <c r="G167" s="34">
        <f>Source!AL75+Source!AM75+Source!AO75</f>
        <v>140.44999999999999</v>
      </c>
      <c r="H167" s="48" t="s">
        <v>6</v>
      </c>
      <c r="I167" s="34">
        <f>ROUND(Source!AC75*Source!I75, 2)+ROUND(Source!AD75*Source!I75, 2)+ROUND(Source!AF75*Source!I75, 2)</f>
        <v>-5959.57</v>
      </c>
      <c r="J167" s="35"/>
      <c r="K167" s="35">
        <f>IF(Source!BC75&lt;&gt; 0, Source!BC75, 1)</f>
        <v>6.11</v>
      </c>
      <c r="L167" s="34">
        <f>Source!O75</f>
        <v>-36413</v>
      </c>
      <c r="M167" s="36"/>
      <c r="S167">
        <f>ROUND((Source!FX75/100)*((ROUND(Source!AF75*Source!I75, 2)+ROUND(Source!AE75*Source!I75, 2))), 2)</f>
        <v>0</v>
      </c>
      <c r="T167">
        <f>Source!X75</f>
        <v>0</v>
      </c>
      <c r="U167">
        <f>ROUND((Source!FY75/100)*((ROUND(Source!AF75*Source!I75, 2)+ROUND(Source!AE75*Source!I75, 2))), 2)</f>
        <v>0</v>
      </c>
      <c r="V167">
        <f>Source!Y75</f>
        <v>0</v>
      </c>
      <c r="W167">
        <f>IF(Source!BI75&lt;=1,I167, 0)</f>
        <v>-5959.57</v>
      </c>
      <c r="X167">
        <f>IF(Source!BI75=2,I167, 0)</f>
        <v>0</v>
      </c>
      <c r="Y167">
        <f>IF(Source!BI75=3,I167, 0)</f>
        <v>0</v>
      </c>
      <c r="Z167">
        <f>IF(Source!BI75=4,I167, 0)</f>
        <v>0</v>
      </c>
    </row>
    <row r="168" spans="1:26" ht="28.5" x14ac:dyDescent="0.2">
      <c r="A168" s="51">
        <v>27</v>
      </c>
      <c r="B168" s="51" t="str">
        <f>Source!E77</f>
        <v>13,3</v>
      </c>
      <c r="C168" s="52" t="str">
        <f>Source!F77</f>
        <v>06.2.05.03-0047</v>
      </c>
      <c r="D168" s="52" t="str">
        <f>Source!G77</f>
        <v>Плитки керамогранитные размером 300х300х8 мм</v>
      </c>
      <c r="E168" s="39" t="str">
        <f>Source!H77</f>
        <v>м2</v>
      </c>
      <c r="F168" s="40">
        <f>Source!I77</f>
        <v>42.432000000000002</v>
      </c>
      <c r="G168" s="41">
        <f>Source!AL77+Source!AM77+Source!AO77</f>
        <v>83.2</v>
      </c>
      <c r="H168" s="46" t="s">
        <v>6</v>
      </c>
      <c r="I168" s="41">
        <f>ROUND(Source!AC77*Source!I77, 2)+ROUND(Source!AD77*Source!I77, 2)+ROUND(Source!AF77*Source!I77, 2)</f>
        <v>3530.34</v>
      </c>
      <c r="J168" s="42"/>
      <c r="K168" s="42">
        <f>IF(Source!BC77&lt;&gt; 0, Source!BC77, 1)</f>
        <v>6.11</v>
      </c>
      <c r="L168" s="41">
        <f>Source!O77</f>
        <v>21570.39</v>
      </c>
      <c r="M168" s="47"/>
      <c r="S168">
        <f>ROUND((Source!FX77/100)*((ROUND(Source!AF77*Source!I77, 2)+ROUND(Source!AE77*Source!I77, 2))), 2)</f>
        <v>0</v>
      </c>
      <c r="T168">
        <f>Source!X77</f>
        <v>0</v>
      </c>
      <c r="U168">
        <f>ROUND((Source!FY77/100)*((ROUND(Source!AF77*Source!I77, 2)+ROUND(Source!AE77*Source!I77, 2))), 2)</f>
        <v>0</v>
      </c>
      <c r="V168">
        <f>Source!Y77</f>
        <v>0</v>
      </c>
      <c r="W168">
        <f>IF(Source!BI77&lt;=1,I168, 0)</f>
        <v>3530.34</v>
      </c>
      <c r="X168">
        <f>IF(Source!BI77=2,I168, 0)</f>
        <v>0</v>
      </c>
      <c r="Y168">
        <f>IF(Source!BI77=3,I168, 0)</f>
        <v>0</v>
      </c>
      <c r="Z168">
        <f>IF(Source!BI77=4,I168, 0)</f>
        <v>0</v>
      </c>
    </row>
    <row r="169" spans="1:26" ht="15" x14ac:dyDescent="0.25">
      <c r="H169" s="66">
        <f>I159+I160+I162+I163+I164+SUM(I166:I168)</f>
        <v>9081.1500000000015</v>
      </c>
      <c r="I169" s="66"/>
      <c r="K169" s="66">
        <f>L159+L160+L162+L163+L164+SUM(L166:L168)</f>
        <v>55529.760000000002</v>
      </c>
      <c r="L169" s="66"/>
      <c r="M169" s="44">
        <f>Source!U71</f>
        <v>148.50492800000001</v>
      </c>
      <c r="O169" s="27">
        <f>H169</f>
        <v>9081.1500000000015</v>
      </c>
      <c r="P169" s="27">
        <f>K169</f>
        <v>55529.760000000002</v>
      </c>
      <c r="Q169" s="27">
        <f>M169</f>
        <v>148.50492800000001</v>
      </c>
      <c r="W169">
        <f>IF(Source!BI71&lt;=1,I159+I160+I162+I163+I164, 0)</f>
        <v>11427.91</v>
      </c>
      <c r="X169">
        <f>IF(Source!BI71=2,I159+I160+I162+I163+I164, 0)</f>
        <v>0</v>
      </c>
      <c r="Y169">
        <f>IF(Source!BI71=3,I159+I160+I162+I163+I164, 0)</f>
        <v>0</v>
      </c>
      <c r="Z169">
        <f>IF(Source!BI71=4,I159+I160+I162+I163+I164, 0)</f>
        <v>0</v>
      </c>
    </row>
    <row r="170" spans="1:26" ht="14.25" x14ac:dyDescent="0.2">
      <c r="A170" s="49">
        <v>28</v>
      </c>
      <c r="B170" s="49" t="str">
        <f>Source!E79</f>
        <v>14</v>
      </c>
      <c r="C170" s="50" t="str">
        <f>Source!F79</f>
        <v>63-5-1</v>
      </c>
      <c r="D170" s="50" t="str">
        <f>Source!G79</f>
        <v>Снятие обоев простых и улучшенных</v>
      </c>
      <c r="E170" s="33" t="str">
        <f>Source!H79</f>
        <v>100 м2</v>
      </c>
      <c r="F170" s="12">
        <f>Source!I79</f>
        <v>0.1704</v>
      </c>
      <c r="G170" s="34">
        <f>Source!AL79+Source!AM79+Source!AO79</f>
        <v>81.12</v>
      </c>
      <c r="H170" s="35"/>
      <c r="I170" s="34"/>
      <c r="J170" s="35" t="str">
        <f>Source!BO79</f>
        <v/>
      </c>
      <c r="K170" s="35"/>
      <c r="L170" s="34"/>
      <c r="M170" s="36"/>
      <c r="S170">
        <f>ROUND((Source!FX79/100)*((ROUND(Source!AF79*Source!I79, 2)+ROUND(Source!AE79*Source!I79, 2))), 2)</f>
        <v>10.64</v>
      </c>
      <c r="T170">
        <f>Source!X79</f>
        <v>65.03</v>
      </c>
      <c r="U170">
        <f>ROUND((Source!FY79/100)*((ROUND(Source!AF79*Source!I79, 2)+ROUND(Source!AE79*Source!I79, 2))), 2)</f>
        <v>6.91</v>
      </c>
      <c r="V170">
        <f>Source!Y79</f>
        <v>42.23</v>
      </c>
    </row>
    <row r="171" spans="1:26" x14ac:dyDescent="0.2">
      <c r="D171" s="26" t="str">
        <f>"Объем: "&amp;Source!I79&amp;"=17,04/"&amp;"100"</f>
        <v>Объем: 0,1704=17,04/100</v>
      </c>
    </row>
    <row r="172" spans="1:26" ht="14.25" x14ac:dyDescent="0.2">
      <c r="A172" s="49"/>
      <c r="B172" s="49"/>
      <c r="C172" s="50"/>
      <c r="D172" s="50" t="s">
        <v>791</v>
      </c>
      <c r="E172" s="33"/>
      <c r="F172" s="12"/>
      <c r="G172" s="34">
        <f>Source!AO79</f>
        <v>81.12</v>
      </c>
      <c r="H172" s="35" t="str">
        <f>Source!DG79</f>
        <v/>
      </c>
      <c r="I172" s="34">
        <f>ROUND(Source!AF79*Source!I79, 2)</f>
        <v>13.82</v>
      </c>
      <c r="J172" s="35"/>
      <c r="K172" s="35">
        <f>IF(Source!BA79&lt;&gt; 0, Source!BA79, 1)</f>
        <v>6.11</v>
      </c>
      <c r="L172" s="34">
        <f>Source!S79</f>
        <v>84.46</v>
      </c>
      <c r="M172" s="36"/>
      <c r="R172">
        <f>I172</f>
        <v>13.82</v>
      </c>
    </row>
    <row r="173" spans="1:26" ht="14.25" x14ac:dyDescent="0.2">
      <c r="A173" s="49"/>
      <c r="B173" s="49"/>
      <c r="C173" s="50"/>
      <c r="D173" s="50" t="s">
        <v>793</v>
      </c>
      <c r="E173" s="33" t="s">
        <v>794</v>
      </c>
      <c r="F173" s="12">
        <f>Source!BZ79</f>
        <v>77</v>
      </c>
      <c r="G173" s="53"/>
      <c r="H173" s="35"/>
      <c r="I173" s="34">
        <f>SUM(S170:S175)</f>
        <v>10.64</v>
      </c>
      <c r="J173" s="38"/>
      <c r="K173" s="31">
        <f>Source!AT79</f>
        <v>77</v>
      </c>
      <c r="L173" s="34">
        <f>SUM(T170:T175)</f>
        <v>65.03</v>
      </c>
      <c r="M173" s="36"/>
    </row>
    <row r="174" spans="1:26" ht="14.25" x14ac:dyDescent="0.2">
      <c r="A174" s="49"/>
      <c r="B174" s="49"/>
      <c r="C174" s="50"/>
      <c r="D174" s="50" t="s">
        <v>795</v>
      </c>
      <c r="E174" s="33" t="s">
        <v>794</v>
      </c>
      <c r="F174" s="12">
        <f>Source!CA79</f>
        <v>50</v>
      </c>
      <c r="G174" s="53"/>
      <c r="H174" s="35"/>
      <c r="I174" s="34">
        <f>SUM(U170:U175)</f>
        <v>6.91</v>
      </c>
      <c r="J174" s="38"/>
      <c r="K174" s="31">
        <f>Source!AU79</f>
        <v>50</v>
      </c>
      <c r="L174" s="34">
        <f>SUM(V170:V175)</f>
        <v>42.23</v>
      </c>
      <c r="M174" s="36"/>
    </row>
    <row r="175" spans="1:26" ht="14.25" x14ac:dyDescent="0.2">
      <c r="A175" s="51"/>
      <c r="B175" s="51"/>
      <c r="C175" s="52"/>
      <c r="D175" s="52" t="s">
        <v>796</v>
      </c>
      <c r="E175" s="39" t="s">
        <v>797</v>
      </c>
      <c r="F175" s="40">
        <f>Source!AQ79</f>
        <v>10.4</v>
      </c>
      <c r="G175" s="41"/>
      <c r="H175" s="42" t="str">
        <f>Source!DI79</f>
        <v/>
      </c>
      <c r="I175" s="41"/>
      <c r="J175" s="42"/>
      <c r="K175" s="42"/>
      <c r="L175" s="41"/>
      <c r="M175" s="43">
        <f>Source!U79</f>
        <v>1.77216</v>
      </c>
    </row>
    <row r="176" spans="1:26" ht="15" x14ac:dyDescent="0.25">
      <c r="H176" s="66">
        <f>I172+I173+I174</f>
        <v>31.37</v>
      </c>
      <c r="I176" s="66"/>
      <c r="K176" s="66">
        <f>L172+L173+L174</f>
        <v>191.72</v>
      </c>
      <c r="L176" s="66"/>
      <c r="M176" s="44">
        <f>Source!U79</f>
        <v>1.77216</v>
      </c>
      <c r="O176" s="27">
        <f>H176</f>
        <v>31.37</v>
      </c>
      <c r="P176" s="27">
        <f>K176</f>
        <v>191.72</v>
      </c>
      <c r="Q176" s="27">
        <f>M176</f>
        <v>1.77216</v>
      </c>
      <c r="W176">
        <f>IF(Source!BI79&lt;=1,I172+I173+I174, 0)</f>
        <v>31.37</v>
      </c>
      <c r="X176">
        <f>IF(Source!BI79=2,I172+I173+I174, 0)</f>
        <v>0</v>
      </c>
      <c r="Y176">
        <f>IF(Source!BI79=3,I172+I173+I174, 0)</f>
        <v>0</v>
      </c>
      <c r="Z176">
        <f>IF(Source!BI79=4,I172+I173+I174, 0)</f>
        <v>0</v>
      </c>
    </row>
    <row r="177" spans="1:26" ht="42.75" x14ac:dyDescent="0.2">
      <c r="A177" s="49">
        <v>29</v>
      </c>
      <c r="B177" s="49" t="str">
        <f>Source!E81</f>
        <v>15</v>
      </c>
      <c r="C177" s="50" t="str">
        <f>Source!F81</f>
        <v>15-04-006-04</v>
      </c>
      <c r="D177" s="50" t="str">
        <f>Source!G81</f>
        <v>Покрытие поверхностей грунтовкой глубокого проникновения за 2 раза стен</v>
      </c>
      <c r="E177" s="33" t="str">
        <f>Source!H81</f>
        <v>100 м2</v>
      </c>
      <c r="F177" s="12">
        <f>Source!I81</f>
        <v>0.1704</v>
      </c>
      <c r="G177" s="34">
        <f>Source!AL81+Source!AM81+Source!AO81</f>
        <v>158.97999999999999</v>
      </c>
      <c r="H177" s="35"/>
      <c r="I177" s="34"/>
      <c r="J177" s="35" t="str">
        <f>Source!BO81</f>
        <v/>
      </c>
      <c r="K177" s="35"/>
      <c r="L177" s="34"/>
      <c r="M177" s="36"/>
      <c r="S177">
        <f>ROUND((Source!FX81/100)*((ROUND(Source!AF81*Source!I81, 2)+ROUND(Source!AE81*Source!I81, 2))), 2)</f>
        <v>29.15</v>
      </c>
      <c r="T177">
        <f>Source!X81</f>
        <v>179.04</v>
      </c>
      <c r="U177">
        <f>ROUND((Source!FY81/100)*((ROUND(Source!AF81*Source!I81, 2)+ROUND(Source!AE81*Source!I81, 2))), 2)</f>
        <v>14.42</v>
      </c>
      <c r="V177">
        <f>Source!Y81</f>
        <v>88.58</v>
      </c>
    </row>
    <row r="178" spans="1:26" x14ac:dyDescent="0.2">
      <c r="D178" s="26" t="str">
        <f>"Объем: "&amp;Source!I81&amp;"=17,04/"&amp;"100"</f>
        <v>Объем: 0,1704=17,04/100</v>
      </c>
    </row>
    <row r="179" spans="1:26" ht="14.25" x14ac:dyDescent="0.2">
      <c r="A179" s="49"/>
      <c r="B179" s="49"/>
      <c r="C179" s="50"/>
      <c r="D179" s="50" t="s">
        <v>791</v>
      </c>
      <c r="E179" s="33"/>
      <c r="F179" s="12"/>
      <c r="G179" s="34">
        <f>Source!AO81</f>
        <v>157</v>
      </c>
      <c r="H179" s="35" t="str">
        <f>Source!DG81</f>
        <v>)*1,15</v>
      </c>
      <c r="I179" s="34">
        <f>ROUND(Source!AF81*Source!I81, 2)</f>
        <v>30.77</v>
      </c>
      <c r="J179" s="35"/>
      <c r="K179" s="35">
        <f>IF(Source!BA81&lt;&gt; 0, Source!BA81, 1)</f>
        <v>6.11</v>
      </c>
      <c r="L179" s="34">
        <f>Source!S81</f>
        <v>187.98</v>
      </c>
      <c r="M179" s="36"/>
      <c r="R179">
        <f>I179</f>
        <v>30.77</v>
      </c>
    </row>
    <row r="180" spans="1:26" ht="14.25" x14ac:dyDescent="0.2">
      <c r="A180" s="49"/>
      <c r="B180" s="49"/>
      <c r="C180" s="50"/>
      <c r="D180" s="50" t="s">
        <v>356</v>
      </c>
      <c r="E180" s="33"/>
      <c r="F180" s="12"/>
      <c r="G180" s="34">
        <f>Source!AM81</f>
        <v>1.62</v>
      </c>
      <c r="H180" s="35" t="str">
        <f>Source!DE81</f>
        <v>)*1,25</v>
      </c>
      <c r="I180" s="34">
        <f>ROUND(Source!AD81*Source!I81, 2)</f>
        <v>0.34</v>
      </c>
      <c r="J180" s="35"/>
      <c r="K180" s="35">
        <f>IF(Source!BB81&lt;&gt; 0, Source!BB81, 1)</f>
        <v>6.11</v>
      </c>
      <c r="L180" s="34">
        <f>Source!Q81</f>
        <v>2.1</v>
      </c>
      <c r="M180" s="36"/>
    </row>
    <row r="181" spans="1:26" ht="14.25" x14ac:dyDescent="0.2">
      <c r="A181" s="49"/>
      <c r="B181" s="49"/>
      <c r="C181" s="50"/>
      <c r="D181" s="50" t="s">
        <v>792</v>
      </c>
      <c r="E181" s="33"/>
      <c r="F181" s="12"/>
      <c r="G181" s="34">
        <f>Source!AN81</f>
        <v>0.37</v>
      </c>
      <c r="H181" s="35" t="str">
        <f>Source!DF81</f>
        <v>)*1,25</v>
      </c>
      <c r="I181" s="37">
        <f>ROUND(Source!AE81*Source!I81, 2)</f>
        <v>0.08</v>
      </c>
      <c r="J181" s="35"/>
      <c r="K181" s="35">
        <f>IF(Source!BS81&lt;&gt; 0, Source!BS81, 1)</f>
        <v>6.11</v>
      </c>
      <c r="L181" s="37">
        <f>Source!R81</f>
        <v>0.48</v>
      </c>
      <c r="M181" s="36"/>
      <c r="R181">
        <f>I181</f>
        <v>0.08</v>
      </c>
    </row>
    <row r="182" spans="1:26" ht="14.25" x14ac:dyDescent="0.2">
      <c r="A182" s="49"/>
      <c r="B182" s="49"/>
      <c r="C182" s="50"/>
      <c r="D182" s="50" t="s">
        <v>798</v>
      </c>
      <c r="E182" s="33"/>
      <c r="F182" s="12"/>
      <c r="G182" s="34">
        <f>Source!AL81</f>
        <v>0.36</v>
      </c>
      <c r="H182" s="35" t="str">
        <f>Source!DD81</f>
        <v/>
      </c>
      <c r="I182" s="34">
        <f>ROUND(Source!AC81*Source!I81, 2)</f>
        <v>0.06</v>
      </c>
      <c r="J182" s="35"/>
      <c r="K182" s="35">
        <f>IF(Source!BC81&lt;&gt; 0, Source!BC81, 1)</f>
        <v>6.11</v>
      </c>
      <c r="L182" s="34">
        <f>Source!P81</f>
        <v>0.37</v>
      </c>
      <c r="M182" s="36"/>
    </row>
    <row r="183" spans="1:26" ht="14.25" x14ac:dyDescent="0.2">
      <c r="A183" s="49"/>
      <c r="B183" s="49"/>
      <c r="C183" s="50"/>
      <c r="D183" s="50" t="s">
        <v>793</v>
      </c>
      <c r="E183" s="33" t="s">
        <v>794</v>
      </c>
      <c r="F183" s="12">
        <f>Source!BZ81</f>
        <v>105</v>
      </c>
      <c r="G183" s="67" t="str">
        <f>CONCATENATE(" )", Source!DL81, Source!FT81, "=", Source!FX81)</f>
        <v xml:space="preserve"> )*0,9=94,5</v>
      </c>
      <c r="H183" s="68"/>
      <c r="I183" s="34">
        <f>SUM(S177:S186)</f>
        <v>29.15</v>
      </c>
      <c r="J183" s="38"/>
      <c r="K183" s="31">
        <f>Source!AT81</f>
        <v>95</v>
      </c>
      <c r="L183" s="34">
        <f>SUM(T177:T186)</f>
        <v>179.04</v>
      </c>
      <c r="M183" s="36"/>
    </row>
    <row r="184" spans="1:26" ht="14.25" x14ac:dyDescent="0.2">
      <c r="A184" s="49"/>
      <c r="B184" s="49"/>
      <c r="C184" s="50"/>
      <c r="D184" s="50" t="s">
        <v>795</v>
      </c>
      <c r="E184" s="33" t="s">
        <v>794</v>
      </c>
      <c r="F184" s="12">
        <f>Source!CA81</f>
        <v>55</v>
      </c>
      <c r="G184" s="67" t="str">
        <f>CONCATENATE(" )", Source!DM81, Source!FU81, "=", Source!FY81)</f>
        <v xml:space="preserve"> )*0,85=46,75</v>
      </c>
      <c r="H184" s="68"/>
      <c r="I184" s="34">
        <f>SUM(U177:U186)</f>
        <v>14.42</v>
      </c>
      <c r="J184" s="38"/>
      <c r="K184" s="31">
        <f>Source!AU81</f>
        <v>47</v>
      </c>
      <c r="L184" s="34">
        <f>SUM(V177:V186)</f>
        <v>88.58</v>
      </c>
      <c r="M184" s="36"/>
    </row>
    <row r="185" spans="1:26" ht="14.25" x14ac:dyDescent="0.2">
      <c r="A185" s="49"/>
      <c r="B185" s="49"/>
      <c r="C185" s="50"/>
      <c r="D185" s="50" t="s">
        <v>796</v>
      </c>
      <c r="E185" s="33" t="s">
        <v>797</v>
      </c>
      <c r="F185" s="12">
        <f>Source!AQ81</f>
        <v>16.32</v>
      </c>
      <c r="G185" s="34"/>
      <c r="H185" s="35" t="str">
        <f>Source!DI81</f>
        <v>)*1,15</v>
      </c>
      <c r="I185" s="34"/>
      <c r="J185" s="35"/>
      <c r="K185" s="35"/>
      <c r="L185" s="34"/>
      <c r="M185" s="45">
        <f>Source!U81</f>
        <v>3.1980671999999992</v>
      </c>
    </row>
    <row r="186" spans="1:26" ht="28.5" x14ac:dyDescent="0.2">
      <c r="A186" s="51">
        <v>30</v>
      </c>
      <c r="B186" s="51" t="str">
        <f>Source!E83</f>
        <v>15,1</v>
      </c>
      <c r="C186" s="52" t="str">
        <f>Source!F83</f>
        <v>14.4.01.04-0001</v>
      </c>
      <c r="D186" s="52" t="str">
        <f>Source!G83</f>
        <v>Грунтовка для внутренних работ ВАК-01-У</v>
      </c>
      <c r="E186" s="39" t="str">
        <f>Source!H83</f>
        <v>т</v>
      </c>
      <c r="F186" s="40">
        <f>Source!I83</f>
        <v>3.408E-3</v>
      </c>
      <c r="G186" s="41">
        <f>Source!AL83+Source!AM83+Source!AO83</f>
        <v>11300</v>
      </c>
      <c r="H186" s="46" t="s">
        <v>6</v>
      </c>
      <c r="I186" s="41">
        <f>ROUND(Source!AC83*Source!I83, 2)+ROUND(Source!AD83*Source!I83, 2)+ROUND(Source!AF83*Source!I83, 2)</f>
        <v>38.51</v>
      </c>
      <c r="J186" s="42"/>
      <c r="K186" s="42">
        <f>IF(Source!BC83&lt;&gt; 0, Source!BC83, 1)</f>
        <v>6.11</v>
      </c>
      <c r="L186" s="41">
        <f>Source!O83</f>
        <v>235.3</v>
      </c>
      <c r="M186" s="47"/>
      <c r="S186">
        <f>ROUND((Source!FX83/100)*((ROUND(Source!AF83*Source!I83, 2)+ROUND(Source!AE83*Source!I83, 2))), 2)</f>
        <v>0</v>
      </c>
      <c r="T186">
        <f>Source!X83</f>
        <v>0</v>
      </c>
      <c r="U186">
        <f>ROUND((Source!FY83/100)*((ROUND(Source!AF83*Source!I83, 2)+ROUND(Source!AE83*Source!I83, 2))), 2)</f>
        <v>0</v>
      </c>
      <c r="V186">
        <f>Source!Y83</f>
        <v>0</v>
      </c>
      <c r="W186">
        <f>IF(Source!BI83&lt;=1,I186, 0)</f>
        <v>38.51</v>
      </c>
      <c r="X186">
        <f>IF(Source!BI83=2,I186, 0)</f>
        <v>0</v>
      </c>
      <c r="Y186">
        <f>IF(Source!BI83=3,I186, 0)</f>
        <v>0</v>
      </c>
      <c r="Z186">
        <f>IF(Source!BI83=4,I186, 0)</f>
        <v>0</v>
      </c>
    </row>
    <row r="187" spans="1:26" ht="15" x14ac:dyDescent="0.25">
      <c r="H187" s="66">
        <f>I179+I180+I182+I183+I184+SUM(I186:I186)</f>
        <v>113.25</v>
      </c>
      <c r="I187" s="66"/>
      <c r="K187" s="66">
        <f>L179+L180+L182+L183+L184+SUM(L186:L186)</f>
        <v>693.37</v>
      </c>
      <c r="L187" s="66"/>
      <c r="M187" s="44">
        <f>Source!U81</f>
        <v>3.1980671999999992</v>
      </c>
      <c r="O187" s="27">
        <f>H187</f>
        <v>113.25</v>
      </c>
      <c r="P187" s="27">
        <f>K187</f>
        <v>693.37</v>
      </c>
      <c r="Q187" s="27">
        <f>M187</f>
        <v>3.1980671999999992</v>
      </c>
      <c r="W187">
        <f>IF(Source!BI81&lt;=1,I179+I180+I182+I183+I184, 0)</f>
        <v>74.739999999999995</v>
      </c>
      <c r="X187">
        <f>IF(Source!BI81=2,I179+I180+I182+I183+I184, 0)</f>
        <v>0</v>
      </c>
      <c r="Y187">
        <f>IF(Source!BI81=3,I179+I180+I182+I183+I184, 0)</f>
        <v>0</v>
      </c>
      <c r="Z187">
        <f>IF(Source!BI81=4,I179+I180+I182+I183+I184, 0)</f>
        <v>0</v>
      </c>
    </row>
    <row r="188" spans="1:26" ht="71.25" x14ac:dyDescent="0.2">
      <c r="A188" s="49">
        <v>31</v>
      </c>
      <c r="B188" s="49" t="str">
        <f>Source!E85</f>
        <v>16</v>
      </c>
      <c r="C188" s="50" t="str">
        <f>Source!F85</f>
        <v>62-16-4</v>
      </c>
      <c r="D188" s="50" t="str">
        <f>Source!G85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E188" s="33" t="str">
        <f>Source!H85</f>
        <v>100 м2</v>
      </c>
      <c r="F188" s="12">
        <f>Source!I85</f>
        <v>0.1704</v>
      </c>
      <c r="G188" s="34">
        <f>Source!AL85+Source!AM85+Source!AO85</f>
        <v>759.03</v>
      </c>
      <c r="H188" s="35"/>
      <c r="I188" s="34"/>
      <c r="J188" s="35" t="str">
        <f>Source!BO85</f>
        <v/>
      </c>
      <c r="K188" s="35"/>
      <c r="L188" s="34"/>
      <c r="M188" s="36"/>
      <c r="S188">
        <f>ROUND((Source!FX85/100)*((ROUND(Source!AF85*Source!I85, 2)+ROUND(Source!AE85*Source!I85, 2))), 2)</f>
        <v>35.14</v>
      </c>
      <c r="T188">
        <f>Source!X85</f>
        <v>214.71</v>
      </c>
      <c r="U188">
        <f>ROUND((Source!FY85/100)*((ROUND(Source!AF85*Source!I85, 2)+ROUND(Source!AE85*Source!I85, 2))), 2)</f>
        <v>21.97</v>
      </c>
      <c r="V188">
        <f>Source!Y85</f>
        <v>134.19999999999999</v>
      </c>
    </row>
    <row r="189" spans="1:26" x14ac:dyDescent="0.2">
      <c r="D189" s="26" t="str">
        <f>"Объем: "&amp;Source!I85&amp;"=17,04/"&amp;"100"</f>
        <v>Объем: 0,1704=17,04/100</v>
      </c>
    </row>
    <row r="190" spans="1:26" ht="14.25" x14ac:dyDescent="0.2">
      <c r="A190" s="49"/>
      <c r="B190" s="49"/>
      <c r="C190" s="50"/>
      <c r="D190" s="50" t="s">
        <v>791</v>
      </c>
      <c r="E190" s="33"/>
      <c r="F190" s="12"/>
      <c r="G190" s="34">
        <f>Source!AO85</f>
        <v>255.74</v>
      </c>
      <c r="H190" s="35" t="str">
        <f>Source!DG85</f>
        <v/>
      </c>
      <c r="I190" s="34">
        <f>ROUND(Source!AF85*Source!I85, 2)</f>
        <v>43.58</v>
      </c>
      <c r="J190" s="35"/>
      <c r="K190" s="35">
        <f>IF(Source!BA85&lt;&gt; 0, Source!BA85, 1)</f>
        <v>6.11</v>
      </c>
      <c r="L190" s="34">
        <f>Source!S85</f>
        <v>266.26</v>
      </c>
      <c r="M190" s="36"/>
      <c r="R190">
        <f>I190</f>
        <v>43.58</v>
      </c>
    </row>
    <row r="191" spans="1:26" ht="14.25" x14ac:dyDescent="0.2">
      <c r="A191" s="49"/>
      <c r="B191" s="49"/>
      <c r="C191" s="50"/>
      <c r="D191" s="50" t="s">
        <v>356</v>
      </c>
      <c r="E191" s="33"/>
      <c r="F191" s="12"/>
      <c r="G191" s="34">
        <f>Source!AM85</f>
        <v>7.07</v>
      </c>
      <c r="H191" s="35" t="str">
        <f>Source!DE85</f>
        <v/>
      </c>
      <c r="I191" s="34">
        <f>ROUND(Source!AD85*Source!I85, 2)</f>
        <v>1.2</v>
      </c>
      <c r="J191" s="35"/>
      <c r="K191" s="35">
        <f>IF(Source!BB85&lt;&gt; 0, Source!BB85, 1)</f>
        <v>6.11</v>
      </c>
      <c r="L191" s="34">
        <f>Source!Q85</f>
        <v>7.36</v>
      </c>
      <c r="M191" s="36"/>
    </row>
    <row r="192" spans="1:26" ht="14.25" x14ac:dyDescent="0.2">
      <c r="A192" s="49"/>
      <c r="B192" s="49"/>
      <c r="C192" s="50"/>
      <c r="D192" s="50" t="s">
        <v>792</v>
      </c>
      <c r="E192" s="33"/>
      <c r="F192" s="12"/>
      <c r="G192" s="34">
        <f>Source!AN85</f>
        <v>2.0499999999999998</v>
      </c>
      <c r="H192" s="35" t="str">
        <f>Source!DF85</f>
        <v/>
      </c>
      <c r="I192" s="37">
        <f>ROUND(Source!AE85*Source!I85, 2)</f>
        <v>0.35</v>
      </c>
      <c r="J192" s="35"/>
      <c r="K192" s="35">
        <f>IF(Source!BS85&lt;&gt; 0, Source!BS85, 1)</f>
        <v>6.11</v>
      </c>
      <c r="L192" s="37">
        <f>Source!R85</f>
        <v>2.13</v>
      </c>
      <c r="M192" s="36"/>
      <c r="R192">
        <f>I192</f>
        <v>0.35</v>
      </c>
    </row>
    <row r="193" spans="1:26" ht="14.25" x14ac:dyDescent="0.2">
      <c r="A193" s="49"/>
      <c r="B193" s="49"/>
      <c r="C193" s="50"/>
      <c r="D193" s="50" t="s">
        <v>798</v>
      </c>
      <c r="E193" s="33"/>
      <c r="F193" s="12"/>
      <c r="G193" s="34">
        <f>Source!AL85</f>
        <v>496.22</v>
      </c>
      <c r="H193" s="35" t="str">
        <f>Source!DD85</f>
        <v/>
      </c>
      <c r="I193" s="34">
        <f>ROUND(Source!AC85*Source!I85, 2)</f>
        <v>84.56</v>
      </c>
      <c r="J193" s="35"/>
      <c r="K193" s="35">
        <f>IF(Source!BC85&lt;&gt; 0, Source!BC85, 1)</f>
        <v>6.11</v>
      </c>
      <c r="L193" s="34">
        <f>Source!P85</f>
        <v>516.64</v>
      </c>
      <c r="M193" s="36"/>
    </row>
    <row r="194" spans="1:26" ht="14.25" x14ac:dyDescent="0.2">
      <c r="A194" s="49"/>
      <c r="B194" s="49"/>
      <c r="C194" s="50"/>
      <c r="D194" s="50" t="s">
        <v>793</v>
      </c>
      <c r="E194" s="33" t="s">
        <v>794</v>
      </c>
      <c r="F194" s="12">
        <f>Source!BZ85</f>
        <v>80</v>
      </c>
      <c r="G194" s="53"/>
      <c r="H194" s="35"/>
      <c r="I194" s="34">
        <f>SUM(S188:S197)</f>
        <v>35.14</v>
      </c>
      <c r="J194" s="38"/>
      <c r="K194" s="31">
        <f>Source!AT85</f>
        <v>80</v>
      </c>
      <c r="L194" s="34">
        <f>SUM(T188:T197)</f>
        <v>214.71</v>
      </c>
      <c r="M194" s="36"/>
    </row>
    <row r="195" spans="1:26" ht="14.25" x14ac:dyDescent="0.2">
      <c r="A195" s="49"/>
      <c r="B195" s="49"/>
      <c r="C195" s="50"/>
      <c r="D195" s="50" t="s">
        <v>795</v>
      </c>
      <c r="E195" s="33" t="s">
        <v>794</v>
      </c>
      <c r="F195" s="12">
        <f>Source!CA85</f>
        <v>50</v>
      </c>
      <c r="G195" s="53"/>
      <c r="H195" s="35"/>
      <c r="I195" s="34">
        <f>SUM(U188:U197)</f>
        <v>21.97</v>
      </c>
      <c r="J195" s="38"/>
      <c r="K195" s="31">
        <f>Source!AU85</f>
        <v>50</v>
      </c>
      <c r="L195" s="34">
        <f>SUM(V188:V197)</f>
        <v>134.19999999999999</v>
      </c>
      <c r="M195" s="36"/>
    </row>
    <row r="196" spans="1:26" ht="14.25" x14ac:dyDescent="0.2">
      <c r="A196" s="49"/>
      <c r="B196" s="49"/>
      <c r="C196" s="50"/>
      <c r="D196" s="50" t="s">
        <v>796</v>
      </c>
      <c r="E196" s="33" t="s">
        <v>797</v>
      </c>
      <c r="F196" s="12">
        <f>Source!AQ85</f>
        <v>29.6</v>
      </c>
      <c r="G196" s="34"/>
      <c r="H196" s="35" t="str">
        <f>Source!DI85</f>
        <v/>
      </c>
      <c r="I196" s="34"/>
      <c r="J196" s="35"/>
      <c r="K196" s="35"/>
      <c r="L196" s="34"/>
      <c r="M196" s="45">
        <f>Source!U85</f>
        <v>5.0438400000000003</v>
      </c>
    </row>
    <row r="197" spans="1:26" ht="28.5" x14ac:dyDescent="0.2">
      <c r="A197" s="51">
        <v>32</v>
      </c>
      <c r="B197" s="51" t="str">
        <f>Source!E87</f>
        <v>16,1</v>
      </c>
      <c r="C197" s="52" t="str">
        <f>Source!F87</f>
        <v>14.3.02.01-0015</v>
      </c>
      <c r="D197" s="52" t="str">
        <f>Source!G87</f>
        <v>Краска акриловая  водно-дисперсионная ВД Ореол</v>
      </c>
      <c r="E197" s="39" t="str">
        <f>Source!H87</f>
        <v>т</v>
      </c>
      <c r="F197" s="40">
        <f>Source!I87</f>
        <v>1.2097999999999999E-2</v>
      </c>
      <c r="G197" s="41">
        <f>Source!AL87+Source!AM87+Source!AO87</f>
        <v>13287.69</v>
      </c>
      <c r="H197" s="46" t="s">
        <v>6</v>
      </c>
      <c r="I197" s="41">
        <f>ROUND(Source!AC87*Source!I87, 2)+ROUND(Source!AD87*Source!I87, 2)+ROUND(Source!AF87*Source!I87, 2)</f>
        <v>160.75</v>
      </c>
      <c r="J197" s="42"/>
      <c r="K197" s="42">
        <f>IF(Source!BC87&lt;&gt; 0, Source!BC87, 1)</f>
        <v>6.11</v>
      </c>
      <c r="L197" s="41">
        <f>Source!O87</f>
        <v>982.21</v>
      </c>
      <c r="M197" s="47"/>
      <c r="S197">
        <f>ROUND((Source!FX87/100)*((ROUND(Source!AF87*Source!I87, 2)+ROUND(Source!AE87*Source!I87, 2))), 2)</f>
        <v>0</v>
      </c>
      <c r="T197">
        <f>Source!X87</f>
        <v>0</v>
      </c>
      <c r="U197">
        <f>ROUND((Source!FY87/100)*((ROUND(Source!AF87*Source!I87, 2)+ROUND(Source!AE87*Source!I87, 2))), 2)</f>
        <v>0</v>
      </c>
      <c r="V197">
        <f>Source!Y87</f>
        <v>0</v>
      </c>
      <c r="W197">
        <f>IF(Source!BI87&lt;=1,I197, 0)</f>
        <v>160.75</v>
      </c>
      <c r="X197">
        <f>IF(Source!BI87=2,I197, 0)</f>
        <v>0</v>
      </c>
      <c r="Y197">
        <f>IF(Source!BI87=3,I197, 0)</f>
        <v>0</v>
      </c>
      <c r="Z197">
        <f>IF(Source!BI87=4,I197, 0)</f>
        <v>0</v>
      </c>
    </row>
    <row r="198" spans="1:26" ht="15" x14ac:dyDescent="0.25">
      <c r="H198" s="66">
        <f>I190+I191+I193+I194+I195+SUM(I197:I197)</f>
        <v>347.20000000000005</v>
      </c>
      <c r="I198" s="66"/>
      <c r="K198" s="66">
        <f>L190+L191+L193+L194+L195+SUM(L197:L197)</f>
        <v>2121.38</v>
      </c>
      <c r="L198" s="66"/>
      <c r="M198" s="44">
        <f>Source!U85</f>
        <v>5.0438400000000003</v>
      </c>
      <c r="O198" s="27">
        <f>H198</f>
        <v>347.20000000000005</v>
      </c>
      <c r="P198" s="27">
        <f>K198</f>
        <v>2121.38</v>
      </c>
      <c r="Q198" s="27">
        <f>M198</f>
        <v>5.0438400000000003</v>
      </c>
      <c r="W198">
        <f>IF(Source!BI85&lt;=1,I190+I191+I193+I194+I195, 0)</f>
        <v>186.45000000000002</v>
      </c>
      <c r="X198">
        <f>IF(Source!BI85=2,I190+I191+I193+I194+I195, 0)</f>
        <v>0</v>
      </c>
      <c r="Y198">
        <f>IF(Source!BI85=3,I190+I191+I193+I194+I195, 0)</f>
        <v>0</v>
      </c>
      <c r="Z198">
        <f>IF(Source!BI85=4,I190+I191+I193+I194+I195, 0)</f>
        <v>0</v>
      </c>
    </row>
    <row r="199" spans="1:26" ht="28.5" x14ac:dyDescent="0.2">
      <c r="A199" s="49">
        <v>33</v>
      </c>
      <c r="B199" s="49" t="str">
        <f>Source!E89</f>
        <v>17</v>
      </c>
      <c r="C199" s="50" t="str">
        <f>Source!F89</f>
        <v>63-7-5</v>
      </c>
      <c r="D199" s="50" t="str">
        <f>Source!G89</f>
        <v>Разборка облицовки стен из керамических глазурованных плиток</v>
      </c>
      <c r="E199" s="33" t="str">
        <f>Source!H89</f>
        <v>100 м2</v>
      </c>
      <c r="F199" s="12">
        <f>Source!I89</f>
        <v>0.2346</v>
      </c>
      <c r="G199" s="34">
        <f>Source!AL89+Source!AM89+Source!AO89</f>
        <v>654</v>
      </c>
      <c r="H199" s="35"/>
      <c r="I199" s="34"/>
      <c r="J199" s="35" t="str">
        <f>Source!BO89</f>
        <v/>
      </c>
      <c r="K199" s="35"/>
      <c r="L199" s="34"/>
      <c r="M199" s="36"/>
      <c r="S199">
        <f>ROUND((Source!FX89/100)*((ROUND(Source!AF89*Source!I89, 2)+ROUND(Source!AE89*Source!I89, 2))), 2)</f>
        <v>106.48</v>
      </c>
      <c r="T199">
        <f>Source!X89</f>
        <v>650.61</v>
      </c>
      <c r="U199">
        <f>ROUND((Source!FY89/100)*((ROUND(Source!AF89*Source!I89, 2)+ROUND(Source!AE89*Source!I89, 2))), 2)</f>
        <v>69.150000000000006</v>
      </c>
      <c r="V199">
        <f>Source!Y89</f>
        <v>422.48</v>
      </c>
    </row>
    <row r="200" spans="1:26" x14ac:dyDescent="0.2">
      <c r="D200" s="26" t="str">
        <f>"Объем: "&amp;Source!I89&amp;"=23,46/"&amp;"100"</f>
        <v>Объем: 0,2346=23,46/100</v>
      </c>
    </row>
    <row r="201" spans="1:26" ht="14.25" x14ac:dyDescent="0.2">
      <c r="A201" s="49"/>
      <c r="B201" s="49"/>
      <c r="C201" s="50"/>
      <c r="D201" s="50" t="s">
        <v>791</v>
      </c>
      <c r="E201" s="33"/>
      <c r="F201" s="12"/>
      <c r="G201" s="34">
        <f>Source!AO89</f>
        <v>584.74</v>
      </c>
      <c r="H201" s="35" t="str">
        <f>Source!DG89</f>
        <v/>
      </c>
      <c r="I201" s="34">
        <f>ROUND(Source!AF89*Source!I89, 2)</f>
        <v>137.18</v>
      </c>
      <c r="J201" s="35"/>
      <c r="K201" s="35">
        <f>IF(Source!BA89&lt;&gt; 0, Source!BA89, 1)</f>
        <v>6.11</v>
      </c>
      <c r="L201" s="34">
        <f>Source!S89</f>
        <v>838.17</v>
      </c>
      <c r="M201" s="36"/>
      <c r="R201">
        <f>I201</f>
        <v>137.18</v>
      </c>
    </row>
    <row r="202" spans="1:26" ht="14.25" x14ac:dyDescent="0.2">
      <c r="A202" s="49"/>
      <c r="B202" s="49"/>
      <c r="C202" s="50"/>
      <c r="D202" s="50" t="s">
        <v>356</v>
      </c>
      <c r="E202" s="33"/>
      <c r="F202" s="12"/>
      <c r="G202" s="34">
        <f>Source!AM89</f>
        <v>69.260000000000005</v>
      </c>
      <c r="H202" s="35" t="str">
        <f>Source!DE89</f>
        <v/>
      </c>
      <c r="I202" s="34">
        <f>ROUND(Source!AD89*Source!I89, 2)</f>
        <v>16.25</v>
      </c>
      <c r="J202" s="35"/>
      <c r="K202" s="35">
        <f>IF(Source!BB89&lt;&gt; 0, Source!BB89, 1)</f>
        <v>6.11</v>
      </c>
      <c r="L202" s="34">
        <f>Source!Q89</f>
        <v>99.28</v>
      </c>
      <c r="M202" s="36"/>
    </row>
    <row r="203" spans="1:26" ht="14.25" x14ac:dyDescent="0.2">
      <c r="A203" s="49"/>
      <c r="B203" s="49"/>
      <c r="C203" s="50"/>
      <c r="D203" s="50" t="s">
        <v>792</v>
      </c>
      <c r="E203" s="33"/>
      <c r="F203" s="12"/>
      <c r="G203" s="34">
        <f>Source!AN89</f>
        <v>4.7300000000000004</v>
      </c>
      <c r="H203" s="35" t="str">
        <f>Source!DF89</f>
        <v/>
      </c>
      <c r="I203" s="37">
        <f>ROUND(Source!AE89*Source!I89, 2)</f>
        <v>1.1100000000000001</v>
      </c>
      <c r="J203" s="35"/>
      <c r="K203" s="35">
        <f>IF(Source!BS89&lt;&gt; 0, Source!BS89, 1)</f>
        <v>6.11</v>
      </c>
      <c r="L203" s="37">
        <f>Source!R89</f>
        <v>6.78</v>
      </c>
      <c r="M203" s="36"/>
      <c r="R203">
        <f>I203</f>
        <v>1.1100000000000001</v>
      </c>
    </row>
    <row r="204" spans="1:26" ht="14.25" x14ac:dyDescent="0.2">
      <c r="A204" s="49"/>
      <c r="B204" s="49"/>
      <c r="C204" s="50"/>
      <c r="D204" s="50" t="s">
        <v>793</v>
      </c>
      <c r="E204" s="33" t="s">
        <v>794</v>
      </c>
      <c r="F204" s="12">
        <f>Source!BZ89</f>
        <v>77</v>
      </c>
      <c r="G204" s="53"/>
      <c r="H204" s="35"/>
      <c r="I204" s="34">
        <f>SUM(S199:S206)</f>
        <v>106.48</v>
      </c>
      <c r="J204" s="38"/>
      <c r="K204" s="31">
        <f>Source!AT89</f>
        <v>77</v>
      </c>
      <c r="L204" s="34">
        <f>SUM(T199:T206)</f>
        <v>650.61</v>
      </c>
      <c r="M204" s="36"/>
    </row>
    <row r="205" spans="1:26" ht="14.25" x14ac:dyDescent="0.2">
      <c r="A205" s="49"/>
      <c r="B205" s="49"/>
      <c r="C205" s="50"/>
      <c r="D205" s="50" t="s">
        <v>795</v>
      </c>
      <c r="E205" s="33" t="s">
        <v>794</v>
      </c>
      <c r="F205" s="12">
        <f>Source!CA89</f>
        <v>50</v>
      </c>
      <c r="G205" s="53"/>
      <c r="H205" s="35"/>
      <c r="I205" s="34">
        <f>SUM(U199:U206)</f>
        <v>69.150000000000006</v>
      </c>
      <c r="J205" s="38"/>
      <c r="K205" s="31">
        <f>Source!AU89</f>
        <v>50</v>
      </c>
      <c r="L205" s="34">
        <f>SUM(V199:V206)</f>
        <v>422.48</v>
      </c>
      <c r="M205" s="36"/>
    </row>
    <row r="206" spans="1:26" ht="14.25" x14ac:dyDescent="0.2">
      <c r="A206" s="51"/>
      <c r="B206" s="51"/>
      <c r="C206" s="52"/>
      <c r="D206" s="52" t="s">
        <v>796</v>
      </c>
      <c r="E206" s="39" t="s">
        <v>797</v>
      </c>
      <c r="F206" s="40">
        <f>Source!AQ89</f>
        <v>74.3</v>
      </c>
      <c r="G206" s="41"/>
      <c r="H206" s="42" t="str">
        <f>Source!DI89</f>
        <v/>
      </c>
      <c r="I206" s="41"/>
      <c r="J206" s="42"/>
      <c r="K206" s="42"/>
      <c r="L206" s="41"/>
      <c r="M206" s="43">
        <f>Source!U89</f>
        <v>17.430779999999999</v>
      </c>
    </row>
    <row r="207" spans="1:26" ht="15" x14ac:dyDescent="0.25">
      <c r="H207" s="66">
        <f>I201+I202+I204+I205</f>
        <v>329.06000000000006</v>
      </c>
      <c r="I207" s="66"/>
      <c r="K207" s="66">
        <f>L201+L202+L204+L205</f>
        <v>2010.54</v>
      </c>
      <c r="L207" s="66"/>
      <c r="M207" s="44">
        <f>Source!U89</f>
        <v>17.430779999999999</v>
      </c>
      <c r="O207" s="27">
        <f>H207</f>
        <v>329.06000000000006</v>
      </c>
      <c r="P207" s="27">
        <f>K207</f>
        <v>2010.54</v>
      </c>
      <c r="Q207" s="27">
        <f>M207</f>
        <v>17.430779999999999</v>
      </c>
      <c r="W207">
        <f>IF(Source!BI89&lt;=1,I201+I202+I204+I205, 0)</f>
        <v>329.06000000000006</v>
      </c>
      <c r="X207">
        <f>IF(Source!BI89=2,I201+I202+I204+I205, 0)</f>
        <v>0</v>
      </c>
      <c r="Y207">
        <f>IF(Source!BI89=3,I201+I202+I204+I205, 0)</f>
        <v>0</v>
      </c>
      <c r="Z207">
        <f>IF(Source!BI89=4,I201+I202+I204+I205, 0)</f>
        <v>0</v>
      </c>
    </row>
    <row r="208" spans="1:26" ht="85.5" x14ac:dyDescent="0.2">
      <c r="A208" s="49">
        <v>34</v>
      </c>
      <c r="B208" s="49" t="str">
        <f>Source!E91</f>
        <v>18</v>
      </c>
      <c r="C208" s="50" t="str">
        <f>Source!F91</f>
        <v>15-01-019-05</v>
      </c>
      <c r="D208" s="50" t="str">
        <f>Source!G91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E208" s="33" t="str">
        <f>Source!H91</f>
        <v>100 м2</v>
      </c>
      <c r="F208" s="12">
        <f>Source!I91</f>
        <v>0.2346</v>
      </c>
      <c r="G208" s="34">
        <f>Source!AL91+Source!AM91+Source!AO91</f>
        <v>1500.7</v>
      </c>
      <c r="H208" s="35"/>
      <c r="I208" s="34"/>
      <c r="J208" s="35" t="str">
        <f>Source!BO91</f>
        <v/>
      </c>
      <c r="K208" s="35"/>
      <c r="L208" s="34"/>
      <c r="M208" s="36"/>
      <c r="S208">
        <f>ROUND((Source!FX91/100)*((ROUND(Source!AF91*Source!I91, 2)+ROUND(Source!AE91*Source!I91, 2))), 2)</f>
        <v>378.56</v>
      </c>
      <c r="T208">
        <f>Source!X91</f>
        <v>2325.2399999999998</v>
      </c>
      <c r="U208">
        <f>ROUND((Source!FY91/100)*((ROUND(Source!AF91*Source!I91, 2)+ROUND(Source!AE91*Source!I91, 2))), 2)</f>
        <v>187.28</v>
      </c>
      <c r="V208">
        <f>Source!Y91</f>
        <v>1150.3800000000001</v>
      </c>
    </row>
    <row r="209" spans="1:26" x14ac:dyDescent="0.2">
      <c r="D209" s="26" t="str">
        <f>"Объем: "&amp;Source!I91&amp;"=23,46/"&amp;"100"</f>
        <v>Объем: 0,2346=23,46/100</v>
      </c>
    </row>
    <row r="210" spans="1:26" ht="14.25" x14ac:dyDescent="0.2">
      <c r="A210" s="49"/>
      <c r="B210" s="49"/>
      <c r="C210" s="50"/>
      <c r="D210" s="50" t="s">
        <v>791</v>
      </c>
      <c r="E210" s="33"/>
      <c r="F210" s="12"/>
      <c r="G210" s="34">
        <f>Source!AO91</f>
        <v>1465.77</v>
      </c>
      <c r="H210" s="35" t="str">
        <f>Source!DG91</f>
        <v>)*1,15</v>
      </c>
      <c r="I210" s="34">
        <f>ROUND(Source!AF91*Source!I91, 2)</f>
        <v>395.45</v>
      </c>
      <c r="J210" s="35"/>
      <c r="K210" s="35">
        <f>IF(Source!BA91&lt;&gt; 0, Source!BA91, 1)</f>
        <v>6.11</v>
      </c>
      <c r="L210" s="34">
        <f>Source!S91</f>
        <v>2416.21</v>
      </c>
      <c r="M210" s="36"/>
      <c r="R210">
        <f>I210</f>
        <v>395.45</v>
      </c>
    </row>
    <row r="211" spans="1:26" ht="14.25" x14ac:dyDescent="0.2">
      <c r="A211" s="49"/>
      <c r="B211" s="49"/>
      <c r="C211" s="50"/>
      <c r="D211" s="50" t="s">
        <v>356</v>
      </c>
      <c r="E211" s="33"/>
      <c r="F211" s="12"/>
      <c r="G211" s="34">
        <f>Source!AM91</f>
        <v>31.75</v>
      </c>
      <c r="H211" s="35" t="str">
        <f>Source!DE91</f>
        <v>)*1,25</v>
      </c>
      <c r="I211" s="34">
        <f>ROUND(Source!AD91*Source!I91, 2)</f>
        <v>9.31</v>
      </c>
      <c r="J211" s="35"/>
      <c r="K211" s="35">
        <f>IF(Source!BB91&lt;&gt; 0, Source!BB91, 1)</f>
        <v>6.11</v>
      </c>
      <c r="L211" s="34">
        <f>Source!Q91</f>
        <v>56.89</v>
      </c>
      <c r="M211" s="36"/>
    </row>
    <row r="212" spans="1:26" ht="14.25" x14ac:dyDescent="0.2">
      <c r="A212" s="49"/>
      <c r="B212" s="49"/>
      <c r="C212" s="50"/>
      <c r="D212" s="50" t="s">
        <v>792</v>
      </c>
      <c r="E212" s="33"/>
      <c r="F212" s="12"/>
      <c r="G212" s="34">
        <f>Source!AN91</f>
        <v>17.53</v>
      </c>
      <c r="H212" s="35" t="str">
        <f>Source!DF91</f>
        <v>)*1,25</v>
      </c>
      <c r="I212" s="37">
        <f>ROUND(Source!AE91*Source!I91, 2)</f>
        <v>5.14</v>
      </c>
      <c r="J212" s="35"/>
      <c r="K212" s="35">
        <f>IF(Source!BS91&lt;&gt; 0, Source!BS91, 1)</f>
        <v>6.11</v>
      </c>
      <c r="L212" s="37">
        <f>Source!R91</f>
        <v>31.41</v>
      </c>
      <c r="M212" s="36"/>
      <c r="R212">
        <f>I212</f>
        <v>5.14</v>
      </c>
    </row>
    <row r="213" spans="1:26" ht="14.25" x14ac:dyDescent="0.2">
      <c r="A213" s="49"/>
      <c r="B213" s="49"/>
      <c r="C213" s="50"/>
      <c r="D213" s="50" t="s">
        <v>798</v>
      </c>
      <c r="E213" s="33"/>
      <c r="F213" s="12"/>
      <c r="G213" s="34">
        <f>Source!AL91</f>
        <v>3.18</v>
      </c>
      <c r="H213" s="35" t="str">
        <f>Source!DD91</f>
        <v/>
      </c>
      <c r="I213" s="34">
        <f>ROUND(Source!AC91*Source!I91, 2)</f>
        <v>0.75</v>
      </c>
      <c r="J213" s="35"/>
      <c r="K213" s="35">
        <f>IF(Source!BC91&lt;&gt; 0, Source!BC91, 1)</f>
        <v>6.11</v>
      </c>
      <c r="L213" s="34">
        <f>Source!P91</f>
        <v>4.5599999999999996</v>
      </c>
      <c r="M213" s="36"/>
    </row>
    <row r="214" spans="1:26" ht="14.25" x14ac:dyDescent="0.2">
      <c r="A214" s="49"/>
      <c r="B214" s="49"/>
      <c r="C214" s="50"/>
      <c r="D214" s="50" t="s">
        <v>793</v>
      </c>
      <c r="E214" s="33" t="s">
        <v>794</v>
      </c>
      <c r="F214" s="12">
        <f>Source!BZ91</f>
        <v>105</v>
      </c>
      <c r="G214" s="67" t="str">
        <f>CONCATENATE(" )", Source!DL91, Source!FT91, "=", Source!FX91)</f>
        <v xml:space="preserve"> )*0,9=94,5</v>
      </c>
      <c r="H214" s="68"/>
      <c r="I214" s="34">
        <f>SUM(S208:S219)</f>
        <v>378.56</v>
      </c>
      <c r="J214" s="38"/>
      <c r="K214" s="31">
        <f>Source!AT91</f>
        <v>95</v>
      </c>
      <c r="L214" s="34">
        <f>SUM(T208:T219)</f>
        <v>2325.2399999999998</v>
      </c>
      <c r="M214" s="36"/>
    </row>
    <row r="215" spans="1:26" ht="14.25" x14ac:dyDescent="0.2">
      <c r="A215" s="49"/>
      <c r="B215" s="49"/>
      <c r="C215" s="50"/>
      <c r="D215" s="50" t="s">
        <v>795</v>
      </c>
      <c r="E215" s="33" t="s">
        <v>794</v>
      </c>
      <c r="F215" s="12">
        <f>Source!CA91</f>
        <v>55</v>
      </c>
      <c r="G215" s="67" t="str">
        <f>CONCATENATE(" )", Source!DM91, Source!FU91, "=", Source!FY91)</f>
        <v xml:space="preserve"> )*0,85=46,75</v>
      </c>
      <c r="H215" s="68"/>
      <c r="I215" s="34">
        <f>SUM(U208:U219)</f>
        <v>187.28</v>
      </c>
      <c r="J215" s="38"/>
      <c r="K215" s="31">
        <f>Source!AU91</f>
        <v>47</v>
      </c>
      <c r="L215" s="34">
        <f>SUM(V208:V219)</f>
        <v>1150.3800000000001</v>
      </c>
      <c r="M215" s="36"/>
    </row>
    <row r="216" spans="1:26" ht="14.25" x14ac:dyDescent="0.2">
      <c r="A216" s="49"/>
      <c r="B216" s="49"/>
      <c r="C216" s="50"/>
      <c r="D216" s="50" t="s">
        <v>796</v>
      </c>
      <c r="E216" s="33" t="s">
        <v>797</v>
      </c>
      <c r="F216" s="12">
        <f>Source!AQ91</f>
        <v>159.66999999999999</v>
      </c>
      <c r="G216" s="34"/>
      <c r="H216" s="35" t="str">
        <f>Source!DI91</f>
        <v>)*1,15</v>
      </c>
      <c r="I216" s="34"/>
      <c r="J216" s="35"/>
      <c r="K216" s="35"/>
      <c r="L216" s="34"/>
      <c r="M216" s="45">
        <f>Source!U91</f>
        <v>43.077369299999994</v>
      </c>
    </row>
    <row r="217" spans="1:26" ht="28.5" x14ac:dyDescent="0.2">
      <c r="A217" s="49">
        <v>35</v>
      </c>
      <c r="B217" s="49" t="str">
        <f>Source!E93</f>
        <v>18,1</v>
      </c>
      <c r="C217" s="50" t="str">
        <f>Source!F93</f>
        <v>04.3.02.09-0741</v>
      </c>
      <c r="D217" s="50" t="str">
        <f>Source!G93</f>
        <v>Смесь сухая (фуга) АТЛАС разных цветов для заделки швов водостойкая</v>
      </c>
      <c r="E217" s="33" t="str">
        <f>Source!H93</f>
        <v>т</v>
      </c>
      <c r="F217" s="12">
        <f>Source!I93</f>
        <v>1.1730000000000001E-2</v>
      </c>
      <c r="G217" s="34">
        <f>Source!AL93+Source!AM93+Source!AO93</f>
        <v>9000</v>
      </c>
      <c r="H217" s="48" t="s">
        <v>6</v>
      </c>
      <c r="I217" s="34">
        <f>ROUND(Source!AC93*Source!I93, 2)+ROUND(Source!AD93*Source!I93, 2)+ROUND(Source!AF93*Source!I93, 2)</f>
        <v>105.57</v>
      </c>
      <c r="J217" s="35"/>
      <c r="K217" s="35">
        <f>IF(Source!BC93&lt;&gt; 0, Source!BC93, 1)</f>
        <v>6.11</v>
      </c>
      <c r="L217" s="34">
        <f>Source!O93</f>
        <v>645.03</v>
      </c>
      <c r="M217" s="36"/>
      <c r="S217">
        <f>ROUND((Source!FX93/100)*((ROUND(Source!AF93*Source!I93, 2)+ROUND(Source!AE93*Source!I93, 2))), 2)</f>
        <v>0</v>
      </c>
      <c r="T217">
        <f>Source!X93</f>
        <v>0</v>
      </c>
      <c r="U217">
        <f>ROUND((Source!FY93/100)*((ROUND(Source!AF93*Source!I93, 2)+ROUND(Source!AE93*Source!I93, 2))), 2)</f>
        <v>0</v>
      </c>
      <c r="V217">
        <f>Source!Y93</f>
        <v>0</v>
      </c>
      <c r="W217">
        <f>IF(Source!BI93&lt;=1,I217, 0)</f>
        <v>105.57</v>
      </c>
      <c r="X217">
        <f>IF(Source!BI93=2,I217, 0)</f>
        <v>0</v>
      </c>
      <c r="Y217">
        <f>IF(Source!BI93=3,I217, 0)</f>
        <v>0</v>
      </c>
      <c r="Z217">
        <f>IF(Source!BI93=4,I217, 0)</f>
        <v>0</v>
      </c>
    </row>
    <row r="218" spans="1:26" ht="71.25" x14ac:dyDescent="0.2">
      <c r="A218" s="49">
        <v>36</v>
      </c>
      <c r="B218" s="49" t="str">
        <f>Source!E95</f>
        <v>18,2</v>
      </c>
      <c r="C218" s="50" t="str">
        <f>Source!F95</f>
        <v>06.2.01.02-0030</v>
      </c>
      <c r="D218" s="50" t="str">
        <f>Source!G95</f>
        <v>Плитки керамические глазурованные для внутренней облицовки стен многоцветные, "Итало-дизайн" (коллекция "Палермо"-эконом класс), размер 300х200х7 мм</v>
      </c>
      <c r="E218" s="33" t="str">
        <f>Source!H95</f>
        <v>м2</v>
      </c>
      <c r="F218" s="12">
        <f>Source!I95</f>
        <v>23.46</v>
      </c>
      <c r="G218" s="34">
        <f>Source!AL95+Source!AM95+Source!AO95</f>
        <v>85.71</v>
      </c>
      <c r="H218" s="48" t="s">
        <v>6</v>
      </c>
      <c r="I218" s="34">
        <f>ROUND(Source!AC95*Source!I95, 2)+ROUND(Source!AD95*Source!I95, 2)+ROUND(Source!AF95*Source!I95, 2)</f>
        <v>2010.76</v>
      </c>
      <c r="J218" s="35"/>
      <c r="K218" s="35">
        <f>IF(Source!BC95&lt;&gt; 0, Source!BC95, 1)</f>
        <v>6.11</v>
      </c>
      <c r="L218" s="34">
        <f>Source!O95</f>
        <v>12285.72</v>
      </c>
      <c r="M218" s="36"/>
      <c r="S218">
        <f>ROUND((Source!FX95/100)*((ROUND(Source!AF95*Source!I95, 2)+ROUND(Source!AE95*Source!I95, 2))), 2)</f>
        <v>0</v>
      </c>
      <c r="T218">
        <f>Source!X95</f>
        <v>0</v>
      </c>
      <c r="U218">
        <f>ROUND((Source!FY95/100)*((ROUND(Source!AF95*Source!I95, 2)+ROUND(Source!AE95*Source!I95, 2))), 2)</f>
        <v>0</v>
      </c>
      <c r="V218">
        <f>Source!Y95</f>
        <v>0</v>
      </c>
      <c r="W218">
        <f>IF(Source!BI95&lt;=1,I218, 0)</f>
        <v>2010.76</v>
      </c>
      <c r="X218">
        <f>IF(Source!BI95=2,I218, 0)</f>
        <v>0</v>
      </c>
      <c r="Y218">
        <f>IF(Source!BI95=3,I218, 0)</f>
        <v>0</v>
      </c>
      <c r="Z218">
        <f>IF(Source!BI95=4,I218, 0)</f>
        <v>0</v>
      </c>
    </row>
    <row r="219" spans="1:26" ht="28.5" x14ac:dyDescent="0.2">
      <c r="A219" s="51">
        <v>37</v>
      </c>
      <c r="B219" s="51" t="str">
        <f>Source!E97</f>
        <v>18,3</v>
      </c>
      <c r="C219" s="52" t="str">
        <f>Source!F97</f>
        <v>14.1.06.02-0002</v>
      </c>
      <c r="D219" s="52" t="str">
        <f>Source!G97</f>
        <v>Клей для плитки "Атлас Плюс" (сухая смесь)</v>
      </c>
      <c r="E219" s="39" t="str">
        <f>Source!H97</f>
        <v>т</v>
      </c>
      <c r="F219" s="40">
        <f>Source!I97</f>
        <v>8.7974999999999998E-2</v>
      </c>
      <c r="G219" s="41">
        <f>Source!AL97+Source!AM97+Source!AO97</f>
        <v>2919.43</v>
      </c>
      <c r="H219" s="46" t="s">
        <v>6</v>
      </c>
      <c r="I219" s="41">
        <f>ROUND(Source!AC97*Source!I97, 2)+ROUND(Source!AD97*Source!I97, 2)+ROUND(Source!AF97*Source!I97, 2)</f>
        <v>256.83999999999997</v>
      </c>
      <c r="J219" s="42"/>
      <c r="K219" s="42">
        <f>IF(Source!BC97&lt;&gt; 0, Source!BC97, 1)</f>
        <v>6.11</v>
      </c>
      <c r="L219" s="41">
        <f>Source!O97</f>
        <v>1569.27</v>
      </c>
      <c r="M219" s="47"/>
      <c r="S219">
        <f>ROUND((Source!FX97/100)*((ROUND(Source!AF97*Source!I97, 2)+ROUND(Source!AE97*Source!I97, 2))), 2)</f>
        <v>0</v>
      </c>
      <c r="T219">
        <f>Source!X97</f>
        <v>0</v>
      </c>
      <c r="U219">
        <f>ROUND((Source!FY97/100)*((ROUND(Source!AF97*Source!I97, 2)+ROUND(Source!AE97*Source!I97, 2))), 2)</f>
        <v>0</v>
      </c>
      <c r="V219">
        <f>Source!Y97</f>
        <v>0</v>
      </c>
      <c r="W219">
        <f>IF(Source!BI97&lt;=1,I219, 0)</f>
        <v>256.83999999999997</v>
      </c>
      <c r="X219">
        <f>IF(Source!BI97=2,I219, 0)</f>
        <v>0</v>
      </c>
      <c r="Y219">
        <f>IF(Source!BI97=3,I219, 0)</f>
        <v>0</v>
      </c>
      <c r="Z219">
        <f>IF(Source!BI97=4,I219, 0)</f>
        <v>0</v>
      </c>
    </row>
    <row r="220" spans="1:26" ht="15" x14ac:dyDescent="0.25">
      <c r="H220" s="66">
        <f>I210+I211+I213+I214+I215+SUM(I217:I219)</f>
        <v>3344.52</v>
      </c>
      <c r="I220" s="66"/>
      <c r="K220" s="66">
        <f>L210+L211+L213+L214+L215+SUM(L217:L219)</f>
        <v>20453.3</v>
      </c>
      <c r="L220" s="66"/>
      <c r="M220" s="44">
        <f>Source!U91</f>
        <v>43.077369299999994</v>
      </c>
      <c r="O220" s="27">
        <f>H220</f>
        <v>3344.52</v>
      </c>
      <c r="P220" s="27">
        <f>K220</f>
        <v>20453.3</v>
      </c>
      <c r="Q220" s="27">
        <f>M220</f>
        <v>43.077369299999994</v>
      </c>
      <c r="W220">
        <f>IF(Source!BI91&lt;=1,I210+I211+I213+I214+I215, 0)</f>
        <v>971.34999999999991</v>
      </c>
      <c r="X220">
        <f>IF(Source!BI91=2,I210+I211+I213+I214+I215, 0)</f>
        <v>0</v>
      </c>
      <c r="Y220">
        <f>IF(Source!BI91=3,I210+I211+I213+I214+I215, 0)</f>
        <v>0</v>
      </c>
      <c r="Z220">
        <f>IF(Source!BI91=4,I210+I211+I213+I214+I215, 0)</f>
        <v>0</v>
      </c>
    </row>
    <row r="221" spans="1:26" ht="57" x14ac:dyDescent="0.2">
      <c r="A221" s="49">
        <v>38</v>
      </c>
      <c r="B221" s="49" t="str">
        <f>Source!E99</f>
        <v>19</v>
      </c>
      <c r="C221" s="50" t="str">
        <f>Source!F99</f>
        <v>61-2-3</v>
      </c>
      <c r="D221" s="50" t="str">
        <f>Source!G99</f>
        <v>Ремонт штукатурки внутренних стен по камню известковым раствором площадью отдельных мест до 10 м2 толщиной слоя до 20 мм</v>
      </c>
      <c r="E221" s="33" t="str">
        <f>Source!H99</f>
        <v>100 м2</v>
      </c>
      <c r="F221" s="12">
        <f>Source!I99</f>
        <v>2.1000000000000001E-2</v>
      </c>
      <c r="G221" s="34">
        <f>Source!AL99+Source!AM99+Source!AO99</f>
        <v>2438.8500000000004</v>
      </c>
      <c r="H221" s="35"/>
      <c r="I221" s="34"/>
      <c r="J221" s="35" t="str">
        <f>Source!BO99</f>
        <v/>
      </c>
      <c r="K221" s="35"/>
      <c r="L221" s="34"/>
      <c r="M221" s="36"/>
      <c r="S221">
        <f>ROUND((Source!FX99/100)*((ROUND(Source!AF99*Source!I99, 2)+ROUND(Source!AE99*Source!I99, 2))), 2)</f>
        <v>21.62</v>
      </c>
      <c r="T221">
        <f>Source!X99</f>
        <v>132.1</v>
      </c>
      <c r="U221">
        <f>ROUND((Source!FY99/100)*((ROUND(Source!AF99*Source!I99, 2)+ROUND(Source!AE99*Source!I99, 2))), 2)</f>
        <v>13.69</v>
      </c>
      <c r="V221">
        <f>Source!Y99</f>
        <v>83.61</v>
      </c>
    </row>
    <row r="222" spans="1:26" x14ac:dyDescent="0.2">
      <c r="D222" s="26" t="str">
        <f>"Объем: "&amp;Source!I99&amp;"=2,1/"&amp;"100"</f>
        <v>Объем: 0,021=2,1/100</v>
      </c>
    </row>
    <row r="223" spans="1:26" ht="14.25" x14ac:dyDescent="0.2">
      <c r="A223" s="49"/>
      <c r="B223" s="49"/>
      <c r="C223" s="50"/>
      <c r="D223" s="50" t="s">
        <v>791</v>
      </c>
      <c r="E223" s="33"/>
      <c r="F223" s="12"/>
      <c r="G223" s="34">
        <f>Source!AO99</f>
        <v>1294.18</v>
      </c>
      <c r="H223" s="35" t="str">
        <f>Source!DG99</f>
        <v/>
      </c>
      <c r="I223" s="34">
        <f>ROUND(Source!AF99*Source!I99, 2)</f>
        <v>27.18</v>
      </c>
      <c r="J223" s="35"/>
      <c r="K223" s="35">
        <f>IF(Source!BA99&lt;&gt; 0, Source!BA99, 1)</f>
        <v>6.11</v>
      </c>
      <c r="L223" s="34">
        <f>Source!S99</f>
        <v>166.06</v>
      </c>
      <c r="M223" s="36"/>
      <c r="R223">
        <f>I223</f>
        <v>27.18</v>
      </c>
    </row>
    <row r="224" spans="1:26" ht="14.25" x14ac:dyDescent="0.2">
      <c r="A224" s="49"/>
      <c r="B224" s="49"/>
      <c r="C224" s="50"/>
      <c r="D224" s="50" t="s">
        <v>356</v>
      </c>
      <c r="E224" s="33"/>
      <c r="F224" s="12"/>
      <c r="G224" s="34">
        <f>Source!AM99</f>
        <v>20.94</v>
      </c>
      <c r="H224" s="35" t="str">
        <f>Source!DE99</f>
        <v/>
      </c>
      <c r="I224" s="34">
        <f>ROUND(Source!AD99*Source!I99, 2)</f>
        <v>0.44</v>
      </c>
      <c r="J224" s="35"/>
      <c r="K224" s="35">
        <f>IF(Source!BB99&lt;&gt; 0, Source!BB99, 1)</f>
        <v>6.11</v>
      </c>
      <c r="L224" s="34">
        <f>Source!Q99</f>
        <v>2.69</v>
      </c>
      <c r="M224" s="36"/>
    </row>
    <row r="225" spans="1:26" ht="14.25" x14ac:dyDescent="0.2">
      <c r="A225" s="49"/>
      <c r="B225" s="49"/>
      <c r="C225" s="50"/>
      <c r="D225" s="50" t="s">
        <v>792</v>
      </c>
      <c r="E225" s="33"/>
      <c r="F225" s="12"/>
      <c r="G225" s="34">
        <f>Source!AN99</f>
        <v>9.0500000000000007</v>
      </c>
      <c r="H225" s="35" t="str">
        <f>Source!DF99</f>
        <v/>
      </c>
      <c r="I225" s="37">
        <f>ROUND(Source!AE99*Source!I99, 2)</f>
        <v>0.19</v>
      </c>
      <c r="J225" s="35"/>
      <c r="K225" s="35">
        <f>IF(Source!BS99&lt;&gt; 0, Source!BS99, 1)</f>
        <v>6.11</v>
      </c>
      <c r="L225" s="37">
        <f>Source!R99</f>
        <v>1.1599999999999999</v>
      </c>
      <c r="M225" s="36"/>
      <c r="R225">
        <f>I225</f>
        <v>0.19</v>
      </c>
    </row>
    <row r="226" spans="1:26" ht="14.25" x14ac:dyDescent="0.2">
      <c r="A226" s="49"/>
      <c r="B226" s="49"/>
      <c r="C226" s="50"/>
      <c r="D226" s="50" t="s">
        <v>798</v>
      </c>
      <c r="E226" s="33"/>
      <c r="F226" s="12"/>
      <c r="G226" s="34">
        <f>Source!AL99</f>
        <v>1123.73</v>
      </c>
      <c r="H226" s="35" t="str">
        <f>Source!DD99</f>
        <v/>
      </c>
      <c r="I226" s="34">
        <f>ROUND(Source!AC99*Source!I99, 2)</f>
        <v>23.6</v>
      </c>
      <c r="J226" s="35"/>
      <c r="K226" s="35">
        <f>IF(Source!BC99&lt;&gt; 0, Source!BC99, 1)</f>
        <v>6.11</v>
      </c>
      <c r="L226" s="34">
        <f>Source!P99</f>
        <v>144.19</v>
      </c>
      <c r="M226" s="36"/>
    </row>
    <row r="227" spans="1:26" ht="14.25" x14ac:dyDescent="0.2">
      <c r="A227" s="49"/>
      <c r="B227" s="49"/>
      <c r="C227" s="50"/>
      <c r="D227" s="50" t="s">
        <v>793</v>
      </c>
      <c r="E227" s="33" t="s">
        <v>794</v>
      </c>
      <c r="F227" s="12">
        <f>Source!BZ99</f>
        <v>79</v>
      </c>
      <c r="G227" s="53"/>
      <c r="H227" s="35"/>
      <c r="I227" s="34">
        <f>SUM(S221:S229)</f>
        <v>21.62</v>
      </c>
      <c r="J227" s="38"/>
      <c r="K227" s="31">
        <f>Source!AT99</f>
        <v>79</v>
      </c>
      <c r="L227" s="34">
        <f>SUM(T221:T229)</f>
        <v>132.1</v>
      </c>
      <c r="M227" s="36"/>
    </row>
    <row r="228" spans="1:26" ht="14.25" x14ac:dyDescent="0.2">
      <c r="A228" s="49"/>
      <c r="B228" s="49"/>
      <c r="C228" s="50"/>
      <c r="D228" s="50" t="s">
        <v>795</v>
      </c>
      <c r="E228" s="33" t="s">
        <v>794</v>
      </c>
      <c r="F228" s="12">
        <f>Source!CA99</f>
        <v>50</v>
      </c>
      <c r="G228" s="53"/>
      <c r="H228" s="35"/>
      <c r="I228" s="34">
        <f>SUM(U221:U229)</f>
        <v>13.69</v>
      </c>
      <c r="J228" s="38"/>
      <c r="K228" s="31">
        <f>Source!AU99</f>
        <v>50</v>
      </c>
      <c r="L228" s="34">
        <f>SUM(V221:V229)</f>
        <v>83.61</v>
      </c>
      <c r="M228" s="36"/>
    </row>
    <row r="229" spans="1:26" ht="14.25" x14ac:dyDescent="0.2">
      <c r="A229" s="51"/>
      <c r="B229" s="51"/>
      <c r="C229" s="52"/>
      <c r="D229" s="52" t="s">
        <v>796</v>
      </c>
      <c r="E229" s="39" t="s">
        <v>797</v>
      </c>
      <c r="F229" s="40">
        <f>Source!AQ99</f>
        <v>146.07</v>
      </c>
      <c r="G229" s="41"/>
      <c r="H229" s="42" t="str">
        <f>Source!DI99</f>
        <v/>
      </c>
      <c r="I229" s="41"/>
      <c r="J229" s="42"/>
      <c r="K229" s="42"/>
      <c r="L229" s="41"/>
      <c r="M229" s="43">
        <f>Source!U99</f>
        <v>3.0674700000000001</v>
      </c>
    </row>
    <row r="230" spans="1:26" ht="15" x14ac:dyDescent="0.25">
      <c r="H230" s="66">
        <f>I223+I224+I226+I227+I228</f>
        <v>86.53</v>
      </c>
      <c r="I230" s="66"/>
      <c r="K230" s="66">
        <f>L223+L224+L226+L227+L228</f>
        <v>528.65</v>
      </c>
      <c r="L230" s="66"/>
      <c r="M230" s="44">
        <f>Source!U99</f>
        <v>3.0674700000000001</v>
      </c>
      <c r="O230" s="27">
        <f>H230</f>
        <v>86.53</v>
      </c>
      <c r="P230" s="27">
        <f>K230</f>
        <v>528.65</v>
      </c>
      <c r="Q230" s="27">
        <f>M230</f>
        <v>3.0674700000000001</v>
      </c>
      <c r="W230">
        <f>IF(Source!BI99&lt;=1,I223+I224+I226+I227+I228, 0)</f>
        <v>86.53</v>
      </c>
      <c r="X230">
        <f>IF(Source!BI99=2,I223+I224+I226+I227+I228, 0)</f>
        <v>0</v>
      </c>
      <c r="Y230">
        <f>IF(Source!BI99=3,I223+I224+I226+I227+I228, 0)</f>
        <v>0</v>
      </c>
      <c r="Z230">
        <f>IF(Source!BI99=4,I223+I224+I226+I227+I228, 0)</f>
        <v>0</v>
      </c>
    </row>
    <row r="231" spans="1:26" ht="42.75" x14ac:dyDescent="0.2">
      <c r="A231" s="49">
        <v>39</v>
      </c>
      <c r="B231" s="49" t="str">
        <f>Source!E101</f>
        <v>20</v>
      </c>
      <c r="C231" s="50" t="str">
        <f>Source!F101</f>
        <v>62-33-2</v>
      </c>
      <c r="D231" s="50" t="str">
        <f>Source!G101</f>
        <v>Окраска масляными составами ранее окрашенных поверхностей радиаторов и ребристых труб отопления за 2 раза</v>
      </c>
      <c r="E231" s="33" t="str">
        <f>Source!H101</f>
        <v>100 м2</v>
      </c>
      <c r="F231" s="12">
        <f>Source!I101</f>
        <v>6.2E-2</v>
      </c>
      <c r="G231" s="34">
        <f>Source!AL101+Source!AM101+Source!AO101</f>
        <v>729.71</v>
      </c>
      <c r="H231" s="35"/>
      <c r="I231" s="34"/>
      <c r="J231" s="35" t="str">
        <f>Source!BO101</f>
        <v/>
      </c>
      <c r="K231" s="35"/>
      <c r="L231" s="34"/>
      <c r="M231" s="36"/>
      <c r="S231">
        <f>ROUND((Source!FX101/100)*((ROUND(Source!AF101*Source!I101, 2)+ROUND(Source!AE101*Source!I101, 2))), 2)</f>
        <v>28.59</v>
      </c>
      <c r="T231">
        <f>Source!X101</f>
        <v>174.7</v>
      </c>
      <c r="U231">
        <f>ROUND((Source!FY101/100)*((ROUND(Source!AF101*Source!I101, 2)+ROUND(Source!AE101*Source!I101, 2))), 2)</f>
        <v>17.87</v>
      </c>
      <c r="V231">
        <f>Source!Y101</f>
        <v>109.19</v>
      </c>
    </row>
    <row r="232" spans="1:26" x14ac:dyDescent="0.2">
      <c r="D232" s="26" t="str">
        <f>"Объем: "&amp;Source!I101&amp;"=6,2/"&amp;"100"</f>
        <v>Объем: 0,062=6,2/100</v>
      </c>
    </row>
    <row r="233" spans="1:26" ht="14.25" x14ac:dyDescent="0.2">
      <c r="A233" s="49"/>
      <c r="B233" s="49"/>
      <c r="C233" s="50"/>
      <c r="D233" s="50" t="s">
        <v>791</v>
      </c>
      <c r="E233" s="33"/>
      <c r="F233" s="12"/>
      <c r="G233" s="34">
        <f>Source!AO101</f>
        <v>576.32000000000005</v>
      </c>
      <c r="H233" s="35" t="str">
        <f>Source!DG101</f>
        <v/>
      </c>
      <c r="I233" s="34">
        <f>ROUND(Source!AF101*Source!I101, 2)</f>
        <v>35.729999999999997</v>
      </c>
      <c r="J233" s="35"/>
      <c r="K233" s="35">
        <f>IF(Source!BA101&lt;&gt; 0, Source!BA101, 1)</f>
        <v>6.11</v>
      </c>
      <c r="L233" s="34">
        <f>Source!S101</f>
        <v>218.32</v>
      </c>
      <c r="M233" s="36"/>
      <c r="R233">
        <f>I233</f>
        <v>35.729999999999997</v>
      </c>
    </row>
    <row r="234" spans="1:26" ht="14.25" x14ac:dyDescent="0.2">
      <c r="A234" s="49"/>
      <c r="B234" s="49"/>
      <c r="C234" s="50"/>
      <c r="D234" s="50" t="s">
        <v>356</v>
      </c>
      <c r="E234" s="33"/>
      <c r="F234" s="12"/>
      <c r="G234" s="34">
        <f>Source!AM101</f>
        <v>0.66</v>
      </c>
      <c r="H234" s="35" t="str">
        <f>Source!DE101</f>
        <v/>
      </c>
      <c r="I234" s="34">
        <f>ROUND(Source!AD101*Source!I101, 2)</f>
        <v>0.04</v>
      </c>
      <c r="J234" s="35"/>
      <c r="K234" s="35">
        <f>IF(Source!BB101&lt;&gt; 0, Source!BB101, 1)</f>
        <v>6.11</v>
      </c>
      <c r="L234" s="34">
        <f>Source!Q101</f>
        <v>0.25</v>
      </c>
      <c r="M234" s="36"/>
    </row>
    <row r="235" spans="1:26" ht="14.25" x14ac:dyDescent="0.2">
      <c r="A235" s="49"/>
      <c r="B235" s="49"/>
      <c r="C235" s="50"/>
      <c r="D235" s="50" t="s">
        <v>792</v>
      </c>
      <c r="E235" s="33"/>
      <c r="F235" s="12"/>
      <c r="G235" s="34">
        <f>Source!AN101</f>
        <v>0.12</v>
      </c>
      <c r="H235" s="35" t="str">
        <f>Source!DF101</f>
        <v/>
      </c>
      <c r="I235" s="37">
        <f>ROUND(Source!AE101*Source!I101, 2)</f>
        <v>0.01</v>
      </c>
      <c r="J235" s="35"/>
      <c r="K235" s="35">
        <f>IF(Source!BS101&lt;&gt; 0, Source!BS101, 1)</f>
        <v>6.11</v>
      </c>
      <c r="L235" s="37">
        <f>Source!R101</f>
        <v>0.05</v>
      </c>
      <c r="M235" s="36"/>
      <c r="R235">
        <f>I235</f>
        <v>0.01</v>
      </c>
    </row>
    <row r="236" spans="1:26" ht="14.25" x14ac:dyDescent="0.2">
      <c r="A236" s="49"/>
      <c r="B236" s="49"/>
      <c r="C236" s="50"/>
      <c r="D236" s="50" t="s">
        <v>798</v>
      </c>
      <c r="E236" s="33"/>
      <c r="F236" s="12"/>
      <c r="G236" s="34">
        <f>Source!AL101</f>
        <v>152.72999999999999</v>
      </c>
      <c r="H236" s="35" t="str">
        <f>Source!DD101</f>
        <v/>
      </c>
      <c r="I236" s="34">
        <f>ROUND(Source!AC101*Source!I101, 2)</f>
        <v>9.4700000000000006</v>
      </c>
      <c r="J236" s="35"/>
      <c r="K236" s="35">
        <f>IF(Source!BC101&lt;&gt; 0, Source!BC101, 1)</f>
        <v>6.11</v>
      </c>
      <c r="L236" s="34">
        <f>Source!P101</f>
        <v>57.86</v>
      </c>
      <c r="M236" s="36"/>
    </row>
    <row r="237" spans="1:26" ht="14.25" x14ac:dyDescent="0.2">
      <c r="A237" s="49"/>
      <c r="B237" s="49"/>
      <c r="C237" s="50"/>
      <c r="D237" s="50" t="s">
        <v>793</v>
      </c>
      <c r="E237" s="33" t="s">
        <v>794</v>
      </c>
      <c r="F237" s="12">
        <f>Source!BZ101</f>
        <v>80</v>
      </c>
      <c r="G237" s="53"/>
      <c r="H237" s="35"/>
      <c r="I237" s="34">
        <f>SUM(S231:S240)</f>
        <v>28.59</v>
      </c>
      <c r="J237" s="38"/>
      <c r="K237" s="31">
        <f>Source!AT101</f>
        <v>80</v>
      </c>
      <c r="L237" s="34">
        <f>SUM(T231:T240)</f>
        <v>174.7</v>
      </c>
      <c r="M237" s="36"/>
    </row>
    <row r="238" spans="1:26" ht="14.25" x14ac:dyDescent="0.2">
      <c r="A238" s="49"/>
      <c r="B238" s="49"/>
      <c r="C238" s="50"/>
      <c r="D238" s="50" t="s">
        <v>795</v>
      </c>
      <c r="E238" s="33" t="s">
        <v>794</v>
      </c>
      <c r="F238" s="12">
        <f>Source!CA101</f>
        <v>50</v>
      </c>
      <c r="G238" s="53"/>
      <c r="H238" s="35"/>
      <c r="I238" s="34">
        <f>SUM(U231:U240)</f>
        <v>17.87</v>
      </c>
      <c r="J238" s="38"/>
      <c r="K238" s="31">
        <f>Source!AU101</f>
        <v>50</v>
      </c>
      <c r="L238" s="34">
        <f>SUM(V231:V240)</f>
        <v>109.19</v>
      </c>
      <c r="M238" s="36"/>
    </row>
    <row r="239" spans="1:26" ht="14.25" x14ac:dyDescent="0.2">
      <c r="A239" s="49"/>
      <c r="B239" s="49"/>
      <c r="C239" s="50"/>
      <c r="D239" s="50" t="s">
        <v>796</v>
      </c>
      <c r="E239" s="33" t="s">
        <v>797</v>
      </c>
      <c r="F239" s="12">
        <f>Source!AQ101</f>
        <v>65.94</v>
      </c>
      <c r="G239" s="34"/>
      <c r="H239" s="35" t="str">
        <f>Source!DI101</f>
        <v/>
      </c>
      <c r="I239" s="34"/>
      <c r="J239" s="35"/>
      <c r="K239" s="35"/>
      <c r="L239" s="34"/>
      <c r="M239" s="45">
        <f>Source!U101</f>
        <v>4.0882800000000001</v>
      </c>
    </row>
    <row r="240" spans="1:26" ht="28.5" x14ac:dyDescent="0.2">
      <c r="A240" s="51">
        <v>40</v>
      </c>
      <c r="B240" s="51" t="str">
        <f>Source!E103</f>
        <v>20,1</v>
      </c>
      <c r="C240" s="52" t="str">
        <f>Source!F103</f>
        <v>14.4.02.04-0152</v>
      </c>
      <c r="D240" s="52" t="str">
        <f>Source!G103</f>
        <v>Краски масляные и алкидные белила густотертые литопонные МА-025</v>
      </c>
      <c r="E240" s="39" t="str">
        <f>Source!H103</f>
        <v>т</v>
      </c>
      <c r="F240" s="40">
        <f>Source!I103</f>
        <v>9.9799999999999997E-4</v>
      </c>
      <c r="G240" s="41">
        <f>Source!AL103+Source!AM103+Source!AO103</f>
        <v>21058.67</v>
      </c>
      <c r="H240" s="46" t="s">
        <v>6</v>
      </c>
      <c r="I240" s="41">
        <f>ROUND(Source!AC103*Source!I103, 2)+ROUND(Source!AD103*Source!I103, 2)+ROUND(Source!AF103*Source!I103, 2)</f>
        <v>21.02</v>
      </c>
      <c r="J240" s="42"/>
      <c r="K240" s="42">
        <f>IF(Source!BC103&lt;&gt; 0, Source!BC103, 1)</f>
        <v>6.11</v>
      </c>
      <c r="L240" s="41">
        <f>Source!O103</f>
        <v>128.41</v>
      </c>
      <c r="M240" s="47"/>
      <c r="S240">
        <f>ROUND((Source!FX103/100)*((ROUND(Source!AF103*Source!I103, 2)+ROUND(Source!AE103*Source!I103, 2))), 2)</f>
        <v>0</v>
      </c>
      <c r="T240">
        <f>Source!X103</f>
        <v>0</v>
      </c>
      <c r="U240">
        <f>ROUND((Source!FY103/100)*((ROUND(Source!AF103*Source!I103, 2)+ROUND(Source!AE103*Source!I103, 2))), 2)</f>
        <v>0</v>
      </c>
      <c r="V240">
        <f>Source!Y103</f>
        <v>0</v>
      </c>
      <c r="W240">
        <f>IF(Source!BI103&lt;=1,I240, 0)</f>
        <v>21.02</v>
      </c>
      <c r="X240">
        <f>IF(Source!BI103=2,I240, 0)</f>
        <v>0</v>
      </c>
      <c r="Y240">
        <f>IF(Source!BI103=3,I240, 0)</f>
        <v>0</v>
      </c>
      <c r="Z240">
        <f>IF(Source!BI103=4,I240, 0)</f>
        <v>0</v>
      </c>
    </row>
    <row r="241" spans="1:26" ht="15" x14ac:dyDescent="0.25">
      <c r="H241" s="66">
        <f>I233+I234+I236+I237+I238+SUM(I240:I240)</f>
        <v>112.72</v>
      </c>
      <c r="I241" s="66"/>
      <c r="K241" s="66">
        <f>L233+L234+L236+L237+L238+SUM(L240:L240)</f>
        <v>688.7299999999999</v>
      </c>
      <c r="L241" s="66"/>
      <c r="M241" s="44">
        <f>Source!U101</f>
        <v>4.0882800000000001</v>
      </c>
      <c r="O241" s="27">
        <f>H241</f>
        <v>112.72</v>
      </c>
      <c r="P241" s="27">
        <f>K241</f>
        <v>688.7299999999999</v>
      </c>
      <c r="Q241" s="27">
        <f>M241</f>
        <v>4.0882800000000001</v>
      </c>
      <c r="W241">
        <f>IF(Source!BI101&lt;=1,I233+I234+I236+I237+I238, 0)</f>
        <v>91.7</v>
      </c>
      <c r="X241">
        <f>IF(Source!BI101=2,I233+I234+I236+I237+I238, 0)</f>
        <v>0</v>
      </c>
      <c r="Y241">
        <f>IF(Source!BI101=3,I233+I234+I236+I237+I238, 0)</f>
        <v>0</v>
      </c>
      <c r="Z241">
        <f>IF(Source!BI101=4,I233+I234+I236+I237+I238, 0)</f>
        <v>0</v>
      </c>
    </row>
    <row r="242" spans="1:26" ht="28.5" x14ac:dyDescent="0.2">
      <c r="A242" s="49">
        <v>41</v>
      </c>
      <c r="B242" s="49" t="str">
        <f>Source!E105</f>
        <v>21</v>
      </c>
      <c r="C242" s="50" t="str">
        <f>Source!F105</f>
        <v>55-5-1</v>
      </c>
      <c r="D242" s="50" t="str">
        <f>Source!G105</f>
        <v>Разборка кирпичных перегородок на отдельные кирпичи</v>
      </c>
      <c r="E242" s="33" t="str">
        <f>Source!H105</f>
        <v>100 м2</v>
      </c>
      <c r="F242" s="12">
        <f>Source!I105</f>
        <v>4.3999999999999997E-2</v>
      </c>
      <c r="G242" s="34">
        <f>Source!AL105+Source!AM105+Source!AO105</f>
        <v>1443.4</v>
      </c>
      <c r="H242" s="35"/>
      <c r="I242" s="34"/>
      <c r="J242" s="35" t="str">
        <f>Source!BO105</f>
        <v/>
      </c>
      <c r="K242" s="35"/>
      <c r="L242" s="34"/>
      <c r="M242" s="36"/>
      <c r="S242">
        <f>ROUND((Source!FX105/100)*((ROUND(Source!AF105*Source!I105, 2)+ROUND(Source!AE105*Source!I105, 2))), 2)</f>
        <v>47.17</v>
      </c>
      <c r="T242">
        <f>Source!X105</f>
        <v>288.18</v>
      </c>
      <c r="U242">
        <f>ROUND((Source!FY105/100)*((ROUND(Source!AF105*Source!I105, 2)+ROUND(Source!AE105*Source!I105, 2))), 2)</f>
        <v>34.450000000000003</v>
      </c>
      <c r="V242">
        <f>Source!Y105</f>
        <v>210.47</v>
      </c>
    </row>
    <row r="243" spans="1:26" x14ac:dyDescent="0.2">
      <c r="D243" s="26" t="str">
        <f>"Объем: "&amp;Source!I105&amp;"=4,4/"&amp;"100"</f>
        <v>Объем: 0,044=4,4/100</v>
      </c>
    </row>
    <row r="244" spans="1:26" ht="14.25" x14ac:dyDescent="0.2">
      <c r="A244" s="49"/>
      <c r="B244" s="49"/>
      <c r="C244" s="50"/>
      <c r="D244" s="50" t="s">
        <v>791</v>
      </c>
      <c r="E244" s="33"/>
      <c r="F244" s="12"/>
      <c r="G244" s="34">
        <f>Source!AO105</f>
        <v>1204.44</v>
      </c>
      <c r="H244" s="35" t="str">
        <f>Source!DG105</f>
        <v/>
      </c>
      <c r="I244" s="34">
        <f>ROUND(Source!AF105*Source!I105, 2)</f>
        <v>53</v>
      </c>
      <c r="J244" s="35"/>
      <c r="K244" s="35">
        <f>IF(Source!BA105&lt;&gt; 0, Source!BA105, 1)</f>
        <v>6.11</v>
      </c>
      <c r="L244" s="34">
        <f>Source!S105</f>
        <v>323.8</v>
      </c>
      <c r="M244" s="36"/>
      <c r="R244">
        <f>I244</f>
        <v>53</v>
      </c>
    </row>
    <row r="245" spans="1:26" ht="14.25" x14ac:dyDescent="0.2">
      <c r="A245" s="49"/>
      <c r="B245" s="49"/>
      <c r="C245" s="50"/>
      <c r="D245" s="50" t="s">
        <v>356</v>
      </c>
      <c r="E245" s="33"/>
      <c r="F245" s="12"/>
      <c r="G245" s="34">
        <f>Source!AM105</f>
        <v>238.96</v>
      </c>
      <c r="H245" s="35" t="str">
        <f>Source!DE105</f>
        <v/>
      </c>
      <c r="I245" s="34">
        <f>ROUND(Source!AD105*Source!I105, 2)</f>
        <v>10.51</v>
      </c>
      <c r="J245" s="35"/>
      <c r="K245" s="35">
        <f>IF(Source!BB105&lt;&gt; 0, Source!BB105, 1)</f>
        <v>6.11</v>
      </c>
      <c r="L245" s="34">
        <f>Source!Q105</f>
        <v>64.239999999999995</v>
      </c>
      <c r="M245" s="36"/>
    </row>
    <row r="246" spans="1:26" ht="14.25" x14ac:dyDescent="0.2">
      <c r="A246" s="49"/>
      <c r="B246" s="49"/>
      <c r="C246" s="50"/>
      <c r="D246" s="50" t="s">
        <v>793</v>
      </c>
      <c r="E246" s="33" t="s">
        <v>794</v>
      </c>
      <c r="F246" s="12">
        <f>Source!BZ105</f>
        <v>89</v>
      </c>
      <c r="G246" s="53"/>
      <c r="H246" s="35"/>
      <c r="I246" s="34">
        <f>SUM(S242:S249)</f>
        <v>47.17</v>
      </c>
      <c r="J246" s="38"/>
      <c r="K246" s="31">
        <f>Source!AT105</f>
        <v>89</v>
      </c>
      <c r="L246" s="34">
        <f>SUM(T242:T249)</f>
        <v>288.18</v>
      </c>
      <c r="M246" s="36"/>
    </row>
    <row r="247" spans="1:26" ht="14.25" x14ac:dyDescent="0.2">
      <c r="A247" s="49"/>
      <c r="B247" s="49"/>
      <c r="C247" s="50"/>
      <c r="D247" s="50" t="s">
        <v>795</v>
      </c>
      <c r="E247" s="33" t="s">
        <v>794</v>
      </c>
      <c r="F247" s="12">
        <f>Source!CA105</f>
        <v>65</v>
      </c>
      <c r="G247" s="53"/>
      <c r="H247" s="35"/>
      <c r="I247" s="34">
        <f>SUM(U242:U249)</f>
        <v>34.450000000000003</v>
      </c>
      <c r="J247" s="38"/>
      <c r="K247" s="31">
        <f>Source!AU105</f>
        <v>65</v>
      </c>
      <c r="L247" s="34">
        <f>SUM(V242:V249)</f>
        <v>210.47</v>
      </c>
      <c r="M247" s="36"/>
    </row>
    <row r="248" spans="1:26" ht="14.25" x14ac:dyDescent="0.2">
      <c r="A248" s="49"/>
      <c r="B248" s="49"/>
      <c r="C248" s="50"/>
      <c r="D248" s="50" t="s">
        <v>796</v>
      </c>
      <c r="E248" s="33" t="s">
        <v>797</v>
      </c>
      <c r="F248" s="12">
        <f>Source!AQ105</f>
        <v>141.19999999999999</v>
      </c>
      <c r="G248" s="34"/>
      <c r="H248" s="35" t="str">
        <f>Source!DI105</f>
        <v/>
      </c>
      <c r="I248" s="34"/>
      <c r="J248" s="35"/>
      <c r="K248" s="35"/>
      <c r="L248" s="34"/>
      <c r="M248" s="45">
        <f>Source!U105</f>
        <v>6.2127999999999988</v>
      </c>
    </row>
    <row r="249" spans="1:26" ht="28.5" x14ac:dyDescent="0.2">
      <c r="A249" s="51">
        <v>42</v>
      </c>
      <c r="B249" s="51" t="str">
        <f>Source!E107</f>
        <v>21,1</v>
      </c>
      <c r="C249" s="52" t="str">
        <f>Source!F107</f>
        <v>01.7.07.07</v>
      </c>
      <c r="D249" s="52" t="str">
        <f>Source!G107</f>
        <v>Строительный мусор и масса возвратных материалов</v>
      </c>
      <c r="E249" s="39" t="str">
        <f>Source!H107</f>
        <v>т</v>
      </c>
      <c r="F249" s="40">
        <f>Source!I107</f>
        <v>0.85360000000000003</v>
      </c>
      <c r="G249" s="41">
        <f>Source!AL107+Source!AM107+Source!AO107</f>
        <v>0</v>
      </c>
      <c r="H249" s="46" t="s">
        <v>6</v>
      </c>
      <c r="I249" s="41">
        <f>ROUND(Source!AC107*Source!I107, 2)+ROUND(Source!AD107*Source!I107, 2)+ROUND(Source!AF107*Source!I107, 2)</f>
        <v>0</v>
      </c>
      <c r="J249" s="42"/>
      <c r="K249" s="42">
        <f>IF(Source!BC107&lt;&gt; 0, Source!BC107, 1)</f>
        <v>6.11</v>
      </c>
      <c r="L249" s="41">
        <f>Source!O107</f>
        <v>0</v>
      </c>
      <c r="M249" s="47"/>
      <c r="S249">
        <f>ROUND((Source!FX107/100)*((ROUND(Source!AF107*Source!I107, 2)+ROUND(Source!AE107*Source!I107, 2))), 2)</f>
        <v>0</v>
      </c>
      <c r="T249">
        <f>Source!X107</f>
        <v>0</v>
      </c>
      <c r="U249">
        <f>ROUND((Source!FY107/100)*((ROUND(Source!AF107*Source!I107, 2)+ROUND(Source!AE107*Source!I107, 2))), 2)</f>
        <v>0</v>
      </c>
      <c r="V249">
        <f>Source!Y107</f>
        <v>0</v>
      </c>
      <c r="W249">
        <f>IF(Source!BI107&lt;=1,I249, 0)</f>
        <v>0</v>
      </c>
      <c r="X249">
        <f>IF(Source!BI107=2,I249, 0)</f>
        <v>0</v>
      </c>
      <c r="Y249">
        <f>IF(Source!BI107=3,I249, 0)</f>
        <v>0</v>
      </c>
      <c r="Z249">
        <f>IF(Source!BI107=4,I249, 0)</f>
        <v>0</v>
      </c>
    </row>
    <row r="250" spans="1:26" ht="15" x14ac:dyDescent="0.25">
      <c r="H250" s="66">
        <f>I244+I245+I246+I247+SUM(I249:I249)</f>
        <v>145.13</v>
      </c>
      <c r="I250" s="66"/>
      <c r="K250" s="66">
        <f>L244+L245+L246+L247+SUM(L249:L249)</f>
        <v>886.69</v>
      </c>
      <c r="L250" s="66"/>
      <c r="M250" s="44">
        <f>Source!U105</f>
        <v>6.2127999999999988</v>
      </c>
      <c r="O250" s="27">
        <f>H250</f>
        <v>145.13</v>
      </c>
      <c r="P250" s="27">
        <f>K250</f>
        <v>886.69</v>
      </c>
      <c r="Q250" s="27">
        <f>M250</f>
        <v>6.2127999999999988</v>
      </c>
      <c r="W250">
        <f>IF(Source!BI105&lt;=1,I244+I245+I246+I247, 0)</f>
        <v>145.13</v>
      </c>
      <c r="X250">
        <f>IF(Source!BI105=2,I244+I245+I246+I247, 0)</f>
        <v>0</v>
      </c>
      <c r="Y250">
        <f>IF(Source!BI105=3,I244+I245+I246+I247, 0)</f>
        <v>0</v>
      </c>
      <c r="Z250">
        <f>IF(Source!BI105=4,I244+I245+I246+I247, 0)</f>
        <v>0</v>
      </c>
    </row>
    <row r="251" spans="1:26" ht="57" x14ac:dyDescent="0.2">
      <c r="A251" s="49">
        <v>43</v>
      </c>
      <c r="B251" s="49" t="str">
        <f>Source!E109</f>
        <v>22</v>
      </c>
      <c r="C251" s="50" t="str">
        <f>Source!F109</f>
        <v>10-04-014-01</v>
      </c>
      <c r="D251" s="50" t="str">
        <f>Source!G109</f>
        <v>Устройство сантехнических перегородок (стандартные туалетные кабины) на каркасе из алюминиевого профиля</v>
      </c>
      <c r="E251" s="33" t="str">
        <f>Source!H109</f>
        <v>100 м2</v>
      </c>
      <c r="F251" s="12">
        <f>Source!I109</f>
        <v>0.10299999999999999</v>
      </c>
      <c r="G251" s="34">
        <f>Source!AL109+Source!AM109+Source!AO109</f>
        <v>70425.8</v>
      </c>
      <c r="H251" s="35"/>
      <c r="I251" s="34"/>
      <c r="J251" s="35" t="str">
        <f>Source!BO109</f>
        <v/>
      </c>
      <c r="K251" s="35"/>
      <c r="L251" s="34"/>
      <c r="M251" s="36"/>
      <c r="S251">
        <f>ROUND((Source!FX109/100)*((ROUND(Source!AF109*Source!I109, 2)+ROUND(Source!AE109*Source!I109, 2))), 2)</f>
        <v>37.090000000000003</v>
      </c>
      <c r="T251">
        <f>Source!X109</f>
        <v>226.16</v>
      </c>
      <c r="U251">
        <f>ROUND((Source!FY109/100)*((ROUND(Source!AF109*Source!I109, 2)+ROUND(Source!AE109*Source!I109, 2))), 2)</f>
        <v>18.7</v>
      </c>
      <c r="V251">
        <f>Source!Y109</f>
        <v>115.21</v>
      </c>
    </row>
    <row r="252" spans="1:26" x14ac:dyDescent="0.2">
      <c r="D252" s="26" t="str">
        <f>"Объем: "&amp;Source!I109&amp;"=10,3/"&amp;"100"</f>
        <v>Объем: 0,103=10,3/100</v>
      </c>
    </row>
    <row r="253" spans="1:26" ht="14.25" x14ac:dyDescent="0.2">
      <c r="A253" s="49"/>
      <c r="B253" s="49"/>
      <c r="C253" s="50"/>
      <c r="D253" s="50" t="s">
        <v>791</v>
      </c>
      <c r="E253" s="33"/>
      <c r="F253" s="12"/>
      <c r="G253" s="34">
        <f>Source!AO109</f>
        <v>294.8</v>
      </c>
      <c r="H253" s="35" t="str">
        <f>Source!DG109</f>
        <v>)*1,15</v>
      </c>
      <c r="I253" s="34">
        <f>ROUND(Source!AF109*Source!I109, 2)</f>
        <v>34.92</v>
      </c>
      <c r="J253" s="35"/>
      <c r="K253" s="35">
        <f>IF(Source!BA109&lt;&gt; 0, Source!BA109, 1)</f>
        <v>6.11</v>
      </c>
      <c r="L253" s="34">
        <f>Source!S109</f>
        <v>213.36</v>
      </c>
      <c r="M253" s="36"/>
      <c r="R253">
        <f>I253</f>
        <v>34.92</v>
      </c>
    </row>
    <row r="254" spans="1:26" ht="14.25" x14ac:dyDescent="0.2">
      <c r="A254" s="49"/>
      <c r="B254" s="49"/>
      <c r="C254" s="50"/>
      <c r="D254" s="50" t="s">
        <v>798</v>
      </c>
      <c r="E254" s="33"/>
      <c r="F254" s="12"/>
      <c r="G254" s="34">
        <f>Source!AL109</f>
        <v>70131</v>
      </c>
      <c r="H254" s="35" t="str">
        <f>Source!DD109</f>
        <v/>
      </c>
      <c r="I254" s="34">
        <f>ROUND(Source!AC109*Source!I109, 2)</f>
        <v>7223.49</v>
      </c>
      <c r="J254" s="35"/>
      <c r="K254" s="35">
        <f>IF(Source!BC109&lt;&gt; 0, Source!BC109, 1)</f>
        <v>6.11</v>
      </c>
      <c r="L254" s="34">
        <f>Source!P109</f>
        <v>44135.54</v>
      </c>
      <c r="M254" s="36"/>
    </row>
    <row r="255" spans="1:26" ht="14.25" x14ac:dyDescent="0.2">
      <c r="A255" s="49"/>
      <c r="B255" s="49"/>
      <c r="C255" s="50"/>
      <c r="D255" s="50" t="s">
        <v>793</v>
      </c>
      <c r="E255" s="33" t="s">
        <v>794</v>
      </c>
      <c r="F255" s="12">
        <f>Source!BZ109</f>
        <v>118</v>
      </c>
      <c r="G255" s="67" t="str">
        <f>CONCATENATE(" )", Source!DL109, Source!FT109, "=", Source!FX109)</f>
        <v xml:space="preserve"> )*0,9=106,2</v>
      </c>
      <c r="H255" s="68"/>
      <c r="I255" s="34">
        <f>SUM(S251:S259)</f>
        <v>37.090000000000003</v>
      </c>
      <c r="J255" s="38"/>
      <c r="K255" s="31">
        <f>Source!AT109</f>
        <v>106</v>
      </c>
      <c r="L255" s="34">
        <f>SUM(T251:T259)</f>
        <v>226.16</v>
      </c>
      <c r="M255" s="36"/>
    </row>
    <row r="256" spans="1:26" ht="14.25" x14ac:dyDescent="0.2">
      <c r="A256" s="49"/>
      <c r="B256" s="49"/>
      <c r="C256" s="50"/>
      <c r="D256" s="50" t="s">
        <v>795</v>
      </c>
      <c r="E256" s="33" t="s">
        <v>794</v>
      </c>
      <c r="F256" s="12">
        <f>Source!CA109</f>
        <v>63</v>
      </c>
      <c r="G256" s="67" t="str">
        <f>CONCATENATE(" )", Source!DM109, Source!FU109, "=", Source!FY109)</f>
        <v xml:space="preserve"> )*0,85=53,55</v>
      </c>
      <c r="H256" s="68"/>
      <c r="I256" s="34">
        <f>SUM(U251:U259)</f>
        <v>18.7</v>
      </c>
      <c r="J256" s="38"/>
      <c r="K256" s="31">
        <f>Source!AU109</f>
        <v>54</v>
      </c>
      <c r="L256" s="34">
        <f>SUM(V251:V259)</f>
        <v>115.21</v>
      </c>
      <c r="M256" s="36"/>
    </row>
    <row r="257" spans="1:26" ht="14.25" x14ac:dyDescent="0.2">
      <c r="A257" s="49"/>
      <c r="B257" s="49"/>
      <c r="C257" s="50"/>
      <c r="D257" s="50" t="s">
        <v>796</v>
      </c>
      <c r="E257" s="33" t="s">
        <v>797</v>
      </c>
      <c r="F257" s="12">
        <f>Source!AQ109</f>
        <v>34.56</v>
      </c>
      <c r="G257" s="34"/>
      <c r="H257" s="35" t="str">
        <f>Source!DI109</f>
        <v>)*1,15</v>
      </c>
      <c r="I257" s="34"/>
      <c r="J257" s="35"/>
      <c r="K257" s="35"/>
      <c r="L257" s="34"/>
      <c r="M257" s="45">
        <f>Source!U109</f>
        <v>4.0936319999999995</v>
      </c>
    </row>
    <row r="258" spans="1:26" ht="42.75" x14ac:dyDescent="0.2">
      <c r="A258" s="49">
        <v>44</v>
      </c>
      <c r="B258" s="49" t="str">
        <f>Source!E111</f>
        <v>22,1</v>
      </c>
      <c r="C258" s="50" t="str">
        <f>Source!F111</f>
        <v>11.2.02.09-0002</v>
      </c>
      <c r="D258" s="50" t="str">
        <f>Source!G111</f>
        <v>Полотна для блоков дверных внутренних, полотно глухое высотой 2000 мм ПВГ 20-6, площадь 1,2 м2</v>
      </c>
      <c r="E258" s="33" t="str">
        <f>Source!H111</f>
        <v>м2</v>
      </c>
      <c r="F258" s="12">
        <f>Source!I111</f>
        <v>3.6000000000000005</v>
      </c>
      <c r="G258" s="34">
        <f>Source!AL111+Source!AM111+Source!AO111</f>
        <v>268.88</v>
      </c>
      <c r="H258" s="48" t="s">
        <v>6</v>
      </c>
      <c r="I258" s="34">
        <f>ROUND(Source!AC111*Source!I111, 2)+ROUND(Source!AD111*Source!I111, 2)+ROUND(Source!AF111*Source!I111, 2)</f>
        <v>967.97</v>
      </c>
      <c r="J258" s="35"/>
      <c r="K258" s="35">
        <f>IF(Source!BC111&lt;&gt; 0, Source!BC111, 1)</f>
        <v>6.11</v>
      </c>
      <c r="L258" s="34">
        <f>Source!O111</f>
        <v>5914.28</v>
      </c>
      <c r="M258" s="36"/>
      <c r="S258">
        <f>ROUND((Source!FX111/100)*((ROUND(Source!AF111*Source!I111, 2)+ROUND(Source!AE111*Source!I111, 2))), 2)</f>
        <v>0</v>
      </c>
      <c r="T258">
        <f>Source!X111</f>
        <v>0</v>
      </c>
      <c r="U258">
        <f>ROUND((Source!FY111/100)*((ROUND(Source!AF111*Source!I111, 2)+ROUND(Source!AE111*Source!I111, 2))), 2)</f>
        <v>0</v>
      </c>
      <c r="V258">
        <f>Source!Y111</f>
        <v>0</v>
      </c>
      <c r="W258">
        <f>IF(Source!BI111&lt;=1,I258, 0)</f>
        <v>967.97</v>
      </c>
      <c r="X258">
        <f>IF(Source!BI111=2,I258, 0)</f>
        <v>0</v>
      </c>
      <c r="Y258">
        <f>IF(Source!BI111=3,I258, 0)</f>
        <v>0</v>
      </c>
      <c r="Z258">
        <f>IF(Source!BI111=4,I258, 0)</f>
        <v>0</v>
      </c>
    </row>
    <row r="259" spans="1:26" ht="28.5" x14ac:dyDescent="0.2">
      <c r="A259" s="51">
        <v>45</v>
      </c>
      <c r="B259" s="51" t="str">
        <f>Source!E113</f>
        <v>22,2</v>
      </c>
      <c r="C259" s="52" t="str">
        <f>Source!F113</f>
        <v>01.7.04.11-0021</v>
      </c>
      <c r="D259" s="52" t="str">
        <f>Source!G113</f>
        <v>Приборы дверные в перегородках санузлов</v>
      </c>
      <c r="E259" s="39" t="str">
        <f>Source!H113</f>
        <v>компл.</v>
      </c>
      <c r="F259" s="40">
        <f>Source!I113</f>
        <v>3</v>
      </c>
      <c r="G259" s="41">
        <f>Source!AL113+Source!AM113+Source!AO113</f>
        <v>72.77</v>
      </c>
      <c r="H259" s="46" t="s">
        <v>6</v>
      </c>
      <c r="I259" s="41">
        <f>ROUND(Source!AC113*Source!I113, 2)+ROUND(Source!AD113*Source!I113, 2)+ROUND(Source!AF113*Source!I113, 2)</f>
        <v>218.31</v>
      </c>
      <c r="J259" s="42"/>
      <c r="K259" s="42">
        <f>IF(Source!BC113&lt;&gt; 0, Source!BC113, 1)</f>
        <v>6.11</v>
      </c>
      <c r="L259" s="41">
        <f>Source!O113</f>
        <v>1333.87</v>
      </c>
      <c r="M259" s="47"/>
      <c r="S259">
        <f>ROUND((Source!FX113/100)*((ROUND(Source!AF113*Source!I113, 2)+ROUND(Source!AE113*Source!I113, 2))), 2)</f>
        <v>0</v>
      </c>
      <c r="T259">
        <f>Source!X113</f>
        <v>0</v>
      </c>
      <c r="U259">
        <f>ROUND((Source!FY113/100)*((ROUND(Source!AF113*Source!I113, 2)+ROUND(Source!AE113*Source!I113, 2))), 2)</f>
        <v>0</v>
      </c>
      <c r="V259">
        <f>Source!Y113</f>
        <v>0</v>
      </c>
      <c r="W259">
        <f>IF(Source!BI113&lt;=1,I259, 0)</f>
        <v>218.31</v>
      </c>
      <c r="X259">
        <f>IF(Source!BI113=2,I259, 0)</f>
        <v>0</v>
      </c>
      <c r="Y259">
        <f>IF(Source!BI113=3,I259, 0)</f>
        <v>0</v>
      </c>
      <c r="Z259">
        <f>IF(Source!BI113=4,I259, 0)</f>
        <v>0</v>
      </c>
    </row>
    <row r="260" spans="1:26" ht="15" x14ac:dyDescent="0.25">
      <c r="H260" s="66">
        <f>I253+I254+I255+I256+SUM(I258:I259)</f>
        <v>8500.48</v>
      </c>
      <c r="I260" s="66"/>
      <c r="K260" s="66">
        <f>L253+L254+L255+L256+SUM(L258:L259)</f>
        <v>51938.420000000006</v>
      </c>
      <c r="L260" s="66"/>
      <c r="M260" s="44">
        <f>Source!U109</f>
        <v>4.0936319999999995</v>
      </c>
      <c r="O260" s="27">
        <f>H260</f>
        <v>8500.48</v>
      </c>
      <c r="P260" s="27">
        <f>K260</f>
        <v>51938.420000000006</v>
      </c>
      <c r="Q260" s="27">
        <f>M260</f>
        <v>4.0936319999999995</v>
      </c>
      <c r="W260">
        <f>IF(Source!BI109&lt;=1,I253+I254+I255+I256, 0)</f>
        <v>7314.2</v>
      </c>
      <c r="X260">
        <f>IF(Source!BI109=2,I253+I254+I255+I256, 0)</f>
        <v>0</v>
      </c>
      <c r="Y260">
        <f>IF(Source!BI109=3,I253+I254+I255+I256, 0)</f>
        <v>0</v>
      </c>
      <c r="Z260">
        <f>IF(Source!BI109=4,I253+I254+I255+I256, 0)</f>
        <v>0</v>
      </c>
    </row>
    <row r="261" spans="1:26" ht="28.5" x14ac:dyDescent="0.2">
      <c r="A261" s="49">
        <v>46</v>
      </c>
      <c r="B261" s="49" t="str">
        <f>Source!E115</f>
        <v>23</v>
      </c>
      <c r="C261" s="50" t="str">
        <f>Source!F115</f>
        <v>06-01-015-01</v>
      </c>
      <c r="D261" s="50" t="str">
        <f>Source!G115</f>
        <v>Установка анкерных болтов в готовые гнезда с заделкой длиной до 1 м</v>
      </c>
      <c r="E261" s="33" t="str">
        <f>Source!H115</f>
        <v>т</v>
      </c>
      <c r="F261" s="12">
        <f>Source!I115</f>
        <v>6.0000000000000001E-3</v>
      </c>
      <c r="G261" s="34">
        <f>Source!AL115+Source!AM115+Source!AO115</f>
        <v>12943.3</v>
      </c>
      <c r="H261" s="35"/>
      <c r="I261" s="34"/>
      <c r="J261" s="35" t="str">
        <f>Source!BO115</f>
        <v/>
      </c>
      <c r="K261" s="35"/>
      <c r="L261" s="34"/>
      <c r="M261" s="36"/>
      <c r="S261">
        <f>ROUND((Source!FX115/100)*((ROUND(Source!AF115*Source!I115, 2)+ROUND(Source!AE115*Source!I115, 2))), 2)</f>
        <v>18.260000000000002</v>
      </c>
      <c r="T261">
        <f>Source!X115</f>
        <v>112.12</v>
      </c>
      <c r="U261">
        <f>ROUND((Source!FY115/100)*((ROUND(Source!AF115*Source!I115, 2)+ROUND(Source!AE115*Source!I115, 2))), 2)</f>
        <v>10.67</v>
      </c>
      <c r="V261">
        <f>Source!Y115</f>
        <v>64.91</v>
      </c>
    </row>
    <row r="262" spans="1:26" ht="14.25" x14ac:dyDescent="0.2">
      <c r="A262" s="49"/>
      <c r="B262" s="49"/>
      <c r="C262" s="50"/>
      <c r="D262" s="50" t="s">
        <v>791</v>
      </c>
      <c r="E262" s="33"/>
      <c r="F262" s="12"/>
      <c r="G262" s="34">
        <f>Source!AO115</f>
        <v>2790.99</v>
      </c>
      <c r="H262" s="35" t="str">
        <f>Source!DG115</f>
        <v>)*1,15</v>
      </c>
      <c r="I262" s="34">
        <f>ROUND(Source!AF115*Source!I115, 2)</f>
        <v>19.260000000000002</v>
      </c>
      <c r="J262" s="35"/>
      <c r="K262" s="35">
        <f>IF(Source!BA115&lt;&gt; 0, Source!BA115, 1)</f>
        <v>6.11</v>
      </c>
      <c r="L262" s="34">
        <f>Source!S115</f>
        <v>117.67</v>
      </c>
      <c r="M262" s="36"/>
      <c r="R262">
        <f>I262</f>
        <v>19.260000000000002</v>
      </c>
    </row>
    <row r="263" spans="1:26" ht="14.25" x14ac:dyDescent="0.2">
      <c r="A263" s="49"/>
      <c r="B263" s="49"/>
      <c r="C263" s="50"/>
      <c r="D263" s="50" t="s">
        <v>356</v>
      </c>
      <c r="E263" s="33"/>
      <c r="F263" s="12"/>
      <c r="G263" s="34">
        <f>Source!AM115</f>
        <v>52.31</v>
      </c>
      <c r="H263" s="35" t="str">
        <f>Source!DE115</f>
        <v>)*1,25</v>
      </c>
      <c r="I263" s="34">
        <f>ROUND(Source!AD115*Source!I115, 2)</f>
        <v>0.39</v>
      </c>
      <c r="J263" s="35"/>
      <c r="K263" s="35">
        <f>IF(Source!BB115&lt;&gt; 0, Source!BB115, 1)</f>
        <v>6.11</v>
      </c>
      <c r="L263" s="34">
        <f>Source!Q115</f>
        <v>2.4</v>
      </c>
      <c r="M263" s="36"/>
    </row>
    <row r="264" spans="1:26" ht="14.25" x14ac:dyDescent="0.2">
      <c r="A264" s="49"/>
      <c r="B264" s="49"/>
      <c r="C264" s="50"/>
      <c r="D264" s="50" t="s">
        <v>792</v>
      </c>
      <c r="E264" s="33"/>
      <c r="F264" s="12"/>
      <c r="G264" s="34">
        <f>Source!AN115</f>
        <v>7.67</v>
      </c>
      <c r="H264" s="35" t="str">
        <f>Source!DF115</f>
        <v>)*1,25</v>
      </c>
      <c r="I264" s="37">
        <f>ROUND(Source!AE115*Source!I115, 2)</f>
        <v>0.06</v>
      </c>
      <c r="J264" s="35"/>
      <c r="K264" s="35">
        <f>IF(Source!BS115&lt;&gt; 0, Source!BS115, 1)</f>
        <v>6.11</v>
      </c>
      <c r="L264" s="37">
        <f>Source!R115</f>
        <v>0.35</v>
      </c>
      <c r="M264" s="36"/>
      <c r="R264">
        <f>I264</f>
        <v>0.06</v>
      </c>
    </row>
    <row r="265" spans="1:26" ht="14.25" x14ac:dyDescent="0.2">
      <c r="A265" s="49"/>
      <c r="B265" s="49"/>
      <c r="C265" s="50"/>
      <c r="D265" s="50" t="s">
        <v>798</v>
      </c>
      <c r="E265" s="33"/>
      <c r="F265" s="12"/>
      <c r="G265" s="34">
        <f>Source!AL115</f>
        <v>10100</v>
      </c>
      <c r="H265" s="35" t="str">
        <f>Source!DD115</f>
        <v/>
      </c>
      <c r="I265" s="34">
        <f>ROUND(Source!AC115*Source!I115, 2)</f>
        <v>60.6</v>
      </c>
      <c r="J265" s="35"/>
      <c r="K265" s="35">
        <f>IF(Source!BC115&lt;&gt; 0, Source!BC115, 1)</f>
        <v>6.11</v>
      </c>
      <c r="L265" s="34">
        <f>Source!P115</f>
        <v>370.27</v>
      </c>
      <c r="M265" s="36"/>
    </row>
    <row r="266" spans="1:26" ht="14.25" x14ac:dyDescent="0.2">
      <c r="A266" s="49"/>
      <c r="B266" s="49"/>
      <c r="C266" s="50"/>
      <c r="D266" s="50" t="s">
        <v>793</v>
      </c>
      <c r="E266" s="33" t="s">
        <v>794</v>
      </c>
      <c r="F266" s="12">
        <f>Source!BZ115</f>
        <v>105</v>
      </c>
      <c r="G266" s="67" t="str">
        <f>CONCATENATE(" )", Source!DL115, Source!FT115, "=", Source!FX115)</f>
        <v xml:space="preserve"> )*0,9=94,5</v>
      </c>
      <c r="H266" s="68"/>
      <c r="I266" s="34">
        <f>SUM(S261:S268)</f>
        <v>18.260000000000002</v>
      </c>
      <c r="J266" s="38"/>
      <c r="K266" s="31">
        <f>Source!AT115</f>
        <v>95</v>
      </c>
      <c r="L266" s="34">
        <f>SUM(T261:T268)</f>
        <v>112.12</v>
      </c>
      <c r="M266" s="36"/>
    </row>
    <row r="267" spans="1:26" ht="14.25" x14ac:dyDescent="0.2">
      <c r="A267" s="49"/>
      <c r="B267" s="49"/>
      <c r="C267" s="50"/>
      <c r="D267" s="50" t="s">
        <v>795</v>
      </c>
      <c r="E267" s="33" t="s">
        <v>794</v>
      </c>
      <c r="F267" s="12">
        <f>Source!CA115</f>
        <v>65</v>
      </c>
      <c r="G267" s="67" t="str">
        <f>CONCATENATE(" )", Source!DM115, Source!FU115, "=", Source!FY115)</f>
        <v xml:space="preserve"> )*0,85=55,25</v>
      </c>
      <c r="H267" s="68"/>
      <c r="I267" s="34">
        <f>SUM(U261:U268)</f>
        <v>10.67</v>
      </c>
      <c r="J267" s="38"/>
      <c r="K267" s="31">
        <f>Source!AU115</f>
        <v>55</v>
      </c>
      <c r="L267" s="34">
        <f>SUM(V261:V268)</f>
        <v>64.91</v>
      </c>
      <c r="M267" s="36"/>
    </row>
    <row r="268" spans="1:26" ht="14.25" x14ac:dyDescent="0.2">
      <c r="A268" s="51"/>
      <c r="B268" s="51"/>
      <c r="C268" s="52"/>
      <c r="D268" s="52" t="s">
        <v>796</v>
      </c>
      <c r="E268" s="39" t="s">
        <v>797</v>
      </c>
      <c r="F268" s="40">
        <f>Source!AQ115</f>
        <v>315.01</v>
      </c>
      <c r="G268" s="41"/>
      <c r="H268" s="42" t="str">
        <f>Source!DI115</f>
        <v>)*1,15</v>
      </c>
      <c r="I268" s="41"/>
      <c r="J268" s="42"/>
      <c r="K268" s="42"/>
      <c r="L268" s="41"/>
      <c r="M268" s="43">
        <f>Source!U115</f>
        <v>2.1735689999999996</v>
      </c>
    </row>
    <row r="269" spans="1:26" ht="15" x14ac:dyDescent="0.25">
      <c r="H269" s="66">
        <f>I262+I263+I265+I266+I267</f>
        <v>109.18</v>
      </c>
      <c r="I269" s="66"/>
      <c r="K269" s="66">
        <f>L262+L263+L265+L266+L267</f>
        <v>667.37</v>
      </c>
      <c r="L269" s="66"/>
      <c r="M269" s="44">
        <f>Source!U115</f>
        <v>2.1735689999999996</v>
      </c>
      <c r="O269" s="27">
        <f>H269</f>
        <v>109.18</v>
      </c>
      <c r="P269" s="27">
        <f>K269</f>
        <v>667.37</v>
      </c>
      <c r="Q269" s="27">
        <f>M269</f>
        <v>2.1735689999999996</v>
      </c>
      <c r="W269">
        <f>IF(Source!BI115&lt;=1,I262+I263+I265+I266+I267, 0)</f>
        <v>109.18</v>
      </c>
      <c r="X269">
        <f>IF(Source!BI115=2,I262+I263+I265+I266+I267, 0)</f>
        <v>0</v>
      </c>
      <c r="Y269">
        <f>IF(Source!BI115=3,I262+I263+I265+I266+I267, 0)</f>
        <v>0</v>
      </c>
      <c r="Z269">
        <f>IF(Source!BI115=4,I262+I263+I265+I266+I267, 0)</f>
        <v>0</v>
      </c>
    </row>
    <row r="270" spans="1:26" ht="57" x14ac:dyDescent="0.2">
      <c r="A270" s="49">
        <v>47</v>
      </c>
      <c r="B270" s="49" t="str">
        <f>Source!E117</f>
        <v>24</v>
      </c>
      <c r="C270" s="50" t="str">
        <f>Source!F117</f>
        <v>46-03-001-14</v>
      </c>
      <c r="D270" s="50" t="str">
        <f>Source!G117</f>
        <v>Сверление установками алмазного бурения в железобетонных конструкциях вертикальных отверстий глубиной 200 мм диаметром 125 мм</v>
      </c>
      <c r="E270" s="33" t="str">
        <f>Source!H117</f>
        <v>100 ШТ</v>
      </c>
      <c r="F270" s="12">
        <f>Source!I117</f>
        <v>0.01</v>
      </c>
      <c r="G270" s="34">
        <f>Source!AL117+Source!AM117+Source!AO117</f>
        <v>7390.4000000000005</v>
      </c>
      <c r="H270" s="35"/>
      <c r="I270" s="34"/>
      <c r="J270" s="35" t="str">
        <f>Source!BO117</f>
        <v/>
      </c>
      <c r="K270" s="35"/>
      <c r="L270" s="34"/>
      <c r="M270" s="36"/>
      <c r="S270">
        <f>ROUND((Source!FX117/100)*((ROUND(Source!AF117*Source!I117, 2)+ROUND(Source!AE117*Source!I117, 2))), 2)</f>
        <v>5.55</v>
      </c>
      <c r="T270">
        <f>Source!X117</f>
        <v>33.96</v>
      </c>
      <c r="U270">
        <f>ROUND((Source!FY117/100)*((ROUND(Source!AF117*Source!I117, 2)+ROUND(Source!AE117*Source!I117, 2))), 2)</f>
        <v>3.34</v>
      </c>
      <c r="V270">
        <f>Source!Y117</f>
        <v>20.58</v>
      </c>
    </row>
    <row r="271" spans="1:26" x14ac:dyDescent="0.2">
      <c r="D271" s="26" t="str">
        <f>"Объем: "&amp;Source!I117&amp;"=1/"&amp;"100"</f>
        <v>Объем: 0,01=1/100</v>
      </c>
    </row>
    <row r="272" spans="1:26" ht="14.25" x14ac:dyDescent="0.2">
      <c r="A272" s="49"/>
      <c r="B272" s="49"/>
      <c r="C272" s="50"/>
      <c r="D272" s="50" t="s">
        <v>791</v>
      </c>
      <c r="E272" s="33"/>
      <c r="F272" s="12"/>
      <c r="G272" s="34">
        <f>Source!AO117</f>
        <v>253.97</v>
      </c>
      <c r="H272" s="35" t="str">
        <f>Source!DG117</f>
        <v/>
      </c>
      <c r="I272" s="34">
        <f>ROUND(Source!AF117*Source!I117, 2)</f>
        <v>2.54</v>
      </c>
      <c r="J272" s="35"/>
      <c r="K272" s="35">
        <f>IF(Source!BA117&lt;&gt; 0, Source!BA117, 1)</f>
        <v>6.11</v>
      </c>
      <c r="L272" s="34">
        <f>Source!S117</f>
        <v>15.52</v>
      </c>
      <c r="M272" s="36"/>
      <c r="R272">
        <f>I272</f>
        <v>2.54</v>
      </c>
    </row>
    <row r="273" spans="1:26" ht="14.25" x14ac:dyDescent="0.2">
      <c r="A273" s="49"/>
      <c r="B273" s="49"/>
      <c r="C273" s="50"/>
      <c r="D273" s="50" t="s">
        <v>356</v>
      </c>
      <c r="E273" s="33"/>
      <c r="F273" s="12"/>
      <c r="G273" s="34">
        <f>Source!AM117</f>
        <v>971.67</v>
      </c>
      <c r="H273" s="35" t="str">
        <f>Source!DE117</f>
        <v/>
      </c>
      <c r="I273" s="34">
        <f>ROUND(Source!AD117*Source!I117, 2)</f>
        <v>9.7200000000000006</v>
      </c>
      <c r="J273" s="35"/>
      <c r="K273" s="35">
        <f>IF(Source!BB117&lt;&gt; 0, Source!BB117, 1)</f>
        <v>6.11</v>
      </c>
      <c r="L273" s="34">
        <f>Source!Q117</f>
        <v>59.37</v>
      </c>
      <c r="M273" s="36"/>
    </row>
    <row r="274" spans="1:26" ht="14.25" x14ac:dyDescent="0.2">
      <c r="A274" s="49"/>
      <c r="B274" s="49"/>
      <c r="C274" s="50"/>
      <c r="D274" s="50" t="s">
        <v>792</v>
      </c>
      <c r="E274" s="33"/>
      <c r="F274" s="12"/>
      <c r="G274" s="34">
        <f>Source!AN117</f>
        <v>307.39999999999998</v>
      </c>
      <c r="H274" s="35" t="str">
        <f>Source!DF117</f>
        <v/>
      </c>
      <c r="I274" s="37">
        <f>ROUND(Source!AE117*Source!I117, 2)</f>
        <v>3.07</v>
      </c>
      <c r="J274" s="35"/>
      <c r="K274" s="35">
        <f>IF(Source!BS117&lt;&gt; 0, Source!BS117, 1)</f>
        <v>6.11</v>
      </c>
      <c r="L274" s="37">
        <f>Source!R117</f>
        <v>18.78</v>
      </c>
      <c r="M274" s="36"/>
      <c r="R274">
        <f>I274</f>
        <v>3.07</v>
      </c>
    </row>
    <row r="275" spans="1:26" ht="14.25" x14ac:dyDescent="0.2">
      <c r="A275" s="49"/>
      <c r="B275" s="49"/>
      <c r="C275" s="50"/>
      <c r="D275" s="50" t="s">
        <v>798</v>
      </c>
      <c r="E275" s="33"/>
      <c r="F275" s="12"/>
      <c r="G275" s="34">
        <f>Source!AL117</f>
        <v>6164.76</v>
      </c>
      <c r="H275" s="35" t="str">
        <f>Source!DD117</f>
        <v/>
      </c>
      <c r="I275" s="34">
        <f>ROUND(Source!AC117*Source!I117, 2)</f>
        <v>61.65</v>
      </c>
      <c r="J275" s="35"/>
      <c r="K275" s="35">
        <f>IF(Source!BC117&lt;&gt; 0, Source!BC117, 1)</f>
        <v>6.11</v>
      </c>
      <c r="L275" s="34">
        <f>Source!P117</f>
        <v>376.67</v>
      </c>
      <c r="M275" s="36"/>
    </row>
    <row r="276" spans="1:26" ht="14.25" x14ac:dyDescent="0.2">
      <c r="A276" s="49"/>
      <c r="B276" s="49"/>
      <c r="C276" s="50"/>
      <c r="D276" s="50" t="s">
        <v>793</v>
      </c>
      <c r="E276" s="33" t="s">
        <v>794</v>
      </c>
      <c r="F276" s="12">
        <f>Source!BZ117</f>
        <v>110</v>
      </c>
      <c r="G276" s="67" t="str">
        <f>CONCATENATE(" )", Source!DL117, Source!FT117, "=", Source!FX117)</f>
        <v xml:space="preserve"> )*0,9=99</v>
      </c>
      <c r="H276" s="68"/>
      <c r="I276" s="34">
        <f>SUM(S270:S278)</f>
        <v>5.55</v>
      </c>
      <c r="J276" s="38"/>
      <c r="K276" s="31">
        <f>Source!AT117</f>
        <v>99</v>
      </c>
      <c r="L276" s="34">
        <f>SUM(T270:T278)</f>
        <v>33.96</v>
      </c>
      <c r="M276" s="36"/>
    </row>
    <row r="277" spans="1:26" ht="14.25" x14ac:dyDescent="0.2">
      <c r="A277" s="49"/>
      <c r="B277" s="49"/>
      <c r="C277" s="50"/>
      <c r="D277" s="50" t="s">
        <v>795</v>
      </c>
      <c r="E277" s="33" t="s">
        <v>794</v>
      </c>
      <c r="F277" s="12">
        <f>Source!CA117</f>
        <v>70</v>
      </c>
      <c r="G277" s="67" t="str">
        <f>CONCATENATE(" )", Source!DM117, Source!FU117, "=", Source!FY117)</f>
        <v xml:space="preserve"> )*0,85=59,5</v>
      </c>
      <c r="H277" s="68"/>
      <c r="I277" s="34">
        <f>SUM(U270:U278)</f>
        <v>3.34</v>
      </c>
      <c r="J277" s="38"/>
      <c r="K277" s="31">
        <f>Source!AU117</f>
        <v>60</v>
      </c>
      <c r="L277" s="34">
        <f>SUM(V270:V278)</f>
        <v>20.58</v>
      </c>
      <c r="M277" s="36"/>
    </row>
    <row r="278" spans="1:26" ht="14.25" x14ac:dyDescent="0.2">
      <c r="A278" s="51"/>
      <c r="B278" s="51"/>
      <c r="C278" s="52"/>
      <c r="D278" s="52" t="s">
        <v>796</v>
      </c>
      <c r="E278" s="39" t="s">
        <v>797</v>
      </c>
      <c r="F278" s="40">
        <f>Source!AQ117</f>
        <v>26.4</v>
      </c>
      <c r="G278" s="41"/>
      <c r="H278" s="42" t="str">
        <f>Source!DI117</f>
        <v/>
      </c>
      <c r="I278" s="41"/>
      <c r="J278" s="42"/>
      <c r="K278" s="42"/>
      <c r="L278" s="41"/>
      <c r="M278" s="43">
        <f>Source!U117</f>
        <v>0.26400000000000001</v>
      </c>
    </row>
    <row r="279" spans="1:26" ht="15" x14ac:dyDescent="0.25">
      <c r="H279" s="66">
        <f>I272+I273+I275+I276+I277</f>
        <v>82.8</v>
      </c>
      <c r="I279" s="66"/>
      <c r="K279" s="66">
        <f>L272+L273+L275+L276+L277</f>
        <v>506.09999999999997</v>
      </c>
      <c r="L279" s="66"/>
      <c r="M279" s="44">
        <f>Source!U117</f>
        <v>0.26400000000000001</v>
      </c>
      <c r="O279" s="27">
        <f>H279</f>
        <v>82.8</v>
      </c>
      <c r="P279" s="27">
        <f>K279</f>
        <v>506.09999999999997</v>
      </c>
      <c r="Q279" s="27">
        <f>M279</f>
        <v>0.26400000000000001</v>
      </c>
      <c r="W279">
        <f>IF(Source!BI117&lt;=1,I272+I273+I275+I276+I277, 0)</f>
        <v>82.8</v>
      </c>
      <c r="X279">
        <f>IF(Source!BI117=2,I272+I273+I275+I276+I277, 0)</f>
        <v>0</v>
      </c>
      <c r="Y279">
        <f>IF(Source!BI117=3,I272+I273+I275+I276+I277, 0)</f>
        <v>0</v>
      </c>
      <c r="Z279">
        <f>IF(Source!BI117=4,I272+I273+I275+I276+I277, 0)</f>
        <v>0</v>
      </c>
    </row>
    <row r="280" spans="1:26" ht="42.75" x14ac:dyDescent="0.2">
      <c r="A280" s="49">
        <v>48</v>
      </c>
      <c r="B280" s="49" t="str">
        <f>Source!E119</f>
        <v>25</v>
      </c>
      <c r="C280" s="50" t="str">
        <f>Source!F119</f>
        <v>46-03-001-30</v>
      </c>
      <c r="D280" s="50" t="str">
        <f>Source!G119</f>
        <v>На каждые 10 мм изменения глубины сверления добавляется или исключается к расценке 46-03-001-14</v>
      </c>
      <c r="E280" s="33" t="str">
        <f>Source!H119</f>
        <v>100 ШТ</v>
      </c>
      <c r="F280" s="12">
        <f>Source!I119</f>
        <v>0.01</v>
      </c>
      <c r="G280" s="34">
        <f>Source!AL119+Source!AM119+Source!AO119</f>
        <v>371.28000000000003</v>
      </c>
      <c r="H280" s="35"/>
      <c r="I280" s="34"/>
      <c r="J280" s="35" t="str">
        <f>Source!BO119</f>
        <v/>
      </c>
      <c r="K280" s="35"/>
      <c r="L280" s="34"/>
      <c r="M280" s="36"/>
      <c r="S280">
        <f>ROUND((Source!FX119/100)*((ROUND(Source!AF119*Source!I119, 2)+ROUND(Source!AE119*Source!I119, 2))), 2)</f>
        <v>5.14</v>
      </c>
      <c r="T280">
        <f>Source!X119</f>
        <v>31.37</v>
      </c>
      <c r="U280">
        <f>ROUND((Source!FY119/100)*((ROUND(Source!AF119*Source!I119, 2)+ROUND(Source!AE119*Source!I119, 2))), 2)</f>
        <v>3.09</v>
      </c>
      <c r="V280">
        <f>Source!Y119</f>
        <v>19.010000000000002</v>
      </c>
    </row>
    <row r="281" spans="1:26" x14ac:dyDescent="0.2">
      <c r="D281" s="26" t="str">
        <f>"Объем: "&amp;Source!I119&amp;"=1/"&amp;"100"</f>
        <v>Объем: 0,01=1/100</v>
      </c>
    </row>
    <row r="282" spans="1:26" ht="14.25" x14ac:dyDescent="0.2">
      <c r="A282" s="49"/>
      <c r="B282" s="49"/>
      <c r="C282" s="50"/>
      <c r="D282" s="50" t="s">
        <v>791</v>
      </c>
      <c r="E282" s="33"/>
      <c r="F282" s="12"/>
      <c r="G282" s="34">
        <f>Source!AO119</f>
        <v>20.2</v>
      </c>
      <c r="H282" s="35" t="str">
        <f>Source!DG119</f>
        <v>*15</v>
      </c>
      <c r="I282" s="34">
        <f>ROUND(Source!AF119*Source!I119, 2)</f>
        <v>3.03</v>
      </c>
      <c r="J282" s="35"/>
      <c r="K282" s="35">
        <f>IF(Source!BA119&lt;&gt; 0, Source!BA119, 1)</f>
        <v>6.11</v>
      </c>
      <c r="L282" s="34">
        <f>Source!S119</f>
        <v>18.510000000000002</v>
      </c>
      <c r="M282" s="36"/>
      <c r="R282">
        <f>I282</f>
        <v>3.03</v>
      </c>
    </row>
    <row r="283" spans="1:26" ht="14.25" x14ac:dyDescent="0.2">
      <c r="A283" s="49"/>
      <c r="B283" s="49"/>
      <c r="C283" s="50"/>
      <c r="D283" s="50" t="s">
        <v>356</v>
      </c>
      <c r="E283" s="33"/>
      <c r="F283" s="12"/>
      <c r="G283" s="34">
        <f>Source!AM119</f>
        <v>42.84</v>
      </c>
      <c r="H283" s="35" t="str">
        <f>Source!DE119</f>
        <v>*15</v>
      </c>
      <c r="I283" s="34">
        <f>ROUND(Source!AD119*Source!I119, 2)</f>
        <v>6.43</v>
      </c>
      <c r="J283" s="35"/>
      <c r="K283" s="35">
        <f>IF(Source!BB119&lt;&gt; 0, Source!BB119, 1)</f>
        <v>6.11</v>
      </c>
      <c r="L283" s="34">
        <f>Source!Q119</f>
        <v>39.26</v>
      </c>
      <c r="M283" s="36"/>
    </row>
    <row r="284" spans="1:26" ht="14.25" x14ac:dyDescent="0.2">
      <c r="A284" s="49"/>
      <c r="B284" s="49"/>
      <c r="C284" s="50"/>
      <c r="D284" s="50" t="s">
        <v>792</v>
      </c>
      <c r="E284" s="33"/>
      <c r="F284" s="12"/>
      <c r="G284" s="34">
        <f>Source!AN119</f>
        <v>14.38</v>
      </c>
      <c r="H284" s="35" t="str">
        <f>Source!DF119</f>
        <v>*15</v>
      </c>
      <c r="I284" s="37">
        <f>ROUND(Source!AE119*Source!I119, 2)</f>
        <v>2.16</v>
      </c>
      <c r="J284" s="35"/>
      <c r="K284" s="35">
        <f>IF(Source!BS119&lt;&gt; 0, Source!BS119, 1)</f>
        <v>6.11</v>
      </c>
      <c r="L284" s="37">
        <f>Source!R119</f>
        <v>13.18</v>
      </c>
      <c r="M284" s="36"/>
      <c r="R284">
        <f>I284</f>
        <v>2.16</v>
      </c>
    </row>
    <row r="285" spans="1:26" ht="14.25" x14ac:dyDescent="0.2">
      <c r="A285" s="49"/>
      <c r="B285" s="49"/>
      <c r="C285" s="50"/>
      <c r="D285" s="50" t="s">
        <v>798</v>
      </c>
      <c r="E285" s="33"/>
      <c r="F285" s="12"/>
      <c r="G285" s="34">
        <f>Source!AL119</f>
        <v>308.24</v>
      </c>
      <c r="H285" s="35" t="str">
        <f>Source!DD119</f>
        <v>*15</v>
      </c>
      <c r="I285" s="34">
        <f>ROUND(Source!AC119*Source!I119, 2)</f>
        <v>46.24</v>
      </c>
      <c r="J285" s="35"/>
      <c r="K285" s="35">
        <f>IF(Source!BC119&lt;&gt; 0, Source!BC119, 1)</f>
        <v>6.11</v>
      </c>
      <c r="L285" s="34">
        <f>Source!P119</f>
        <v>282.5</v>
      </c>
      <c r="M285" s="36"/>
    </row>
    <row r="286" spans="1:26" ht="14.25" x14ac:dyDescent="0.2">
      <c r="A286" s="49"/>
      <c r="B286" s="49"/>
      <c r="C286" s="50"/>
      <c r="D286" s="50" t="s">
        <v>793</v>
      </c>
      <c r="E286" s="33" t="s">
        <v>794</v>
      </c>
      <c r="F286" s="12">
        <f>Source!BZ119</f>
        <v>110</v>
      </c>
      <c r="G286" s="67" t="str">
        <f>CONCATENATE(" )", Source!DL119, Source!FT119, "=", Source!FX119)</f>
        <v xml:space="preserve"> )*0,9=99</v>
      </c>
      <c r="H286" s="68"/>
      <c r="I286" s="34">
        <f>SUM(S280:S288)</f>
        <v>5.14</v>
      </c>
      <c r="J286" s="38"/>
      <c r="K286" s="31">
        <f>Source!AT119</f>
        <v>99</v>
      </c>
      <c r="L286" s="34">
        <f>SUM(T280:T288)</f>
        <v>31.37</v>
      </c>
      <c r="M286" s="36"/>
    </row>
    <row r="287" spans="1:26" ht="14.25" x14ac:dyDescent="0.2">
      <c r="A287" s="49"/>
      <c r="B287" s="49"/>
      <c r="C287" s="50"/>
      <c r="D287" s="50" t="s">
        <v>795</v>
      </c>
      <c r="E287" s="33" t="s">
        <v>794</v>
      </c>
      <c r="F287" s="12">
        <f>Source!CA119</f>
        <v>70</v>
      </c>
      <c r="G287" s="67" t="str">
        <f>CONCATENATE(" )", Source!DM119, Source!FU119, "=", Source!FY119)</f>
        <v xml:space="preserve"> )*0,85=59,5</v>
      </c>
      <c r="H287" s="68"/>
      <c r="I287" s="34">
        <f>SUM(U280:U288)</f>
        <v>3.09</v>
      </c>
      <c r="J287" s="38"/>
      <c r="K287" s="31">
        <f>Source!AU119</f>
        <v>60</v>
      </c>
      <c r="L287" s="34">
        <f>SUM(V280:V288)</f>
        <v>19.010000000000002</v>
      </c>
      <c r="M287" s="36"/>
    </row>
    <row r="288" spans="1:26" ht="14.25" x14ac:dyDescent="0.2">
      <c r="A288" s="51"/>
      <c r="B288" s="51"/>
      <c r="C288" s="52"/>
      <c r="D288" s="52" t="s">
        <v>796</v>
      </c>
      <c r="E288" s="39" t="s">
        <v>797</v>
      </c>
      <c r="F288" s="40">
        <f>Source!AQ119</f>
        <v>2.1</v>
      </c>
      <c r="G288" s="41"/>
      <c r="H288" s="42" t="str">
        <f>Source!DI119</f>
        <v>*15</v>
      </c>
      <c r="I288" s="41"/>
      <c r="J288" s="42"/>
      <c r="K288" s="42"/>
      <c r="L288" s="41"/>
      <c r="M288" s="43">
        <f>Source!U119</f>
        <v>0.315</v>
      </c>
    </row>
    <row r="289" spans="1:26" ht="15" x14ac:dyDescent="0.25">
      <c r="H289" s="66">
        <f>I282+I283+I285+I286+I287</f>
        <v>63.930000000000007</v>
      </c>
      <c r="I289" s="66"/>
      <c r="K289" s="66">
        <f>L282+L283+L285+L286+L287</f>
        <v>390.65</v>
      </c>
      <c r="L289" s="66"/>
      <c r="M289" s="44">
        <f>Source!U119</f>
        <v>0.315</v>
      </c>
      <c r="O289" s="27">
        <f>H289</f>
        <v>63.930000000000007</v>
      </c>
      <c r="P289" s="27">
        <f>K289</f>
        <v>390.65</v>
      </c>
      <c r="Q289" s="27">
        <f>M289</f>
        <v>0.315</v>
      </c>
      <c r="W289">
        <f>IF(Source!BI119&lt;=1,I282+I283+I285+I286+I287, 0)</f>
        <v>63.930000000000007</v>
      </c>
      <c r="X289">
        <f>IF(Source!BI119=2,I282+I283+I285+I286+I287, 0)</f>
        <v>0</v>
      </c>
      <c r="Y289">
        <f>IF(Source!BI119=3,I282+I283+I285+I286+I287, 0)</f>
        <v>0</v>
      </c>
      <c r="Z289">
        <f>IF(Source!BI119=4,I282+I283+I285+I286+I287, 0)</f>
        <v>0</v>
      </c>
    </row>
    <row r="290" spans="1:26" ht="42.75" x14ac:dyDescent="0.2">
      <c r="A290" s="49">
        <v>49</v>
      </c>
      <c r="B290" s="49" t="str">
        <f>Source!E121</f>
        <v>26</v>
      </c>
      <c r="C290" s="50" t="str">
        <f>Source!F121</f>
        <v>46-03-017-05</v>
      </c>
      <c r="D290" s="50" t="str">
        <f>Source!G121</f>
        <v>Заделка отверстий, гнезд и борозд в стенах и перегородках бетонных площадью до 0,1 м2</v>
      </c>
      <c r="E290" s="33" t="str">
        <f>Source!H121</f>
        <v>м3</v>
      </c>
      <c r="F290" s="12">
        <f>Source!I121</f>
        <v>3.0000000000000001E-3</v>
      </c>
      <c r="G290" s="34">
        <f>Source!AL121+Source!AM121+Source!AO121</f>
        <v>1229.96</v>
      </c>
      <c r="H290" s="35"/>
      <c r="I290" s="34"/>
      <c r="J290" s="35" t="str">
        <f>Source!BO121</f>
        <v/>
      </c>
      <c r="K290" s="35"/>
      <c r="L290" s="34"/>
      <c r="M290" s="36"/>
      <c r="S290">
        <f>ROUND((Source!FX121/100)*((ROUND(Source!AF121*Source!I121, 2)+ROUND(Source!AE121*Source!I121, 2))), 2)</f>
        <v>1.82</v>
      </c>
      <c r="T290">
        <f>Source!X121</f>
        <v>11.13</v>
      </c>
      <c r="U290">
        <f>ROUND((Source!FY121/100)*((ROUND(Source!AF121*Source!I121, 2)+ROUND(Source!AE121*Source!I121, 2))), 2)</f>
        <v>1.0900000000000001</v>
      </c>
      <c r="V290">
        <f>Source!Y121</f>
        <v>6.74</v>
      </c>
    </row>
    <row r="291" spans="1:26" ht="14.25" x14ac:dyDescent="0.2">
      <c r="A291" s="49"/>
      <c r="B291" s="49"/>
      <c r="C291" s="50"/>
      <c r="D291" s="50" t="s">
        <v>791</v>
      </c>
      <c r="E291" s="33"/>
      <c r="F291" s="12"/>
      <c r="G291" s="34">
        <f>Source!AO121</f>
        <v>608.53</v>
      </c>
      <c r="H291" s="35" t="str">
        <f>Source!DG121</f>
        <v/>
      </c>
      <c r="I291" s="34">
        <f>ROUND(Source!AF121*Source!I121, 2)</f>
        <v>1.83</v>
      </c>
      <c r="J291" s="35"/>
      <c r="K291" s="35">
        <f>IF(Source!BA121&lt;&gt; 0, Source!BA121, 1)</f>
        <v>6.11</v>
      </c>
      <c r="L291" s="34">
        <f>Source!S121</f>
        <v>11.15</v>
      </c>
      <c r="M291" s="36"/>
      <c r="R291">
        <f>I291</f>
        <v>1.83</v>
      </c>
    </row>
    <row r="292" spans="1:26" ht="14.25" x14ac:dyDescent="0.2">
      <c r="A292" s="49"/>
      <c r="B292" s="49"/>
      <c r="C292" s="50"/>
      <c r="D292" s="50" t="s">
        <v>356</v>
      </c>
      <c r="E292" s="33"/>
      <c r="F292" s="12"/>
      <c r="G292" s="34">
        <f>Source!AM121</f>
        <v>26.64</v>
      </c>
      <c r="H292" s="35" t="str">
        <f>Source!DE121</f>
        <v/>
      </c>
      <c r="I292" s="34">
        <f>ROUND(Source!AD121*Source!I121, 2)</f>
        <v>0.08</v>
      </c>
      <c r="J292" s="35"/>
      <c r="K292" s="35">
        <f>IF(Source!BB121&lt;&gt; 0, Source!BB121, 1)</f>
        <v>6.11</v>
      </c>
      <c r="L292" s="34">
        <f>Source!Q121</f>
        <v>0.49</v>
      </c>
      <c r="M292" s="36"/>
    </row>
    <row r="293" spans="1:26" ht="14.25" x14ac:dyDescent="0.2">
      <c r="A293" s="49"/>
      <c r="B293" s="49"/>
      <c r="C293" s="50"/>
      <c r="D293" s="50" t="s">
        <v>792</v>
      </c>
      <c r="E293" s="33"/>
      <c r="F293" s="12"/>
      <c r="G293" s="34">
        <f>Source!AN121</f>
        <v>4.6399999999999997</v>
      </c>
      <c r="H293" s="35" t="str">
        <f>Source!DF121</f>
        <v/>
      </c>
      <c r="I293" s="37">
        <f>ROUND(Source!AE121*Source!I121, 2)</f>
        <v>0.01</v>
      </c>
      <c r="J293" s="35"/>
      <c r="K293" s="35">
        <f>IF(Source!BS121&lt;&gt; 0, Source!BS121, 1)</f>
        <v>6.11</v>
      </c>
      <c r="L293" s="37">
        <f>Source!R121</f>
        <v>0.09</v>
      </c>
      <c r="M293" s="36"/>
      <c r="R293">
        <f>I293</f>
        <v>0.01</v>
      </c>
    </row>
    <row r="294" spans="1:26" ht="14.25" x14ac:dyDescent="0.2">
      <c r="A294" s="49"/>
      <c r="B294" s="49"/>
      <c r="C294" s="50"/>
      <c r="D294" s="50" t="s">
        <v>798</v>
      </c>
      <c r="E294" s="33"/>
      <c r="F294" s="12"/>
      <c r="G294" s="34">
        <f>Source!AL121</f>
        <v>594.79</v>
      </c>
      <c r="H294" s="35" t="str">
        <f>Source!DD121</f>
        <v/>
      </c>
      <c r="I294" s="34">
        <f>ROUND(Source!AC121*Source!I121, 2)</f>
        <v>1.78</v>
      </c>
      <c r="J294" s="35"/>
      <c r="K294" s="35">
        <f>IF(Source!BC121&lt;&gt; 0, Source!BC121, 1)</f>
        <v>6.11</v>
      </c>
      <c r="L294" s="34">
        <f>Source!P121</f>
        <v>10.9</v>
      </c>
      <c r="M294" s="36"/>
    </row>
    <row r="295" spans="1:26" ht="14.25" x14ac:dyDescent="0.2">
      <c r="A295" s="49"/>
      <c r="B295" s="49"/>
      <c r="C295" s="50"/>
      <c r="D295" s="50" t="s">
        <v>793</v>
      </c>
      <c r="E295" s="33" t="s">
        <v>794</v>
      </c>
      <c r="F295" s="12">
        <f>Source!BZ121</f>
        <v>110</v>
      </c>
      <c r="G295" s="67" t="str">
        <f>CONCATENATE(" )", Source!DL121, Source!FT121, "=", Source!FX121)</f>
        <v xml:space="preserve"> )*0,9=99</v>
      </c>
      <c r="H295" s="68"/>
      <c r="I295" s="34">
        <f>SUM(S290:S298)</f>
        <v>1.82</v>
      </c>
      <c r="J295" s="38"/>
      <c r="K295" s="31">
        <f>Source!AT121</f>
        <v>99</v>
      </c>
      <c r="L295" s="34">
        <f>SUM(T290:T298)</f>
        <v>11.13</v>
      </c>
      <c r="M295" s="36"/>
    </row>
    <row r="296" spans="1:26" ht="14.25" x14ac:dyDescent="0.2">
      <c r="A296" s="49"/>
      <c r="B296" s="49"/>
      <c r="C296" s="50"/>
      <c r="D296" s="50" t="s">
        <v>795</v>
      </c>
      <c r="E296" s="33" t="s">
        <v>794</v>
      </c>
      <c r="F296" s="12">
        <f>Source!CA121</f>
        <v>70</v>
      </c>
      <c r="G296" s="67" t="str">
        <f>CONCATENATE(" )", Source!DM121, Source!FU121, "=", Source!FY121)</f>
        <v xml:space="preserve"> )*0,85=59,5</v>
      </c>
      <c r="H296" s="68"/>
      <c r="I296" s="34">
        <f>SUM(U290:U298)</f>
        <v>1.0900000000000001</v>
      </c>
      <c r="J296" s="38"/>
      <c r="K296" s="31">
        <f>Source!AU121</f>
        <v>60</v>
      </c>
      <c r="L296" s="34">
        <f>SUM(V290:V298)</f>
        <v>6.74</v>
      </c>
      <c r="M296" s="36"/>
    </row>
    <row r="297" spans="1:26" ht="14.25" x14ac:dyDescent="0.2">
      <c r="A297" s="49"/>
      <c r="B297" s="49"/>
      <c r="C297" s="50"/>
      <c r="D297" s="50" t="s">
        <v>796</v>
      </c>
      <c r="E297" s="33" t="s">
        <v>797</v>
      </c>
      <c r="F297" s="12">
        <f>Source!AQ121</f>
        <v>75.22</v>
      </c>
      <c r="G297" s="34"/>
      <c r="H297" s="35" t="str">
        <f>Source!DI121</f>
        <v/>
      </c>
      <c r="I297" s="34"/>
      <c r="J297" s="35"/>
      <c r="K297" s="35"/>
      <c r="L297" s="34"/>
      <c r="M297" s="45">
        <f>Source!U121</f>
        <v>0.22566</v>
      </c>
    </row>
    <row r="298" spans="1:26" ht="28.5" x14ac:dyDescent="0.2">
      <c r="A298" s="51">
        <v>50</v>
      </c>
      <c r="B298" s="51" t="str">
        <f>Source!E123</f>
        <v>26,1</v>
      </c>
      <c r="C298" s="52" t="str">
        <f>Source!F123</f>
        <v>04.3.01.09-0022</v>
      </c>
      <c r="D298" s="52" t="str">
        <f>Source!G123</f>
        <v>Раствор готовый отделочный тяжелый, цементный 1:2</v>
      </c>
      <c r="E298" s="39" t="str">
        <f>Source!H123</f>
        <v>м3</v>
      </c>
      <c r="F298" s="40">
        <f>Source!I123</f>
        <v>3.1200000000000004E-3</v>
      </c>
      <c r="G298" s="41">
        <f>Source!AL123+Source!AM123+Source!AO123</f>
        <v>519.79999999999995</v>
      </c>
      <c r="H298" s="46" t="s">
        <v>6</v>
      </c>
      <c r="I298" s="41">
        <f>ROUND(Source!AC123*Source!I123, 2)+ROUND(Source!AD123*Source!I123, 2)+ROUND(Source!AF123*Source!I123, 2)</f>
        <v>1.62</v>
      </c>
      <c r="J298" s="42"/>
      <c r="K298" s="42">
        <f>IF(Source!BC123&lt;&gt; 0, Source!BC123, 1)</f>
        <v>6.11</v>
      </c>
      <c r="L298" s="41">
        <f>Source!O123</f>
        <v>9.91</v>
      </c>
      <c r="M298" s="47"/>
      <c r="S298">
        <f>ROUND((Source!FX123/100)*((ROUND(Source!AF123*Source!I123, 2)+ROUND(Source!AE123*Source!I123, 2))), 2)</f>
        <v>0</v>
      </c>
      <c r="T298">
        <f>Source!X123</f>
        <v>0</v>
      </c>
      <c r="U298">
        <f>ROUND((Source!FY123/100)*((ROUND(Source!AF123*Source!I123, 2)+ROUND(Source!AE123*Source!I123, 2))), 2)</f>
        <v>0</v>
      </c>
      <c r="V298">
        <f>Source!Y123</f>
        <v>0</v>
      </c>
      <c r="W298">
        <f>IF(Source!BI123&lt;=1,I298, 0)</f>
        <v>1.62</v>
      </c>
      <c r="X298">
        <f>IF(Source!BI123=2,I298, 0)</f>
        <v>0</v>
      </c>
      <c r="Y298">
        <f>IF(Source!BI123=3,I298, 0)</f>
        <v>0</v>
      </c>
      <c r="Z298">
        <f>IF(Source!BI123=4,I298, 0)</f>
        <v>0</v>
      </c>
    </row>
    <row r="299" spans="1:26" ht="15" x14ac:dyDescent="0.25">
      <c r="H299" s="66">
        <f>I291+I292+I294+I295+I296+SUM(I298:I298)</f>
        <v>8.2200000000000006</v>
      </c>
      <c r="I299" s="66"/>
      <c r="K299" s="66">
        <f>L291+L292+L294+L295+L296+SUM(L298:L298)</f>
        <v>50.320000000000007</v>
      </c>
      <c r="L299" s="66"/>
      <c r="M299" s="44">
        <f>Source!U121</f>
        <v>0.22566</v>
      </c>
      <c r="O299" s="27">
        <f>H299</f>
        <v>8.2200000000000006</v>
      </c>
      <c r="P299" s="27">
        <f>K299</f>
        <v>50.320000000000007</v>
      </c>
      <c r="Q299" s="27">
        <f>M299</f>
        <v>0.22566</v>
      </c>
      <c r="W299">
        <f>IF(Source!BI121&lt;=1,I291+I292+I294+I295+I296, 0)</f>
        <v>6.6000000000000005</v>
      </c>
      <c r="X299">
        <f>IF(Source!BI121=2,I291+I292+I294+I295+I296, 0)</f>
        <v>0</v>
      </c>
      <c r="Y299">
        <f>IF(Source!BI121=3,I291+I292+I294+I295+I296, 0)</f>
        <v>0</v>
      </c>
      <c r="Z299">
        <f>IF(Source!BI121=4,I291+I292+I294+I295+I296, 0)</f>
        <v>0</v>
      </c>
    </row>
    <row r="300" spans="1:26" ht="42.75" x14ac:dyDescent="0.2">
      <c r="A300" s="51">
        <v>51</v>
      </c>
      <c r="B300" s="51" t="str">
        <f>Source!E125</f>
        <v>27</v>
      </c>
      <c r="C300" s="52" t="str">
        <f>Source!F125</f>
        <v>т01-01-01-041</v>
      </c>
      <c r="D300" s="52" t="str">
        <f>Source!G125</f>
        <v>Погрузочные работы при автомобильных перевозках мусора строительного с погрузкой вручную</v>
      </c>
      <c r="E300" s="39" t="str">
        <f>Source!H125</f>
        <v>1 Т ГРУЗА</v>
      </c>
      <c r="F300" s="40">
        <f>Source!I125</f>
        <v>3.88</v>
      </c>
      <c r="G300" s="41">
        <f>Source!AK125</f>
        <v>42.98</v>
      </c>
      <c r="H300" s="42" t="str">
        <f>Source!DC125</f>
        <v/>
      </c>
      <c r="I300" s="41">
        <f>ROUND(Source!AB125*Source!I125, 2)</f>
        <v>166.76</v>
      </c>
      <c r="J300" s="42" t="str">
        <f>Source!BO125</f>
        <v/>
      </c>
      <c r="K300" s="42">
        <f>Source!AZ125</f>
        <v>6.11</v>
      </c>
      <c r="L300" s="41">
        <f>Source!GM125</f>
        <v>1018.92</v>
      </c>
      <c r="M300" s="47"/>
      <c r="S300">
        <f>ROUND((Source!FX125/100)*((ROUND(0*Source!I125, 2)+ROUND(0*Source!I125, 2))), 2)</f>
        <v>0</v>
      </c>
      <c r="T300">
        <f>Source!X125</f>
        <v>0</v>
      </c>
      <c r="U300">
        <f>ROUND((Source!FY125/100)*((ROUND(0*Source!I125, 2)+ROUND(0*Source!I125, 2))), 2)</f>
        <v>0</v>
      </c>
      <c r="V300">
        <f>Source!Y125</f>
        <v>0</v>
      </c>
    </row>
    <row r="301" spans="1:26" ht="15" x14ac:dyDescent="0.25">
      <c r="H301" s="66">
        <f>I300</f>
        <v>166.76</v>
      </c>
      <c r="I301" s="66"/>
      <c r="K301" s="66">
        <f>L300</f>
        <v>1018.92</v>
      </c>
      <c r="L301" s="66"/>
      <c r="M301" s="44">
        <f>Source!U125</f>
        <v>0</v>
      </c>
      <c r="O301" s="27">
        <f>H301</f>
        <v>166.76</v>
      </c>
      <c r="P301" s="27">
        <f>K301</f>
        <v>1018.92</v>
      </c>
      <c r="Q301" s="27">
        <f>M301</f>
        <v>0</v>
      </c>
      <c r="W301">
        <f>IF(Source!BI125&lt;=1,I300, 0)</f>
        <v>166.76</v>
      </c>
      <c r="X301">
        <f>IF(Source!BI125=2,I300, 0)</f>
        <v>0</v>
      </c>
      <c r="Y301">
        <f>IF(Source!BI125=3,I300, 0)</f>
        <v>0</v>
      </c>
      <c r="Z301">
        <f>IF(Source!BI125=4,I300, 0)</f>
        <v>0</v>
      </c>
    </row>
    <row r="302" spans="1:26" ht="57" x14ac:dyDescent="0.2">
      <c r="A302" s="51">
        <v>52</v>
      </c>
      <c r="B302" s="51" t="str">
        <f>Source!E127</f>
        <v>28</v>
      </c>
      <c r="C302" s="52" t="str">
        <f>Source!F127</f>
        <v>т03-02-01-008</v>
      </c>
      <c r="D302" s="52" t="str">
        <f>Source!G127</f>
        <v>Перевозка грузов I класса автомобилями бортовыми грузоподъемностью до 5 т на расстояние до 8 км</v>
      </c>
      <c r="E302" s="39" t="str">
        <f>Source!H127</f>
        <v>1 Т ГРУЗА</v>
      </c>
      <c r="F302" s="40">
        <f>Source!I127</f>
        <v>3.88</v>
      </c>
      <c r="G302" s="41">
        <f>Source!AK127</f>
        <v>19.04</v>
      </c>
      <c r="H302" s="42" t="str">
        <f>Source!DC127</f>
        <v/>
      </c>
      <c r="I302" s="41">
        <f>ROUND(Source!AB127*Source!I127, 2)</f>
        <v>73.88</v>
      </c>
      <c r="J302" s="42" t="str">
        <f>Source!BO127</f>
        <v/>
      </c>
      <c r="K302" s="42">
        <f>Source!AZ127</f>
        <v>6.11</v>
      </c>
      <c r="L302" s="41">
        <f>Source!GM127</f>
        <v>451.38</v>
      </c>
      <c r="M302" s="47"/>
      <c r="S302">
        <f>ROUND((Source!FX127/100)*((ROUND(0*Source!I127, 2)+ROUND(0*Source!I127, 2))), 2)</f>
        <v>0</v>
      </c>
      <c r="T302">
        <f>Source!X127</f>
        <v>0</v>
      </c>
      <c r="U302">
        <f>ROUND((Source!FY127/100)*((ROUND(0*Source!I127, 2)+ROUND(0*Source!I127, 2))), 2)</f>
        <v>0</v>
      </c>
      <c r="V302">
        <f>Source!Y127</f>
        <v>0</v>
      </c>
    </row>
    <row r="303" spans="1:26" ht="15" x14ac:dyDescent="0.25">
      <c r="H303" s="66">
        <f>I302</f>
        <v>73.88</v>
      </c>
      <c r="I303" s="66"/>
      <c r="K303" s="66">
        <f>L302</f>
        <v>451.38</v>
      </c>
      <c r="L303" s="66"/>
      <c r="M303" s="44">
        <f>Source!U127</f>
        <v>0</v>
      </c>
      <c r="O303" s="27">
        <f>H303</f>
        <v>73.88</v>
      </c>
      <c r="P303" s="27">
        <f>K303</f>
        <v>451.38</v>
      </c>
      <c r="Q303" s="27">
        <f>M303</f>
        <v>0</v>
      </c>
      <c r="W303">
        <f>IF(Source!BI127&lt;=1,I302, 0)</f>
        <v>73.88</v>
      </c>
      <c r="X303">
        <f>IF(Source!BI127=2,I302, 0)</f>
        <v>0</v>
      </c>
      <c r="Y303">
        <f>IF(Source!BI127=3,I302, 0)</f>
        <v>0</v>
      </c>
      <c r="Z303">
        <f>IF(Source!BI127=4,I302, 0)</f>
        <v>0</v>
      </c>
    </row>
    <row r="304" spans="1:26" ht="28.5" x14ac:dyDescent="0.2">
      <c r="A304" s="49">
        <v>53</v>
      </c>
      <c r="B304" s="49" t="str">
        <f>Source!E129</f>
        <v>29</v>
      </c>
      <c r="C304" s="50" t="str">
        <f>Source!F129</f>
        <v>м08-03-594-15</v>
      </c>
      <c r="D304" s="50" t="str">
        <f>Source!G129</f>
        <v>Светильник в подвесных потолках, устанавливаемый на профиле</v>
      </c>
      <c r="E304" s="33" t="str">
        <f>Source!H129</f>
        <v>100 ШТ</v>
      </c>
      <c r="F304" s="12">
        <f>Source!I129</f>
        <v>0.05</v>
      </c>
      <c r="G304" s="34">
        <f>Source!AL129+Source!AM129+Source!AO129</f>
        <v>4000.04</v>
      </c>
      <c r="H304" s="35"/>
      <c r="I304" s="34"/>
      <c r="J304" s="35" t="str">
        <f>Source!BO129</f>
        <v/>
      </c>
      <c r="K304" s="35"/>
      <c r="L304" s="34"/>
      <c r="M304" s="36"/>
      <c r="S304">
        <f>ROUND((Source!FX129/100)*((ROUND(Source!AF129*Source!I129, 2)+ROUND(Source!AE129*Source!I129, 2))), 2)</f>
        <v>131.86000000000001</v>
      </c>
      <c r="T304">
        <f>Source!X129</f>
        <v>805.66</v>
      </c>
      <c r="U304">
        <f>ROUND((Source!FY129/100)*((ROUND(Source!AF129*Source!I129, 2)+ROUND(Source!AE129*Source!I129, 2))), 2)</f>
        <v>90.22</v>
      </c>
      <c r="V304">
        <f>Source!Y129</f>
        <v>551.24</v>
      </c>
    </row>
    <row r="305" spans="1:26" x14ac:dyDescent="0.2">
      <c r="D305" s="26" t="str">
        <f>"Объем: "&amp;Source!I129&amp;"=5/"&amp;"100"</f>
        <v>Объем: 0,05=5/100</v>
      </c>
    </row>
    <row r="306" spans="1:26" ht="14.25" x14ac:dyDescent="0.2">
      <c r="A306" s="49"/>
      <c r="B306" s="49"/>
      <c r="C306" s="50"/>
      <c r="D306" s="50" t="s">
        <v>791</v>
      </c>
      <c r="E306" s="33"/>
      <c r="F306" s="12"/>
      <c r="G306" s="34">
        <f>Source!AO129</f>
        <v>2745.86</v>
      </c>
      <c r="H306" s="35" t="str">
        <f>Source!DG129</f>
        <v/>
      </c>
      <c r="I306" s="34">
        <f>ROUND(Source!AF129*Source!I129, 2)</f>
        <v>137.29</v>
      </c>
      <c r="J306" s="35"/>
      <c r="K306" s="35">
        <f>IF(Source!BA129&lt;&gt; 0, Source!BA129, 1)</f>
        <v>6.11</v>
      </c>
      <c r="L306" s="34">
        <f>Source!S129</f>
        <v>838.86</v>
      </c>
      <c r="M306" s="36"/>
      <c r="R306">
        <f>I306</f>
        <v>137.29</v>
      </c>
    </row>
    <row r="307" spans="1:26" ht="14.25" x14ac:dyDescent="0.2">
      <c r="A307" s="49"/>
      <c r="B307" s="49"/>
      <c r="C307" s="50"/>
      <c r="D307" s="50" t="s">
        <v>356</v>
      </c>
      <c r="E307" s="33"/>
      <c r="F307" s="12"/>
      <c r="G307" s="34">
        <f>Source!AM129</f>
        <v>222.47</v>
      </c>
      <c r="H307" s="35" t="str">
        <f>Source!DE129</f>
        <v/>
      </c>
      <c r="I307" s="34">
        <f>ROUND(Source!AD129*Source!I129, 2)</f>
        <v>11.12</v>
      </c>
      <c r="J307" s="35"/>
      <c r="K307" s="35">
        <f>IF(Source!BB129&lt;&gt; 0, Source!BB129, 1)</f>
        <v>6.11</v>
      </c>
      <c r="L307" s="34">
        <f>Source!Q129</f>
        <v>67.959999999999994</v>
      </c>
      <c r="M307" s="36"/>
    </row>
    <row r="308" spans="1:26" ht="14.25" x14ac:dyDescent="0.2">
      <c r="A308" s="49"/>
      <c r="B308" s="49"/>
      <c r="C308" s="50"/>
      <c r="D308" s="50" t="s">
        <v>792</v>
      </c>
      <c r="E308" s="33"/>
      <c r="F308" s="12"/>
      <c r="G308" s="34">
        <f>Source!AN129</f>
        <v>30.12</v>
      </c>
      <c r="H308" s="35" t="str">
        <f>Source!DF129</f>
        <v/>
      </c>
      <c r="I308" s="37">
        <f>ROUND(Source!AE129*Source!I129, 2)</f>
        <v>1.51</v>
      </c>
      <c r="J308" s="35"/>
      <c r="K308" s="35">
        <f>IF(Source!BS129&lt;&gt; 0, Source!BS129, 1)</f>
        <v>6.11</v>
      </c>
      <c r="L308" s="37">
        <f>Source!R129</f>
        <v>9.1999999999999993</v>
      </c>
      <c r="M308" s="36"/>
      <c r="R308">
        <f>I308</f>
        <v>1.51</v>
      </c>
    </row>
    <row r="309" spans="1:26" ht="14.25" x14ac:dyDescent="0.2">
      <c r="A309" s="49"/>
      <c r="B309" s="49"/>
      <c r="C309" s="50"/>
      <c r="D309" s="50" t="s">
        <v>798</v>
      </c>
      <c r="E309" s="33"/>
      <c r="F309" s="12"/>
      <c r="G309" s="34">
        <f>Source!AL129</f>
        <v>1031.71</v>
      </c>
      <c r="H309" s="35" t="str">
        <f>Source!DD129</f>
        <v/>
      </c>
      <c r="I309" s="34">
        <f>ROUND(Source!AC129*Source!I129, 2)</f>
        <v>51.59</v>
      </c>
      <c r="J309" s="35"/>
      <c r="K309" s="35">
        <f>IF(Source!BC129&lt;&gt; 0, Source!BC129, 1)</f>
        <v>6.11</v>
      </c>
      <c r="L309" s="34">
        <f>Source!P129</f>
        <v>315.19</v>
      </c>
      <c r="M309" s="36"/>
    </row>
    <row r="310" spans="1:26" ht="14.25" x14ac:dyDescent="0.2">
      <c r="A310" s="49"/>
      <c r="B310" s="49"/>
      <c r="C310" s="50"/>
      <c r="D310" s="50" t="s">
        <v>793</v>
      </c>
      <c r="E310" s="33" t="s">
        <v>794</v>
      </c>
      <c r="F310" s="12">
        <f>Source!BZ129</f>
        <v>95</v>
      </c>
      <c r="G310" s="53"/>
      <c r="H310" s="35"/>
      <c r="I310" s="34">
        <f>SUM(S304:S313)</f>
        <v>131.86000000000001</v>
      </c>
      <c r="J310" s="38"/>
      <c r="K310" s="31">
        <f>Source!AT129</f>
        <v>95</v>
      </c>
      <c r="L310" s="34">
        <f>SUM(T304:T313)</f>
        <v>805.66</v>
      </c>
      <c r="M310" s="36"/>
    </row>
    <row r="311" spans="1:26" ht="14.25" x14ac:dyDescent="0.2">
      <c r="A311" s="49"/>
      <c r="B311" s="49"/>
      <c r="C311" s="50"/>
      <c r="D311" s="50" t="s">
        <v>795</v>
      </c>
      <c r="E311" s="33" t="s">
        <v>794</v>
      </c>
      <c r="F311" s="12">
        <f>Source!CA129</f>
        <v>65</v>
      </c>
      <c r="G311" s="53"/>
      <c r="H311" s="35"/>
      <c r="I311" s="34">
        <f>SUM(U304:U313)</f>
        <v>90.22</v>
      </c>
      <c r="J311" s="38"/>
      <c r="K311" s="31">
        <f>Source!AU129</f>
        <v>65</v>
      </c>
      <c r="L311" s="34">
        <f>SUM(V304:V313)</f>
        <v>551.24</v>
      </c>
      <c r="M311" s="36"/>
    </row>
    <row r="312" spans="1:26" ht="14.25" x14ac:dyDescent="0.2">
      <c r="A312" s="49"/>
      <c r="B312" s="49"/>
      <c r="C312" s="50"/>
      <c r="D312" s="50" t="s">
        <v>796</v>
      </c>
      <c r="E312" s="33" t="s">
        <v>797</v>
      </c>
      <c r="F312" s="12">
        <f>Source!AQ129</f>
        <v>276.8</v>
      </c>
      <c r="G312" s="34"/>
      <c r="H312" s="35" t="str">
        <f>Source!DI129</f>
        <v/>
      </c>
      <c r="I312" s="34"/>
      <c r="J312" s="35"/>
      <c r="K312" s="35"/>
      <c r="L312" s="34"/>
      <c r="M312" s="45">
        <f>Source!U129</f>
        <v>13.840000000000002</v>
      </c>
    </row>
    <row r="313" spans="1:26" ht="42.75" x14ac:dyDescent="0.2">
      <c r="A313" s="51">
        <v>54</v>
      </c>
      <c r="B313" s="51" t="str">
        <f>Source!E131</f>
        <v>29,1</v>
      </c>
      <c r="C313" s="52" t="str">
        <f>Source!F131</f>
        <v>20.3.03.04-0055</v>
      </c>
      <c r="D313" s="52" t="str">
        <f>Source!G131</f>
        <v>Светильник светодиодный потолочный ДВО 36Вт 6500К 3000Лм размером 595х595х25 мм</v>
      </c>
      <c r="E313" s="39" t="str">
        <f>Source!H131</f>
        <v>шт.</v>
      </c>
      <c r="F313" s="40">
        <f>Source!I131</f>
        <v>5</v>
      </c>
      <c r="G313" s="41">
        <f>Source!AL131+Source!AM131+Source!AO131</f>
        <v>155.44</v>
      </c>
      <c r="H313" s="46" t="s">
        <v>6</v>
      </c>
      <c r="I313" s="41">
        <f>ROUND(Source!AC131*Source!I131, 2)+ROUND(Source!AD131*Source!I131, 2)+ROUND(Source!AF131*Source!I131, 2)</f>
        <v>777.2</v>
      </c>
      <c r="J313" s="42"/>
      <c r="K313" s="42">
        <f>IF(Source!BC131&lt;&gt; 0, Source!BC131, 1)</f>
        <v>6.11</v>
      </c>
      <c r="L313" s="41">
        <f>Source!O131</f>
        <v>4748.6899999999996</v>
      </c>
      <c r="M313" s="47"/>
      <c r="S313">
        <f>ROUND((Source!FX131/100)*((ROUND(Source!AF131*Source!I131, 2)+ROUND(Source!AE131*Source!I131, 2))), 2)</f>
        <v>0</v>
      </c>
      <c r="T313">
        <f>Source!X131</f>
        <v>0</v>
      </c>
      <c r="U313">
        <f>ROUND((Source!FY131/100)*((ROUND(Source!AF131*Source!I131, 2)+ROUND(Source!AE131*Source!I131, 2))), 2)</f>
        <v>0</v>
      </c>
      <c r="V313">
        <f>Source!Y131</f>
        <v>0</v>
      </c>
      <c r="W313">
        <f>IF(Source!BI131&lt;=1,I313, 0)</f>
        <v>0</v>
      </c>
      <c r="X313">
        <f>IF(Source!BI131=2,I313, 0)</f>
        <v>777.2</v>
      </c>
      <c r="Y313">
        <f>IF(Source!BI131=3,I313, 0)</f>
        <v>0</v>
      </c>
      <c r="Z313">
        <f>IF(Source!BI131=4,I313, 0)</f>
        <v>0</v>
      </c>
    </row>
    <row r="314" spans="1:26" ht="15" x14ac:dyDescent="0.25">
      <c r="H314" s="66">
        <f>I306+I307+I309+I310+I311+SUM(I313:I313)</f>
        <v>1199.2800000000002</v>
      </c>
      <c r="I314" s="66"/>
      <c r="K314" s="66">
        <f>L306+L307+L309+L310+L311+SUM(L313:L313)</f>
        <v>7327.5999999999995</v>
      </c>
      <c r="L314" s="66"/>
      <c r="M314" s="44">
        <f>Source!U129</f>
        <v>13.840000000000002</v>
      </c>
      <c r="O314" s="27">
        <f>H314</f>
        <v>1199.2800000000002</v>
      </c>
      <c r="P314" s="27">
        <f>K314</f>
        <v>7327.5999999999995</v>
      </c>
      <c r="Q314" s="27">
        <f>M314</f>
        <v>13.840000000000002</v>
      </c>
      <c r="W314">
        <f>IF(Source!BI129&lt;=1,I306+I307+I309+I310+I311, 0)</f>
        <v>0</v>
      </c>
      <c r="X314">
        <f>IF(Source!BI129=2,I306+I307+I309+I310+I311, 0)</f>
        <v>422.08000000000004</v>
      </c>
      <c r="Y314">
        <f>IF(Source!BI129=3,I306+I307+I309+I310+I311, 0)</f>
        <v>0</v>
      </c>
      <c r="Z314">
        <f>IF(Source!BI129=4,I306+I307+I309+I310+I311, 0)</f>
        <v>0</v>
      </c>
    </row>
    <row r="315" spans="1:26" ht="42.75" x14ac:dyDescent="0.2">
      <c r="A315" s="49">
        <v>55</v>
      </c>
      <c r="B315" s="49" t="str">
        <f>Source!E133</f>
        <v>30</v>
      </c>
      <c r="C315" s="50" t="str">
        <f>Source!F133</f>
        <v>65-2-2</v>
      </c>
      <c r="D315" s="50" t="str">
        <f>Source!G133</f>
        <v>Разборка трубопроводов из чугунных канализационных труб диаметром 100 мм</v>
      </c>
      <c r="E315" s="33" t="str">
        <f>Source!H133</f>
        <v>100 м</v>
      </c>
      <c r="F315" s="12">
        <f>Source!I133</f>
        <v>0.12</v>
      </c>
      <c r="G315" s="34">
        <f>Source!AL133+Source!AM133+Source!AO133</f>
        <v>731.64</v>
      </c>
      <c r="H315" s="35"/>
      <c r="I315" s="34"/>
      <c r="J315" s="35" t="str">
        <f>Source!BO133</f>
        <v/>
      </c>
      <c r="K315" s="35"/>
      <c r="L315" s="34"/>
      <c r="M315" s="36"/>
      <c r="S315">
        <f>ROUND((Source!FX133/100)*((ROUND(Source!AF133*Source!I133, 2)+ROUND(Source!AE133*Source!I133, 2))), 2)</f>
        <v>64.47</v>
      </c>
      <c r="T315">
        <f>Source!X133</f>
        <v>393.89</v>
      </c>
      <c r="U315">
        <f>ROUND((Source!FY133/100)*((ROUND(Source!AF133*Source!I133, 2)+ROUND(Source!AE133*Source!I133, 2))), 2)</f>
        <v>43.56</v>
      </c>
      <c r="V315">
        <f>Source!Y133</f>
        <v>266.14</v>
      </c>
    </row>
    <row r="316" spans="1:26" x14ac:dyDescent="0.2">
      <c r="D316" s="26" t="str">
        <f>"Объем: "&amp;Source!I133&amp;"=12/"&amp;"100"</f>
        <v>Объем: 0,12=12/100</v>
      </c>
    </row>
    <row r="317" spans="1:26" ht="14.25" x14ac:dyDescent="0.2">
      <c r="A317" s="49"/>
      <c r="B317" s="49"/>
      <c r="C317" s="50"/>
      <c r="D317" s="50" t="s">
        <v>791</v>
      </c>
      <c r="E317" s="33"/>
      <c r="F317" s="12"/>
      <c r="G317" s="34">
        <f>Source!AO133</f>
        <v>721.64</v>
      </c>
      <c r="H317" s="35" t="str">
        <f>Source!DG133</f>
        <v/>
      </c>
      <c r="I317" s="34">
        <f>ROUND(Source!AF133*Source!I133, 2)</f>
        <v>86.6</v>
      </c>
      <c r="J317" s="35"/>
      <c r="K317" s="35">
        <f>IF(Source!BA133&lt;&gt; 0, Source!BA133, 1)</f>
        <v>6.11</v>
      </c>
      <c r="L317" s="34">
        <f>Source!S133</f>
        <v>529.11</v>
      </c>
      <c r="M317" s="36"/>
      <c r="R317">
        <f>I317</f>
        <v>86.6</v>
      </c>
    </row>
    <row r="318" spans="1:26" ht="14.25" x14ac:dyDescent="0.2">
      <c r="A318" s="49"/>
      <c r="B318" s="49"/>
      <c r="C318" s="50"/>
      <c r="D318" s="50" t="s">
        <v>356</v>
      </c>
      <c r="E318" s="33"/>
      <c r="F318" s="12"/>
      <c r="G318" s="34">
        <f>Source!AM133</f>
        <v>10</v>
      </c>
      <c r="H318" s="35" t="str">
        <f>Source!DE133</f>
        <v/>
      </c>
      <c r="I318" s="34">
        <f>ROUND(Source!AD133*Source!I133, 2)</f>
        <v>1.2</v>
      </c>
      <c r="J318" s="35"/>
      <c r="K318" s="35">
        <f>IF(Source!BB133&lt;&gt; 0, Source!BB133, 1)</f>
        <v>6.11</v>
      </c>
      <c r="L318" s="34">
        <f>Source!Q133</f>
        <v>7.33</v>
      </c>
      <c r="M318" s="36"/>
    </row>
    <row r="319" spans="1:26" ht="14.25" x14ac:dyDescent="0.2">
      <c r="A319" s="49"/>
      <c r="B319" s="49"/>
      <c r="C319" s="50"/>
      <c r="D319" s="50" t="s">
        <v>792</v>
      </c>
      <c r="E319" s="33"/>
      <c r="F319" s="12"/>
      <c r="G319" s="34">
        <f>Source!AN133</f>
        <v>4.32</v>
      </c>
      <c r="H319" s="35" t="str">
        <f>Source!DF133</f>
        <v/>
      </c>
      <c r="I319" s="37">
        <f>ROUND(Source!AE133*Source!I133, 2)</f>
        <v>0.52</v>
      </c>
      <c r="J319" s="35"/>
      <c r="K319" s="35">
        <f>IF(Source!BS133&lt;&gt; 0, Source!BS133, 1)</f>
        <v>6.11</v>
      </c>
      <c r="L319" s="37">
        <f>Source!R133</f>
        <v>3.17</v>
      </c>
      <c r="M319" s="36"/>
      <c r="R319">
        <f>I319</f>
        <v>0.52</v>
      </c>
    </row>
    <row r="320" spans="1:26" ht="14.25" x14ac:dyDescent="0.2">
      <c r="A320" s="49"/>
      <c r="B320" s="49"/>
      <c r="C320" s="50"/>
      <c r="D320" s="50" t="s">
        <v>793</v>
      </c>
      <c r="E320" s="33" t="s">
        <v>794</v>
      </c>
      <c r="F320" s="12">
        <f>Source!BZ133</f>
        <v>74</v>
      </c>
      <c r="G320" s="53"/>
      <c r="H320" s="35"/>
      <c r="I320" s="34">
        <f>SUM(S315:S323)</f>
        <v>64.47</v>
      </c>
      <c r="J320" s="38"/>
      <c r="K320" s="31">
        <f>Source!AT133</f>
        <v>74</v>
      </c>
      <c r="L320" s="34">
        <f>SUM(T315:T323)</f>
        <v>393.89</v>
      </c>
      <c r="M320" s="36"/>
    </row>
    <row r="321" spans="1:26" ht="14.25" x14ac:dyDescent="0.2">
      <c r="A321" s="49"/>
      <c r="B321" s="49"/>
      <c r="C321" s="50"/>
      <c r="D321" s="50" t="s">
        <v>795</v>
      </c>
      <c r="E321" s="33" t="s">
        <v>794</v>
      </c>
      <c r="F321" s="12">
        <f>Source!CA133</f>
        <v>50</v>
      </c>
      <c r="G321" s="53"/>
      <c r="H321" s="35"/>
      <c r="I321" s="34">
        <f>SUM(U315:U323)</f>
        <v>43.56</v>
      </c>
      <c r="J321" s="38"/>
      <c r="K321" s="31">
        <f>Source!AU133</f>
        <v>50</v>
      </c>
      <c r="L321" s="34">
        <f>SUM(V315:V323)</f>
        <v>266.14</v>
      </c>
      <c r="M321" s="36"/>
    </row>
    <row r="322" spans="1:26" ht="14.25" x14ac:dyDescent="0.2">
      <c r="A322" s="49"/>
      <c r="B322" s="49"/>
      <c r="C322" s="50"/>
      <c r="D322" s="50" t="s">
        <v>796</v>
      </c>
      <c r="E322" s="33" t="s">
        <v>797</v>
      </c>
      <c r="F322" s="12">
        <f>Source!AQ133</f>
        <v>85.3</v>
      </c>
      <c r="G322" s="34"/>
      <c r="H322" s="35" t="str">
        <f>Source!DI133</f>
        <v/>
      </c>
      <c r="I322" s="34"/>
      <c r="J322" s="35"/>
      <c r="K322" s="35"/>
      <c r="L322" s="34"/>
      <c r="M322" s="45">
        <f>Source!U133</f>
        <v>10.235999999999999</v>
      </c>
    </row>
    <row r="323" spans="1:26" ht="28.5" x14ac:dyDescent="0.2">
      <c r="A323" s="51">
        <v>56</v>
      </c>
      <c r="B323" s="51" t="str">
        <f>Source!E135</f>
        <v>30,1</v>
      </c>
      <c r="C323" s="52" t="str">
        <f>Source!F135</f>
        <v>01.7.07.07</v>
      </c>
      <c r="D323" s="52" t="str">
        <f>Source!G135</f>
        <v>Строительный мусор и масса возвратных материалов</v>
      </c>
      <c r="E323" s="39" t="str">
        <f>Source!H135</f>
        <v>т</v>
      </c>
      <c r="F323" s="40">
        <f>Source!I135</f>
        <v>0.1608</v>
      </c>
      <c r="G323" s="41">
        <f>Source!AL135+Source!AM135+Source!AO135</f>
        <v>0</v>
      </c>
      <c r="H323" s="46" t="s">
        <v>6</v>
      </c>
      <c r="I323" s="41">
        <f>ROUND(Source!AC135*Source!I135, 2)+ROUND(Source!AD135*Source!I135, 2)+ROUND(Source!AF135*Source!I135, 2)</f>
        <v>0</v>
      </c>
      <c r="J323" s="42"/>
      <c r="K323" s="42">
        <f>IF(Source!BC135&lt;&gt; 0, Source!BC135, 1)</f>
        <v>6.11</v>
      </c>
      <c r="L323" s="41">
        <f>Source!O135</f>
        <v>0</v>
      </c>
      <c r="M323" s="47"/>
      <c r="S323">
        <f>ROUND((Source!FX135/100)*((ROUND(Source!AF135*Source!I135, 2)+ROUND(Source!AE135*Source!I135, 2))), 2)</f>
        <v>0</v>
      </c>
      <c r="T323">
        <f>Source!X135</f>
        <v>0</v>
      </c>
      <c r="U323">
        <f>ROUND((Source!FY135/100)*((ROUND(Source!AF135*Source!I135, 2)+ROUND(Source!AE135*Source!I135, 2))), 2)</f>
        <v>0</v>
      </c>
      <c r="V323">
        <f>Source!Y135</f>
        <v>0</v>
      </c>
      <c r="W323">
        <f>IF(Source!BI135&lt;=1,I323, 0)</f>
        <v>0</v>
      </c>
      <c r="X323">
        <f>IF(Source!BI135=2,I323, 0)</f>
        <v>0</v>
      </c>
      <c r="Y323">
        <f>IF(Source!BI135=3,I323, 0)</f>
        <v>0</v>
      </c>
      <c r="Z323">
        <f>IF(Source!BI135=4,I323, 0)</f>
        <v>0</v>
      </c>
    </row>
    <row r="324" spans="1:26" ht="15" x14ac:dyDescent="0.25">
      <c r="H324" s="66">
        <f>I317+I318+I320+I321+SUM(I323:I323)</f>
        <v>195.82999999999998</v>
      </c>
      <c r="I324" s="66"/>
      <c r="K324" s="66">
        <f>L317+L318+L320+L321+SUM(L323:L323)</f>
        <v>1196.47</v>
      </c>
      <c r="L324" s="66"/>
      <c r="M324" s="44">
        <f>Source!U133</f>
        <v>10.235999999999999</v>
      </c>
      <c r="O324" s="27">
        <f>H324</f>
        <v>195.82999999999998</v>
      </c>
      <c r="P324" s="27">
        <f>K324</f>
        <v>1196.47</v>
      </c>
      <c r="Q324" s="27">
        <f>M324</f>
        <v>10.235999999999999</v>
      </c>
      <c r="W324">
        <f>IF(Source!BI133&lt;=1,I317+I318+I320+I321, 0)</f>
        <v>195.82999999999998</v>
      </c>
      <c r="X324">
        <f>IF(Source!BI133=2,I317+I318+I320+I321, 0)</f>
        <v>0</v>
      </c>
      <c r="Y324">
        <f>IF(Source!BI133=3,I317+I318+I320+I321, 0)</f>
        <v>0</v>
      </c>
      <c r="Z324">
        <f>IF(Source!BI133=4,I317+I318+I320+I321, 0)</f>
        <v>0</v>
      </c>
    </row>
    <row r="325" spans="1:26" ht="42.75" x14ac:dyDescent="0.2">
      <c r="A325" s="49">
        <v>57</v>
      </c>
      <c r="B325" s="49" t="str">
        <f>Source!E137</f>
        <v>31</v>
      </c>
      <c r="C325" s="50" t="str">
        <f>Source!F137</f>
        <v>16-04-001-02</v>
      </c>
      <c r="D325" s="50" t="str">
        <f>Source!G137</f>
        <v>Прокладка трубопроводов канализации из полиэтиленовых труб высокой плотности диаметром 110 мм</v>
      </c>
      <c r="E325" s="33" t="str">
        <f>Source!H137</f>
        <v>100 м</v>
      </c>
      <c r="F325" s="12">
        <f>Source!I137</f>
        <v>0.12</v>
      </c>
      <c r="G325" s="34">
        <f>Source!AL137+Source!AM137+Source!AO137</f>
        <v>758.13</v>
      </c>
      <c r="H325" s="35"/>
      <c r="I325" s="34"/>
      <c r="J325" s="35" t="str">
        <f>Source!BO137</f>
        <v/>
      </c>
      <c r="K325" s="35"/>
      <c r="L325" s="34"/>
      <c r="M325" s="36"/>
      <c r="S325">
        <f>ROUND((Source!FX137/100)*((ROUND(Source!AF137*Source!I137, 2)+ROUND(Source!AE137*Source!I137, 2))), 2)</f>
        <v>97.31</v>
      </c>
      <c r="T325">
        <f>Source!X137</f>
        <v>593.49</v>
      </c>
      <c r="U325">
        <f>ROUND((Source!FY137/100)*((ROUND(Source!AF137*Source!I137, 2)+ROUND(Source!AE137*Source!I137, 2))), 2)</f>
        <v>59.59</v>
      </c>
      <c r="V325">
        <f>Source!Y137</f>
        <v>366.42</v>
      </c>
    </row>
    <row r="326" spans="1:26" x14ac:dyDescent="0.2">
      <c r="D326" s="26" t="str">
        <f>"Объем: "&amp;Source!I137&amp;"=12/"&amp;"100"</f>
        <v>Объем: 0,12=12/100</v>
      </c>
    </row>
    <row r="327" spans="1:26" ht="14.25" x14ac:dyDescent="0.2">
      <c r="A327" s="49"/>
      <c r="B327" s="49"/>
      <c r="C327" s="50"/>
      <c r="D327" s="50" t="s">
        <v>791</v>
      </c>
      <c r="E327" s="33"/>
      <c r="F327" s="12"/>
      <c r="G327" s="34">
        <f>Source!AO137</f>
        <v>611.07000000000005</v>
      </c>
      <c r="H327" s="35" t="str">
        <f>Source!DG137</f>
        <v>)*1,15</v>
      </c>
      <c r="I327" s="34">
        <f>ROUND(Source!AF137*Source!I137, 2)</f>
        <v>84.33</v>
      </c>
      <c r="J327" s="35"/>
      <c r="K327" s="35">
        <f>IF(Source!BA137&lt;&gt; 0, Source!BA137, 1)</f>
        <v>6.11</v>
      </c>
      <c r="L327" s="34">
        <f>Source!S137</f>
        <v>515.24</v>
      </c>
      <c r="M327" s="36"/>
      <c r="R327">
        <f>I327</f>
        <v>84.33</v>
      </c>
    </row>
    <row r="328" spans="1:26" ht="14.25" x14ac:dyDescent="0.2">
      <c r="A328" s="49"/>
      <c r="B328" s="49"/>
      <c r="C328" s="50"/>
      <c r="D328" s="50" t="s">
        <v>356</v>
      </c>
      <c r="E328" s="33"/>
      <c r="F328" s="12"/>
      <c r="G328" s="34">
        <f>Source!AM137</f>
        <v>6.14</v>
      </c>
      <c r="H328" s="35" t="str">
        <f>Source!DE137</f>
        <v>)*1,25</v>
      </c>
      <c r="I328" s="34">
        <f>ROUND(Source!AD137*Source!I137, 2)</f>
        <v>0.92</v>
      </c>
      <c r="J328" s="35"/>
      <c r="K328" s="35">
        <f>IF(Source!BB137&lt;&gt; 0, Source!BB137, 1)</f>
        <v>6.11</v>
      </c>
      <c r="L328" s="34">
        <f>Source!Q137</f>
        <v>5.63</v>
      </c>
      <c r="M328" s="36"/>
    </row>
    <row r="329" spans="1:26" ht="14.25" x14ac:dyDescent="0.2">
      <c r="A329" s="49"/>
      <c r="B329" s="49"/>
      <c r="C329" s="50"/>
      <c r="D329" s="50" t="s">
        <v>792</v>
      </c>
      <c r="E329" s="33"/>
      <c r="F329" s="12"/>
      <c r="G329" s="34">
        <f>Source!AN137</f>
        <v>0.91</v>
      </c>
      <c r="H329" s="35" t="str">
        <f>Source!DF137</f>
        <v>)*1,25</v>
      </c>
      <c r="I329" s="37">
        <f>ROUND(Source!AE137*Source!I137, 2)</f>
        <v>0.14000000000000001</v>
      </c>
      <c r="J329" s="35"/>
      <c r="K329" s="35">
        <f>IF(Source!BS137&lt;&gt; 0, Source!BS137, 1)</f>
        <v>6.11</v>
      </c>
      <c r="L329" s="37">
        <f>Source!R137</f>
        <v>0.84</v>
      </c>
      <c r="M329" s="36"/>
      <c r="R329">
        <f>I329</f>
        <v>0.14000000000000001</v>
      </c>
    </row>
    <row r="330" spans="1:26" ht="14.25" x14ac:dyDescent="0.2">
      <c r="A330" s="49"/>
      <c r="B330" s="49"/>
      <c r="C330" s="50"/>
      <c r="D330" s="50" t="s">
        <v>798</v>
      </c>
      <c r="E330" s="33"/>
      <c r="F330" s="12"/>
      <c r="G330" s="34">
        <f>Source!AL137</f>
        <v>140.91999999999999</v>
      </c>
      <c r="H330" s="35" t="str">
        <f>Source!DD137</f>
        <v/>
      </c>
      <c r="I330" s="34">
        <f>ROUND(Source!AC137*Source!I137, 2)</f>
        <v>16.91</v>
      </c>
      <c r="J330" s="35"/>
      <c r="K330" s="35">
        <f>IF(Source!BC137&lt;&gt; 0, Source!BC137, 1)</f>
        <v>6.11</v>
      </c>
      <c r="L330" s="34">
        <f>Source!P137</f>
        <v>103.32</v>
      </c>
      <c r="M330" s="36"/>
    </row>
    <row r="331" spans="1:26" ht="14.25" x14ac:dyDescent="0.2">
      <c r="A331" s="49"/>
      <c r="B331" s="49"/>
      <c r="C331" s="50"/>
      <c r="D331" s="50" t="s">
        <v>793</v>
      </c>
      <c r="E331" s="33" t="s">
        <v>794</v>
      </c>
      <c r="F331" s="12">
        <f>Source!BZ137</f>
        <v>128</v>
      </c>
      <c r="G331" s="67" t="str">
        <f>CONCATENATE(" )", Source!DL137, Source!FT137, "=", Source!FX137)</f>
        <v xml:space="preserve"> )*0,9=115,2</v>
      </c>
      <c r="H331" s="68"/>
      <c r="I331" s="34">
        <f>SUM(S325:S334)</f>
        <v>97.31</v>
      </c>
      <c r="J331" s="38"/>
      <c r="K331" s="31">
        <f>Source!AT137</f>
        <v>115</v>
      </c>
      <c r="L331" s="34">
        <f>SUM(T325:T334)</f>
        <v>593.49</v>
      </c>
      <c r="M331" s="36"/>
    </row>
    <row r="332" spans="1:26" ht="14.25" x14ac:dyDescent="0.2">
      <c r="A332" s="49"/>
      <c r="B332" s="49"/>
      <c r="C332" s="50"/>
      <c r="D332" s="50" t="s">
        <v>795</v>
      </c>
      <c r="E332" s="33" t="s">
        <v>794</v>
      </c>
      <c r="F332" s="12">
        <f>Source!CA137</f>
        <v>83</v>
      </c>
      <c r="G332" s="67" t="str">
        <f>CONCATENATE(" )", Source!DM137, Source!FU137, "=", Source!FY137)</f>
        <v xml:space="preserve"> )*0,85=70,55</v>
      </c>
      <c r="H332" s="68"/>
      <c r="I332" s="34">
        <f>SUM(U325:U334)</f>
        <v>59.59</v>
      </c>
      <c r="J332" s="38"/>
      <c r="K332" s="31">
        <f>Source!AU137</f>
        <v>71</v>
      </c>
      <c r="L332" s="34">
        <f>SUM(V325:V334)</f>
        <v>366.42</v>
      </c>
      <c r="M332" s="36"/>
    </row>
    <row r="333" spans="1:26" ht="14.25" x14ac:dyDescent="0.2">
      <c r="A333" s="49"/>
      <c r="B333" s="49"/>
      <c r="C333" s="50"/>
      <c r="D333" s="50" t="s">
        <v>796</v>
      </c>
      <c r="E333" s="33" t="s">
        <v>797</v>
      </c>
      <c r="F333" s="12">
        <f>Source!AQ137</f>
        <v>61.6</v>
      </c>
      <c r="G333" s="34"/>
      <c r="H333" s="35" t="str">
        <f>Source!DI137</f>
        <v>)*1,15</v>
      </c>
      <c r="I333" s="34"/>
      <c r="J333" s="35"/>
      <c r="K333" s="35"/>
      <c r="L333" s="34"/>
      <c r="M333" s="45">
        <f>Source!U137</f>
        <v>8.5007999999999981</v>
      </c>
    </row>
    <row r="334" spans="1:26" ht="57" x14ac:dyDescent="0.2">
      <c r="A334" s="51">
        <v>58</v>
      </c>
      <c r="B334" s="51" t="str">
        <f>Source!E139</f>
        <v>31,1</v>
      </c>
      <c r="C334" s="52" t="str">
        <f>Source!F139</f>
        <v>24.3.03.02-0002</v>
      </c>
      <c r="D334" s="52" t="str">
        <f>Source!G139</f>
        <v>Трубопроводы канализации из полиэтиленовых труб высокой плотности с гильзами, диаметром 110 мм</v>
      </c>
      <c r="E334" s="39" t="str">
        <f>Source!H139</f>
        <v>м</v>
      </c>
      <c r="F334" s="40">
        <f>Source!I139</f>
        <v>11.976000000000001</v>
      </c>
      <c r="G334" s="41">
        <f>Source!AL139+Source!AM139+Source!AO139</f>
        <v>70.400000000000006</v>
      </c>
      <c r="H334" s="46" t="s">
        <v>6</v>
      </c>
      <c r="I334" s="41">
        <f>ROUND(Source!AC139*Source!I139, 2)+ROUND(Source!AD139*Source!I139, 2)+ROUND(Source!AF139*Source!I139, 2)</f>
        <v>843.11</v>
      </c>
      <c r="J334" s="42"/>
      <c r="K334" s="42">
        <f>IF(Source!BC139&lt;&gt; 0, Source!BC139, 1)</f>
        <v>6.11</v>
      </c>
      <c r="L334" s="41">
        <f>Source!O139</f>
        <v>5151.3999999999996</v>
      </c>
      <c r="M334" s="47"/>
      <c r="S334">
        <f>ROUND((Source!FX139/100)*((ROUND(Source!AF139*Source!I139, 2)+ROUND(Source!AE139*Source!I139, 2))), 2)</f>
        <v>0</v>
      </c>
      <c r="T334">
        <f>Source!X139</f>
        <v>0</v>
      </c>
      <c r="U334">
        <f>ROUND((Source!FY139/100)*((ROUND(Source!AF139*Source!I139, 2)+ROUND(Source!AE139*Source!I139, 2))), 2)</f>
        <v>0</v>
      </c>
      <c r="V334">
        <f>Source!Y139</f>
        <v>0</v>
      </c>
      <c r="W334">
        <f>IF(Source!BI139&lt;=1,I334, 0)</f>
        <v>843.11</v>
      </c>
      <c r="X334">
        <f>IF(Source!BI139=2,I334, 0)</f>
        <v>0</v>
      </c>
      <c r="Y334">
        <f>IF(Source!BI139=3,I334, 0)</f>
        <v>0</v>
      </c>
      <c r="Z334">
        <f>IF(Source!BI139=4,I334, 0)</f>
        <v>0</v>
      </c>
    </row>
    <row r="335" spans="1:26" ht="15" x14ac:dyDescent="0.25">
      <c r="H335" s="66">
        <f>I327+I328+I330+I331+I332+SUM(I334:I334)</f>
        <v>1102.17</v>
      </c>
      <c r="I335" s="66"/>
      <c r="K335" s="66">
        <f>L327+L328+L330+L331+L332+SUM(L334:L334)</f>
        <v>6735.5</v>
      </c>
      <c r="L335" s="66"/>
      <c r="M335" s="44">
        <f>Source!U137</f>
        <v>8.5007999999999981</v>
      </c>
      <c r="O335" s="27">
        <f>H335</f>
        <v>1102.17</v>
      </c>
      <c r="P335" s="27">
        <f>K335</f>
        <v>6735.5</v>
      </c>
      <c r="Q335" s="27">
        <f>M335</f>
        <v>8.5007999999999981</v>
      </c>
      <c r="W335">
        <f>IF(Source!BI137&lt;=1,I327+I328+I330+I331+I332, 0)</f>
        <v>259.06</v>
      </c>
      <c r="X335">
        <f>IF(Source!BI137=2,I327+I328+I330+I331+I332, 0)</f>
        <v>0</v>
      </c>
      <c r="Y335">
        <f>IF(Source!BI137=3,I327+I328+I330+I331+I332, 0)</f>
        <v>0</v>
      </c>
      <c r="Z335">
        <f>IF(Source!BI137=4,I327+I328+I330+I331+I332, 0)</f>
        <v>0</v>
      </c>
    </row>
    <row r="336" spans="1:26" ht="14.25" x14ac:dyDescent="0.2">
      <c r="A336" s="49">
        <v>59</v>
      </c>
      <c r="B336" s="49" t="str">
        <f>Source!E141</f>
        <v>32</v>
      </c>
      <c r="C336" s="50" t="str">
        <f>Source!F141</f>
        <v>65-6-14</v>
      </c>
      <c r="D336" s="50" t="str">
        <f>Source!G141</f>
        <v>Смена унитазов</v>
      </c>
      <c r="E336" s="33" t="str">
        <f>Source!H141</f>
        <v>100 ШТ</v>
      </c>
      <c r="F336" s="12">
        <f>Source!I141</f>
        <v>0.02</v>
      </c>
      <c r="G336" s="34">
        <f>Source!AL141+Source!AM141+Source!AO141</f>
        <v>3865.84</v>
      </c>
      <c r="H336" s="35"/>
      <c r="I336" s="34"/>
      <c r="J336" s="35" t="str">
        <f>Source!BO141</f>
        <v/>
      </c>
      <c r="K336" s="35"/>
      <c r="L336" s="34"/>
      <c r="M336" s="36"/>
      <c r="S336">
        <f>ROUND((Source!FX141/100)*((ROUND(Source!AF141*Source!I141, 2)+ROUND(Source!AE141*Source!I141, 2))), 2)</f>
        <v>66.48</v>
      </c>
      <c r="T336">
        <f>Source!X141</f>
        <v>406.19</v>
      </c>
      <c r="U336">
        <f>ROUND((Source!FY141/100)*((ROUND(Source!AF141*Source!I141, 2)+ROUND(Source!AE141*Source!I141, 2))), 2)</f>
        <v>38.72</v>
      </c>
      <c r="V336">
        <f>Source!Y141</f>
        <v>236.62</v>
      </c>
    </row>
    <row r="337" spans="1:26" x14ac:dyDescent="0.2">
      <c r="D337" s="26" t="str">
        <f>"Объем: "&amp;Source!I141&amp;"=2/"&amp;"100"</f>
        <v>Объем: 0,02=2/100</v>
      </c>
    </row>
    <row r="338" spans="1:26" ht="14.25" x14ac:dyDescent="0.2">
      <c r="A338" s="49"/>
      <c r="B338" s="49"/>
      <c r="C338" s="50"/>
      <c r="D338" s="50" t="s">
        <v>791</v>
      </c>
      <c r="E338" s="33"/>
      <c r="F338" s="12"/>
      <c r="G338" s="34">
        <f>Source!AO141</f>
        <v>3217.13</v>
      </c>
      <c r="H338" s="35" t="str">
        <f>Source!DG141</f>
        <v/>
      </c>
      <c r="I338" s="34">
        <f>ROUND(Source!AF141*Source!I141, 2)</f>
        <v>64.34</v>
      </c>
      <c r="J338" s="35"/>
      <c r="K338" s="35">
        <f>IF(Source!BA141&lt;&gt; 0, Source!BA141, 1)</f>
        <v>6.11</v>
      </c>
      <c r="L338" s="34">
        <f>Source!S141</f>
        <v>393.13</v>
      </c>
      <c r="M338" s="36"/>
      <c r="R338">
        <f>I338</f>
        <v>64.34</v>
      </c>
    </row>
    <row r="339" spans="1:26" ht="14.25" x14ac:dyDescent="0.2">
      <c r="A339" s="49"/>
      <c r="B339" s="49"/>
      <c r="C339" s="50"/>
      <c r="D339" s="50" t="s">
        <v>356</v>
      </c>
      <c r="E339" s="33"/>
      <c r="F339" s="12"/>
      <c r="G339" s="34">
        <f>Source!AM141</f>
        <v>38.78</v>
      </c>
      <c r="H339" s="35" t="str">
        <f>Source!DE141</f>
        <v/>
      </c>
      <c r="I339" s="34">
        <f>ROUND(Source!AD141*Source!I141, 2)</f>
        <v>0.78</v>
      </c>
      <c r="J339" s="35"/>
      <c r="K339" s="35">
        <f>IF(Source!BB141&lt;&gt; 0, Source!BB141, 1)</f>
        <v>6.11</v>
      </c>
      <c r="L339" s="34">
        <f>Source!Q141</f>
        <v>4.74</v>
      </c>
      <c r="M339" s="36"/>
    </row>
    <row r="340" spans="1:26" ht="14.25" x14ac:dyDescent="0.2">
      <c r="A340" s="49"/>
      <c r="B340" s="49"/>
      <c r="C340" s="50"/>
      <c r="D340" s="50" t="s">
        <v>792</v>
      </c>
      <c r="E340" s="33"/>
      <c r="F340" s="12"/>
      <c r="G340" s="34">
        <f>Source!AN141</f>
        <v>10.039999999999999</v>
      </c>
      <c r="H340" s="35" t="str">
        <f>Source!DF141</f>
        <v/>
      </c>
      <c r="I340" s="37">
        <f>ROUND(Source!AE141*Source!I141, 2)</f>
        <v>0.2</v>
      </c>
      <c r="J340" s="35"/>
      <c r="K340" s="35">
        <f>IF(Source!BS141&lt;&gt; 0, Source!BS141, 1)</f>
        <v>6.11</v>
      </c>
      <c r="L340" s="37">
        <f>Source!R141</f>
        <v>1.23</v>
      </c>
      <c r="M340" s="36"/>
      <c r="R340">
        <f>I340</f>
        <v>0.2</v>
      </c>
    </row>
    <row r="341" spans="1:26" ht="14.25" x14ac:dyDescent="0.2">
      <c r="A341" s="49"/>
      <c r="B341" s="49"/>
      <c r="C341" s="50"/>
      <c r="D341" s="50" t="s">
        <v>798</v>
      </c>
      <c r="E341" s="33"/>
      <c r="F341" s="12"/>
      <c r="G341" s="34">
        <f>Source!AL141</f>
        <v>609.92999999999995</v>
      </c>
      <c r="H341" s="35" t="str">
        <f>Source!DD141</f>
        <v/>
      </c>
      <c r="I341" s="34">
        <f>ROUND(Source!AC141*Source!I141, 2)</f>
        <v>12.2</v>
      </c>
      <c r="J341" s="35"/>
      <c r="K341" s="35">
        <f>IF(Source!BC141&lt;&gt; 0, Source!BC141, 1)</f>
        <v>6.11</v>
      </c>
      <c r="L341" s="34">
        <f>Source!P141</f>
        <v>74.53</v>
      </c>
      <c r="M341" s="36"/>
    </row>
    <row r="342" spans="1:26" ht="14.25" x14ac:dyDescent="0.2">
      <c r="A342" s="49"/>
      <c r="B342" s="49"/>
      <c r="C342" s="50"/>
      <c r="D342" s="50" t="s">
        <v>793</v>
      </c>
      <c r="E342" s="33" t="s">
        <v>794</v>
      </c>
      <c r="F342" s="12">
        <f>Source!BZ141</f>
        <v>103</v>
      </c>
      <c r="G342" s="53"/>
      <c r="H342" s="35"/>
      <c r="I342" s="34">
        <f>SUM(S336:S347)</f>
        <v>66.48</v>
      </c>
      <c r="J342" s="38"/>
      <c r="K342" s="31">
        <f>Source!AT141</f>
        <v>103</v>
      </c>
      <c r="L342" s="34">
        <f>SUM(T336:T347)</f>
        <v>406.19</v>
      </c>
      <c r="M342" s="36"/>
    </row>
    <row r="343" spans="1:26" ht="14.25" x14ac:dyDescent="0.2">
      <c r="A343" s="49"/>
      <c r="B343" s="49"/>
      <c r="C343" s="50"/>
      <c r="D343" s="50" t="s">
        <v>795</v>
      </c>
      <c r="E343" s="33" t="s">
        <v>794</v>
      </c>
      <c r="F343" s="12">
        <f>Source!CA141</f>
        <v>60</v>
      </c>
      <c r="G343" s="53"/>
      <c r="H343" s="35"/>
      <c r="I343" s="34">
        <f>SUM(U336:U347)</f>
        <v>38.72</v>
      </c>
      <c r="J343" s="38"/>
      <c r="K343" s="31">
        <f>Source!AU141</f>
        <v>60</v>
      </c>
      <c r="L343" s="34">
        <f>SUM(V336:V347)</f>
        <v>236.62</v>
      </c>
      <c r="M343" s="36"/>
    </row>
    <row r="344" spans="1:26" ht="14.25" x14ac:dyDescent="0.2">
      <c r="A344" s="49"/>
      <c r="B344" s="49"/>
      <c r="C344" s="50"/>
      <c r="D344" s="50" t="s">
        <v>796</v>
      </c>
      <c r="E344" s="33" t="s">
        <v>797</v>
      </c>
      <c r="F344" s="12">
        <f>Source!AQ141</f>
        <v>354.7</v>
      </c>
      <c r="G344" s="34"/>
      <c r="H344" s="35" t="str">
        <f>Source!DI141</f>
        <v/>
      </c>
      <c r="I344" s="34"/>
      <c r="J344" s="35"/>
      <c r="K344" s="35"/>
      <c r="L344" s="34"/>
      <c r="M344" s="45">
        <f>Source!U141</f>
        <v>7.0940000000000003</v>
      </c>
    </row>
    <row r="345" spans="1:26" ht="57" x14ac:dyDescent="0.2">
      <c r="A345" s="49">
        <v>60</v>
      </c>
      <c r="B345" s="49" t="str">
        <f>Source!E143</f>
        <v>32,1</v>
      </c>
      <c r="C345" s="50" t="str">
        <f>Source!F143</f>
        <v>18.2.01.06-0031</v>
      </c>
      <c r="D345" s="50" t="str">
        <f>Source!G143</f>
        <v>Унитазы полуфарфоровые и фарфоровые УНВЦ воронкообразные с сиденьем и креплением, с цельноотлитой полочкой</v>
      </c>
      <c r="E345" s="33" t="str">
        <f>Source!H143</f>
        <v>компл.</v>
      </c>
      <c r="F345" s="12">
        <f>Source!I143</f>
        <v>2</v>
      </c>
      <c r="G345" s="34">
        <f>Source!AL143+Source!AM143+Source!AO143</f>
        <v>405.49</v>
      </c>
      <c r="H345" s="48" t="s">
        <v>6</v>
      </c>
      <c r="I345" s="34">
        <f>ROUND(Source!AC143*Source!I143, 2)+ROUND(Source!AD143*Source!I143, 2)+ROUND(Source!AF143*Source!I143, 2)</f>
        <v>810.98</v>
      </c>
      <c r="J345" s="35"/>
      <c r="K345" s="35">
        <f>IF(Source!BC143&lt;&gt; 0, Source!BC143, 1)</f>
        <v>6.11</v>
      </c>
      <c r="L345" s="34">
        <f>Source!O143</f>
        <v>4955.09</v>
      </c>
      <c r="M345" s="36"/>
      <c r="S345">
        <f>ROUND((Source!FX143/100)*((ROUND(Source!AF143*Source!I143, 2)+ROUND(Source!AE143*Source!I143, 2))), 2)</f>
        <v>0</v>
      </c>
      <c r="T345">
        <f>Source!X143</f>
        <v>0</v>
      </c>
      <c r="U345">
        <f>ROUND((Source!FY143/100)*((ROUND(Source!AF143*Source!I143, 2)+ROUND(Source!AE143*Source!I143, 2))), 2)</f>
        <v>0</v>
      </c>
      <c r="V345">
        <f>Source!Y143</f>
        <v>0</v>
      </c>
      <c r="W345">
        <f>IF(Source!BI143&lt;=1,I345, 0)</f>
        <v>810.98</v>
      </c>
      <c r="X345">
        <f>IF(Source!BI143=2,I345, 0)</f>
        <v>0</v>
      </c>
      <c r="Y345">
        <f>IF(Source!BI143=3,I345, 0)</f>
        <v>0</v>
      </c>
      <c r="Z345">
        <f>IF(Source!BI143=4,I345, 0)</f>
        <v>0</v>
      </c>
    </row>
    <row r="346" spans="1:26" ht="57" x14ac:dyDescent="0.2">
      <c r="A346" s="49">
        <v>61</v>
      </c>
      <c r="B346" s="49" t="str">
        <f>Source!E145</f>
        <v>32,2</v>
      </c>
      <c r="C346" s="50" t="str">
        <f>Source!F145</f>
        <v>18.2.06.01-0002</v>
      </c>
      <c r="D346" s="50" t="str">
        <f>Source!G145</f>
        <v>Бачки смывные полуфарфоровые и фарфоровые с арматурой непосредственно устанавливаемые на унитазы</v>
      </c>
      <c r="E346" s="33" t="str">
        <f>Source!H145</f>
        <v>компл.</v>
      </c>
      <c r="F346" s="12">
        <f>Source!I145</f>
        <v>2</v>
      </c>
      <c r="G346" s="34">
        <f>Source!AL145+Source!AM145+Source!AO145</f>
        <v>198.3</v>
      </c>
      <c r="H346" s="48" t="s">
        <v>6</v>
      </c>
      <c r="I346" s="34">
        <f>ROUND(Source!AC145*Source!I145, 2)+ROUND(Source!AD145*Source!I145, 2)+ROUND(Source!AF145*Source!I145, 2)</f>
        <v>396.6</v>
      </c>
      <c r="J346" s="35"/>
      <c r="K346" s="35">
        <f>IF(Source!BC145&lt;&gt; 0, Source!BC145, 1)</f>
        <v>6.11</v>
      </c>
      <c r="L346" s="34">
        <f>Source!O145</f>
        <v>2423.23</v>
      </c>
      <c r="M346" s="36"/>
      <c r="S346">
        <f>ROUND((Source!FX145/100)*((ROUND(Source!AF145*Source!I145, 2)+ROUND(Source!AE145*Source!I145, 2))), 2)</f>
        <v>0</v>
      </c>
      <c r="T346">
        <f>Source!X145</f>
        <v>0</v>
      </c>
      <c r="U346">
        <f>ROUND((Source!FY145/100)*((ROUND(Source!AF145*Source!I145, 2)+ROUND(Source!AE145*Source!I145, 2))), 2)</f>
        <v>0</v>
      </c>
      <c r="V346">
        <f>Source!Y145</f>
        <v>0</v>
      </c>
      <c r="W346">
        <f>IF(Source!BI145&lt;=1,I346, 0)</f>
        <v>396.6</v>
      </c>
      <c r="X346">
        <f>IF(Source!BI145=2,I346, 0)</f>
        <v>0</v>
      </c>
      <c r="Y346">
        <f>IF(Source!BI145=3,I346, 0)</f>
        <v>0</v>
      </c>
      <c r="Z346">
        <f>IF(Source!BI145=4,I346, 0)</f>
        <v>0</v>
      </c>
    </row>
    <row r="347" spans="1:26" ht="28.5" x14ac:dyDescent="0.2">
      <c r="A347" s="51">
        <v>62</v>
      </c>
      <c r="B347" s="51" t="str">
        <f>Source!E147</f>
        <v>32,3</v>
      </c>
      <c r="C347" s="52" t="str">
        <f>Source!F147</f>
        <v>01.7.19.03-0001</v>
      </c>
      <c r="D347" s="52" t="str">
        <f>Source!G147</f>
        <v>Манжета резиновая канализационная для унитаза диаметром 110 мм</v>
      </c>
      <c r="E347" s="39" t="str">
        <f>Source!H147</f>
        <v>шт.</v>
      </c>
      <c r="F347" s="40">
        <f>Source!I147</f>
        <v>2</v>
      </c>
      <c r="G347" s="41">
        <f>Source!AL147+Source!AM147+Source!AO147</f>
        <v>6.81</v>
      </c>
      <c r="H347" s="46" t="s">
        <v>6</v>
      </c>
      <c r="I347" s="41">
        <f>ROUND(Source!AC147*Source!I147, 2)+ROUND(Source!AD147*Source!I147, 2)+ROUND(Source!AF147*Source!I147, 2)</f>
        <v>13.62</v>
      </c>
      <c r="J347" s="42"/>
      <c r="K347" s="42">
        <f>IF(Source!BC147&lt;&gt; 0, Source!BC147, 1)</f>
        <v>6.11</v>
      </c>
      <c r="L347" s="41">
        <f>Source!O147</f>
        <v>83.22</v>
      </c>
      <c r="M347" s="47"/>
      <c r="S347">
        <f>ROUND((Source!FX147/100)*((ROUND(Source!AF147*Source!I147, 2)+ROUND(Source!AE147*Source!I147, 2))), 2)</f>
        <v>0</v>
      </c>
      <c r="T347">
        <f>Source!X147</f>
        <v>0</v>
      </c>
      <c r="U347">
        <f>ROUND((Source!FY147/100)*((ROUND(Source!AF147*Source!I147, 2)+ROUND(Source!AE147*Source!I147, 2))), 2)</f>
        <v>0</v>
      </c>
      <c r="V347">
        <f>Source!Y147</f>
        <v>0</v>
      </c>
      <c r="W347">
        <f>IF(Source!BI147&lt;=1,I347, 0)</f>
        <v>13.62</v>
      </c>
      <c r="X347">
        <f>IF(Source!BI147=2,I347, 0)</f>
        <v>0</v>
      </c>
      <c r="Y347">
        <f>IF(Source!BI147=3,I347, 0)</f>
        <v>0</v>
      </c>
      <c r="Z347">
        <f>IF(Source!BI147=4,I347, 0)</f>
        <v>0</v>
      </c>
    </row>
    <row r="348" spans="1:26" ht="15" x14ac:dyDescent="0.25">
      <c r="H348" s="66">
        <f>I338+I339+I341+I342+I343+SUM(I345:I347)</f>
        <v>1403.7199999999998</v>
      </c>
      <c r="I348" s="66"/>
      <c r="K348" s="66">
        <f>L338+L339+L341+L342+L343+SUM(L345:L347)</f>
        <v>8576.75</v>
      </c>
      <c r="L348" s="66"/>
      <c r="M348" s="44">
        <f>Source!U141</f>
        <v>7.0940000000000003</v>
      </c>
      <c r="O348" s="27">
        <f>H348</f>
        <v>1403.7199999999998</v>
      </c>
      <c r="P348" s="27">
        <f>K348</f>
        <v>8576.75</v>
      </c>
      <c r="Q348" s="27">
        <f>M348</f>
        <v>7.0940000000000003</v>
      </c>
      <c r="W348">
        <f>IF(Source!BI141&lt;=1,I338+I339+I341+I342+I343, 0)</f>
        <v>182.52</v>
      </c>
      <c r="X348">
        <f>IF(Source!BI141=2,I338+I339+I341+I342+I343, 0)</f>
        <v>0</v>
      </c>
      <c r="Y348">
        <f>IF(Source!BI141=3,I338+I339+I341+I342+I343, 0)</f>
        <v>0</v>
      </c>
      <c r="Z348">
        <f>IF(Source!BI141=4,I338+I339+I341+I342+I343, 0)</f>
        <v>0</v>
      </c>
    </row>
    <row r="349" spans="1:26" ht="42.75" x14ac:dyDescent="0.2">
      <c r="A349" s="49">
        <v>63</v>
      </c>
      <c r="B349" s="49" t="str">
        <f>Source!E149</f>
        <v>33</v>
      </c>
      <c r="C349" s="50" t="str">
        <f>Source!F149</f>
        <v>65-1-1</v>
      </c>
      <c r="D349" s="50" t="str">
        <f>Source!G149</f>
        <v>Разборка трубопроводов из водогазопроводных труб диаметром до 32 мм</v>
      </c>
      <c r="E349" s="33" t="str">
        <f>Source!H149</f>
        <v>100 м</v>
      </c>
      <c r="F349" s="12">
        <f>Source!I149</f>
        <v>0.05</v>
      </c>
      <c r="G349" s="34">
        <f>Source!AL149+Source!AM149+Source!AO149</f>
        <v>328.71</v>
      </c>
      <c r="H349" s="35"/>
      <c r="I349" s="34"/>
      <c r="J349" s="35" t="str">
        <f>Source!BO149</f>
        <v/>
      </c>
      <c r="K349" s="35"/>
      <c r="L349" s="34"/>
      <c r="M349" s="36"/>
      <c r="S349">
        <f>ROUND((Source!FX149/100)*((ROUND(Source!AF149*Source!I149, 2)+ROUND(Source!AE149*Source!I149, 2))), 2)</f>
        <v>12.31</v>
      </c>
      <c r="T349">
        <f>Source!X149</f>
        <v>75.23</v>
      </c>
      <c r="U349">
        <f>ROUND((Source!FY149/100)*((ROUND(Source!AF149*Source!I149, 2)+ROUND(Source!AE149*Source!I149, 2))), 2)</f>
        <v>8.32</v>
      </c>
      <c r="V349">
        <f>Source!Y149</f>
        <v>50.83</v>
      </c>
    </row>
    <row r="350" spans="1:26" x14ac:dyDescent="0.2">
      <c r="D350" s="26" t="str">
        <f>"Объем: "&amp;Source!I149&amp;"=5/"&amp;"100"</f>
        <v>Объем: 0,05=5/100</v>
      </c>
    </row>
    <row r="351" spans="1:26" ht="14.25" x14ac:dyDescent="0.2">
      <c r="A351" s="49"/>
      <c r="B351" s="49"/>
      <c r="C351" s="50"/>
      <c r="D351" s="50" t="s">
        <v>791</v>
      </c>
      <c r="E351" s="33"/>
      <c r="F351" s="12"/>
      <c r="G351" s="34">
        <f>Source!AO149</f>
        <v>288.02</v>
      </c>
      <c r="H351" s="35" t="str">
        <f>Source!DG149</f>
        <v>)*1,15</v>
      </c>
      <c r="I351" s="34">
        <f>ROUND(Source!AF149*Source!I149, 2)</f>
        <v>16.559999999999999</v>
      </c>
      <c r="J351" s="35"/>
      <c r="K351" s="35">
        <f>IF(Source!BA149&lt;&gt; 0, Source!BA149, 1)</f>
        <v>6.11</v>
      </c>
      <c r="L351" s="34">
        <f>Source!S149</f>
        <v>101.19</v>
      </c>
      <c r="M351" s="36"/>
      <c r="R351">
        <f>I351</f>
        <v>16.559999999999999</v>
      </c>
    </row>
    <row r="352" spans="1:26" ht="14.25" x14ac:dyDescent="0.2">
      <c r="A352" s="49"/>
      <c r="B352" s="49"/>
      <c r="C352" s="50"/>
      <c r="D352" s="50" t="s">
        <v>356</v>
      </c>
      <c r="E352" s="33"/>
      <c r="F352" s="12"/>
      <c r="G352" s="34">
        <f>Source!AM149</f>
        <v>7.09</v>
      </c>
      <c r="H352" s="35" t="str">
        <f>Source!DE149</f>
        <v>)*1,15</v>
      </c>
      <c r="I352" s="34">
        <f>ROUND(Source!AD149*Source!I149, 2)</f>
        <v>0.41</v>
      </c>
      <c r="J352" s="35"/>
      <c r="K352" s="35">
        <f>IF(Source!BB149&lt;&gt; 0, Source!BB149, 1)</f>
        <v>6.11</v>
      </c>
      <c r="L352" s="34">
        <f>Source!Q149</f>
        <v>2.4900000000000002</v>
      </c>
      <c r="M352" s="36"/>
    </row>
    <row r="353" spans="1:26" ht="14.25" x14ac:dyDescent="0.2">
      <c r="A353" s="49"/>
      <c r="B353" s="49"/>
      <c r="C353" s="50"/>
      <c r="D353" s="50" t="s">
        <v>792</v>
      </c>
      <c r="E353" s="33"/>
      <c r="F353" s="12"/>
      <c r="G353" s="34">
        <f>Source!AN149</f>
        <v>1.35</v>
      </c>
      <c r="H353" s="35" t="str">
        <f>Source!DF149</f>
        <v>)*1,15</v>
      </c>
      <c r="I353" s="37">
        <f>ROUND(Source!AE149*Source!I149, 2)</f>
        <v>0.08</v>
      </c>
      <c r="J353" s="35"/>
      <c r="K353" s="35">
        <f>IF(Source!BS149&lt;&gt; 0, Source!BS149, 1)</f>
        <v>6.11</v>
      </c>
      <c r="L353" s="37">
        <f>Source!R149</f>
        <v>0.47</v>
      </c>
      <c r="M353" s="36"/>
      <c r="R353">
        <f>I353</f>
        <v>0.08</v>
      </c>
    </row>
    <row r="354" spans="1:26" ht="14.25" x14ac:dyDescent="0.2">
      <c r="A354" s="49"/>
      <c r="B354" s="49"/>
      <c r="C354" s="50"/>
      <c r="D354" s="50" t="s">
        <v>798</v>
      </c>
      <c r="E354" s="33"/>
      <c r="F354" s="12"/>
      <c r="G354" s="34">
        <f>Source!AL149</f>
        <v>33.6</v>
      </c>
      <c r="H354" s="35" t="str">
        <f>Source!DD149</f>
        <v/>
      </c>
      <c r="I354" s="34">
        <f>ROUND(Source!AC149*Source!I149, 2)</f>
        <v>1.68</v>
      </c>
      <c r="J354" s="35"/>
      <c r="K354" s="35">
        <f>IF(Source!BC149&lt;&gt; 0, Source!BC149, 1)</f>
        <v>6.11</v>
      </c>
      <c r="L354" s="34">
        <f>Source!P149</f>
        <v>10.26</v>
      </c>
      <c r="M354" s="36"/>
    </row>
    <row r="355" spans="1:26" ht="14.25" x14ac:dyDescent="0.2">
      <c r="A355" s="49"/>
      <c r="B355" s="49"/>
      <c r="C355" s="50"/>
      <c r="D355" s="50" t="s">
        <v>793</v>
      </c>
      <c r="E355" s="33" t="s">
        <v>794</v>
      </c>
      <c r="F355" s="12">
        <f>Source!BZ149</f>
        <v>74</v>
      </c>
      <c r="G355" s="53"/>
      <c r="H355" s="35"/>
      <c r="I355" s="34">
        <f>SUM(S349:S357)</f>
        <v>12.31</v>
      </c>
      <c r="J355" s="38"/>
      <c r="K355" s="31">
        <f>Source!AT149</f>
        <v>74</v>
      </c>
      <c r="L355" s="34">
        <f>SUM(T349:T357)</f>
        <v>75.23</v>
      </c>
      <c r="M355" s="36"/>
    </row>
    <row r="356" spans="1:26" ht="14.25" x14ac:dyDescent="0.2">
      <c r="A356" s="49"/>
      <c r="B356" s="49"/>
      <c r="C356" s="50"/>
      <c r="D356" s="50" t="s">
        <v>795</v>
      </c>
      <c r="E356" s="33" t="s">
        <v>794</v>
      </c>
      <c r="F356" s="12">
        <f>Source!CA149</f>
        <v>50</v>
      </c>
      <c r="G356" s="53"/>
      <c r="H356" s="35"/>
      <c r="I356" s="34">
        <f>SUM(U349:U357)</f>
        <v>8.32</v>
      </c>
      <c r="J356" s="38"/>
      <c r="K356" s="31">
        <f>Source!AU149</f>
        <v>50</v>
      </c>
      <c r="L356" s="34">
        <f>SUM(V349:V357)</f>
        <v>50.83</v>
      </c>
      <c r="M356" s="36"/>
    </row>
    <row r="357" spans="1:26" ht="14.25" x14ac:dyDescent="0.2">
      <c r="A357" s="51"/>
      <c r="B357" s="51"/>
      <c r="C357" s="52"/>
      <c r="D357" s="52" t="s">
        <v>796</v>
      </c>
      <c r="E357" s="39" t="s">
        <v>797</v>
      </c>
      <c r="F357" s="40">
        <f>Source!AQ149</f>
        <v>34.659999999999997</v>
      </c>
      <c r="G357" s="41"/>
      <c r="H357" s="42" t="str">
        <f>Source!DI149</f>
        <v>)*1,15</v>
      </c>
      <c r="I357" s="41"/>
      <c r="J357" s="42"/>
      <c r="K357" s="42"/>
      <c r="L357" s="41"/>
      <c r="M357" s="43">
        <f>Source!U149</f>
        <v>1.9929499999999998</v>
      </c>
    </row>
    <row r="358" spans="1:26" ht="15" x14ac:dyDescent="0.25">
      <c r="H358" s="66">
        <f>I351+I352+I354+I355+I356</f>
        <v>39.28</v>
      </c>
      <c r="I358" s="66"/>
      <c r="K358" s="66">
        <f>L351+L352+L354+L355+L356</f>
        <v>240</v>
      </c>
      <c r="L358" s="66"/>
      <c r="M358" s="44">
        <f>Source!U149</f>
        <v>1.9929499999999998</v>
      </c>
      <c r="O358" s="27">
        <f>H358</f>
        <v>39.28</v>
      </c>
      <c r="P358" s="27">
        <f>K358</f>
        <v>240</v>
      </c>
      <c r="Q358" s="27">
        <f>M358</f>
        <v>1.9929499999999998</v>
      </c>
      <c r="W358">
        <f>IF(Source!BI149&lt;=1,I351+I352+I354+I355+I356, 0)</f>
        <v>39.28</v>
      </c>
      <c r="X358">
        <f>IF(Source!BI149=2,I351+I352+I354+I355+I356, 0)</f>
        <v>0</v>
      </c>
      <c r="Y358">
        <f>IF(Source!BI149=3,I351+I352+I354+I355+I356, 0)</f>
        <v>0</v>
      </c>
      <c r="Z358">
        <f>IF(Source!BI149=4,I351+I352+I354+I355+I356, 0)</f>
        <v>0</v>
      </c>
    </row>
    <row r="359" spans="1:26" ht="42.75" x14ac:dyDescent="0.2">
      <c r="A359" s="49">
        <v>64</v>
      </c>
      <c r="B359" s="49" t="str">
        <f>Source!E151</f>
        <v>34</v>
      </c>
      <c r="C359" s="50" t="str">
        <f>Source!F151</f>
        <v>16-04-005-01</v>
      </c>
      <c r="D359" s="50" t="str">
        <f>Source!G151</f>
        <v>Прокладка внутренних трубопроводов водоснабжения и отопления из полипропиленовых труб 20 мм</v>
      </c>
      <c r="E359" s="33" t="str">
        <f>Source!H151</f>
        <v>100 м</v>
      </c>
      <c r="F359" s="12">
        <f>Source!I151</f>
        <v>0.05</v>
      </c>
      <c r="G359" s="34">
        <f>Source!AL151+Source!AM151+Source!AO151</f>
        <v>1428.21</v>
      </c>
      <c r="H359" s="35"/>
      <c r="I359" s="34"/>
      <c r="J359" s="35" t="str">
        <f>Source!BO151</f>
        <v/>
      </c>
      <c r="K359" s="35"/>
      <c r="L359" s="34"/>
      <c r="M359" s="36"/>
      <c r="S359">
        <f>ROUND((Source!FX151/100)*((ROUND(Source!AF151*Source!I151, 2)+ROUND(Source!AE151*Source!I151, 2))), 2)</f>
        <v>61.08</v>
      </c>
      <c r="T359">
        <f>Source!X151</f>
        <v>372.54</v>
      </c>
      <c r="U359">
        <f>ROUND((Source!FY151/100)*((ROUND(Source!AF151*Source!I151, 2)+ROUND(Source!AE151*Source!I151, 2))), 2)</f>
        <v>37.409999999999997</v>
      </c>
      <c r="V359">
        <f>Source!Y151</f>
        <v>230</v>
      </c>
    </row>
    <row r="360" spans="1:26" x14ac:dyDescent="0.2">
      <c r="D360" s="26" t="str">
        <f>"Объем: "&amp;Source!I151&amp;"=5/"&amp;"100"</f>
        <v>Объем: 0,05=5/100</v>
      </c>
    </row>
    <row r="361" spans="1:26" ht="14.25" x14ac:dyDescent="0.2">
      <c r="A361" s="49"/>
      <c r="B361" s="49"/>
      <c r="C361" s="50"/>
      <c r="D361" s="50" t="s">
        <v>791</v>
      </c>
      <c r="E361" s="33"/>
      <c r="F361" s="12"/>
      <c r="G361" s="34">
        <f>Source!AO151</f>
        <v>921.99</v>
      </c>
      <c r="H361" s="35" t="str">
        <f>Source!DG151</f>
        <v>)*1,15</v>
      </c>
      <c r="I361" s="34">
        <f>ROUND(Source!AF151*Source!I151, 2)</f>
        <v>53.01</v>
      </c>
      <c r="J361" s="35"/>
      <c r="K361" s="35">
        <f>IF(Source!BA151&lt;&gt; 0, Source!BA151, 1)</f>
        <v>6.11</v>
      </c>
      <c r="L361" s="34">
        <f>Source!S151</f>
        <v>323.92</v>
      </c>
      <c r="M361" s="36"/>
      <c r="R361">
        <f>I361</f>
        <v>53.01</v>
      </c>
    </row>
    <row r="362" spans="1:26" ht="14.25" x14ac:dyDescent="0.2">
      <c r="A362" s="49"/>
      <c r="B362" s="49"/>
      <c r="C362" s="50"/>
      <c r="D362" s="50" t="s">
        <v>356</v>
      </c>
      <c r="E362" s="33"/>
      <c r="F362" s="12"/>
      <c r="G362" s="34">
        <f>Source!AM151</f>
        <v>468.26</v>
      </c>
      <c r="H362" s="35" t="str">
        <f>Source!DE151</f>
        <v>)*1,25</v>
      </c>
      <c r="I362" s="34">
        <f>ROUND(Source!AD151*Source!I151, 2)</f>
        <v>29.27</v>
      </c>
      <c r="J362" s="35"/>
      <c r="K362" s="35">
        <f>IF(Source!BB151&lt;&gt; 0, Source!BB151, 1)</f>
        <v>6.11</v>
      </c>
      <c r="L362" s="34">
        <f>Source!Q151</f>
        <v>178.82</v>
      </c>
      <c r="M362" s="36"/>
    </row>
    <row r="363" spans="1:26" ht="14.25" x14ac:dyDescent="0.2">
      <c r="A363" s="49"/>
      <c r="B363" s="49"/>
      <c r="C363" s="50"/>
      <c r="D363" s="50" t="s">
        <v>792</v>
      </c>
      <c r="E363" s="33"/>
      <c r="F363" s="12"/>
      <c r="G363" s="34">
        <f>Source!AN151</f>
        <v>0.09</v>
      </c>
      <c r="H363" s="35" t="str">
        <f>Source!DF151</f>
        <v>)*1,25</v>
      </c>
      <c r="I363" s="37">
        <f>ROUND(Source!AE151*Source!I151, 2)</f>
        <v>0.01</v>
      </c>
      <c r="J363" s="35"/>
      <c r="K363" s="35">
        <f>IF(Source!BS151&lt;&gt; 0, Source!BS151, 1)</f>
        <v>6.11</v>
      </c>
      <c r="L363" s="37">
        <f>Source!R151</f>
        <v>0.03</v>
      </c>
      <c r="M363" s="36"/>
      <c r="R363">
        <f>I363</f>
        <v>0.01</v>
      </c>
    </row>
    <row r="364" spans="1:26" ht="14.25" x14ac:dyDescent="0.2">
      <c r="A364" s="49"/>
      <c r="B364" s="49"/>
      <c r="C364" s="50"/>
      <c r="D364" s="50" t="s">
        <v>798</v>
      </c>
      <c r="E364" s="33"/>
      <c r="F364" s="12"/>
      <c r="G364" s="34">
        <f>Source!AL151</f>
        <v>37.96</v>
      </c>
      <c r="H364" s="35" t="str">
        <f>Source!DD151</f>
        <v/>
      </c>
      <c r="I364" s="34">
        <f>ROUND(Source!AC151*Source!I151, 2)</f>
        <v>1.9</v>
      </c>
      <c r="J364" s="35"/>
      <c r="K364" s="35">
        <f>IF(Source!BC151&lt;&gt; 0, Source!BC151, 1)</f>
        <v>6.11</v>
      </c>
      <c r="L364" s="34">
        <f>Source!P151</f>
        <v>11.6</v>
      </c>
      <c r="M364" s="36"/>
    </row>
    <row r="365" spans="1:26" ht="14.25" x14ac:dyDescent="0.2">
      <c r="A365" s="49"/>
      <c r="B365" s="49"/>
      <c r="C365" s="50"/>
      <c r="D365" s="50" t="s">
        <v>793</v>
      </c>
      <c r="E365" s="33" t="s">
        <v>794</v>
      </c>
      <c r="F365" s="12">
        <f>Source!BZ151</f>
        <v>128</v>
      </c>
      <c r="G365" s="67" t="str">
        <f>CONCATENATE(" )", Source!DL151, Source!FT151, "=", Source!FX151)</f>
        <v xml:space="preserve"> )*0,9=115,2</v>
      </c>
      <c r="H365" s="68"/>
      <c r="I365" s="34">
        <f>SUM(S359:S369)</f>
        <v>61.08</v>
      </c>
      <c r="J365" s="38"/>
      <c r="K365" s="31">
        <f>Source!AT151</f>
        <v>115</v>
      </c>
      <c r="L365" s="34">
        <f>SUM(T359:T369)</f>
        <v>372.54</v>
      </c>
      <c r="M365" s="36"/>
    </row>
    <row r="366" spans="1:26" ht="14.25" x14ac:dyDescent="0.2">
      <c r="A366" s="49"/>
      <c r="B366" s="49"/>
      <c r="C366" s="50"/>
      <c r="D366" s="50" t="s">
        <v>795</v>
      </c>
      <c r="E366" s="33" t="s">
        <v>794</v>
      </c>
      <c r="F366" s="12">
        <f>Source!CA151</f>
        <v>83</v>
      </c>
      <c r="G366" s="67" t="str">
        <f>CONCATENATE(" )", Source!DM151, Source!FU151, "=", Source!FY151)</f>
        <v xml:space="preserve"> )*0,85=70,55</v>
      </c>
      <c r="H366" s="68"/>
      <c r="I366" s="34">
        <f>SUM(U359:U369)</f>
        <v>37.409999999999997</v>
      </c>
      <c r="J366" s="38"/>
      <c r="K366" s="31">
        <f>Source!AU151</f>
        <v>71</v>
      </c>
      <c r="L366" s="34">
        <f>SUM(V359:V369)</f>
        <v>230</v>
      </c>
      <c r="M366" s="36"/>
    </row>
    <row r="367" spans="1:26" ht="14.25" x14ac:dyDescent="0.2">
      <c r="A367" s="49"/>
      <c r="B367" s="49"/>
      <c r="C367" s="50"/>
      <c r="D367" s="50" t="s">
        <v>796</v>
      </c>
      <c r="E367" s="33" t="s">
        <v>797</v>
      </c>
      <c r="F367" s="12">
        <f>Source!AQ151</f>
        <v>96.95</v>
      </c>
      <c r="G367" s="34"/>
      <c r="H367" s="35" t="str">
        <f>Source!DI151</f>
        <v>)*1,15</v>
      </c>
      <c r="I367" s="34"/>
      <c r="J367" s="35"/>
      <c r="K367" s="35"/>
      <c r="L367" s="34"/>
      <c r="M367" s="45">
        <f>Source!U151</f>
        <v>5.5746250000000002</v>
      </c>
    </row>
    <row r="368" spans="1:26" ht="28.5" x14ac:dyDescent="0.2">
      <c r="A368" s="49">
        <v>65</v>
      </c>
      <c r="B368" s="49" t="str">
        <f>Source!E153</f>
        <v>34,1</v>
      </c>
      <c r="C368" s="50" t="str">
        <f>Source!F153</f>
        <v>24.1.02.01-0113</v>
      </c>
      <c r="D368" s="50" t="str">
        <f>Source!G153</f>
        <v>Хомуты для крепления труб</v>
      </c>
      <c r="E368" s="33" t="str">
        <f>Source!H153</f>
        <v>шт.</v>
      </c>
      <c r="F368" s="12">
        <f>Source!I153</f>
        <v>7.15</v>
      </c>
      <c r="G368" s="34">
        <f>Source!AL153+Source!AM153+Source!AO153</f>
        <v>8.09</v>
      </c>
      <c r="H368" s="48" t="s">
        <v>6</v>
      </c>
      <c r="I368" s="34">
        <f>ROUND(Source!AC153*Source!I153, 2)+ROUND(Source!AD153*Source!I153, 2)+ROUND(Source!AF153*Source!I153, 2)</f>
        <v>57.84</v>
      </c>
      <c r="J368" s="35"/>
      <c r="K368" s="35">
        <f>IF(Source!BC153&lt;&gt; 0, Source!BC153, 1)</f>
        <v>6.11</v>
      </c>
      <c r="L368" s="34">
        <f>Source!O153</f>
        <v>353.42</v>
      </c>
      <c r="M368" s="36"/>
      <c r="S368">
        <f>ROUND((Source!FX153/100)*((ROUND(Source!AF153*Source!I153, 2)+ROUND(Source!AE153*Source!I153, 2))), 2)</f>
        <v>0</v>
      </c>
      <c r="T368">
        <f>Source!X153</f>
        <v>0</v>
      </c>
      <c r="U368">
        <f>ROUND((Source!FY153/100)*((ROUND(Source!AF153*Source!I153, 2)+ROUND(Source!AE153*Source!I153, 2))), 2)</f>
        <v>0</v>
      </c>
      <c r="V368">
        <f>Source!Y153</f>
        <v>0</v>
      </c>
      <c r="W368">
        <f>IF(Source!BI153&lt;=1,I368, 0)</f>
        <v>57.84</v>
      </c>
      <c r="X368">
        <f>IF(Source!BI153=2,I368, 0)</f>
        <v>0</v>
      </c>
      <c r="Y368">
        <f>IF(Source!BI153=3,I368, 0)</f>
        <v>0</v>
      </c>
      <c r="Z368">
        <f>IF(Source!BI153=4,I368, 0)</f>
        <v>0</v>
      </c>
    </row>
    <row r="369" spans="1:26" ht="85.5" x14ac:dyDescent="0.2">
      <c r="A369" s="51">
        <v>66</v>
      </c>
      <c r="B369" s="51" t="str">
        <f>Source!E155</f>
        <v>34,2</v>
      </c>
      <c r="C369" s="52" t="str">
        <f>Source!F155</f>
        <v>24.3.02.01-0002</v>
      </c>
      <c r="D369" s="52" t="str">
        <f>Source!G155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E369" s="39" t="str">
        <f>Source!H155</f>
        <v>м</v>
      </c>
      <c r="F369" s="40">
        <f>Source!I155</f>
        <v>5.0250000000000004</v>
      </c>
      <c r="G369" s="41">
        <f>Source!AL155+Source!AM155+Source!AO155</f>
        <v>4.5999999999999996</v>
      </c>
      <c r="H369" s="46" t="s">
        <v>6</v>
      </c>
      <c r="I369" s="41">
        <f>ROUND(Source!AC155*Source!I155, 2)+ROUND(Source!AD155*Source!I155, 2)+ROUND(Source!AF155*Source!I155, 2)</f>
        <v>23.12</v>
      </c>
      <c r="J369" s="42"/>
      <c r="K369" s="42">
        <f>IF(Source!BC155&lt;&gt; 0, Source!BC155, 1)</f>
        <v>6.11</v>
      </c>
      <c r="L369" s="41">
        <f>Source!O155</f>
        <v>141.22999999999999</v>
      </c>
      <c r="M369" s="47"/>
      <c r="S369">
        <f>ROUND((Source!FX155/100)*((ROUND(Source!AF155*Source!I155, 2)+ROUND(Source!AE155*Source!I155, 2))), 2)</f>
        <v>0</v>
      </c>
      <c r="T369">
        <f>Source!X155</f>
        <v>0</v>
      </c>
      <c r="U369">
        <f>ROUND((Source!FY155/100)*((ROUND(Source!AF155*Source!I155, 2)+ROUND(Source!AE155*Source!I155, 2))), 2)</f>
        <v>0</v>
      </c>
      <c r="V369">
        <f>Source!Y155</f>
        <v>0</v>
      </c>
      <c r="W369">
        <f>IF(Source!BI155&lt;=1,I369, 0)</f>
        <v>23.12</v>
      </c>
      <c r="X369">
        <f>IF(Source!BI155=2,I369, 0)</f>
        <v>0</v>
      </c>
      <c r="Y369">
        <f>IF(Source!BI155=3,I369, 0)</f>
        <v>0</v>
      </c>
      <c r="Z369">
        <f>IF(Source!BI155=4,I369, 0)</f>
        <v>0</v>
      </c>
    </row>
    <row r="370" spans="1:26" ht="15" x14ac:dyDescent="0.25">
      <c r="H370" s="66">
        <f>I361+I362+I364+I365+I366+SUM(I368:I369)</f>
        <v>263.63</v>
      </c>
      <c r="I370" s="66"/>
      <c r="K370" s="66">
        <f>L361+L362+L364+L365+L366+SUM(L368:L369)</f>
        <v>1611.5300000000002</v>
      </c>
      <c r="L370" s="66"/>
      <c r="M370" s="44">
        <f>Source!U151</f>
        <v>5.5746250000000002</v>
      </c>
      <c r="O370" s="27">
        <f>H370</f>
        <v>263.63</v>
      </c>
      <c r="P370" s="27">
        <f>K370</f>
        <v>1611.5300000000002</v>
      </c>
      <c r="Q370" s="27">
        <f>M370</f>
        <v>5.5746250000000002</v>
      </c>
      <c r="W370">
        <f>IF(Source!BI151&lt;=1,I361+I362+I364+I365+I366, 0)</f>
        <v>182.67</v>
      </c>
      <c r="X370">
        <f>IF(Source!BI151=2,I361+I362+I364+I365+I366, 0)</f>
        <v>0</v>
      </c>
      <c r="Y370">
        <f>IF(Source!BI151=3,I361+I362+I364+I365+I366, 0)</f>
        <v>0</v>
      </c>
      <c r="Z370">
        <f>IF(Source!BI151=4,I361+I362+I364+I365+I366, 0)</f>
        <v>0</v>
      </c>
    </row>
    <row r="372" spans="1:26" ht="15" x14ac:dyDescent="0.25">
      <c r="A372" s="70" t="str">
        <f>CONCATENATE("Итого по локальной смете: ",IF(Source!G157&lt;&gt;"Новая локальная смета", Source!G157, ""))</f>
        <v xml:space="preserve">Итого по локальной смете: </v>
      </c>
      <c r="B372" s="70"/>
      <c r="C372" s="70"/>
      <c r="D372" s="70"/>
      <c r="E372" s="70"/>
      <c r="F372" s="70"/>
      <c r="G372" s="70"/>
      <c r="H372" s="69">
        <f>SUM(O35:O371)</f>
        <v>52461.21</v>
      </c>
      <c r="I372" s="69"/>
      <c r="J372" s="30"/>
      <c r="K372" s="69">
        <f>SUM(P35:P371)</f>
        <v>320622.19</v>
      </c>
      <c r="L372" s="69"/>
      <c r="M372" s="44">
        <f>SUM(Q35:Q371)</f>
        <v>393.16231420000003</v>
      </c>
    </row>
    <row r="375" spans="1:26" ht="14.25" x14ac:dyDescent="0.2">
      <c r="D375" s="77" t="str">
        <f>Source!H185</f>
        <v>Всего с НР и СП</v>
      </c>
      <c r="E375" s="77"/>
      <c r="F375" s="77"/>
      <c r="G375" s="77"/>
      <c r="H375" s="77"/>
      <c r="I375" s="77"/>
      <c r="J375" s="77"/>
      <c r="K375" s="74">
        <f>IF(Source!P185=0, "", Source!P185)</f>
        <v>320622.19</v>
      </c>
      <c r="L375" s="74"/>
    </row>
    <row r="376" spans="1:26" ht="14.25" x14ac:dyDescent="0.2">
      <c r="D376" s="77" t="str">
        <f>Source!H186</f>
        <v>НДС 18%</v>
      </c>
      <c r="E376" s="77"/>
      <c r="F376" s="77"/>
      <c r="G376" s="77"/>
      <c r="H376" s="77"/>
      <c r="I376" s="77"/>
      <c r="J376" s="77"/>
      <c r="K376" s="74">
        <f>IF(Source!P186=0, "", Source!P186)</f>
        <v>57711.99</v>
      </c>
      <c r="L376" s="74"/>
    </row>
    <row r="377" spans="1:26" ht="14.25" x14ac:dyDescent="0.2">
      <c r="D377" s="77" t="str">
        <f>Source!H187</f>
        <v>Всего по смете</v>
      </c>
      <c r="E377" s="77"/>
      <c r="F377" s="77"/>
      <c r="G377" s="77"/>
      <c r="H377" s="77"/>
      <c r="I377" s="77"/>
      <c r="J377" s="77"/>
      <c r="K377" s="74">
        <f>IF(Source!P187=0, "", Source!P187)</f>
        <v>378334.18</v>
      </c>
      <c r="L377" s="74"/>
    </row>
    <row r="380" spans="1:26" ht="14.25" x14ac:dyDescent="0.2">
      <c r="A380" s="13"/>
      <c r="B380" s="13"/>
      <c r="C380" s="86" t="s">
        <v>831</v>
      </c>
      <c r="D380" s="86"/>
      <c r="E380" s="28" t="str">
        <f>IF(Source!AM12&lt;&gt;"", Source!AM12," ")</f>
        <v xml:space="preserve"> </v>
      </c>
      <c r="F380" s="28"/>
      <c r="G380" s="28"/>
      <c r="H380" s="28"/>
      <c r="I380" s="28"/>
      <c r="J380" s="13" t="str">
        <f>IF(Source!AL12&lt;&gt;"", Source!AL12," ")</f>
        <v xml:space="preserve"> </v>
      </c>
      <c r="K380" s="13"/>
      <c r="L380" s="13"/>
      <c r="M380" s="13"/>
    </row>
    <row r="381" spans="1:26" ht="14.25" x14ac:dyDescent="0.2">
      <c r="A381" s="13"/>
      <c r="B381" s="13"/>
      <c r="C381" s="13"/>
      <c r="D381" s="13"/>
      <c r="E381" s="72" t="s">
        <v>800</v>
      </c>
      <c r="F381" s="72"/>
      <c r="G381" s="72"/>
      <c r="H381" s="72"/>
      <c r="I381" s="72"/>
      <c r="J381" s="13"/>
      <c r="K381" s="13"/>
      <c r="L381" s="13"/>
      <c r="M381" s="13"/>
    </row>
    <row r="382" spans="1:26" ht="14.25" x14ac:dyDescent="0.2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</row>
    <row r="383" spans="1:26" ht="14.25" x14ac:dyDescent="0.2">
      <c r="A383" s="13"/>
      <c r="B383" s="13"/>
      <c r="C383" s="86" t="s">
        <v>832</v>
      </c>
      <c r="D383" s="86"/>
      <c r="E383" s="28" t="str">
        <f>IF(Source!AI12&lt;&gt;"", Source!AI12," ")</f>
        <v xml:space="preserve"> </v>
      </c>
      <c r="F383" s="28"/>
      <c r="G383" s="28"/>
      <c r="H383" s="28"/>
      <c r="I383" s="28"/>
      <c r="J383" s="13" t="str">
        <f>IF(Source!AH12&lt;&gt;"", Source!AH12," ")</f>
        <v xml:space="preserve"> </v>
      </c>
      <c r="K383" s="13"/>
      <c r="L383" s="13"/>
      <c r="M383" s="13"/>
    </row>
    <row r="384" spans="1:26" ht="14.25" x14ac:dyDescent="0.2">
      <c r="A384" s="13"/>
      <c r="B384" s="13"/>
      <c r="C384" s="13"/>
      <c r="D384" s="13"/>
      <c r="E384" s="72" t="s">
        <v>800</v>
      </c>
      <c r="F384" s="72"/>
      <c r="G384" s="72"/>
      <c r="H384" s="72"/>
      <c r="I384" s="72"/>
      <c r="J384" s="13"/>
      <c r="K384" s="13"/>
      <c r="L384" s="13"/>
      <c r="M384" s="13"/>
    </row>
  </sheetData>
  <mergeCells count="166">
    <mergeCell ref="A9:B9"/>
    <mergeCell ref="C9:I9"/>
    <mergeCell ref="C10:I10"/>
    <mergeCell ref="K10:M11"/>
    <mergeCell ref="A11:B11"/>
    <mergeCell ref="C11:I11"/>
    <mergeCell ref="J2:M2"/>
    <mergeCell ref="I3:M3"/>
    <mergeCell ref="J4:M4"/>
    <mergeCell ref="K6:M6"/>
    <mergeCell ref="K7:M7"/>
    <mergeCell ref="K8:M9"/>
    <mergeCell ref="A17:B17"/>
    <mergeCell ref="C17:I17"/>
    <mergeCell ref="C18:I18"/>
    <mergeCell ref="H19:J19"/>
    <mergeCell ref="K19:M19"/>
    <mergeCell ref="C12:I12"/>
    <mergeCell ref="K12:M13"/>
    <mergeCell ref="A13:B13"/>
    <mergeCell ref="C13:I13"/>
    <mergeCell ref="C14:I14"/>
    <mergeCell ref="K14:M15"/>
    <mergeCell ref="A15:B15"/>
    <mergeCell ref="C15:I15"/>
    <mergeCell ref="H20:I20"/>
    <mergeCell ref="K20:M20"/>
    <mergeCell ref="K21:M21"/>
    <mergeCell ref="K22:M22"/>
    <mergeCell ref="G24:G25"/>
    <mergeCell ref="H24:H25"/>
    <mergeCell ref="I24:J24"/>
    <mergeCell ref="C16:I16"/>
    <mergeCell ref="K16:M17"/>
    <mergeCell ref="B28:M28"/>
    <mergeCell ref="B29:M29"/>
    <mergeCell ref="A31:M31"/>
    <mergeCell ref="A32:B32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D375:J375"/>
    <mergeCell ref="K375:L375"/>
    <mergeCell ref="G93:H93"/>
    <mergeCell ref="G92:H92"/>
    <mergeCell ref="K87:L87"/>
    <mergeCell ref="H87:I87"/>
    <mergeCell ref="G84:H84"/>
    <mergeCell ref="G83:H83"/>
    <mergeCell ref="K78:L78"/>
    <mergeCell ref="H78:I78"/>
    <mergeCell ref="H250:I250"/>
    <mergeCell ref="K241:L241"/>
    <mergeCell ref="H241:I241"/>
    <mergeCell ref="K146:L146"/>
    <mergeCell ref="H146:I146"/>
    <mergeCell ref="G143:H143"/>
    <mergeCell ref="G142:H142"/>
    <mergeCell ref="K135:L135"/>
    <mergeCell ref="H135:I135"/>
    <mergeCell ref="G164:H164"/>
    <mergeCell ref="G163:H163"/>
    <mergeCell ref="K156:L156"/>
    <mergeCell ref="H156:I156"/>
    <mergeCell ref="G154:H154"/>
    <mergeCell ref="G73:H73"/>
    <mergeCell ref="C383:D383"/>
    <mergeCell ref="E384:I384"/>
    <mergeCell ref="K107:L107"/>
    <mergeCell ref="H107:I107"/>
    <mergeCell ref="K95:L95"/>
    <mergeCell ref="H95:I95"/>
    <mergeCell ref="K176:L176"/>
    <mergeCell ref="H176:I176"/>
    <mergeCell ref="K169:L169"/>
    <mergeCell ref="H169:I169"/>
    <mergeCell ref="D376:J376"/>
    <mergeCell ref="K376:L376"/>
    <mergeCell ref="D377:J377"/>
    <mergeCell ref="K377:L377"/>
    <mergeCell ref="C380:D380"/>
    <mergeCell ref="E381:I381"/>
    <mergeCell ref="K128:L128"/>
    <mergeCell ref="H128:I128"/>
    <mergeCell ref="K119:L119"/>
    <mergeCell ref="H119:I119"/>
    <mergeCell ref="G256:H256"/>
    <mergeCell ref="G255:H255"/>
    <mergeCell ref="K250:L250"/>
    <mergeCell ref="G51:H51"/>
    <mergeCell ref="G50:H50"/>
    <mergeCell ref="K43:L43"/>
    <mergeCell ref="H43:I43"/>
    <mergeCell ref="G41:H41"/>
    <mergeCell ref="G40:H40"/>
    <mergeCell ref="G72:H72"/>
    <mergeCell ref="K65:L65"/>
    <mergeCell ref="H65:I65"/>
    <mergeCell ref="G62:H62"/>
    <mergeCell ref="G61:H61"/>
    <mergeCell ref="K54:L54"/>
    <mergeCell ref="H54:I54"/>
    <mergeCell ref="G153:H153"/>
    <mergeCell ref="G184:H184"/>
    <mergeCell ref="G183:H183"/>
    <mergeCell ref="H303:I303"/>
    <mergeCell ref="K301:L301"/>
    <mergeCell ref="H301:I301"/>
    <mergeCell ref="K299:L299"/>
    <mergeCell ref="H299:I299"/>
    <mergeCell ref="G296:H296"/>
    <mergeCell ref="G295:H295"/>
    <mergeCell ref="K289:L289"/>
    <mergeCell ref="K207:L207"/>
    <mergeCell ref="H207:I207"/>
    <mergeCell ref="K198:L198"/>
    <mergeCell ref="H198:I198"/>
    <mergeCell ref="K187:L187"/>
    <mergeCell ref="H187:I187"/>
    <mergeCell ref="K230:L230"/>
    <mergeCell ref="H230:I230"/>
    <mergeCell ref="K220:L220"/>
    <mergeCell ref="H220:I220"/>
    <mergeCell ref="G215:H215"/>
    <mergeCell ref="G214:H214"/>
    <mergeCell ref="G267:H267"/>
    <mergeCell ref="G266:H266"/>
    <mergeCell ref="K260:L260"/>
    <mergeCell ref="H260:I260"/>
    <mergeCell ref="H289:I289"/>
    <mergeCell ref="G287:H287"/>
    <mergeCell ref="G286:H286"/>
    <mergeCell ref="K279:L279"/>
    <mergeCell ref="H279:I279"/>
    <mergeCell ref="G277:H277"/>
    <mergeCell ref="H372:I372"/>
    <mergeCell ref="K372:L372"/>
    <mergeCell ref="A372:G372"/>
    <mergeCell ref="K370:L370"/>
    <mergeCell ref="H370:I370"/>
    <mergeCell ref="G366:H366"/>
    <mergeCell ref="G276:H276"/>
    <mergeCell ref="K269:L269"/>
    <mergeCell ref="H269:I269"/>
    <mergeCell ref="K303:L303"/>
    <mergeCell ref="G332:H332"/>
    <mergeCell ref="G331:H331"/>
    <mergeCell ref="K324:L324"/>
    <mergeCell ref="H324:I324"/>
    <mergeCell ref="K314:L314"/>
    <mergeCell ref="H314:I314"/>
    <mergeCell ref="G365:H365"/>
    <mergeCell ref="K358:L358"/>
    <mergeCell ref="H358:I358"/>
    <mergeCell ref="K348:L348"/>
    <mergeCell ref="H348:I348"/>
    <mergeCell ref="K335:L335"/>
    <mergeCell ref="H335:I335"/>
  </mergeCells>
  <pageMargins left="0.4" right="0.2" top="0.4" bottom="0.4" header="0.2" footer="0.2"/>
  <pageSetup paperSize="9" scale="58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6" t="str">
        <f>Source!B1</f>
        <v>Smeta.RU  (495) 974-1589</v>
      </c>
      <c r="B1" s="156"/>
      <c r="C1" s="156"/>
      <c r="D1" s="156"/>
      <c r="E1" s="13"/>
      <c r="F1" s="13"/>
      <c r="G1" s="13"/>
      <c r="H1" s="157" t="s">
        <v>833</v>
      </c>
      <c r="I1" s="157"/>
      <c r="J1" s="157"/>
      <c r="K1" s="157"/>
      <c r="L1" s="157"/>
    </row>
    <row r="2" spans="1:12" ht="14.25" x14ac:dyDescent="0.2">
      <c r="A2" s="13"/>
      <c r="B2" s="13"/>
      <c r="C2" s="13"/>
      <c r="D2" s="13"/>
      <c r="E2" s="13"/>
      <c r="F2" s="13"/>
      <c r="G2" s="13"/>
      <c r="H2" s="157" t="s">
        <v>802</v>
      </c>
      <c r="I2" s="157"/>
      <c r="J2" s="157"/>
      <c r="K2" s="157"/>
      <c r="L2" s="157"/>
    </row>
    <row r="3" spans="1:12" ht="14.25" x14ac:dyDescent="0.2">
      <c r="A3" s="13"/>
      <c r="B3" s="13"/>
      <c r="C3" s="13"/>
      <c r="D3" s="13"/>
      <c r="E3" s="13"/>
      <c r="F3" s="13"/>
      <c r="G3" s="13"/>
      <c r="H3" s="157" t="s">
        <v>803</v>
      </c>
      <c r="I3" s="157"/>
      <c r="J3" s="157"/>
      <c r="K3" s="157"/>
      <c r="L3" s="157"/>
    </row>
    <row r="4" spans="1:12" ht="14.25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09" t="s">
        <v>834</v>
      </c>
      <c r="L4" s="111"/>
    </row>
    <row r="5" spans="1:12" ht="14.25" x14ac:dyDescent="0.2">
      <c r="A5" s="13"/>
      <c r="B5" s="13"/>
      <c r="C5" s="13"/>
      <c r="D5" s="13"/>
      <c r="E5" s="13"/>
      <c r="F5" s="13"/>
      <c r="G5" s="13"/>
      <c r="H5" s="13"/>
      <c r="I5" s="78" t="s">
        <v>805</v>
      </c>
      <c r="J5" s="78"/>
      <c r="K5" s="109">
        <v>322001</v>
      </c>
      <c r="L5" s="111"/>
    </row>
    <row r="6" spans="1:12" ht="14.25" x14ac:dyDescent="0.2">
      <c r="A6" s="78" t="s">
        <v>835</v>
      </c>
      <c r="B6" s="78"/>
      <c r="C6" s="153"/>
      <c r="D6" s="153"/>
      <c r="E6" s="153"/>
      <c r="F6" s="153"/>
      <c r="G6" s="153"/>
      <c r="H6" s="153"/>
      <c r="I6" s="153"/>
      <c r="J6" s="12" t="s">
        <v>808</v>
      </c>
      <c r="K6" s="109"/>
      <c r="L6" s="111"/>
    </row>
    <row r="7" spans="1:12" ht="14.25" x14ac:dyDescent="0.2">
      <c r="A7" s="13"/>
      <c r="B7" s="13"/>
      <c r="C7" s="151" t="s">
        <v>809</v>
      </c>
      <c r="D7" s="151"/>
      <c r="E7" s="151"/>
      <c r="F7" s="151"/>
      <c r="G7" s="151"/>
      <c r="H7" s="151"/>
      <c r="I7" s="151"/>
      <c r="J7" s="13"/>
      <c r="K7" s="55"/>
      <c r="L7" s="60"/>
    </row>
    <row r="8" spans="1:12" ht="14.25" x14ac:dyDescent="0.2">
      <c r="A8" s="78" t="s">
        <v>836</v>
      </c>
      <c r="B8" s="78"/>
      <c r="C8" s="153"/>
      <c r="D8" s="153"/>
      <c r="E8" s="153"/>
      <c r="F8" s="153"/>
      <c r="G8" s="153"/>
      <c r="H8" s="153"/>
      <c r="I8" s="28"/>
      <c r="J8" s="12" t="s">
        <v>808</v>
      </c>
      <c r="K8" s="154"/>
      <c r="L8" s="155"/>
    </row>
    <row r="9" spans="1:12" ht="14.25" x14ac:dyDescent="0.2">
      <c r="A9" s="13"/>
      <c r="B9" s="13"/>
      <c r="C9" s="151" t="s">
        <v>809</v>
      </c>
      <c r="D9" s="151"/>
      <c r="E9" s="151"/>
      <c r="F9" s="151"/>
      <c r="G9" s="151"/>
      <c r="H9" s="151"/>
      <c r="I9" s="151"/>
      <c r="J9" s="13"/>
      <c r="K9" s="55"/>
      <c r="L9" s="60"/>
    </row>
    <row r="10" spans="1:12" ht="14.25" x14ac:dyDescent="0.2">
      <c r="A10" s="78" t="s">
        <v>837</v>
      </c>
      <c r="B10" s="78"/>
      <c r="C10" s="153"/>
      <c r="D10" s="153"/>
      <c r="E10" s="153"/>
      <c r="F10" s="153"/>
      <c r="G10" s="153"/>
      <c r="H10" s="153"/>
      <c r="I10" s="153"/>
      <c r="J10" s="12" t="s">
        <v>808</v>
      </c>
      <c r="K10" s="154"/>
      <c r="L10" s="155"/>
    </row>
    <row r="11" spans="1:12" ht="14.25" x14ac:dyDescent="0.2">
      <c r="A11" s="13"/>
      <c r="B11" s="13"/>
      <c r="C11" s="151" t="s">
        <v>809</v>
      </c>
      <c r="D11" s="151"/>
      <c r="E11" s="151"/>
      <c r="F11" s="151"/>
      <c r="G11" s="151"/>
      <c r="H11" s="151"/>
      <c r="I11" s="151"/>
      <c r="J11" s="13"/>
      <c r="K11" s="55"/>
      <c r="L11" s="60"/>
    </row>
    <row r="12" spans="1:12" ht="14.25" x14ac:dyDescent="0.2">
      <c r="A12" s="78" t="s">
        <v>838</v>
      </c>
      <c r="B12" s="78"/>
      <c r="C12" s="153"/>
      <c r="D12" s="153"/>
      <c r="E12" s="153"/>
      <c r="F12" s="153"/>
      <c r="G12" s="153"/>
      <c r="H12" s="153"/>
      <c r="I12" s="153"/>
      <c r="J12" s="12" t="s">
        <v>808</v>
      </c>
      <c r="K12" s="154"/>
      <c r="L12" s="155"/>
    </row>
    <row r="13" spans="1:12" ht="14.25" x14ac:dyDescent="0.2">
      <c r="A13" s="13"/>
      <c r="B13" s="13"/>
      <c r="C13" s="151" t="s">
        <v>813</v>
      </c>
      <c r="D13" s="151"/>
      <c r="E13" s="151"/>
      <c r="F13" s="151"/>
      <c r="G13" s="151"/>
      <c r="H13" s="78" t="s">
        <v>839</v>
      </c>
      <c r="I13" s="78"/>
      <c r="J13" s="90"/>
      <c r="K13" s="109"/>
      <c r="L13" s="111"/>
    </row>
    <row r="14" spans="1:12" ht="14.25" x14ac:dyDescent="0.2">
      <c r="A14" s="13"/>
      <c r="B14" s="13"/>
      <c r="C14" s="13"/>
      <c r="D14" s="13"/>
      <c r="E14" s="78" t="s">
        <v>840</v>
      </c>
      <c r="F14" s="78"/>
      <c r="G14" s="78"/>
      <c r="H14" s="78"/>
      <c r="I14" s="152" t="s">
        <v>818</v>
      </c>
      <c r="J14" s="120"/>
      <c r="K14" s="109"/>
      <c r="L14" s="111"/>
    </row>
    <row r="15" spans="1:12" ht="14.25" x14ac:dyDescent="0.2">
      <c r="A15" s="13"/>
      <c r="B15" s="13"/>
      <c r="C15" s="13"/>
      <c r="D15" s="13"/>
      <c r="E15" s="13"/>
      <c r="F15" s="13"/>
      <c r="G15" s="13"/>
      <c r="H15" s="13"/>
      <c r="I15" s="131" t="s">
        <v>819</v>
      </c>
      <c r="J15" s="132"/>
      <c r="K15" s="133"/>
      <c r="L15" s="134"/>
    </row>
    <row r="16" spans="1:12" ht="14.25" x14ac:dyDescent="0.2">
      <c r="A16" s="13"/>
      <c r="B16" s="13"/>
      <c r="C16" s="13"/>
      <c r="D16" s="13"/>
      <c r="E16" s="13"/>
      <c r="F16" s="13"/>
      <c r="G16" s="13"/>
      <c r="H16" s="13"/>
      <c r="I16" s="120" t="s">
        <v>841</v>
      </c>
      <c r="J16" s="120"/>
      <c r="K16" s="135"/>
      <c r="L16" s="136"/>
    </row>
    <row r="17" spans="1:1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14.25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 ht="14.25" x14ac:dyDescent="0.2">
      <c r="A19" s="13"/>
      <c r="B19" s="13"/>
      <c r="C19" s="137" t="s">
        <v>821</v>
      </c>
      <c r="D19" s="138"/>
      <c r="E19" s="137" t="s">
        <v>822</v>
      </c>
      <c r="F19" s="141"/>
      <c r="G19" s="13"/>
      <c r="H19" s="13"/>
      <c r="I19" s="137" t="s">
        <v>823</v>
      </c>
      <c r="J19" s="138"/>
      <c r="K19" s="138"/>
      <c r="L19" s="141"/>
    </row>
    <row r="20" spans="1:12" ht="14.25" x14ac:dyDescent="0.2">
      <c r="A20" s="13"/>
      <c r="B20" s="13"/>
      <c r="C20" s="139"/>
      <c r="D20" s="140"/>
      <c r="E20" s="139"/>
      <c r="F20" s="142"/>
      <c r="G20" s="13"/>
      <c r="H20" s="13"/>
      <c r="I20" s="143" t="s">
        <v>824</v>
      </c>
      <c r="J20" s="144"/>
      <c r="K20" s="143" t="s">
        <v>825</v>
      </c>
      <c r="L20" s="145"/>
    </row>
    <row r="21" spans="1:12" ht="14.25" x14ac:dyDescent="0.2">
      <c r="A21" s="13"/>
      <c r="B21" s="13"/>
      <c r="C21" s="146"/>
      <c r="D21" s="147"/>
      <c r="E21" s="148"/>
      <c r="F21" s="149"/>
      <c r="G21" s="61"/>
      <c r="H21" s="61"/>
      <c r="I21" s="148"/>
      <c r="J21" s="150"/>
      <c r="K21" s="148"/>
      <c r="L21" s="149"/>
    </row>
    <row r="22" spans="1:12" ht="14.25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spans="1:12" ht="14.25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ht="18" x14ac:dyDescent="0.25">
      <c r="A24" s="87" t="s">
        <v>842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</row>
    <row r="25" spans="1:12" ht="18" x14ac:dyDescent="0.25">
      <c r="A25" s="87" t="s">
        <v>843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</row>
    <row r="26" spans="1:12" ht="14.25" x14ac:dyDescent="0.2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12" ht="14.25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1:12" ht="14.25" x14ac:dyDescent="0.2">
      <c r="A28" s="125" t="s">
        <v>778</v>
      </c>
      <c r="B28" s="125" t="s">
        <v>844</v>
      </c>
      <c r="C28" s="127"/>
      <c r="D28" s="127"/>
      <c r="E28" s="127"/>
      <c r="F28" s="125" t="s">
        <v>804</v>
      </c>
      <c r="G28" s="125" t="s">
        <v>845</v>
      </c>
      <c r="H28" s="127"/>
      <c r="I28" s="127"/>
      <c r="J28" s="127"/>
      <c r="K28" s="127"/>
      <c r="L28" s="129"/>
    </row>
    <row r="29" spans="1:12" x14ac:dyDescent="0.2">
      <c r="A29" s="126"/>
      <c r="B29" s="126"/>
      <c r="C29" s="128"/>
      <c r="D29" s="128"/>
      <c r="E29" s="128"/>
      <c r="F29" s="126"/>
      <c r="G29" s="125" t="s">
        <v>846</v>
      </c>
      <c r="H29" s="127"/>
      <c r="I29" s="125" t="s">
        <v>847</v>
      </c>
      <c r="J29" s="127"/>
      <c r="K29" s="125" t="s">
        <v>848</v>
      </c>
      <c r="L29" s="129"/>
    </row>
    <row r="30" spans="1:12" x14ac:dyDescent="0.2">
      <c r="A30" s="126"/>
      <c r="B30" s="126"/>
      <c r="C30" s="128"/>
      <c r="D30" s="128"/>
      <c r="E30" s="128"/>
      <c r="F30" s="126"/>
      <c r="G30" s="126"/>
      <c r="H30" s="128"/>
      <c r="I30" s="126"/>
      <c r="J30" s="128"/>
      <c r="K30" s="126"/>
      <c r="L30" s="130"/>
    </row>
    <row r="31" spans="1:12" x14ac:dyDescent="0.2">
      <c r="A31" s="126"/>
      <c r="B31" s="126"/>
      <c r="C31" s="128"/>
      <c r="D31" s="128"/>
      <c r="E31" s="128"/>
      <c r="F31" s="126"/>
      <c r="G31" s="126"/>
      <c r="H31" s="128"/>
      <c r="I31" s="126"/>
      <c r="J31" s="128"/>
      <c r="K31" s="126"/>
      <c r="L31" s="130"/>
    </row>
    <row r="32" spans="1:12" x14ac:dyDescent="0.2">
      <c r="A32" s="126"/>
      <c r="B32" s="126"/>
      <c r="C32" s="128"/>
      <c r="D32" s="128"/>
      <c r="E32" s="128"/>
      <c r="F32" s="126"/>
      <c r="G32" s="126"/>
      <c r="H32" s="128"/>
      <c r="I32" s="126"/>
      <c r="J32" s="128"/>
      <c r="K32" s="126"/>
      <c r="L32" s="130"/>
    </row>
    <row r="33" spans="1:12" ht="14.25" x14ac:dyDescent="0.2">
      <c r="A33" s="55">
        <v>1</v>
      </c>
      <c r="B33" s="109">
        <v>2</v>
      </c>
      <c r="C33" s="110"/>
      <c r="D33" s="110"/>
      <c r="E33" s="110"/>
      <c r="F33" s="55">
        <v>3</v>
      </c>
      <c r="G33" s="109">
        <v>4</v>
      </c>
      <c r="H33" s="110"/>
      <c r="I33" s="109">
        <v>5</v>
      </c>
      <c r="J33" s="110"/>
      <c r="K33" s="109">
        <v>6</v>
      </c>
      <c r="L33" s="111"/>
    </row>
    <row r="34" spans="1:12" ht="14.25" x14ac:dyDescent="0.2">
      <c r="A34" s="62"/>
      <c r="B34" s="112" t="s">
        <v>849</v>
      </c>
      <c r="C34" s="113"/>
      <c r="D34" s="113"/>
      <c r="E34" s="113"/>
      <c r="F34" s="63"/>
      <c r="G34" s="114"/>
      <c r="H34" s="115"/>
      <c r="I34" s="114"/>
      <c r="J34" s="115"/>
      <c r="K34" s="114"/>
      <c r="L34" s="116"/>
    </row>
    <row r="35" spans="1:12" ht="14.25" x14ac:dyDescent="0.2">
      <c r="A35" s="64"/>
      <c r="B35" s="117" t="s">
        <v>850</v>
      </c>
      <c r="C35" s="118"/>
      <c r="D35" s="118"/>
      <c r="E35" s="118"/>
      <c r="F35" s="118"/>
      <c r="G35" s="118"/>
      <c r="H35" s="118"/>
      <c r="I35" s="118"/>
      <c r="J35" s="118"/>
      <c r="K35" s="113"/>
      <c r="L35" s="119"/>
    </row>
    <row r="36" spans="1:12" ht="14.25" x14ac:dyDescent="0.2">
      <c r="A36" s="120" t="s">
        <v>851</v>
      </c>
      <c r="B36" s="120"/>
      <c r="C36" s="120"/>
      <c r="D36" s="120"/>
      <c r="E36" s="120"/>
      <c r="F36" s="120"/>
      <c r="G36" s="120"/>
      <c r="H36" s="120"/>
      <c r="I36" s="120"/>
      <c r="J36" s="121"/>
      <c r="K36" s="122"/>
      <c r="L36" s="121"/>
    </row>
    <row r="37" spans="1:12" ht="14.25" x14ac:dyDescent="0.2">
      <c r="A37" s="106" t="s">
        <v>852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23"/>
      <c r="L37" s="124"/>
    </row>
    <row r="38" spans="1:12" ht="14.25" x14ac:dyDescent="0.2">
      <c r="A38" s="106" t="s">
        <v>853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7"/>
      <c r="L38" s="108"/>
    </row>
    <row r="39" spans="1:12" ht="14.25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</row>
    <row r="42" spans="1:12" ht="14.25" x14ac:dyDescent="0.2">
      <c r="A42" s="103" t="s">
        <v>836</v>
      </c>
      <c r="B42" s="103"/>
      <c r="C42" s="104"/>
      <c r="D42" s="104"/>
      <c r="E42" s="104"/>
      <c r="F42" s="13"/>
      <c r="G42" s="104"/>
      <c r="H42" s="104"/>
      <c r="I42" s="13"/>
      <c r="J42" s="104"/>
      <c r="K42" s="104"/>
      <c r="L42" s="104"/>
    </row>
    <row r="43" spans="1:12" ht="14.25" x14ac:dyDescent="0.2">
      <c r="A43" s="13"/>
      <c r="B43" s="13"/>
      <c r="C43" s="105" t="s">
        <v>854</v>
      </c>
      <c r="D43" s="105"/>
      <c r="E43" s="105"/>
      <c r="F43" s="13"/>
      <c r="G43" s="105" t="s">
        <v>855</v>
      </c>
      <c r="H43" s="105"/>
      <c r="I43" s="13"/>
      <c r="J43" s="105" t="s">
        <v>856</v>
      </c>
      <c r="K43" s="105"/>
      <c r="L43" s="105"/>
    </row>
    <row r="44" spans="1:12" ht="14.25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</row>
    <row r="45" spans="1:12" ht="14.25" x14ac:dyDescent="0.2">
      <c r="A45" s="12" t="s">
        <v>857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</row>
    <row r="46" spans="1:12" ht="14.25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12" ht="14.25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1:12" ht="14.25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ht="14.25" x14ac:dyDescent="0.2">
      <c r="A49" s="103" t="s">
        <v>837</v>
      </c>
      <c r="B49" s="103"/>
      <c r="C49" s="104"/>
      <c r="D49" s="104"/>
      <c r="E49" s="104"/>
      <c r="F49" s="13"/>
      <c r="G49" s="104"/>
      <c r="H49" s="104"/>
      <c r="I49" s="13"/>
      <c r="J49" s="104"/>
      <c r="K49" s="104"/>
      <c r="L49" s="104"/>
    </row>
    <row r="50" spans="1:12" ht="14.25" x14ac:dyDescent="0.2">
      <c r="A50" s="13"/>
      <c r="B50" s="13"/>
      <c r="C50" s="105" t="s">
        <v>854</v>
      </c>
      <c r="D50" s="105"/>
      <c r="E50" s="105"/>
      <c r="F50" s="13"/>
      <c r="G50" s="105" t="s">
        <v>855</v>
      </c>
      <c r="H50" s="105"/>
      <c r="I50" s="13"/>
      <c r="J50" s="105" t="s">
        <v>856</v>
      </c>
      <c r="K50" s="105"/>
      <c r="L50" s="105"/>
    </row>
    <row r="51" spans="1:12" ht="14.25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</row>
    <row r="52" spans="1:12" ht="14.25" x14ac:dyDescent="0.2">
      <c r="A52" s="12" t="s">
        <v>857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80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56"/>
  <sheetViews>
    <sheetView workbookViewId="0">
      <selection activeCell="A252" sqref="A252:AH25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250</v>
      </c>
      <c r="C12" s="1">
        <v>0</v>
      </c>
      <c r="D12" s="1">
        <f>ROW(A189)</f>
        <v>189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B189</f>
        <v>250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H18" s="3"/>
      <c r="I18" s="3"/>
      <c r="J18" s="3"/>
      <c r="K18" s="3"/>
      <c r="L18" s="3"/>
      <c r="M18" s="3"/>
      <c r="N18" s="3"/>
      <c r="O18" s="3">
        <f t="shared" ref="O18:AT18" si="1">O189</f>
        <v>46633.78</v>
      </c>
      <c r="P18" s="3">
        <f t="shared" si="1"/>
        <v>42996.03</v>
      </c>
      <c r="Q18" s="3">
        <f t="shared" si="1"/>
        <v>198.87</v>
      </c>
      <c r="R18" s="3">
        <f t="shared" si="1"/>
        <v>53.22</v>
      </c>
      <c r="S18" s="3">
        <f t="shared" si="1"/>
        <v>3438.88</v>
      </c>
      <c r="T18" s="3">
        <f t="shared" si="1"/>
        <v>0</v>
      </c>
      <c r="U18" s="3">
        <f t="shared" si="1"/>
        <v>393.16231420000003</v>
      </c>
      <c r="V18" s="3">
        <f t="shared" si="1"/>
        <v>4.4030685000000007</v>
      </c>
      <c r="W18" s="3">
        <f t="shared" si="1"/>
        <v>0</v>
      </c>
      <c r="X18" s="3">
        <f t="shared" si="1"/>
        <v>3507.31</v>
      </c>
      <c r="Y18" s="3">
        <f t="shared" si="1"/>
        <v>2093.2399999999998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52474.97</v>
      </c>
      <c r="AS18" s="3">
        <f t="shared" si="1"/>
        <v>51275.69</v>
      </c>
      <c r="AT18" s="3">
        <f t="shared" si="1"/>
        <v>1199.28</v>
      </c>
      <c r="AU18" s="3">
        <f t="shared" ref="AU18:BZ18" si="2">AU189</f>
        <v>0</v>
      </c>
      <c r="AV18" s="3">
        <f t="shared" si="2"/>
        <v>42996.03</v>
      </c>
      <c r="AW18" s="3">
        <f t="shared" si="2"/>
        <v>42996.03</v>
      </c>
      <c r="AX18" s="3">
        <f t="shared" si="2"/>
        <v>0</v>
      </c>
      <c r="AY18" s="3">
        <f t="shared" si="2"/>
        <v>42996.03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CA189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DG189</f>
        <v>284932.42</v>
      </c>
      <c r="DH18" s="4">
        <f t="shared" si="4"/>
        <v>262705.62</v>
      </c>
      <c r="DI18" s="4">
        <f t="shared" si="4"/>
        <v>1215.1600000000001</v>
      </c>
      <c r="DJ18" s="4">
        <f t="shared" si="4"/>
        <v>325.06</v>
      </c>
      <c r="DK18" s="4">
        <f t="shared" si="4"/>
        <v>21011.64</v>
      </c>
      <c r="DL18" s="4">
        <f t="shared" si="4"/>
        <v>0</v>
      </c>
      <c r="DM18" s="4">
        <f t="shared" si="4"/>
        <v>393.16231420000003</v>
      </c>
      <c r="DN18" s="4">
        <f t="shared" si="4"/>
        <v>4.4030685000000007</v>
      </c>
      <c r="DO18" s="4">
        <f t="shared" si="4"/>
        <v>0</v>
      </c>
      <c r="DP18" s="4">
        <f t="shared" si="4"/>
        <v>21429.8</v>
      </c>
      <c r="DQ18" s="4">
        <f t="shared" si="4"/>
        <v>12789.67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320622.19</v>
      </c>
      <c r="EK18" s="4">
        <f t="shared" si="4"/>
        <v>313294.59000000003</v>
      </c>
      <c r="EL18" s="4">
        <f t="shared" si="4"/>
        <v>7327.6</v>
      </c>
      <c r="EM18" s="4">
        <f t="shared" ref="EM18:FR18" si="5">EM189</f>
        <v>0</v>
      </c>
      <c r="EN18" s="4">
        <f t="shared" si="5"/>
        <v>262705.62</v>
      </c>
      <c r="EO18" s="4">
        <f t="shared" si="5"/>
        <v>262705.62</v>
      </c>
      <c r="EP18" s="4">
        <f t="shared" si="5"/>
        <v>0</v>
      </c>
      <c r="EQ18" s="4">
        <f t="shared" si="5"/>
        <v>262705.62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FS189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ROW(A157)</f>
        <v>157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B157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O157</f>
        <v>46633.78</v>
      </c>
      <c r="P22" s="3">
        <f t="shared" si="8"/>
        <v>42996.03</v>
      </c>
      <c r="Q22" s="3">
        <f t="shared" si="8"/>
        <v>198.87</v>
      </c>
      <c r="R22" s="3">
        <f t="shared" si="8"/>
        <v>53.22</v>
      </c>
      <c r="S22" s="3">
        <f t="shared" si="8"/>
        <v>3438.88</v>
      </c>
      <c r="T22" s="3">
        <f t="shared" si="8"/>
        <v>0</v>
      </c>
      <c r="U22" s="3">
        <f t="shared" si="8"/>
        <v>393.16231420000003</v>
      </c>
      <c r="V22" s="3">
        <f t="shared" si="8"/>
        <v>4.4030685000000007</v>
      </c>
      <c r="W22" s="3">
        <f t="shared" si="8"/>
        <v>0</v>
      </c>
      <c r="X22" s="3">
        <f t="shared" si="8"/>
        <v>3507.31</v>
      </c>
      <c r="Y22" s="3">
        <f t="shared" si="8"/>
        <v>2093.2399999999998</v>
      </c>
      <c r="Z22" s="3">
        <f t="shared" si="8"/>
        <v>0</v>
      </c>
      <c r="AA22" s="3">
        <f t="shared" si="8"/>
        <v>0</v>
      </c>
      <c r="AB22" s="3">
        <f t="shared" si="8"/>
        <v>46633.78</v>
      </c>
      <c r="AC22" s="3">
        <f t="shared" si="8"/>
        <v>42996.03</v>
      </c>
      <c r="AD22" s="3">
        <f t="shared" si="8"/>
        <v>198.87</v>
      </c>
      <c r="AE22" s="3">
        <f t="shared" si="8"/>
        <v>53.22</v>
      </c>
      <c r="AF22" s="3">
        <f t="shared" si="8"/>
        <v>3438.88</v>
      </c>
      <c r="AG22" s="3">
        <f t="shared" si="8"/>
        <v>0</v>
      </c>
      <c r="AH22" s="3">
        <f t="shared" si="8"/>
        <v>393.16231420000003</v>
      </c>
      <c r="AI22" s="3">
        <f t="shared" si="8"/>
        <v>4.4030685000000007</v>
      </c>
      <c r="AJ22" s="3">
        <f t="shared" si="8"/>
        <v>0</v>
      </c>
      <c r="AK22" s="3">
        <f t="shared" si="8"/>
        <v>3507.31</v>
      </c>
      <c r="AL22" s="3">
        <f t="shared" si="8"/>
        <v>2093.2399999999998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52474.97</v>
      </c>
      <c r="AS22" s="3">
        <f t="shared" si="8"/>
        <v>51275.69</v>
      </c>
      <c r="AT22" s="3">
        <f t="shared" si="8"/>
        <v>1199.28</v>
      </c>
      <c r="AU22" s="3">
        <f t="shared" ref="AU22:BZ22" si="9">AU157</f>
        <v>0</v>
      </c>
      <c r="AV22" s="3">
        <f t="shared" si="9"/>
        <v>42996.03</v>
      </c>
      <c r="AW22" s="3">
        <f t="shared" si="9"/>
        <v>42996.03</v>
      </c>
      <c r="AX22" s="3">
        <f t="shared" si="9"/>
        <v>0</v>
      </c>
      <c r="AY22" s="3">
        <f t="shared" si="9"/>
        <v>42996.03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CA157</f>
        <v>52474.97</v>
      </c>
      <c r="CB22" s="3">
        <f t="shared" si="10"/>
        <v>51275.69</v>
      </c>
      <c r="CC22" s="3">
        <f t="shared" si="10"/>
        <v>1199.28</v>
      </c>
      <c r="CD22" s="3">
        <f t="shared" si="10"/>
        <v>0</v>
      </c>
      <c r="CE22" s="3">
        <f t="shared" si="10"/>
        <v>42996.03</v>
      </c>
      <c r="CF22" s="3">
        <f t="shared" si="10"/>
        <v>42996.03</v>
      </c>
      <c r="CG22" s="3">
        <f t="shared" si="10"/>
        <v>0</v>
      </c>
      <c r="CH22" s="3">
        <f t="shared" si="10"/>
        <v>42996.03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DG157</f>
        <v>284932.42</v>
      </c>
      <c r="DH22" s="4">
        <f t="shared" si="11"/>
        <v>262705.62</v>
      </c>
      <c r="DI22" s="4">
        <f t="shared" si="11"/>
        <v>1215.1600000000001</v>
      </c>
      <c r="DJ22" s="4">
        <f t="shared" si="11"/>
        <v>325.06</v>
      </c>
      <c r="DK22" s="4">
        <f t="shared" si="11"/>
        <v>21011.64</v>
      </c>
      <c r="DL22" s="4">
        <f t="shared" si="11"/>
        <v>0</v>
      </c>
      <c r="DM22" s="4">
        <f t="shared" si="11"/>
        <v>393.16231420000003</v>
      </c>
      <c r="DN22" s="4">
        <f t="shared" si="11"/>
        <v>4.4030685000000007</v>
      </c>
      <c r="DO22" s="4">
        <f t="shared" si="11"/>
        <v>0</v>
      </c>
      <c r="DP22" s="4">
        <f t="shared" si="11"/>
        <v>21429.8</v>
      </c>
      <c r="DQ22" s="4">
        <f t="shared" si="11"/>
        <v>12789.67</v>
      </c>
      <c r="DR22" s="4">
        <f t="shared" si="11"/>
        <v>0</v>
      </c>
      <c r="DS22" s="4">
        <f t="shared" si="11"/>
        <v>0</v>
      </c>
      <c r="DT22" s="4">
        <f t="shared" si="11"/>
        <v>284932.42</v>
      </c>
      <c r="DU22" s="4">
        <f t="shared" si="11"/>
        <v>262705.62</v>
      </c>
      <c r="DV22" s="4">
        <f t="shared" si="11"/>
        <v>1215.1600000000001</v>
      </c>
      <c r="DW22" s="4">
        <f t="shared" si="11"/>
        <v>325.06</v>
      </c>
      <c r="DX22" s="4">
        <f t="shared" si="11"/>
        <v>21011.64</v>
      </c>
      <c r="DY22" s="4">
        <f t="shared" si="11"/>
        <v>0</v>
      </c>
      <c r="DZ22" s="4">
        <f t="shared" si="11"/>
        <v>393.16231420000003</v>
      </c>
      <c r="EA22" s="4">
        <f t="shared" si="11"/>
        <v>4.4030685000000007</v>
      </c>
      <c r="EB22" s="4">
        <f t="shared" si="11"/>
        <v>0</v>
      </c>
      <c r="EC22" s="4">
        <f t="shared" si="11"/>
        <v>21429.8</v>
      </c>
      <c r="ED22" s="4">
        <f t="shared" si="11"/>
        <v>12789.67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320622.19</v>
      </c>
      <c r="EK22" s="4">
        <f t="shared" si="11"/>
        <v>313294.59000000003</v>
      </c>
      <c r="EL22" s="4">
        <f t="shared" si="11"/>
        <v>7327.6</v>
      </c>
      <c r="EM22" s="4">
        <f t="shared" ref="EM22:FR22" si="12">EM157</f>
        <v>0</v>
      </c>
      <c r="EN22" s="4">
        <f t="shared" si="12"/>
        <v>262705.62</v>
      </c>
      <c r="EO22" s="4">
        <f t="shared" si="12"/>
        <v>262705.62</v>
      </c>
      <c r="EP22" s="4">
        <f t="shared" si="12"/>
        <v>0</v>
      </c>
      <c r="EQ22" s="4">
        <f t="shared" si="12"/>
        <v>262705.62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FS157</f>
        <v>320622.19</v>
      </c>
      <c r="FT22" s="4">
        <f t="shared" si="13"/>
        <v>313294.59000000003</v>
      </c>
      <c r="FU22" s="4">
        <f t="shared" si="13"/>
        <v>7327.6</v>
      </c>
      <c r="FV22" s="4">
        <f t="shared" si="13"/>
        <v>0</v>
      </c>
      <c r="FW22" s="4">
        <f t="shared" si="13"/>
        <v>262705.62</v>
      </c>
      <c r="FX22" s="4">
        <f t="shared" si="13"/>
        <v>262705.62</v>
      </c>
      <c r="FY22" s="4">
        <f t="shared" si="13"/>
        <v>0</v>
      </c>
      <c r="FZ22" s="4">
        <f t="shared" si="13"/>
        <v>262705.62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ROUND(6.48/100,9)</f>
        <v>6.4799999999999996E-2</v>
      </c>
      <c r="J24" s="2">
        <v>0</v>
      </c>
      <c r="K24" s="2"/>
      <c r="L24" s="2"/>
      <c r="M24" s="2"/>
      <c r="N24" s="2"/>
      <c r="O24" s="2">
        <f t="shared" ref="O24:O55" si="14">ROUND(CP24,2)</f>
        <v>114.52</v>
      </c>
      <c r="P24" s="2">
        <f t="shared" ref="P24:P55" si="15">ROUND(CQ24*I24,2)</f>
        <v>0</v>
      </c>
      <c r="Q24" s="2">
        <f t="shared" ref="Q24:Q55" si="16">ROUND(CR24*I24,2)</f>
        <v>15.68</v>
      </c>
      <c r="R24" s="2">
        <f t="shared" ref="R24:R55" si="17">ROUND(CS24*I24,2)</f>
        <v>6.77</v>
      </c>
      <c r="S24" s="2">
        <f t="shared" ref="S24:S55" si="18">ROUND(CT24*I24,2)</f>
        <v>98.84</v>
      </c>
      <c r="T24" s="2">
        <f t="shared" ref="T24:T55" si="19">ROUND(CU24*I24,2)</f>
        <v>0</v>
      </c>
      <c r="U24" s="2">
        <f t="shared" ref="U24:U55" si="20">CV24*I24</f>
        <v>12.217391999999998</v>
      </c>
      <c r="V24" s="2">
        <f t="shared" ref="V24:V55" si="21">CW24*I24</f>
        <v>0.501552</v>
      </c>
      <c r="W24" s="2">
        <f t="shared" ref="W24:W55" si="22">ROUND(CX24*I24,2)</f>
        <v>0</v>
      </c>
      <c r="X24" s="2">
        <f t="shared" ref="X24:X55" si="23">ROUND(CY24,2)</f>
        <v>104.55</v>
      </c>
      <c r="Y24" s="2">
        <f t="shared" ref="Y24:Y55" si="24">ROUND(CZ24,2)</f>
        <v>63.37</v>
      </c>
      <c r="Z24" s="2"/>
      <c r="AA24" s="2">
        <v>27935367</v>
      </c>
      <c r="AB24" s="2">
        <f t="shared" ref="AB24:AB55" si="25">ROUND((AC24+AD24+AF24),2)</f>
        <v>1767.24</v>
      </c>
      <c r="AC24" s="2">
        <f t="shared" ref="AC24:AC45" si="26">ROUND((ES24),2)</f>
        <v>0</v>
      </c>
      <c r="AD24" s="2">
        <f>ROUND((((ET24)-(EU24))+AE24),2)</f>
        <v>241.95</v>
      </c>
      <c r="AE24" s="2">
        <f>ROUND((EU24),2)</f>
        <v>104.49</v>
      </c>
      <c r="AF24" s="2">
        <f>ROUND((EV24),2)</f>
        <v>1525.29</v>
      </c>
      <c r="AG24" s="2">
        <f t="shared" ref="AG24:AG55" si="27">ROUND((AP24),2)</f>
        <v>0</v>
      </c>
      <c r="AH24" s="2">
        <f>(EW24)</f>
        <v>188.54</v>
      </c>
      <c r="AI24" s="2">
        <f>(EX24)</f>
        <v>7.74</v>
      </c>
      <c r="AJ24" s="2">
        <f t="shared" ref="AJ24:AJ55" si="28">(AS24)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5" si="29">(P24+Q24+S24)</f>
        <v>114.52000000000001</v>
      </c>
      <c r="CQ24" s="2">
        <f t="shared" ref="CQ24:CQ55" si="30">AC24*BC24</f>
        <v>0</v>
      </c>
      <c r="CR24" s="2">
        <f t="shared" ref="CR24:CR55" si="31">AD24*BB24</f>
        <v>241.95</v>
      </c>
      <c r="CS24" s="2">
        <f t="shared" ref="CS24:CS55" si="32">AE24*BS24</f>
        <v>104.49</v>
      </c>
      <c r="CT24" s="2">
        <f t="shared" ref="CT24:CT55" si="33">AF24*BA24</f>
        <v>1525.29</v>
      </c>
      <c r="CU24" s="2">
        <f t="shared" ref="CU24:CU55" si="34">AG24</f>
        <v>0</v>
      </c>
      <c r="CV24" s="2">
        <f t="shared" ref="CV24:CV55" si="35">AH24</f>
        <v>188.54</v>
      </c>
      <c r="CW24" s="2">
        <f t="shared" ref="CW24:CW55" si="36">AI24</f>
        <v>7.74</v>
      </c>
      <c r="CX24" s="2">
        <f t="shared" ref="CX24:CX55" si="37">AJ24</f>
        <v>0</v>
      </c>
      <c r="CY24" s="2">
        <f t="shared" ref="CY24:CY55" si="38">(((S24+R24)*AT24)/100)</f>
        <v>104.5539</v>
      </c>
      <c r="CZ24" s="2">
        <f t="shared" ref="CZ24:CZ55" si="39">(((S24+R24)*AU24)/100)</f>
        <v>63.366000000000007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27029091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131072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0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1630687704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1">ROUND(IF(AND(BH24=3,BI24=3,FS24&lt;&gt;0),P24,0),2)</f>
        <v>0</v>
      </c>
      <c r="GM24" s="2">
        <f t="shared" ref="GM24:GM55" si="42">ROUND(O24+X24+Y24+GK24,2)+GX24</f>
        <v>282.44</v>
      </c>
      <c r="GN24" s="2">
        <f t="shared" ref="GN24:GN55" si="43">IF(OR(BI24=0,BI24=1),ROUND(O24+X24+Y24+GK24,2),0)</f>
        <v>282.44</v>
      </c>
      <c r="GO24" s="2">
        <f t="shared" ref="GO24:GO55" si="44">IF(BI24=2,ROUND(O24+X24+Y24+GK24,2),0)</f>
        <v>0</v>
      </c>
      <c r="GP24" s="2">
        <f t="shared" ref="GP24:GP55" si="45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46">ROUND((GT24),2)</f>
        <v>0</v>
      </c>
      <c r="GW24" s="2">
        <v>1</v>
      </c>
      <c r="GX24" s="2">
        <f t="shared" ref="GX24:GX55" si="47">ROUND(HC24*I24,2)</f>
        <v>0</v>
      </c>
      <c r="GY24" s="2"/>
      <c r="GZ24" s="2"/>
      <c r="HA24" s="2">
        <v>0</v>
      </c>
      <c r="HB24" s="2">
        <v>0</v>
      </c>
      <c r="HC24" s="2">
        <f t="shared" ref="HC24:HC55" si="48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ROUND(6.48/100,9)</f>
        <v>6.4799999999999996E-2</v>
      </c>
      <c r="J25">
        <v>0</v>
      </c>
      <c r="O25">
        <f t="shared" si="14"/>
        <v>699.7</v>
      </c>
      <c r="P25">
        <f t="shared" si="15"/>
        <v>0</v>
      </c>
      <c r="Q25">
        <f t="shared" si="16"/>
        <v>95.79</v>
      </c>
      <c r="R25">
        <f t="shared" si="17"/>
        <v>41.37</v>
      </c>
      <c r="S25">
        <f t="shared" si="18"/>
        <v>603.91</v>
      </c>
      <c r="T25">
        <f t="shared" si="19"/>
        <v>0</v>
      </c>
      <c r="U25">
        <f t="shared" si="20"/>
        <v>12.217391999999998</v>
      </c>
      <c r="V25">
        <f t="shared" si="21"/>
        <v>0.501552</v>
      </c>
      <c r="W25">
        <f t="shared" si="22"/>
        <v>0</v>
      </c>
      <c r="X25">
        <f t="shared" si="23"/>
        <v>638.83000000000004</v>
      </c>
      <c r="Y25">
        <f t="shared" si="24"/>
        <v>387.17</v>
      </c>
      <c r="AA25">
        <v>27935368</v>
      </c>
      <c r="AB25">
        <f t="shared" si="25"/>
        <v>1767.24</v>
      </c>
      <c r="AC25">
        <f t="shared" si="26"/>
        <v>0</v>
      </c>
      <c r="AD25">
        <f>ROUND((((ET25)-(EU25))+AE25),2)</f>
        <v>241.95</v>
      </c>
      <c r="AE25">
        <f>ROUND((EU25),2)</f>
        <v>104.49</v>
      </c>
      <c r="AF25">
        <f>ROUND((EV25),2)</f>
        <v>1525.29</v>
      </c>
      <c r="AG25">
        <f t="shared" si="27"/>
        <v>0</v>
      </c>
      <c r="AH25">
        <f>(EW25)</f>
        <v>188.54</v>
      </c>
      <c r="AI25">
        <f>(EX25)</f>
        <v>7.74</v>
      </c>
      <c r="AJ25">
        <f t="shared" si="28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6.11</v>
      </c>
      <c r="BA25">
        <v>6.11</v>
      </c>
      <c r="BB25">
        <v>6.11</v>
      </c>
      <c r="BC25">
        <v>6.11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6.11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E25">
        <v>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29"/>
        <v>699.69999999999993</v>
      </c>
      <c r="CQ25">
        <f t="shared" si="30"/>
        <v>0</v>
      </c>
      <c r="CR25">
        <f t="shared" si="31"/>
        <v>1478.3145</v>
      </c>
      <c r="CS25">
        <f t="shared" si="32"/>
        <v>638.43389999999999</v>
      </c>
      <c r="CT25">
        <f t="shared" si="33"/>
        <v>9319.5218999999997</v>
      </c>
      <c r="CU25">
        <f t="shared" si="34"/>
        <v>0</v>
      </c>
      <c r="CV25">
        <f t="shared" si="35"/>
        <v>188.54</v>
      </c>
      <c r="CW25">
        <f t="shared" si="36"/>
        <v>7.74</v>
      </c>
      <c r="CX25">
        <f t="shared" si="37"/>
        <v>0</v>
      </c>
      <c r="CY25">
        <f t="shared" si="38"/>
        <v>638.82719999999995</v>
      </c>
      <c r="CZ25">
        <f t="shared" si="39"/>
        <v>387.16799999999995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27029091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131072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1630687704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1"/>
        <v>0</v>
      </c>
      <c r="GM25">
        <f t="shared" si="42"/>
        <v>1725.7</v>
      </c>
      <c r="GN25">
        <f t="shared" si="43"/>
        <v>1725.7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HC25">
        <f t="shared" si="48"/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ROW(SmtRes!A17)</f>
        <v>17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ROUND(6.48/100,9)</f>
        <v>6.4799999999999996E-2</v>
      </c>
      <c r="J26" s="2">
        <v>0</v>
      </c>
      <c r="K26" s="2"/>
      <c r="L26" s="2"/>
      <c r="M26" s="2"/>
      <c r="N26" s="2"/>
      <c r="O26" s="2">
        <f t="shared" si="14"/>
        <v>653.30999999999995</v>
      </c>
      <c r="P26" s="2">
        <f t="shared" si="15"/>
        <v>537.73</v>
      </c>
      <c r="Q26" s="2">
        <f t="shared" si="16"/>
        <v>20.67</v>
      </c>
      <c r="R26" s="2">
        <f t="shared" si="17"/>
        <v>4.08</v>
      </c>
      <c r="S26" s="2">
        <f t="shared" si="18"/>
        <v>94.91</v>
      </c>
      <c r="T26" s="2">
        <f t="shared" si="19"/>
        <v>0</v>
      </c>
      <c r="U26" s="2">
        <f t="shared" si="20"/>
        <v>10.859054399999998</v>
      </c>
      <c r="V26" s="2">
        <f t="shared" si="21"/>
        <v>0.34262999999999999</v>
      </c>
      <c r="W26" s="2">
        <f t="shared" si="22"/>
        <v>0</v>
      </c>
      <c r="X26" s="2">
        <f t="shared" si="23"/>
        <v>104.93</v>
      </c>
      <c r="Y26" s="2">
        <f t="shared" si="24"/>
        <v>53.45</v>
      </c>
      <c r="Z26" s="2"/>
      <c r="AA26" s="2">
        <v>27935367</v>
      </c>
      <c r="AB26" s="2">
        <f t="shared" si="25"/>
        <v>10081.99</v>
      </c>
      <c r="AC26" s="2">
        <f t="shared" si="26"/>
        <v>8298.35</v>
      </c>
      <c r="AD26" s="2">
        <f>ROUND(((((ET26*1.25))-((EU26*1.25)))+AE26),2)</f>
        <v>319.01</v>
      </c>
      <c r="AE26" s="2">
        <f>ROUND(((EU26*1.25)),2)</f>
        <v>62.9</v>
      </c>
      <c r="AF26" s="2">
        <f>ROUND(((EV26*1.15)),2)</f>
        <v>1464.63</v>
      </c>
      <c r="AG26" s="2">
        <f t="shared" si="27"/>
        <v>0</v>
      </c>
      <c r="AH26" s="2">
        <f>((EW26*1.15))</f>
        <v>167.57799999999997</v>
      </c>
      <c r="AI26" s="2">
        <f>((EX26*1.25))</f>
        <v>5.2875000000000005</v>
      </c>
      <c r="AJ26" s="2">
        <f t="shared" si="28"/>
        <v>0</v>
      </c>
      <c r="AK26" s="2">
        <v>9827.15</v>
      </c>
      <c r="AL26" s="2">
        <v>8298.35</v>
      </c>
      <c r="AM26" s="2">
        <v>255.21</v>
      </c>
      <c r="AN26" s="2">
        <v>50.32</v>
      </c>
      <c r="AO26" s="2">
        <v>1273.5899999999999</v>
      </c>
      <c r="AP26" s="2">
        <v>0</v>
      </c>
      <c r="AQ26" s="2">
        <v>145.72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766</v>
      </c>
      <c r="CO26" s="2">
        <v>0</v>
      </c>
      <c r="CP26" s="2">
        <f t="shared" si="29"/>
        <v>653.30999999999995</v>
      </c>
      <c r="CQ26" s="2">
        <f t="shared" si="30"/>
        <v>8298.35</v>
      </c>
      <c r="CR26" s="2">
        <f t="shared" si="31"/>
        <v>319.01</v>
      </c>
      <c r="CS26" s="2">
        <f t="shared" si="32"/>
        <v>62.9</v>
      </c>
      <c r="CT26" s="2">
        <f t="shared" si="33"/>
        <v>1464.63</v>
      </c>
      <c r="CU26" s="2">
        <f t="shared" si="34"/>
        <v>0</v>
      </c>
      <c r="CV26" s="2">
        <f t="shared" si="35"/>
        <v>167.57799999999997</v>
      </c>
      <c r="CW26" s="2">
        <f t="shared" si="36"/>
        <v>5.2875000000000005</v>
      </c>
      <c r="CX26" s="2">
        <f t="shared" si="37"/>
        <v>0</v>
      </c>
      <c r="CY26" s="2">
        <f t="shared" si="38"/>
        <v>104.92939999999999</v>
      </c>
      <c r="CZ26" s="2">
        <f t="shared" si="39"/>
        <v>53.454599999999999</v>
      </c>
      <c r="DA26" s="2"/>
      <c r="DB26" s="2"/>
      <c r="DC26" s="2" t="s">
        <v>6</v>
      </c>
      <c r="DD26" s="2" t="s">
        <v>6</v>
      </c>
      <c r="DE26" s="2" t="s">
        <v>27</v>
      </c>
      <c r="DF26" s="2" t="s">
        <v>27</v>
      </c>
      <c r="DG26" s="2" t="s">
        <v>28</v>
      </c>
      <c r="DH26" s="2" t="s">
        <v>6</v>
      </c>
      <c r="DI26" s="2" t="s">
        <v>28</v>
      </c>
      <c r="DJ26" s="2" t="s">
        <v>27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27029023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29</v>
      </c>
      <c r="EM26" s="2" t="s">
        <v>30</v>
      </c>
      <c r="EN26" s="2"/>
      <c r="EO26" s="2" t="s">
        <v>31</v>
      </c>
      <c r="EP26" s="2"/>
      <c r="EQ26" s="2">
        <v>131072</v>
      </c>
      <c r="ER26" s="2">
        <v>9827.15</v>
      </c>
      <c r="ES26" s="2">
        <v>8298.35</v>
      </c>
      <c r="ET26" s="2">
        <v>255.21</v>
      </c>
      <c r="EU26" s="2">
        <v>50.32</v>
      </c>
      <c r="EV26" s="2">
        <v>1273.5899999999999</v>
      </c>
      <c r="EW26" s="2">
        <v>145.72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0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1452579699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1"/>
        <v>0</v>
      </c>
      <c r="GM26" s="2">
        <f t="shared" si="42"/>
        <v>811.69</v>
      </c>
      <c r="GN26" s="2">
        <f t="shared" si="43"/>
        <v>811.69</v>
      </c>
      <c r="GO26" s="2">
        <f t="shared" si="44"/>
        <v>0</v>
      </c>
      <c r="GP26" s="2">
        <f t="shared" si="45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6"/>
        <v>0</v>
      </c>
      <c r="GW26" s="2">
        <v>1</v>
      </c>
      <c r="GX26" s="2">
        <f t="shared" si="47"/>
        <v>0</v>
      </c>
      <c r="GY26" s="2"/>
      <c r="GZ26" s="2"/>
      <c r="HA26" s="2">
        <v>0</v>
      </c>
      <c r="HB26" s="2">
        <v>0</v>
      </c>
      <c r="HC26" s="2">
        <f t="shared" si="48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ROW(SmtRes!A28)</f>
        <v>28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ROUND(6.48/100,9)</f>
        <v>6.4799999999999996E-2</v>
      </c>
      <c r="J27">
        <v>0</v>
      </c>
      <c r="O27">
        <f t="shared" si="14"/>
        <v>3991.74</v>
      </c>
      <c r="P27">
        <f t="shared" si="15"/>
        <v>3285.55</v>
      </c>
      <c r="Q27">
        <f t="shared" si="16"/>
        <v>126.3</v>
      </c>
      <c r="R27">
        <f t="shared" si="17"/>
        <v>24.9</v>
      </c>
      <c r="S27">
        <f t="shared" si="18"/>
        <v>579.89</v>
      </c>
      <c r="T27">
        <f t="shared" si="19"/>
        <v>0</v>
      </c>
      <c r="U27">
        <f t="shared" si="20"/>
        <v>10.859054399999998</v>
      </c>
      <c r="V27">
        <f t="shared" si="21"/>
        <v>0.34262999999999999</v>
      </c>
      <c r="W27">
        <f t="shared" si="22"/>
        <v>0</v>
      </c>
      <c r="X27">
        <f t="shared" si="23"/>
        <v>641.08000000000004</v>
      </c>
      <c r="Y27">
        <f t="shared" si="24"/>
        <v>326.58999999999997</v>
      </c>
      <c r="AA27">
        <v>27935368</v>
      </c>
      <c r="AB27">
        <f t="shared" si="25"/>
        <v>10081.99</v>
      </c>
      <c r="AC27">
        <f t="shared" si="26"/>
        <v>8298.35</v>
      </c>
      <c r="AD27">
        <f>ROUND(((((ET27*1.25))-((EU27*1.25)))+AE27),2)</f>
        <v>319.01</v>
      </c>
      <c r="AE27">
        <f>ROUND(((EU27*1.25)),2)</f>
        <v>62.9</v>
      </c>
      <c r="AF27">
        <f>ROUND(((EV27*1.15)),2)</f>
        <v>1464.63</v>
      </c>
      <c r="AG27">
        <f t="shared" si="27"/>
        <v>0</v>
      </c>
      <c r="AH27">
        <f>((EW27*1.15))</f>
        <v>167.57799999999997</v>
      </c>
      <c r="AI27">
        <f>((EX27*1.25))</f>
        <v>5.2875000000000005</v>
      </c>
      <c r="AJ27">
        <f t="shared" si="28"/>
        <v>0</v>
      </c>
      <c r="AK27">
        <v>9827.15</v>
      </c>
      <c r="AL27">
        <v>8298.35</v>
      </c>
      <c r="AM27">
        <v>255.21</v>
      </c>
      <c r="AN27">
        <v>50.32</v>
      </c>
      <c r="AO27">
        <v>1273.5899999999999</v>
      </c>
      <c r="AP27">
        <v>0</v>
      </c>
      <c r="AQ27">
        <v>145.72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6.11</v>
      </c>
      <c r="BA27">
        <v>6.11</v>
      </c>
      <c r="BB27">
        <v>6.11</v>
      </c>
      <c r="BC27">
        <v>6.11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6.11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E27">
        <v>0</v>
      </c>
      <c r="CF27">
        <v>0</v>
      </c>
      <c r="CG27">
        <v>0</v>
      </c>
      <c r="CM27">
        <v>0</v>
      </c>
      <c r="CN27" t="s">
        <v>766</v>
      </c>
      <c r="CO27">
        <v>0</v>
      </c>
      <c r="CP27">
        <f t="shared" si="29"/>
        <v>3991.7400000000002</v>
      </c>
      <c r="CQ27">
        <f t="shared" si="30"/>
        <v>50702.918500000007</v>
      </c>
      <c r="CR27">
        <f t="shared" si="31"/>
        <v>1949.1511</v>
      </c>
      <c r="CS27">
        <f t="shared" si="32"/>
        <v>384.31900000000002</v>
      </c>
      <c r="CT27">
        <f t="shared" si="33"/>
        <v>8948.8893000000007</v>
      </c>
      <c r="CU27">
        <f t="shared" si="34"/>
        <v>0</v>
      </c>
      <c r="CV27">
        <f t="shared" si="35"/>
        <v>167.57799999999997</v>
      </c>
      <c r="CW27">
        <f t="shared" si="36"/>
        <v>5.2875000000000005</v>
      </c>
      <c r="CX27">
        <f t="shared" si="37"/>
        <v>0</v>
      </c>
      <c r="CY27">
        <f t="shared" si="38"/>
        <v>641.07740000000001</v>
      </c>
      <c r="CZ27">
        <f t="shared" si="39"/>
        <v>326.58659999999998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27029023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29</v>
      </c>
      <c r="EM27" t="s">
        <v>30</v>
      </c>
      <c r="EO27" t="s">
        <v>31</v>
      </c>
      <c r="EQ27">
        <v>131072</v>
      </c>
      <c r="ER27">
        <v>9827.15</v>
      </c>
      <c r="ES27">
        <v>8298.35</v>
      </c>
      <c r="ET27">
        <v>255.21</v>
      </c>
      <c r="EU27">
        <v>50.32</v>
      </c>
      <c r="EV27">
        <v>1273.5899999999999</v>
      </c>
      <c r="EW27">
        <v>145.72</v>
      </c>
      <c r="EX27">
        <v>4.2300000000000004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1452579699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1"/>
        <v>0</v>
      </c>
      <c r="GM27">
        <f t="shared" si="42"/>
        <v>4959.41</v>
      </c>
      <c r="GN27">
        <f t="shared" si="43"/>
        <v>4959.41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HC27">
        <f t="shared" si="48"/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15</v>
      </c>
      <c r="D28" s="2"/>
      <c r="E28" s="2" t="s">
        <v>32</v>
      </c>
      <c r="F28" s="2" t="s">
        <v>33</v>
      </c>
      <c r="G28" s="2" t="s">
        <v>34</v>
      </c>
      <c r="H28" s="2" t="s">
        <v>35</v>
      </c>
      <c r="I28" s="2">
        <f>I26*J28</f>
        <v>6.48</v>
      </c>
      <c r="J28" s="2">
        <v>100.00000000000001</v>
      </c>
      <c r="K28" s="2"/>
      <c r="L28" s="2"/>
      <c r="M28" s="2"/>
      <c r="N28" s="2"/>
      <c r="O28" s="2">
        <f t="shared" si="14"/>
        <v>16554.650000000001</v>
      </c>
      <c r="P28" s="2">
        <f t="shared" si="15"/>
        <v>16554.650000000001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27935367</v>
      </c>
      <c r="AB28" s="2">
        <f t="shared" si="25"/>
        <v>2554.73</v>
      </c>
      <c r="AC28" s="2">
        <f t="shared" si="26"/>
        <v>2554.73</v>
      </c>
      <c r="AD28" s="2">
        <f>ROUND((((ET28)-(EU28))+AE28),2)</f>
        <v>0</v>
      </c>
      <c r="AE28" s="2">
        <f>ROUND((EU28),2)</f>
        <v>0</v>
      </c>
      <c r="AF28" s="2">
        <f>ROUND((EV28),2)</f>
        <v>0</v>
      </c>
      <c r="AG28" s="2">
        <f t="shared" si="27"/>
        <v>0</v>
      </c>
      <c r="AH28" s="2">
        <f>(EW28)</f>
        <v>0</v>
      </c>
      <c r="AI28" s="2">
        <f>(EX28)</f>
        <v>0</v>
      </c>
      <c r="AJ28" s="2">
        <f t="shared" si="28"/>
        <v>0</v>
      </c>
      <c r="AK28" s="2">
        <v>2554.73</v>
      </c>
      <c r="AL28" s="2">
        <v>2554.73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36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29"/>
        <v>16554.650000000001</v>
      </c>
      <c r="CQ28" s="2">
        <f t="shared" si="30"/>
        <v>2554.73</v>
      </c>
      <c r="CR28" s="2">
        <f t="shared" si="31"/>
        <v>0</v>
      </c>
      <c r="CS28" s="2">
        <f t="shared" si="32"/>
        <v>0</v>
      </c>
      <c r="CT28" s="2">
        <f t="shared" si="33"/>
        <v>0</v>
      </c>
      <c r="CU28" s="2">
        <f t="shared" si="34"/>
        <v>0</v>
      </c>
      <c r="CV28" s="2">
        <f t="shared" si="35"/>
        <v>0</v>
      </c>
      <c r="CW28" s="2">
        <f t="shared" si="36"/>
        <v>0</v>
      </c>
      <c r="CX28" s="2">
        <f t="shared" si="37"/>
        <v>0</v>
      </c>
      <c r="CY28" s="2">
        <f t="shared" si="38"/>
        <v>0</v>
      </c>
      <c r="CZ28" s="2">
        <f t="shared" si="39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35</v>
      </c>
      <c r="DW28" s="2" t="s">
        <v>35</v>
      </c>
      <c r="DX28" s="2">
        <v>1</v>
      </c>
      <c r="DY28" s="2"/>
      <c r="DZ28" s="2"/>
      <c r="EA28" s="2"/>
      <c r="EB28" s="2"/>
      <c r="EC28" s="2"/>
      <c r="ED28" s="2"/>
      <c r="EE28" s="2">
        <v>27029023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29</v>
      </c>
      <c r="EM28" s="2" t="s">
        <v>30</v>
      </c>
      <c r="EN28" s="2"/>
      <c r="EO28" s="2" t="s">
        <v>6</v>
      </c>
      <c r="EP28" s="2"/>
      <c r="EQ28" s="2">
        <v>0</v>
      </c>
      <c r="ER28" s="2">
        <v>2554.73</v>
      </c>
      <c r="ES28" s="2">
        <v>2554.73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0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6</v>
      </c>
      <c r="GB28" s="2"/>
      <c r="GC28" s="2"/>
      <c r="GD28" s="2">
        <v>0</v>
      </c>
      <c r="GE28" s="2"/>
      <c r="GF28" s="2">
        <v>-1297984833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1"/>
        <v>0</v>
      </c>
      <c r="GM28" s="2">
        <f t="shared" si="42"/>
        <v>16554.650000000001</v>
      </c>
      <c r="GN28" s="2">
        <f t="shared" si="43"/>
        <v>16554.650000000001</v>
      </c>
      <c r="GO28" s="2">
        <f t="shared" si="44"/>
        <v>0</v>
      </c>
      <c r="GP28" s="2">
        <f t="shared" si="45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6"/>
        <v>0</v>
      </c>
      <c r="GW28" s="2">
        <v>1</v>
      </c>
      <c r="GX28" s="2">
        <f t="shared" si="47"/>
        <v>0</v>
      </c>
      <c r="GY28" s="2"/>
      <c r="GZ28" s="2"/>
      <c r="HA28" s="2">
        <v>0</v>
      </c>
      <c r="HB28" s="2">
        <v>0</v>
      </c>
      <c r="HC28" s="2">
        <f t="shared" si="48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26</v>
      </c>
      <c r="E29" t="s">
        <v>32</v>
      </c>
      <c r="F29" t="s">
        <v>33</v>
      </c>
      <c r="G29" t="s">
        <v>34</v>
      </c>
      <c r="H29" t="s">
        <v>35</v>
      </c>
      <c r="I29">
        <f>I27*J29</f>
        <v>6.48</v>
      </c>
      <c r="J29">
        <v>100.00000000000001</v>
      </c>
      <c r="O29">
        <f t="shared" si="14"/>
        <v>101148.91</v>
      </c>
      <c r="P29">
        <f t="shared" si="15"/>
        <v>101148.91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27935368</v>
      </c>
      <c r="AB29">
        <f t="shared" si="25"/>
        <v>2554.73</v>
      </c>
      <c r="AC29">
        <f t="shared" si="26"/>
        <v>2554.73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8"/>
        <v>0</v>
      </c>
      <c r="AK29">
        <v>2554.73</v>
      </c>
      <c r="AL29">
        <v>2554.73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6.11</v>
      </c>
      <c r="BA29">
        <v>1</v>
      </c>
      <c r="BB29">
        <v>1</v>
      </c>
      <c r="BC29">
        <v>6.11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36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101148.91</v>
      </c>
      <c r="CQ29">
        <f t="shared" si="30"/>
        <v>15609.400300000001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35</v>
      </c>
      <c r="DW29" t="s">
        <v>35</v>
      </c>
      <c r="DX29">
        <v>1</v>
      </c>
      <c r="EE29">
        <v>27029023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29</v>
      </c>
      <c r="EM29" t="s">
        <v>30</v>
      </c>
      <c r="EO29" t="s">
        <v>6</v>
      </c>
      <c r="EQ29">
        <v>0</v>
      </c>
      <c r="ER29">
        <v>2554.73</v>
      </c>
      <c r="ES29">
        <v>2554.73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0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6</v>
      </c>
      <c r="GD29">
        <v>0</v>
      </c>
      <c r="GF29">
        <v>-1297984833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1"/>
        <v>0</v>
      </c>
      <c r="GM29">
        <f t="shared" si="42"/>
        <v>101148.91</v>
      </c>
      <c r="GN29">
        <f t="shared" si="43"/>
        <v>101148.91</v>
      </c>
      <c r="GO29">
        <f t="shared" si="44"/>
        <v>0</v>
      </c>
      <c r="GP29">
        <f t="shared" si="45"/>
        <v>0</v>
      </c>
      <c r="GR29">
        <v>0</v>
      </c>
      <c r="GS29">
        <v>3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HC29">
        <f t="shared" si="48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ROW(SmtRes!A35)</f>
        <v>35</v>
      </c>
      <c r="D30" s="2">
        <f>ROW(EtalonRes!A35)</f>
        <v>35</v>
      </c>
      <c r="E30" s="2" t="s">
        <v>37</v>
      </c>
      <c r="F30" s="2" t="s">
        <v>38</v>
      </c>
      <c r="G30" s="2" t="s">
        <v>39</v>
      </c>
      <c r="H30" s="2" t="s">
        <v>40</v>
      </c>
      <c r="I30" s="2">
        <f>ROUND(3.2/100,9)</f>
        <v>3.2000000000000001E-2</v>
      </c>
      <c r="J30" s="2">
        <v>0</v>
      </c>
      <c r="K30" s="2"/>
      <c r="L30" s="2"/>
      <c r="M30" s="2"/>
      <c r="N30" s="2"/>
      <c r="O30" s="2">
        <f t="shared" si="14"/>
        <v>208.45</v>
      </c>
      <c r="P30" s="2">
        <f t="shared" si="15"/>
        <v>200.86</v>
      </c>
      <c r="Q30" s="2">
        <f t="shared" si="16"/>
        <v>0.88</v>
      </c>
      <c r="R30" s="2">
        <f t="shared" si="17"/>
        <v>0.18</v>
      </c>
      <c r="S30" s="2">
        <f t="shared" si="18"/>
        <v>6.71</v>
      </c>
      <c r="T30" s="2">
        <f t="shared" si="19"/>
        <v>0</v>
      </c>
      <c r="U30" s="2">
        <f t="shared" si="20"/>
        <v>0.78678399999999993</v>
      </c>
      <c r="V30" s="2">
        <f t="shared" si="21"/>
        <v>1.4800000000000001E-2</v>
      </c>
      <c r="W30" s="2">
        <f t="shared" si="22"/>
        <v>0</v>
      </c>
      <c r="X30" s="2">
        <f t="shared" si="23"/>
        <v>7.3</v>
      </c>
      <c r="Y30" s="2">
        <f t="shared" si="24"/>
        <v>3.72</v>
      </c>
      <c r="Z30" s="2"/>
      <c r="AA30" s="2">
        <v>27935367</v>
      </c>
      <c r="AB30" s="2">
        <f t="shared" si="25"/>
        <v>6514.01</v>
      </c>
      <c r="AC30" s="2">
        <f t="shared" si="26"/>
        <v>6276.9</v>
      </c>
      <c r="AD30" s="2">
        <f>ROUND(((((ET30*1.25))-((EU30*1.25)))+AE30),2)</f>
        <v>27.38</v>
      </c>
      <c r="AE30" s="2">
        <f>ROUND(((EU30*1.25)),2)</f>
        <v>5.54</v>
      </c>
      <c r="AF30" s="2">
        <f>ROUND(((EV30*1.15)),2)</f>
        <v>209.73</v>
      </c>
      <c r="AG30" s="2">
        <f t="shared" si="27"/>
        <v>0</v>
      </c>
      <c r="AH30" s="2">
        <f>((EW30*1.15))</f>
        <v>24.586999999999996</v>
      </c>
      <c r="AI30" s="2">
        <f>((EX30*1.25))</f>
        <v>0.46250000000000002</v>
      </c>
      <c r="AJ30" s="2">
        <f t="shared" si="28"/>
        <v>0</v>
      </c>
      <c r="AK30" s="2">
        <v>6481.17</v>
      </c>
      <c r="AL30" s="2">
        <v>6276.9</v>
      </c>
      <c r="AM30" s="2">
        <v>21.9</v>
      </c>
      <c r="AN30" s="2">
        <v>4.43</v>
      </c>
      <c r="AO30" s="2">
        <v>182.37</v>
      </c>
      <c r="AP30" s="2">
        <v>0</v>
      </c>
      <c r="AQ30" s="2">
        <v>21.38</v>
      </c>
      <c r="AR30" s="2">
        <v>0.37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41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766</v>
      </c>
      <c r="CO30" s="2">
        <v>0</v>
      </c>
      <c r="CP30" s="2">
        <f t="shared" si="29"/>
        <v>208.45000000000002</v>
      </c>
      <c r="CQ30" s="2">
        <f t="shared" si="30"/>
        <v>6276.9</v>
      </c>
      <c r="CR30" s="2">
        <f t="shared" si="31"/>
        <v>27.38</v>
      </c>
      <c r="CS30" s="2">
        <f t="shared" si="32"/>
        <v>5.54</v>
      </c>
      <c r="CT30" s="2">
        <f t="shared" si="33"/>
        <v>209.73</v>
      </c>
      <c r="CU30" s="2">
        <f t="shared" si="34"/>
        <v>0</v>
      </c>
      <c r="CV30" s="2">
        <f t="shared" si="35"/>
        <v>24.586999999999996</v>
      </c>
      <c r="CW30" s="2">
        <f t="shared" si="36"/>
        <v>0.46250000000000002</v>
      </c>
      <c r="CX30" s="2">
        <f t="shared" si="37"/>
        <v>0</v>
      </c>
      <c r="CY30" s="2">
        <f t="shared" si="38"/>
        <v>7.303399999999999</v>
      </c>
      <c r="CZ30" s="2">
        <f t="shared" si="39"/>
        <v>3.7206000000000001</v>
      </c>
      <c r="DA30" s="2"/>
      <c r="DB30" s="2"/>
      <c r="DC30" s="2" t="s">
        <v>6</v>
      </c>
      <c r="DD30" s="2" t="s">
        <v>6</v>
      </c>
      <c r="DE30" s="2" t="s">
        <v>27</v>
      </c>
      <c r="DF30" s="2" t="s">
        <v>27</v>
      </c>
      <c r="DG30" s="2" t="s">
        <v>28</v>
      </c>
      <c r="DH30" s="2" t="s">
        <v>6</v>
      </c>
      <c r="DI30" s="2" t="s">
        <v>28</v>
      </c>
      <c r="DJ30" s="2" t="s">
        <v>27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40</v>
      </c>
      <c r="DW30" s="2" t="s">
        <v>40</v>
      </c>
      <c r="DX30" s="2">
        <v>100</v>
      </c>
      <c r="DY30" s="2"/>
      <c r="DZ30" s="2"/>
      <c r="EA30" s="2"/>
      <c r="EB30" s="2"/>
      <c r="EC30" s="2"/>
      <c r="ED30" s="2"/>
      <c r="EE30" s="2">
        <v>27029023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29</v>
      </c>
      <c r="EM30" s="2" t="s">
        <v>30</v>
      </c>
      <c r="EN30" s="2"/>
      <c r="EO30" s="2" t="s">
        <v>31</v>
      </c>
      <c r="EP30" s="2"/>
      <c r="EQ30" s="2">
        <v>131072</v>
      </c>
      <c r="ER30" s="2">
        <v>6481.17</v>
      </c>
      <c r="ES30" s="2">
        <v>6276.9</v>
      </c>
      <c r="ET30" s="2">
        <v>21.9</v>
      </c>
      <c r="EU30" s="2">
        <v>4.43</v>
      </c>
      <c r="EV30" s="2">
        <v>182.37</v>
      </c>
      <c r="EW30" s="2">
        <v>21.38</v>
      </c>
      <c r="EX30" s="2">
        <v>0.37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0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-1968498593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1"/>
        <v>0</v>
      </c>
      <c r="GM30" s="2">
        <f t="shared" si="42"/>
        <v>219.47</v>
      </c>
      <c r="GN30" s="2">
        <f t="shared" si="43"/>
        <v>219.47</v>
      </c>
      <c r="GO30" s="2">
        <f t="shared" si="44"/>
        <v>0</v>
      </c>
      <c r="GP30" s="2">
        <f t="shared" si="4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6"/>
        <v>0</v>
      </c>
      <c r="GW30" s="2">
        <v>1</v>
      </c>
      <c r="GX30" s="2">
        <f t="shared" si="47"/>
        <v>0</v>
      </c>
      <c r="GY30" s="2"/>
      <c r="GZ30" s="2"/>
      <c r="HA30" s="2">
        <v>0</v>
      </c>
      <c r="HB30" s="2">
        <v>0</v>
      </c>
      <c r="HC30" s="2">
        <f t="shared" si="48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ROW(SmtRes!A42)</f>
        <v>42</v>
      </c>
      <c r="D31">
        <f>ROW(EtalonRes!A42)</f>
        <v>42</v>
      </c>
      <c r="E31" t="s">
        <v>37</v>
      </c>
      <c r="F31" t="s">
        <v>38</v>
      </c>
      <c r="G31" t="s">
        <v>39</v>
      </c>
      <c r="H31" t="s">
        <v>40</v>
      </c>
      <c r="I31">
        <f>ROUND(3.2/100,9)</f>
        <v>3.2000000000000001E-2</v>
      </c>
      <c r="J31">
        <v>0</v>
      </c>
      <c r="O31">
        <f t="shared" si="14"/>
        <v>1273.6199999999999</v>
      </c>
      <c r="P31">
        <f t="shared" si="15"/>
        <v>1227.26</v>
      </c>
      <c r="Q31">
        <f t="shared" si="16"/>
        <v>5.35</v>
      </c>
      <c r="R31">
        <f t="shared" si="17"/>
        <v>1.08</v>
      </c>
      <c r="S31">
        <f t="shared" si="18"/>
        <v>41.01</v>
      </c>
      <c r="T31">
        <f t="shared" si="19"/>
        <v>0</v>
      </c>
      <c r="U31">
        <f t="shared" si="20"/>
        <v>0.78678399999999993</v>
      </c>
      <c r="V31">
        <f t="shared" si="21"/>
        <v>1.4800000000000001E-2</v>
      </c>
      <c r="W31">
        <f t="shared" si="22"/>
        <v>0</v>
      </c>
      <c r="X31">
        <f t="shared" si="23"/>
        <v>44.62</v>
      </c>
      <c r="Y31">
        <f t="shared" si="24"/>
        <v>22.73</v>
      </c>
      <c r="AA31">
        <v>27935368</v>
      </c>
      <c r="AB31">
        <f t="shared" si="25"/>
        <v>6514.01</v>
      </c>
      <c r="AC31">
        <f t="shared" si="26"/>
        <v>6276.9</v>
      </c>
      <c r="AD31">
        <f>ROUND(((((ET31*1.25))-((EU31*1.25)))+AE31),2)</f>
        <v>27.38</v>
      </c>
      <c r="AE31">
        <f>ROUND(((EU31*1.25)),2)</f>
        <v>5.54</v>
      </c>
      <c r="AF31">
        <f>ROUND(((EV31*1.15)),2)</f>
        <v>209.73</v>
      </c>
      <c r="AG31">
        <f t="shared" si="27"/>
        <v>0</v>
      </c>
      <c r="AH31">
        <f>((EW31*1.15))</f>
        <v>24.586999999999996</v>
      </c>
      <c r="AI31">
        <f>((EX31*1.25))</f>
        <v>0.46250000000000002</v>
      </c>
      <c r="AJ31">
        <f t="shared" si="28"/>
        <v>0</v>
      </c>
      <c r="AK31">
        <v>6481.17</v>
      </c>
      <c r="AL31">
        <v>6276.9</v>
      </c>
      <c r="AM31">
        <v>21.9</v>
      </c>
      <c r="AN31">
        <v>4.43</v>
      </c>
      <c r="AO31">
        <v>182.37</v>
      </c>
      <c r="AP31">
        <v>0</v>
      </c>
      <c r="AQ31">
        <v>21.38</v>
      </c>
      <c r="AR31">
        <v>0.37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6.11</v>
      </c>
      <c r="BA31">
        <v>6.11</v>
      </c>
      <c r="BB31">
        <v>6.11</v>
      </c>
      <c r="BC31">
        <v>6.11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41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6.11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E31">
        <v>0</v>
      </c>
      <c r="CF31">
        <v>0</v>
      </c>
      <c r="CG31">
        <v>0</v>
      </c>
      <c r="CM31">
        <v>0</v>
      </c>
      <c r="CN31" t="s">
        <v>766</v>
      </c>
      <c r="CO31">
        <v>0</v>
      </c>
      <c r="CP31">
        <f t="shared" si="29"/>
        <v>1273.6199999999999</v>
      </c>
      <c r="CQ31">
        <f t="shared" si="30"/>
        <v>38351.858999999997</v>
      </c>
      <c r="CR31">
        <f t="shared" si="31"/>
        <v>167.29179999999999</v>
      </c>
      <c r="CS31">
        <f t="shared" si="32"/>
        <v>33.849400000000003</v>
      </c>
      <c r="CT31">
        <f t="shared" si="33"/>
        <v>1281.4503</v>
      </c>
      <c r="CU31">
        <f t="shared" si="34"/>
        <v>0</v>
      </c>
      <c r="CV31">
        <f t="shared" si="35"/>
        <v>24.586999999999996</v>
      </c>
      <c r="CW31">
        <f t="shared" si="36"/>
        <v>0.46250000000000002</v>
      </c>
      <c r="CX31">
        <f t="shared" si="37"/>
        <v>0</v>
      </c>
      <c r="CY31">
        <f t="shared" si="38"/>
        <v>44.615400000000001</v>
      </c>
      <c r="CZ31">
        <f t="shared" si="39"/>
        <v>22.728599999999997</v>
      </c>
      <c r="DC31" t="s">
        <v>6</v>
      </c>
      <c r="DD31" t="s">
        <v>6</v>
      </c>
      <c r="DE31" t="s">
        <v>27</v>
      </c>
      <c r="DF31" t="s">
        <v>27</v>
      </c>
      <c r="DG31" t="s">
        <v>28</v>
      </c>
      <c r="DH31" t="s">
        <v>6</v>
      </c>
      <c r="DI31" t="s">
        <v>28</v>
      </c>
      <c r="DJ31" t="s">
        <v>27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40</v>
      </c>
      <c r="DW31" t="s">
        <v>40</v>
      </c>
      <c r="DX31">
        <v>100</v>
      </c>
      <c r="EE31">
        <v>27029023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29</v>
      </c>
      <c r="EM31" t="s">
        <v>30</v>
      </c>
      <c r="EO31" t="s">
        <v>31</v>
      </c>
      <c r="EQ31">
        <v>131072</v>
      </c>
      <c r="ER31">
        <v>6481.17</v>
      </c>
      <c r="ES31">
        <v>6276.9</v>
      </c>
      <c r="ET31">
        <v>21.9</v>
      </c>
      <c r="EU31">
        <v>4.43</v>
      </c>
      <c r="EV31">
        <v>182.37</v>
      </c>
      <c r="EW31">
        <v>21.38</v>
      </c>
      <c r="EX31">
        <v>0.37</v>
      </c>
      <c r="EY31">
        <v>0</v>
      </c>
      <c r="FQ31">
        <v>0</v>
      </c>
      <c r="FR31">
        <f t="shared" si="40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-1968498593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1"/>
        <v>0</v>
      </c>
      <c r="GM31">
        <f t="shared" si="42"/>
        <v>1340.97</v>
      </c>
      <c r="GN31">
        <f t="shared" si="43"/>
        <v>1340.97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HC31">
        <f t="shared" si="48"/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33</v>
      </c>
      <c r="D32" s="2"/>
      <c r="E32" s="2" t="s">
        <v>42</v>
      </c>
      <c r="F32" s="2" t="s">
        <v>43</v>
      </c>
      <c r="G32" s="2" t="s">
        <v>44</v>
      </c>
      <c r="H32" s="2" t="s">
        <v>45</v>
      </c>
      <c r="I32" s="2">
        <f>I30*J32</f>
        <v>3.2</v>
      </c>
      <c r="J32" s="2">
        <v>100</v>
      </c>
      <c r="K32" s="2"/>
      <c r="L32" s="2"/>
      <c r="M32" s="2"/>
      <c r="N32" s="2"/>
      <c r="O32" s="2">
        <f t="shared" si="14"/>
        <v>103.74</v>
      </c>
      <c r="P32" s="2">
        <f t="shared" si="15"/>
        <v>103.74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27935367</v>
      </c>
      <c r="AB32" s="2">
        <f t="shared" si="25"/>
        <v>32.42</v>
      </c>
      <c r="AC32" s="2">
        <f t="shared" si="26"/>
        <v>32.42</v>
      </c>
      <c r="AD32" s="2">
        <f>ROUND((((ET32)-(EU32))+AE32),2)</f>
        <v>0</v>
      </c>
      <c r="AE32" s="2">
        <f>ROUND((EU32),2)</f>
        <v>0</v>
      </c>
      <c r="AF32" s="2">
        <f>ROUND((EV32),2)</f>
        <v>0</v>
      </c>
      <c r="AG32" s="2">
        <f t="shared" si="27"/>
        <v>0</v>
      </c>
      <c r="AH32" s="2">
        <f>(EW32)</f>
        <v>0</v>
      </c>
      <c r="AI32" s="2">
        <f>(EX32)</f>
        <v>0</v>
      </c>
      <c r="AJ32" s="2">
        <f t="shared" si="28"/>
        <v>0</v>
      </c>
      <c r="AK32" s="2">
        <v>32.42</v>
      </c>
      <c r="AL32" s="2">
        <v>32.42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46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29"/>
        <v>103.74</v>
      </c>
      <c r="CQ32" s="2">
        <f t="shared" si="30"/>
        <v>32.42</v>
      </c>
      <c r="CR32" s="2">
        <f t="shared" si="31"/>
        <v>0</v>
      </c>
      <c r="CS32" s="2">
        <f t="shared" si="32"/>
        <v>0</v>
      </c>
      <c r="CT32" s="2">
        <f t="shared" si="33"/>
        <v>0</v>
      </c>
      <c r="CU32" s="2">
        <f t="shared" si="34"/>
        <v>0</v>
      </c>
      <c r="CV32" s="2">
        <f t="shared" si="35"/>
        <v>0</v>
      </c>
      <c r="CW32" s="2">
        <f t="shared" si="36"/>
        <v>0</v>
      </c>
      <c r="CX32" s="2">
        <f t="shared" si="37"/>
        <v>0</v>
      </c>
      <c r="CY32" s="2">
        <f t="shared" si="38"/>
        <v>0</v>
      </c>
      <c r="CZ32" s="2">
        <f t="shared" si="39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45</v>
      </c>
      <c r="DW32" s="2" t="s">
        <v>45</v>
      </c>
      <c r="DX32" s="2">
        <v>1</v>
      </c>
      <c r="DY32" s="2"/>
      <c r="DZ32" s="2"/>
      <c r="EA32" s="2"/>
      <c r="EB32" s="2"/>
      <c r="EC32" s="2"/>
      <c r="ED32" s="2"/>
      <c r="EE32" s="2">
        <v>27029023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29</v>
      </c>
      <c r="EM32" s="2" t="s">
        <v>30</v>
      </c>
      <c r="EN32" s="2"/>
      <c r="EO32" s="2" t="s">
        <v>6</v>
      </c>
      <c r="EP32" s="2"/>
      <c r="EQ32" s="2">
        <v>0</v>
      </c>
      <c r="ER32" s="2">
        <v>32.42</v>
      </c>
      <c r="ES32" s="2">
        <v>32.42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0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-504550248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1"/>
        <v>0</v>
      </c>
      <c r="GM32" s="2">
        <f t="shared" si="42"/>
        <v>103.74</v>
      </c>
      <c r="GN32" s="2">
        <f t="shared" si="43"/>
        <v>103.74</v>
      </c>
      <c r="GO32" s="2">
        <f t="shared" si="44"/>
        <v>0</v>
      </c>
      <c r="GP32" s="2">
        <f t="shared" si="45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6"/>
        <v>0</v>
      </c>
      <c r="GW32" s="2">
        <v>1</v>
      </c>
      <c r="GX32" s="2">
        <f t="shared" si="47"/>
        <v>0</v>
      </c>
      <c r="GY32" s="2"/>
      <c r="GZ32" s="2"/>
      <c r="HA32" s="2">
        <v>0</v>
      </c>
      <c r="HB32" s="2">
        <v>0</v>
      </c>
      <c r="HC32" s="2">
        <f t="shared" si="48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40</v>
      </c>
      <c r="E33" t="s">
        <v>42</v>
      </c>
      <c r="F33" t="s">
        <v>43</v>
      </c>
      <c r="G33" t="s">
        <v>44</v>
      </c>
      <c r="H33" t="s">
        <v>45</v>
      </c>
      <c r="I33">
        <f>I31*J33</f>
        <v>3.2</v>
      </c>
      <c r="J33">
        <v>100</v>
      </c>
      <c r="O33">
        <f t="shared" si="14"/>
        <v>633.88</v>
      </c>
      <c r="P33">
        <f t="shared" si="15"/>
        <v>633.88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27935368</v>
      </c>
      <c r="AB33">
        <f t="shared" si="25"/>
        <v>32.42</v>
      </c>
      <c r="AC33">
        <f t="shared" si="26"/>
        <v>32.42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7"/>
        <v>0</v>
      </c>
      <c r="AH33">
        <f>(EW33)</f>
        <v>0</v>
      </c>
      <c r="AI33">
        <f>(EX33)</f>
        <v>0</v>
      </c>
      <c r="AJ33">
        <f t="shared" si="28"/>
        <v>0</v>
      </c>
      <c r="AK33">
        <v>32.42</v>
      </c>
      <c r="AL33">
        <v>32.42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6.11</v>
      </c>
      <c r="BA33">
        <v>1</v>
      </c>
      <c r="BB33">
        <v>1</v>
      </c>
      <c r="BC33">
        <v>6.11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46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633.88</v>
      </c>
      <c r="CQ33">
        <f t="shared" si="30"/>
        <v>198.08620000000002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45</v>
      </c>
      <c r="DW33" t="s">
        <v>45</v>
      </c>
      <c r="DX33">
        <v>1</v>
      </c>
      <c r="EE33">
        <v>27029023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29</v>
      </c>
      <c r="EM33" t="s">
        <v>30</v>
      </c>
      <c r="EO33" t="s">
        <v>6</v>
      </c>
      <c r="EQ33">
        <v>0</v>
      </c>
      <c r="ER33">
        <v>32.42</v>
      </c>
      <c r="ES33">
        <v>32.42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0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0</v>
      </c>
      <c r="GF33">
        <v>-504550248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1"/>
        <v>0</v>
      </c>
      <c r="GM33">
        <f t="shared" si="42"/>
        <v>633.88</v>
      </c>
      <c r="GN33">
        <f t="shared" si="43"/>
        <v>633.88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HC33">
        <f t="shared" si="48"/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ROW(SmtRes!A50)</f>
        <v>50</v>
      </c>
      <c r="D34" s="2">
        <f>ROW(EtalonRes!A50)</f>
        <v>50</v>
      </c>
      <c r="E34" s="2" t="s">
        <v>47</v>
      </c>
      <c r="F34" s="2" t="s">
        <v>48</v>
      </c>
      <c r="G34" s="2" t="s">
        <v>49</v>
      </c>
      <c r="H34" s="2" t="s">
        <v>16</v>
      </c>
      <c r="I34" s="2">
        <f>ROUND(2.46/100,9)</f>
        <v>2.46E-2</v>
      </c>
      <c r="J34" s="2">
        <v>0</v>
      </c>
      <c r="K34" s="2"/>
      <c r="L34" s="2"/>
      <c r="M34" s="2"/>
      <c r="N34" s="2"/>
      <c r="O34" s="2">
        <f t="shared" si="14"/>
        <v>44.33</v>
      </c>
      <c r="P34" s="2">
        <f t="shared" si="15"/>
        <v>0.01</v>
      </c>
      <c r="Q34" s="2">
        <f t="shared" si="16"/>
        <v>1.0900000000000001</v>
      </c>
      <c r="R34" s="2">
        <f t="shared" si="17"/>
        <v>0.21</v>
      </c>
      <c r="S34" s="2">
        <f t="shared" si="18"/>
        <v>43.23</v>
      </c>
      <c r="T34" s="2">
        <f t="shared" si="19"/>
        <v>0</v>
      </c>
      <c r="U34" s="2">
        <f t="shared" si="20"/>
        <v>4.7094363000000001</v>
      </c>
      <c r="V34" s="2">
        <f t="shared" si="21"/>
        <v>1.7835E-2</v>
      </c>
      <c r="W34" s="2">
        <f t="shared" si="22"/>
        <v>0</v>
      </c>
      <c r="X34" s="2">
        <f t="shared" si="23"/>
        <v>41.27</v>
      </c>
      <c r="Y34" s="2">
        <f t="shared" si="24"/>
        <v>20.420000000000002</v>
      </c>
      <c r="Z34" s="2"/>
      <c r="AA34" s="2">
        <v>27935367</v>
      </c>
      <c r="AB34" s="2">
        <f t="shared" si="25"/>
        <v>1801.98</v>
      </c>
      <c r="AC34" s="2">
        <f t="shared" si="26"/>
        <v>0.36</v>
      </c>
      <c r="AD34" s="2">
        <f>ROUND(((((ET34*1.25))-((EU34*1.25)))+AE34),2)</f>
        <v>44.2</v>
      </c>
      <c r="AE34" s="2">
        <f>ROUND(((EU34*1.25)),2)</f>
        <v>8.6</v>
      </c>
      <c r="AF34" s="2">
        <f>ROUND(((EV34*1.15)),2)</f>
        <v>1757.42</v>
      </c>
      <c r="AG34" s="2">
        <f t="shared" si="27"/>
        <v>0</v>
      </c>
      <c r="AH34" s="2">
        <f>((EW34*1.15))</f>
        <v>191.44049999999999</v>
      </c>
      <c r="AI34" s="2">
        <f>((EX34*1.25))</f>
        <v>0.72499999999999998</v>
      </c>
      <c r="AJ34" s="2">
        <f t="shared" si="28"/>
        <v>0</v>
      </c>
      <c r="AK34" s="2">
        <v>1563.91</v>
      </c>
      <c r="AL34" s="2">
        <v>0.36</v>
      </c>
      <c r="AM34" s="2">
        <v>35.36</v>
      </c>
      <c r="AN34" s="2">
        <v>6.88</v>
      </c>
      <c r="AO34" s="2">
        <v>1528.19</v>
      </c>
      <c r="AP34" s="2">
        <v>0</v>
      </c>
      <c r="AQ34" s="2">
        <v>166.47</v>
      </c>
      <c r="AR34" s="2">
        <v>0.57999999999999996</v>
      </c>
      <c r="AS34" s="2">
        <v>0</v>
      </c>
      <c r="AT34" s="2">
        <v>95</v>
      </c>
      <c r="AU34" s="2">
        <v>47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50</v>
      </c>
      <c r="BK34" s="2"/>
      <c r="BL34" s="2"/>
      <c r="BM34" s="2">
        <v>15001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105</v>
      </c>
      <c r="CA34" s="2">
        <v>55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766</v>
      </c>
      <c r="CO34" s="2">
        <v>0</v>
      </c>
      <c r="CP34" s="2">
        <f t="shared" si="29"/>
        <v>44.33</v>
      </c>
      <c r="CQ34" s="2">
        <f t="shared" si="30"/>
        <v>0.36</v>
      </c>
      <c r="CR34" s="2">
        <f t="shared" si="31"/>
        <v>44.2</v>
      </c>
      <c r="CS34" s="2">
        <f t="shared" si="32"/>
        <v>8.6</v>
      </c>
      <c r="CT34" s="2">
        <f t="shared" si="33"/>
        <v>1757.42</v>
      </c>
      <c r="CU34" s="2">
        <f t="shared" si="34"/>
        <v>0</v>
      </c>
      <c r="CV34" s="2">
        <f t="shared" si="35"/>
        <v>191.44049999999999</v>
      </c>
      <c r="CW34" s="2">
        <f t="shared" si="36"/>
        <v>0.72499999999999998</v>
      </c>
      <c r="CX34" s="2">
        <f t="shared" si="37"/>
        <v>0</v>
      </c>
      <c r="CY34" s="2">
        <f t="shared" si="38"/>
        <v>41.268000000000001</v>
      </c>
      <c r="CZ34" s="2">
        <f t="shared" si="39"/>
        <v>20.416799999999999</v>
      </c>
      <c r="DA34" s="2"/>
      <c r="DB34" s="2"/>
      <c r="DC34" s="2" t="s">
        <v>6</v>
      </c>
      <c r="DD34" s="2" t="s">
        <v>6</v>
      </c>
      <c r="DE34" s="2" t="s">
        <v>27</v>
      </c>
      <c r="DF34" s="2" t="s">
        <v>27</v>
      </c>
      <c r="DG34" s="2" t="s">
        <v>28</v>
      </c>
      <c r="DH34" s="2" t="s">
        <v>6</v>
      </c>
      <c r="DI34" s="2" t="s">
        <v>28</v>
      </c>
      <c r="DJ34" s="2" t="s">
        <v>27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16</v>
      </c>
      <c r="DW34" s="2" t="s">
        <v>16</v>
      </c>
      <c r="DX34" s="2">
        <v>100</v>
      </c>
      <c r="DY34" s="2"/>
      <c r="DZ34" s="2"/>
      <c r="EA34" s="2"/>
      <c r="EB34" s="2"/>
      <c r="EC34" s="2"/>
      <c r="ED34" s="2"/>
      <c r="EE34" s="2">
        <v>27029049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15001</v>
      </c>
      <c r="EL34" s="2" t="s">
        <v>51</v>
      </c>
      <c r="EM34" s="2" t="s">
        <v>52</v>
      </c>
      <c r="EN34" s="2"/>
      <c r="EO34" s="2" t="s">
        <v>31</v>
      </c>
      <c r="EP34" s="2"/>
      <c r="EQ34" s="2">
        <v>131072</v>
      </c>
      <c r="ER34" s="2">
        <v>1563.91</v>
      </c>
      <c r="ES34" s="2">
        <v>0.36</v>
      </c>
      <c r="ET34" s="2">
        <v>35.36</v>
      </c>
      <c r="EU34" s="2">
        <v>6.88</v>
      </c>
      <c r="EV34" s="2">
        <v>1528.19</v>
      </c>
      <c r="EW34" s="2">
        <v>166.47</v>
      </c>
      <c r="EX34" s="2">
        <v>0.57999999999999996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0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94.5</v>
      </c>
      <c r="FY34" s="2">
        <v>46.75</v>
      </c>
      <c r="FZ34" s="2"/>
      <c r="GA34" s="2" t="s">
        <v>6</v>
      </c>
      <c r="GB34" s="2"/>
      <c r="GC34" s="2"/>
      <c r="GD34" s="2">
        <v>0</v>
      </c>
      <c r="GE34" s="2"/>
      <c r="GF34" s="2">
        <v>251333065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1"/>
        <v>0</v>
      </c>
      <c r="GM34" s="2">
        <f t="shared" si="42"/>
        <v>106.02</v>
      </c>
      <c r="GN34" s="2">
        <f t="shared" si="43"/>
        <v>106.02</v>
      </c>
      <c r="GO34" s="2">
        <f t="shared" si="44"/>
        <v>0</v>
      </c>
      <c r="GP34" s="2">
        <f t="shared" si="4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6"/>
        <v>0</v>
      </c>
      <c r="GW34" s="2">
        <v>1</v>
      </c>
      <c r="GX34" s="2">
        <f t="shared" si="47"/>
        <v>0</v>
      </c>
      <c r="GY34" s="2"/>
      <c r="GZ34" s="2"/>
      <c r="HA34" s="2">
        <v>0</v>
      </c>
      <c r="HB34" s="2">
        <v>0</v>
      </c>
      <c r="HC34" s="2">
        <f t="shared" si="48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ROW(SmtRes!A58)</f>
        <v>58</v>
      </c>
      <c r="D35">
        <f>ROW(EtalonRes!A58)</f>
        <v>58</v>
      </c>
      <c r="E35" t="s">
        <v>47</v>
      </c>
      <c r="F35" t="s">
        <v>48</v>
      </c>
      <c r="G35" t="s">
        <v>49</v>
      </c>
      <c r="H35" t="s">
        <v>16</v>
      </c>
      <c r="I35">
        <f>ROUND(2.46/100,9)</f>
        <v>2.46E-2</v>
      </c>
      <c r="J35">
        <v>0</v>
      </c>
      <c r="O35">
        <f t="shared" si="14"/>
        <v>270.83999999999997</v>
      </c>
      <c r="P35">
        <f t="shared" si="15"/>
        <v>0.05</v>
      </c>
      <c r="Q35">
        <f t="shared" si="16"/>
        <v>6.64</v>
      </c>
      <c r="R35">
        <f t="shared" si="17"/>
        <v>1.29</v>
      </c>
      <c r="S35">
        <f t="shared" si="18"/>
        <v>264.14999999999998</v>
      </c>
      <c r="T35">
        <f t="shared" si="19"/>
        <v>0</v>
      </c>
      <c r="U35">
        <f t="shared" si="20"/>
        <v>4.7094363000000001</v>
      </c>
      <c r="V35">
        <f t="shared" si="21"/>
        <v>1.7835E-2</v>
      </c>
      <c r="W35">
        <f t="shared" si="22"/>
        <v>0</v>
      </c>
      <c r="X35">
        <f t="shared" si="23"/>
        <v>252.17</v>
      </c>
      <c r="Y35">
        <f t="shared" si="24"/>
        <v>124.76</v>
      </c>
      <c r="AA35">
        <v>27935368</v>
      </c>
      <c r="AB35">
        <f t="shared" si="25"/>
        <v>1801.98</v>
      </c>
      <c r="AC35">
        <f t="shared" si="26"/>
        <v>0.36</v>
      </c>
      <c r="AD35">
        <f>ROUND(((((ET35*1.25))-((EU35*1.25)))+AE35),2)</f>
        <v>44.2</v>
      </c>
      <c r="AE35">
        <f>ROUND(((EU35*1.25)),2)</f>
        <v>8.6</v>
      </c>
      <c r="AF35">
        <f>ROUND(((EV35*1.15)),2)</f>
        <v>1757.42</v>
      </c>
      <c r="AG35">
        <f t="shared" si="27"/>
        <v>0</v>
      </c>
      <c r="AH35">
        <f>((EW35*1.15))</f>
        <v>191.44049999999999</v>
      </c>
      <c r="AI35">
        <f>((EX35*1.25))</f>
        <v>0.72499999999999998</v>
      </c>
      <c r="AJ35">
        <f t="shared" si="28"/>
        <v>0</v>
      </c>
      <c r="AK35">
        <v>1563.91</v>
      </c>
      <c r="AL35">
        <v>0.36</v>
      </c>
      <c r="AM35">
        <v>35.36</v>
      </c>
      <c r="AN35">
        <v>6.88</v>
      </c>
      <c r="AO35">
        <v>1528.19</v>
      </c>
      <c r="AP35">
        <v>0</v>
      </c>
      <c r="AQ35">
        <v>166.47</v>
      </c>
      <c r="AR35">
        <v>0.57999999999999996</v>
      </c>
      <c r="AS35">
        <v>0</v>
      </c>
      <c r="AT35">
        <v>95</v>
      </c>
      <c r="AU35">
        <v>47</v>
      </c>
      <c r="AV35">
        <v>1</v>
      </c>
      <c r="AW35">
        <v>1</v>
      </c>
      <c r="AZ35">
        <v>6.11</v>
      </c>
      <c r="BA35">
        <v>6.11</v>
      </c>
      <c r="BB35">
        <v>6.11</v>
      </c>
      <c r="BC35">
        <v>6.11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50</v>
      </c>
      <c r="BM35">
        <v>15001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6.11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105</v>
      </c>
      <c r="CA35">
        <v>55</v>
      </c>
      <c r="CE35">
        <v>0</v>
      </c>
      <c r="CF35">
        <v>0</v>
      </c>
      <c r="CG35">
        <v>0</v>
      </c>
      <c r="CM35">
        <v>0</v>
      </c>
      <c r="CN35" t="s">
        <v>766</v>
      </c>
      <c r="CO35">
        <v>0</v>
      </c>
      <c r="CP35">
        <f t="shared" si="29"/>
        <v>270.83999999999997</v>
      </c>
      <c r="CQ35">
        <f t="shared" si="30"/>
        <v>2.1996000000000002</v>
      </c>
      <c r="CR35">
        <f t="shared" si="31"/>
        <v>270.06200000000001</v>
      </c>
      <c r="CS35">
        <f t="shared" si="32"/>
        <v>52.545999999999999</v>
      </c>
      <c r="CT35">
        <f t="shared" si="33"/>
        <v>10737.836200000002</v>
      </c>
      <c r="CU35">
        <f t="shared" si="34"/>
        <v>0</v>
      </c>
      <c r="CV35">
        <f t="shared" si="35"/>
        <v>191.44049999999999</v>
      </c>
      <c r="CW35">
        <f t="shared" si="36"/>
        <v>0.72499999999999998</v>
      </c>
      <c r="CX35">
        <f t="shared" si="37"/>
        <v>0</v>
      </c>
      <c r="CY35">
        <f t="shared" si="38"/>
        <v>252.16800000000001</v>
      </c>
      <c r="CZ35">
        <f t="shared" si="39"/>
        <v>124.7568</v>
      </c>
      <c r="DC35" t="s">
        <v>6</v>
      </c>
      <c r="DD35" t="s">
        <v>6</v>
      </c>
      <c r="DE35" t="s">
        <v>27</v>
      </c>
      <c r="DF35" t="s">
        <v>27</v>
      </c>
      <c r="DG35" t="s">
        <v>28</v>
      </c>
      <c r="DH35" t="s">
        <v>6</v>
      </c>
      <c r="DI35" t="s">
        <v>28</v>
      </c>
      <c r="DJ35" t="s">
        <v>27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16</v>
      </c>
      <c r="DW35" t="s">
        <v>16</v>
      </c>
      <c r="DX35">
        <v>100</v>
      </c>
      <c r="EE35">
        <v>27029049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15001</v>
      </c>
      <c r="EL35" t="s">
        <v>51</v>
      </c>
      <c r="EM35" t="s">
        <v>52</v>
      </c>
      <c r="EO35" t="s">
        <v>31</v>
      </c>
      <c r="EQ35">
        <v>131072</v>
      </c>
      <c r="ER35">
        <v>1563.91</v>
      </c>
      <c r="ES35">
        <v>0.36</v>
      </c>
      <c r="ET35">
        <v>35.36</v>
      </c>
      <c r="EU35">
        <v>6.88</v>
      </c>
      <c r="EV35">
        <v>1528.19</v>
      </c>
      <c r="EW35">
        <v>166.47</v>
      </c>
      <c r="EX35">
        <v>0.57999999999999996</v>
      </c>
      <c r="EY35">
        <v>0</v>
      </c>
      <c r="FQ35">
        <v>0</v>
      </c>
      <c r="FR35">
        <f t="shared" si="40"/>
        <v>0</v>
      </c>
      <c r="FS35">
        <v>0</v>
      </c>
      <c r="FT35" t="s">
        <v>21</v>
      </c>
      <c r="FU35" t="s">
        <v>22</v>
      </c>
      <c r="FX35">
        <v>94.5</v>
      </c>
      <c r="FY35">
        <v>46.75</v>
      </c>
      <c r="GA35" t="s">
        <v>6</v>
      </c>
      <c r="GD35">
        <v>0</v>
      </c>
      <c r="GF35">
        <v>251333065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1"/>
        <v>0</v>
      </c>
      <c r="GM35">
        <f t="shared" si="42"/>
        <v>647.77</v>
      </c>
      <c r="GN35">
        <f t="shared" si="43"/>
        <v>647.77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6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HC35">
        <f t="shared" si="48"/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48</v>
      </c>
      <c r="D36" s="2"/>
      <c r="E36" s="2" t="s">
        <v>53</v>
      </c>
      <c r="F36" s="2" t="s">
        <v>54</v>
      </c>
      <c r="G36" s="2" t="s">
        <v>55</v>
      </c>
      <c r="H36" s="2" t="s">
        <v>35</v>
      </c>
      <c r="I36" s="2">
        <f>I34*J36</f>
        <v>2.5830000000000002</v>
      </c>
      <c r="J36" s="2">
        <v>105</v>
      </c>
      <c r="K36" s="2"/>
      <c r="L36" s="2"/>
      <c r="M36" s="2"/>
      <c r="N36" s="2"/>
      <c r="O36" s="2">
        <f t="shared" si="14"/>
        <v>152.81</v>
      </c>
      <c r="P36" s="2">
        <f t="shared" si="15"/>
        <v>152.81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27935367</v>
      </c>
      <c r="AB36" s="2">
        <f t="shared" si="25"/>
        <v>59.16</v>
      </c>
      <c r="AC36" s="2">
        <f t="shared" si="26"/>
        <v>59.16</v>
      </c>
      <c r="AD36" s="2">
        <f t="shared" ref="AD36:AD41" si="49">ROUND((((ET36)-(EU36))+AE36),2)</f>
        <v>0</v>
      </c>
      <c r="AE36" s="2">
        <f t="shared" ref="AE36:AF41" si="50">ROUND((EU36),2)</f>
        <v>0</v>
      </c>
      <c r="AF36" s="2">
        <f t="shared" si="50"/>
        <v>0</v>
      </c>
      <c r="AG36" s="2">
        <f t="shared" si="27"/>
        <v>0</v>
      </c>
      <c r="AH36" s="2">
        <f t="shared" ref="AH36:AI41" si="51">(EW36)</f>
        <v>0</v>
      </c>
      <c r="AI36" s="2">
        <f t="shared" si="51"/>
        <v>0</v>
      </c>
      <c r="AJ36" s="2">
        <f t="shared" si="28"/>
        <v>0</v>
      </c>
      <c r="AK36" s="2">
        <v>59.16</v>
      </c>
      <c r="AL36" s="2">
        <v>59.16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95</v>
      </c>
      <c r="AU36" s="2">
        <v>47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56</v>
      </c>
      <c r="BK36" s="2"/>
      <c r="BL36" s="2"/>
      <c r="BM36" s="2">
        <v>15001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105</v>
      </c>
      <c r="CA36" s="2">
        <v>55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29"/>
        <v>152.81</v>
      </c>
      <c r="CQ36" s="2">
        <f t="shared" si="30"/>
        <v>59.16</v>
      </c>
      <c r="CR36" s="2">
        <f t="shared" si="31"/>
        <v>0</v>
      </c>
      <c r="CS36" s="2">
        <f t="shared" si="32"/>
        <v>0</v>
      </c>
      <c r="CT36" s="2">
        <f t="shared" si="33"/>
        <v>0</v>
      </c>
      <c r="CU36" s="2">
        <f t="shared" si="34"/>
        <v>0</v>
      </c>
      <c r="CV36" s="2">
        <f t="shared" si="35"/>
        <v>0</v>
      </c>
      <c r="CW36" s="2">
        <f t="shared" si="36"/>
        <v>0</v>
      </c>
      <c r="CX36" s="2">
        <f t="shared" si="37"/>
        <v>0</v>
      </c>
      <c r="CY36" s="2">
        <f t="shared" si="38"/>
        <v>0</v>
      </c>
      <c r="CZ36" s="2">
        <f t="shared" si="39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35</v>
      </c>
      <c r="DW36" s="2" t="s">
        <v>35</v>
      </c>
      <c r="DX36" s="2">
        <v>1</v>
      </c>
      <c r="DY36" s="2"/>
      <c r="DZ36" s="2"/>
      <c r="EA36" s="2"/>
      <c r="EB36" s="2"/>
      <c r="EC36" s="2"/>
      <c r="ED36" s="2"/>
      <c r="EE36" s="2">
        <v>27029049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15001</v>
      </c>
      <c r="EL36" s="2" t="s">
        <v>51</v>
      </c>
      <c r="EM36" s="2" t="s">
        <v>52</v>
      </c>
      <c r="EN36" s="2"/>
      <c r="EO36" s="2" t="s">
        <v>6</v>
      </c>
      <c r="EP36" s="2"/>
      <c r="EQ36" s="2">
        <v>0</v>
      </c>
      <c r="ER36" s="2">
        <v>59.16</v>
      </c>
      <c r="ES36" s="2">
        <v>59.16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0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94.5</v>
      </c>
      <c r="FY36" s="2">
        <v>46.75</v>
      </c>
      <c r="FZ36" s="2"/>
      <c r="GA36" s="2" t="s">
        <v>6</v>
      </c>
      <c r="GB36" s="2"/>
      <c r="GC36" s="2"/>
      <c r="GD36" s="2">
        <v>0</v>
      </c>
      <c r="GE36" s="2"/>
      <c r="GF36" s="2">
        <v>-724546537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1"/>
        <v>0</v>
      </c>
      <c r="GM36" s="2">
        <f t="shared" si="42"/>
        <v>152.81</v>
      </c>
      <c r="GN36" s="2">
        <f t="shared" si="43"/>
        <v>152.81</v>
      </c>
      <c r="GO36" s="2">
        <f t="shared" si="44"/>
        <v>0</v>
      </c>
      <c r="GP36" s="2">
        <f t="shared" si="4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6"/>
        <v>0</v>
      </c>
      <c r="GW36" s="2">
        <v>1</v>
      </c>
      <c r="GX36" s="2">
        <f t="shared" si="47"/>
        <v>0</v>
      </c>
      <c r="GY36" s="2"/>
      <c r="GZ36" s="2"/>
      <c r="HA36" s="2">
        <v>0</v>
      </c>
      <c r="HB36" s="2">
        <v>0</v>
      </c>
      <c r="HC36" s="2">
        <f t="shared" si="48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56</v>
      </c>
      <c r="E37" t="s">
        <v>53</v>
      </c>
      <c r="F37" t="s">
        <v>54</v>
      </c>
      <c r="G37" t="s">
        <v>55</v>
      </c>
      <c r="H37" t="s">
        <v>35</v>
      </c>
      <c r="I37">
        <f>I35*J37</f>
        <v>2.5830000000000002</v>
      </c>
      <c r="J37">
        <v>105</v>
      </c>
      <c r="O37">
        <f t="shared" si="14"/>
        <v>933.67</v>
      </c>
      <c r="P37">
        <f t="shared" si="15"/>
        <v>933.67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27935368</v>
      </c>
      <c r="AB37">
        <f t="shared" si="25"/>
        <v>59.16</v>
      </c>
      <c r="AC37">
        <f t="shared" si="26"/>
        <v>59.16</v>
      </c>
      <c r="AD37">
        <f t="shared" si="49"/>
        <v>0</v>
      </c>
      <c r="AE37">
        <f t="shared" si="50"/>
        <v>0</v>
      </c>
      <c r="AF37">
        <f t="shared" si="50"/>
        <v>0</v>
      </c>
      <c r="AG37">
        <f t="shared" si="27"/>
        <v>0</v>
      </c>
      <c r="AH37">
        <f t="shared" si="51"/>
        <v>0</v>
      </c>
      <c r="AI37">
        <f t="shared" si="51"/>
        <v>0</v>
      </c>
      <c r="AJ37">
        <f t="shared" si="28"/>
        <v>0</v>
      </c>
      <c r="AK37">
        <v>59.16</v>
      </c>
      <c r="AL37">
        <v>59.16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6.11</v>
      </c>
      <c r="BA37">
        <v>1</v>
      </c>
      <c r="BB37">
        <v>1</v>
      </c>
      <c r="BC37">
        <v>6.11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56</v>
      </c>
      <c r="BM37">
        <v>15001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105</v>
      </c>
      <c r="CA37">
        <v>55</v>
      </c>
      <c r="CE37">
        <v>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9"/>
        <v>933.67</v>
      </c>
      <c r="CQ37">
        <f t="shared" si="30"/>
        <v>361.4676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35</v>
      </c>
      <c r="DW37" t="s">
        <v>35</v>
      </c>
      <c r="DX37">
        <v>1</v>
      </c>
      <c r="EE37">
        <v>27029049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15001</v>
      </c>
      <c r="EL37" t="s">
        <v>51</v>
      </c>
      <c r="EM37" t="s">
        <v>52</v>
      </c>
      <c r="EO37" t="s">
        <v>6</v>
      </c>
      <c r="EQ37">
        <v>0</v>
      </c>
      <c r="ER37">
        <v>59.16</v>
      </c>
      <c r="ES37">
        <v>59.16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0"/>
        <v>0</v>
      </c>
      <c r="FS37">
        <v>0</v>
      </c>
      <c r="FT37" t="s">
        <v>21</v>
      </c>
      <c r="FU37" t="s">
        <v>22</v>
      </c>
      <c r="FX37">
        <v>94.5</v>
      </c>
      <c r="FY37">
        <v>46.75</v>
      </c>
      <c r="GA37" t="s">
        <v>6</v>
      </c>
      <c r="GD37">
        <v>0</v>
      </c>
      <c r="GF37">
        <v>-724546537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1"/>
        <v>0</v>
      </c>
      <c r="GM37">
        <f t="shared" si="42"/>
        <v>933.67</v>
      </c>
      <c r="GN37">
        <f t="shared" si="43"/>
        <v>933.67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6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HC37">
        <f t="shared" si="48"/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49</v>
      </c>
      <c r="D38" s="2"/>
      <c r="E38" s="2" t="s">
        <v>57</v>
      </c>
      <c r="F38" s="2" t="s">
        <v>58</v>
      </c>
      <c r="G38" s="2" t="s">
        <v>59</v>
      </c>
      <c r="H38" s="2" t="s">
        <v>60</v>
      </c>
      <c r="I38" s="2">
        <f>I34*J38</f>
        <v>0.73799999999999999</v>
      </c>
      <c r="J38" s="2">
        <v>30</v>
      </c>
      <c r="K38" s="2"/>
      <c r="L38" s="2"/>
      <c r="M38" s="2"/>
      <c r="N38" s="2"/>
      <c r="O38" s="2">
        <f t="shared" si="14"/>
        <v>18.86</v>
      </c>
      <c r="P38" s="2">
        <f t="shared" si="15"/>
        <v>18.86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27935367</v>
      </c>
      <c r="AB38" s="2">
        <f t="shared" si="25"/>
        <v>25.56</v>
      </c>
      <c r="AC38" s="2">
        <f t="shared" si="26"/>
        <v>25.56</v>
      </c>
      <c r="AD38" s="2">
        <f t="shared" si="49"/>
        <v>0</v>
      </c>
      <c r="AE38" s="2">
        <f t="shared" si="50"/>
        <v>0</v>
      </c>
      <c r="AF38" s="2">
        <f t="shared" si="50"/>
        <v>0</v>
      </c>
      <c r="AG38" s="2">
        <f t="shared" si="27"/>
        <v>0</v>
      </c>
      <c r="AH38" s="2">
        <f t="shared" si="51"/>
        <v>0</v>
      </c>
      <c r="AI38" s="2">
        <f t="shared" si="51"/>
        <v>0</v>
      </c>
      <c r="AJ38" s="2">
        <f t="shared" si="28"/>
        <v>0</v>
      </c>
      <c r="AK38" s="2">
        <v>25.56</v>
      </c>
      <c r="AL38" s="2">
        <v>25.56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95</v>
      </c>
      <c r="AU38" s="2">
        <v>47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61</v>
      </c>
      <c r="BK38" s="2"/>
      <c r="BL38" s="2"/>
      <c r="BM38" s="2">
        <v>15001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105</v>
      </c>
      <c r="CA38" s="2">
        <v>55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29"/>
        <v>18.86</v>
      </c>
      <c r="CQ38" s="2">
        <f t="shared" si="30"/>
        <v>25.56</v>
      </c>
      <c r="CR38" s="2">
        <f t="shared" si="31"/>
        <v>0</v>
      </c>
      <c r="CS38" s="2">
        <f t="shared" si="32"/>
        <v>0</v>
      </c>
      <c r="CT38" s="2">
        <f t="shared" si="33"/>
        <v>0</v>
      </c>
      <c r="CU38" s="2">
        <f t="shared" si="34"/>
        <v>0</v>
      </c>
      <c r="CV38" s="2">
        <f t="shared" si="35"/>
        <v>0</v>
      </c>
      <c r="CW38" s="2">
        <f t="shared" si="36"/>
        <v>0</v>
      </c>
      <c r="CX38" s="2">
        <f t="shared" si="37"/>
        <v>0</v>
      </c>
      <c r="CY38" s="2">
        <f t="shared" si="38"/>
        <v>0</v>
      </c>
      <c r="CZ38" s="2">
        <f t="shared" si="39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60</v>
      </c>
      <c r="DW38" s="2" t="s">
        <v>60</v>
      </c>
      <c r="DX38" s="2">
        <v>1</v>
      </c>
      <c r="DY38" s="2"/>
      <c r="DZ38" s="2"/>
      <c r="EA38" s="2"/>
      <c r="EB38" s="2"/>
      <c r="EC38" s="2"/>
      <c r="ED38" s="2"/>
      <c r="EE38" s="2">
        <v>27029049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15001</v>
      </c>
      <c r="EL38" s="2" t="s">
        <v>51</v>
      </c>
      <c r="EM38" s="2" t="s">
        <v>52</v>
      </c>
      <c r="EN38" s="2"/>
      <c r="EO38" s="2" t="s">
        <v>6</v>
      </c>
      <c r="EP38" s="2"/>
      <c r="EQ38" s="2">
        <v>0</v>
      </c>
      <c r="ER38" s="2">
        <v>25.56</v>
      </c>
      <c r="ES38" s="2">
        <v>25.56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0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94.5</v>
      </c>
      <c r="FY38" s="2">
        <v>46.75</v>
      </c>
      <c r="FZ38" s="2"/>
      <c r="GA38" s="2" t="s">
        <v>6</v>
      </c>
      <c r="GB38" s="2"/>
      <c r="GC38" s="2"/>
      <c r="GD38" s="2">
        <v>0</v>
      </c>
      <c r="GE38" s="2"/>
      <c r="GF38" s="2">
        <v>-89726692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1"/>
        <v>0</v>
      </c>
      <c r="GM38" s="2">
        <f t="shared" si="42"/>
        <v>18.86</v>
      </c>
      <c r="GN38" s="2">
        <f t="shared" si="43"/>
        <v>18.86</v>
      </c>
      <c r="GO38" s="2">
        <f t="shared" si="44"/>
        <v>0</v>
      </c>
      <c r="GP38" s="2">
        <f t="shared" si="45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6"/>
        <v>0</v>
      </c>
      <c r="GW38" s="2">
        <v>1</v>
      </c>
      <c r="GX38" s="2">
        <f t="shared" si="47"/>
        <v>0</v>
      </c>
      <c r="GY38" s="2"/>
      <c r="GZ38" s="2"/>
      <c r="HA38" s="2">
        <v>0</v>
      </c>
      <c r="HB38" s="2">
        <v>0</v>
      </c>
      <c r="HC38" s="2">
        <f t="shared" si="48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57</v>
      </c>
      <c r="E39" t="s">
        <v>57</v>
      </c>
      <c r="F39" t="s">
        <v>58</v>
      </c>
      <c r="G39" t="s">
        <v>59</v>
      </c>
      <c r="H39" t="s">
        <v>60</v>
      </c>
      <c r="I39">
        <f>I35*J39</f>
        <v>0.73799999999999999</v>
      </c>
      <c r="J39">
        <v>30</v>
      </c>
      <c r="O39">
        <f t="shared" si="14"/>
        <v>115.25</v>
      </c>
      <c r="P39">
        <f t="shared" si="15"/>
        <v>115.25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27935368</v>
      </c>
      <c r="AB39">
        <f t="shared" si="25"/>
        <v>25.56</v>
      </c>
      <c r="AC39">
        <f t="shared" si="26"/>
        <v>25.56</v>
      </c>
      <c r="AD39">
        <f t="shared" si="49"/>
        <v>0</v>
      </c>
      <c r="AE39">
        <f t="shared" si="50"/>
        <v>0</v>
      </c>
      <c r="AF39">
        <f t="shared" si="50"/>
        <v>0</v>
      </c>
      <c r="AG39">
        <f t="shared" si="27"/>
        <v>0</v>
      </c>
      <c r="AH39">
        <f t="shared" si="51"/>
        <v>0</v>
      </c>
      <c r="AI39">
        <f t="shared" si="51"/>
        <v>0</v>
      </c>
      <c r="AJ39">
        <f t="shared" si="28"/>
        <v>0</v>
      </c>
      <c r="AK39">
        <v>25.56</v>
      </c>
      <c r="AL39">
        <v>25.56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47</v>
      </c>
      <c r="AV39">
        <v>1</v>
      </c>
      <c r="AW39">
        <v>1</v>
      </c>
      <c r="AZ39">
        <v>6.11</v>
      </c>
      <c r="BA39">
        <v>1</v>
      </c>
      <c r="BB39">
        <v>1</v>
      </c>
      <c r="BC39">
        <v>6.11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61</v>
      </c>
      <c r="BM39">
        <v>15001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105</v>
      </c>
      <c r="CA39">
        <v>55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9"/>
        <v>115.25</v>
      </c>
      <c r="CQ39">
        <f t="shared" si="30"/>
        <v>156.17160000000001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</v>
      </c>
      <c r="EE39">
        <v>27029049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15001</v>
      </c>
      <c r="EL39" t="s">
        <v>51</v>
      </c>
      <c r="EM39" t="s">
        <v>52</v>
      </c>
      <c r="EO39" t="s">
        <v>6</v>
      </c>
      <c r="EQ39">
        <v>0</v>
      </c>
      <c r="ER39">
        <v>25.56</v>
      </c>
      <c r="ES39">
        <v>25.56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0"/>
        <v>0</v>
      </c>
      <c r="FS39">
        <v>0</v>
      </c>
      <c r="FT39" t="s">
        <v>21</v>
      </c>
      <c r="FU39" t="s">
        <v>22</v>
      </c>
      <c r="FX39">
        <v>94.5</v>
      </c>
      <c r="FY39">
        <v>46.75</v>
      </c>
      <c r="GA39" t="s">
        <v>6</v>
      </c>
      <c r="GD39">
        <v>0</v>
      </c>
      <c r="GF39">
        <v>-89726692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1"/>
        <v>0</v>
      </c>
      <c r="GM39">
        <f t="shared" si="42"/>
        <v>115.25</v>
      </c>
      <c r="GN39">
        <f t="shared" si="43"/>
        <v>115.25</v>
      </c>
      <c r="GO39">
        <f t="shared" si="44"/>
        <v>0</v>
      </c>
      <c r="GP39">
        <f t="shared" si="45"/>
        <v>0</v>
      </c>
      <c r="GR39">
        <v>0</v>
      </c>
      <c r="GS39">
        <v>3</v>
      </c>
      <c r="GT39">
        <v>0</v>
      </c>
      <c r="GU39" t="s">
        <v>6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HC39">
        <f t="shared" si="48"/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50</v>
      </c>
      <c r="D40" s="2"/>
      <c r="E40" s="2" t="s">
        <v>62</v>
      </c>
      <c r="F40" s="2" t="s">
        <v>63</v>
      </c>
      <c r="G40" s="2" t="s">
        <v>64</v>
      </c>
      <c r="H40" s="2" t="s">
        <v>65</v>
      </c>
      <c r="I40" s="2">
        <f>I34*J40</f>
        <v>2.1900000000000004E-4</v>
      </c>
      <c r="J40" s="2">
        <v>8.9024390243902449E-3</v>
      </c>
      <c r="K40" s="2"/>
      <c r="L40" s="2"/>
      <c r="M40" s="2"/>
      <c r="N40" s="2"/>
      <c r="O40" s="2">
        <f t="shared" si="14"/>
        <v>4.03</v>
      </c>
      <c r="P40" s="2">
        <f t="shared" si="15"/>
        <v>4.03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27935367</v>
      </c>
      <c r="AB40" s="2">
        <f t="shared" si="25"/>
        <v>18390.16</v>
      </c>
      <c r="AC40" s="2">
        <f t="shared" si="26"/>
        <v>18390.16</v>
      </c>
      <c r="AD40" s="2">
        <f t="shared" si="49"/>
        <v>0</v>
      </c>
      <c r="AE40" s="2">
        <f t="shared" si="50"/>
        <v>0</v>
      </c>
      <c r="AF40" s="2">
        <f t="shared" si="50"/>
        <v>0</v>
      </c>
      <c r="AG40" s="2">
        <f t="shared" si="27"/>
        <v>0</v>
      </c>
      <c r="AH40" s="2">
        <f t="shared" si="51"/>
        <v>0</v>
      </c>
      <c r="AI40" s="2">
        <f t="shared" si="51"/>
        <v>0</v>
      </c>
      <c r="AJ40" s="2">
        <f t="shared" si="28"/>
        <v>0</v>
      </c>
      <c r="AK40" s="2">
        <v>18390.16</v>
      </c>
      <c r="AL40" s="2">
        <v>18390.16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66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29"/>
        <v>4.03</v>
      </c>
      <c r="CQ40" s="2">
        <f t="shared" si="30"/>
        <v>18390.16</v>
      </c>
      <c r="CR40" s="2">
        <f t="shared" si="31"/>
        <v>0</v>
      </c>
      <c r="CS40" s="2">
        <f t="shared" si="32"/>
        <v>0</v>
      </c>
      <c r="CT40" s="2">
        <f t="shared" si="33"/>
        <v>0</v>
      </c>
      <c r="CU40" s="2">
        <f t="shared" si="34"/>
        <v>0</v>
      </c>
      <c r="CV40" s="2">
        <f t="shared" si="35"/>
        <v>0</v>
      </c>
      <c r="CW40" s="2">
        <f t="shared" si="36"/>
        <v>0</v>
      </c>
      <c r="CX40" s="2">
        <f t="shared" si="37"/>
        <v>0</v>
      </c>
      <c r="CY40" s="2">
        <f t="shared" si="38"/>
        <v>0</v>
      </c>
      <c r="CZ40" s="2">
        <f t="shared" si="39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65</v>
      </c>
      <c r="DW40" s="2" t="s">
        <v>65</v>
      </c>
      <c r="DX40" s="2">
        <v>1000</v>
      </c>
      <c r="DY40" s="2"/>
      <c r="DZ40" s="2"/>
      <c r="EA40" s="2"/>
      <c r="EB40" s="2"/>
      <c r="EC40" s="2"/>
      <c r="ED40" s="2"/>
      <c r="EE40" s="2">
        <v>27029049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51</v>
      </c>
      <c r="EM40" s="2" t="s">
        <v>52</v>
      </c>
      <c r="EN40" s="2"/>
      <c r="EO40" s="2" t="s">
        <v>6</v>
      </c>
      <c r="EP40" s="2"/>
      <c r="EQ40" s="2">
        <v>0</v>
      </c>
      <c r="ER40" s="2">
        <v>18390.16</v>
      </c>
      <c r="ES40" s="2">
        <v>18390.16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0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-1919714308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1"/>
        <v>0</v>
      </c>
      <c r="GM40" s="2">
        <f t="shared" si="42"/>
        <v>4.03</v>
      </c>
      <c r="GN40" s="2">
        <f t="shared" si="43"/>
        <v>4.03</v>
      </c>
      <c r="GO40" s="2">
        <f t="shared" si="44"/>
        <v>0</v>
      </c>
      <c r="GP40" s="2">
        <f t="shared" si="4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6"/>
        <v>0</v>
      </c>
      <c r="GW40" s="2">
        <v>1</v>
      </c>
      <c r="GX40" s="2">
        <f t="shared" si="47"/>
        <v>0</v>
      </c>
      <c r="GY40" s="2"/>
      <c r="GZ40" s="2"/>
      <c r="HA40" s="2">
        <v>0</v>
      </c>
      <c r="HB40" s="2">
        <v>0</v>
      </c>
      <c r="HC40" s="2">
        <f t="shared" si="48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58</v>
      </c>
      <c r="E41" t="s">
        <v>62</v>
      </c>
      <c r="F41" t="s">
        <v>63</v>
      </c>
      <c r="G41" t="s">
        <v>64</v>
      </c>
      <c r="H41" t="s">
        <v>65</v>
      </c>
      <c r="I41">
        <f>I35*J41</f>
        <v>2.1900000000000004E-4</v>
      </c>
      <c r="J41">
        <v>8.9024390243902449E-3</v>
      </c>
      <c r="O41">
        <f t="shared" si="14"/>
        <v>24.61</v>
      </c>
      <c r="P41">
        <f t="shared" si="15"/>
        <v>24.61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27935368</v>
      </c>
      <c r="AB41">
        <f t="shared" si="25"/>
        <v>18390.16</v>
      </c>
      <c r="AC41">
        <f t="shared" si="26"/>
        <v>18390.16</v>
      </c>
      <c r="AD41">
        <f t="shared" si="49"/>
        <v>0</v>
      </c>
      <c r="AE41">
        <f t="shared" si="50"/>
        <v>0</v>
      </c>
      <c r="AF41">
        <f t="shared" si="50"/>
        <v>0</v>
      </c>
      <c r="AG41">
        <f t="shared" si="27"/>
        <v>0</v>
      </c>
      <c r="AH41">
        <f t="shared" si="51"/>
        <v>0</v>
      </c>
      <c r="AI41">
        <f t="shared" si="51"/>
        <v>0</v>
      </c>
      <c r="AJ41">
        <f t="shared" si="28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6.11</v>
      </c>
      <c r="BA41">
        <v>1</v>
      </c>
      <c r="BB41">
        <v>1</v>
      </c>
      <c r="BC41">
        <v>6.11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66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29"/>
        <v>24.61</v>
      </c>
      <c r="CQ41">
        <f t="shared" si="30"/>
        <v>112363.87760000001</v>
      </c>
      <c r="CR41">
        <f t="shared" si="31"/>
        <v>0</v>
      </c>
      <c r="CS41">
        <f t="shared" si="32"/>
        <v>0</v>
      </c>
      <c r="CT41">
        <f t="shared" si="33"/>
        <v>0</v>
      </c>
      <c r="CU41">
        <f t="shared" si="34"/>
        <v>0</v>
      </c>
      <c r="CV41">
        <f t="shared" si="35"/>
        <v>0</v>
      </c>
      <c r="CW41">
        <f t="shared" si="36"/>
        <v>0</v>
      </c>
      <c r="CX41">
        <f t="shared" si="37"/>
        <v>0</v>
      </c>
      <c r="CY41">
        <f t="shared" si="38"/>
        <v>0</v>
      </c>
      <c r="CZ41">
        <f t="shared" si="39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65</v>
      </c>
      <c r="DW41" t="s">
        <v>65</v>
      </c>
      <c r="DX41">
        <v>1000</v>
      </c>
      <c r="EE41">
        <v>27029049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15001</v>
      </c>
      <c r="EL41" t="s">
        <v>51</v>
      </c>
      <c r="EM41" t="s">
        <v>52</v>
      </c>
      <c r="EO41" t="s">
        <v>6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0"/>
        <v>0</v>
      </c>
      <c r="FS41">
        <v>0</v>
      </c>
      <c r="FT41" t="s">
        <v>21</v>
      </c>
      <c r="FU41" t="s">
        <v>22</v>
      </c>
      <c r="FX41">
        <v>94.5</v>
      </c>
      <c r="FY41">
        <v>46.75</v>
      </c>
      <c r="GA41" t="s">
        <v>6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1"/>
        <v>0</v>
      </c>
      <c r="GM41">
        <f t="shared" si="42"/>
        <v>24.61</v>
      </c>
      <c r="GN41">
        <f t="shared" si="43"/>
        <v>24.61</v>
      </c>
      <c r="GO41">
        <f t="shared" si="44"/>
        <v>0</v>
      </c>
      <c r="GP41">
        <f t="shared" si="45"/>
        <v>0</v>
      </c>
      <c r="GR41">
        <v>0</v>
      </c>
      <c r="GS41">
        <v>3</v>
      </c>
      <c r="GT41">
        <v>0</v>
      </c>
      <c r="GU41" t="s">
        <v>6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HC41">
        <f t="shared" si="48"/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ROW(SmtRes!A61)</f>
        <v>61</v>
      </c>
      <c r="D42" s="2">
        <f>ROW(EtalonRes!A61)</f>
        <v>61</v>
      </c>
      <c r="E42" s="2" t="s">
        <v>67</v>
      </c>
      <c r="F42" s="2" t="s">
        <v>68</v>
      </c>
      <c r="G42" s="2" t="s">
        <v>69</v>
      </c>
      <c r="H42" s="2" t="s">
        <v>40</v>
      </c>
      <c r="I42" s="2">
        <f>ROUND(12.3/100,9)</f>
        <v>0.123</v>
      </c>
      <c r="J42" s="2">
        <v>0</v>
      </c>
      <c r="K42" s="2"/>
      <c r="L42" s="2"/>
      <c r="M42" s="2"/>
      <c r="N42" s="2"/>
      <c r="O42" s="2">
        <f t="shared" si="14"/>
        <v>12.51</v>
      </c>
      <c r="P42" s="2">
        <f t="shared" si="15"/>
        <v>4.43</v>
      </c>
      <c r="Q42" s="2">
        <f t="shared" si="16"/>
        <v>0</v>
      </c>
      <c r="R42" s="2">
        <f t="shared" si="17"/>
        <v>0</v>
      </c>
      <c r="S42" s="2">
        <f t="shared" si="18"/>
        <v>8.08</v>
      </c>
      <c r="T42" s="2">
        <f t="shared" si="19"/>
        <v>0</v>
      </c>
      <c r="U42" s="2">
        <f t="shared" si="20"/>
        <v>0.94771499999999986</v>
      </c>
      <c r="V42" s="2">
        <f t="shared" si="21"/>
        <v>0</v>
      </c>
      <c r="W42" s="2">
        <f t="shared" si="22"/>
        <v>0</v>
      </c>
      <c r="X42" s="2">
        <f t="shared" si="23"/>
        <v>8.56</v>
      </c>
      <c r="Y42" s="2">
        <f t="shared" si="24"/>
        <v>4.3600000000000003</v>
      </c>
      <c r="Z42" s="2"/>
      <c r="AA42" s="2">
        <v>27935367</v>
      </c>
      <c r="AB42" s="2">
        <f t="shared" si="25"/>
        <v>101.72</v>
      </c>
      <c r="AC42" s="2">
        <f t="shared" si="26"/>
        <v>36</v>
      </c>
      <c r="AD42" s="2">
        <f>ROUND(((((ET42*1.25))-((EU42*1.25)))+AE42),2)</f>
        <v>0</v>
      </c>
      <c r="AE42" s="2">
        <f>ROUND(((EU42*1.25)),2)</f>
        <v>0</v>
      </c>
      <c r="AF42" s="2">
        <f>ROUND(((EV42*1.15)),2)</f>
        <v>65.72</v>
      </c>
      <c r="AG42" s="2">
        <f t="shared" si="27"/>
        <v>0</v>
      </c>
      <c r="AH42" s="2">
        <f>((EW42*1.15))</f>
        <v>7.7049999999999992</v>
      </c>
      <c r="AI42" s="2">
        <f>((EX42*1.25))</f>
        <v>0</v>
      </c>
      <c r="AJ42" s="2">
        <f t="shared" si="28"/>
        <v>0</v>
      </c>
      <c r="AK42" s="2">
        <v>93.15</v>
      </c>
      <c r="AL42" s="2">
        <v>36</v>
      </c>
      <c r="AM42" s="2">
        <v>0</v>
      </c>
      <c r="AN42" s="2">
        <v>0</v>
      </c>
      <c r="AO42" s="2">
        <v>57.15</v>
      </c>
      <c r="AP42" s="2">
        <v>0</v>
      </c>
      <c r="AQ42" s="2">
        <v>6.7</v>
      </c>
      <c r="AR42" s="2">
        <v>0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70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766</v>
      </c>
      <c r="CO42" s="2">
        <v>0</v>
      </c>
      <c r="CP42" s="2">
        <f t="shared" si="29"/>
        <v>12.51</v>
      </c>
      <c r="CQ42" s="2">
        <f t="shared" si="30"/>
        <v>36</v>
      </c>
      <c r="CR42" s="2">
        <f t="shared" si="31"/>
        <v>0</v>
      </c>
      <c r="CS42" s="2">
        <f t="shared" si="32"/>
        <v>0</v>
      </c>
      <c r="CT42" s="2">
        <f t="shared" si="33"/>
        <v>65.72</v>
      </c>
      <c r="CU42" s="2">
        <f t="shared" si="34"/>
        <v>0</v>
      </c>
      <c r="CV42" s="2">
        <f t="shared" si="35"/>
        <v>7.7049999999999992</v>
      </c>
      <c r="CW42" s="2">
        <f t="shared" si="36"/>
        <v>0</v>
      </c>
      <c r="CX42" s="2">
        <f t="shared" si="37"/>
        <v>0</v>
      </c>
      <c r="CY42" s="2">
        <f t="shared" si="38"/>
        <v>8.5648</v>
      </c>
      <c r="CZ42" s="2">
        <f t="shared" si="39"/>
        <v>4.3632</v>
      </c>
      <c r="DA42" s="2"/>
      <c r="DB42" s="2"/>
      <c r="DC42" s="2" t="s">
        <v>6</v>
      </c>
      <c r="DD42" s="2" t="s">
        <v>6</v>
      </c>
      <c r="DE42" s="2" t="s">
        <v>27</v>
      </c>
      <c r="DF42" s="2" t="s">
        <v>27</v>
      </c>
      <c r="DG42" s="2" t="s">
        <v>28</v>
      </c>
      <c r="DH42" s="2" t="s">
        <v>6</v>
      </c>
      <c r="DI42" s="2" t="s">
        <v>28</v>
      </c>
      <c r="DJ42" s="2" t="s">
        <v>27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1003</v>
      </c>
      <c r="DV42" s="2" t="s">
        <v>40</v>
      </c>
      <c r="DW42" s="2" t="s">
        <v>40</v>
      </c>
      <c r="DX42" s="2">
        <v>100</v>
      </c>
      <c r="DY42" s="2"/>
      <c r="DZ42" s="2"/>
      <c r="EA42" s="2"/>
      <c r="EB42" s="2"/>
      <c r="EC42" s="2"/>
      <c r="ED42" s="2"/>
      <c r="EE42" s="2">
        <v>27029023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29</v>
      </c>
      <c r="EM42" s="2" t="s">
        <v>30</v>
      </c>
      <c r="EN42" s="2"/>
      <c r="EO42" s="2" t="s">
        <v>31</v>
      </c>
      <c r="EP42" s="2"/>
      <c r="EQ42" s="2">
        <v>131072</v>
      </c>
      <c r="ER42" s="2">
        <v>93.15</v>
      </c>
      <c r="ES42" s="2">
        <v>36</v>
      </c>
      <c r="ET42" s="2">
        <v>0</v>
      </c>
      <c r="EU42" s="2">
        <v>0</v>
      </c>
      <c r="EV42" s="2">
        <v>57.15</v>
      </c>
      <c r="EW42" s="2">
        <v>6.7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0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-1862938563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1"/>
        <v>0</v>
      </c>
      <c r="GM42" s="2">
        <f t="shared" si="42"/>
        <v>25.43</v>
      </c>
      <c r="GN42" s="2">
        <f t="shared" si="43"/>
        <v>25.43</v>
      </c>
      <c r="GO42" s="2">
        <f t="shared" si="44"/>
        <v>0</v>
      </c>
      <c r="GP42" s="2">
        <f t="shared" si="4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6"/>
        <v>0</v>
      </c>
      <c r="GW42" s="2">
        <v>1</v>
      </c>
      <c r="GX42" s="2">
        <f t="shared" si="47"/>
        <v>0</v>
      </c>
      <c r="GY42" s="2"/>
      <c r="GZ42" s="2"/>
      <c r="HA42" s="2">
        <v>0</v>
      </c>
      <c r="HB42" s="2">
        <v>0</v>
      </c>
      <c r="HC42" s="2">
        <f t="shared" si="48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ROW(SmtRes!A64)</f>
        <v>64</v>
      </c>
      <c r="D43">
        <f>ROW(EtalonRes!A64)</f>
        <v>64</v>
      </c>
      <c r="E43" t="s">
        <v>67</v>
      </c>
      <c r="F43" t="s">
        <v>68</v>
      </c>
      <c r="G43" t="s">
        <v>69</v>
      </c>
      <c r="H43" t="s">
        <v>40</v>
      </c>
      <c r="I43">
        <f>ROUND(12.3/100,9)</f>
        <v>0.123</v>
      </c>
      <c r="J43">
        <v>0</v>
      </c>
      <c r="O43">
        <f t="shared" si="14"/>
        <v>76.45</v>
      </c>
      <c r="P43">
        <f t="shared" si="15"/>
        <v>27.06</v>
      </c>
      <c r="Q43">
        <f t="shared" si="16"/>
        <v>0</v>
      </c>
      <c r="R43">
        <f t="shared" si="17"/>
        <v>0</v>
      </c>
      <c r="S43">
        <f t="shared" si="18"/>
        <v>49.39</v>
      </c>
      <c r="T43">
        <f t="shared" si="19"/>
        <v>0</v>
      </c>
      <c r="U43">
        <f t="shared" si="20"/>
        <v>0.94771499999999986</v>
      </c>
      <c r="V43">
        <f t="shared" si="21"/>
        <v>0</v>
      </c>
      <c r="W43">
        <f t="shared" si="22"/>
        <v>0</v>
      </c>
      <c r="X43">
        <f t="shared" si="23"/>
        <v>52.35</v>
      </c>
      <c r="Y43">
        <f t="shared" si="24"/>
        <v>26.67</v>
      </c>
      <c r="AA43">
        <v>27935368</v>
      </c>
      <c r="AB43">
        <f t="shared" si="25"/>
        <v>101.72</v>
      </c>
      <c r="AC43">
        <f t="shared" si="26"/>
        <v>36</v>
      </c>
      <c r="AD43">
        <f>ROUND(((((ET43*1.25))-((EU43*1.25)))+AE43),2)</f>
        <v>0</v>
      </c>
      <c r="AE43">
        <f>ROUND(((EU43*1.25)),2)</f>
        <v>0</v>
      </c>
      <c r="AF43">
        <f>ROUND(((EV43*1.15)),2)</f>
        <v>65.72</v>
      </c>
      <c r="AG43">
        <f t="shared" si="27"/>
        <v>0</v>
      </c>
      <c r="AH43">
        <f>((EW43*1.15))</f>
        <v>7.7049999999999992</v>
      </c>
      <c r="AI43">
        <f>((EX43*1.25))</f>
        <v>0</v>
      </c>
      <c r="AJ43">
        <f t="shared" si="28"/>
        <v>0</v>
      </c>
      <c r="AK43">
        <v>93.15</v>
      </c>
      <c r="AL43">
        <v>36</v>
      </c>
      <c r="AM43">
        <v>0</v>
      </c>
      <c r="AN43">
        <v>0</v>
      </c>
      <c r="AO43">
        <v>57.15</v>
      </c>
      <c r="AP43">
        <v>0</v>
      </c>
      <c r="AQ43">
        <v>6.7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6.11</v>
      </c>
      <c r="BA43">
        <v>6.11</v>
      </c>
      <c r="BB43">
        <v>6.11</v>
      </c>
      <c r="BC43">
        <v>6.11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70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6.11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E43">
        <v>0</v>
      </c>
      <c r="CF43">
        <v>0</v>
      </c>
      <c r="CG43">
        <v>0</v>
      </c>
      <c r="CM43">
        <v>0</v>
      </c>
      <c r="CN43" t="s">
        <v>766</v>
      </c>
      <c r="CO43">
        <v>0</v>
      </c>
      <c r="CP43">
        <f t="shared" si="29"/>
        <v>76.45</v>
      </c>
      <c r="CQ43">
        <f t="shared" si="30"/>
        <v>219.96</v>
      </c>
      <c r="CR43">
        <f t="shared" si="31"/>
        <v>0</v>
      </c>
      <c r="CS43">
        <f t="shared" si="32"/>
        <v>0</v>
      </c>
      <c r="CT43">
        <f t="shared" si="33"/>
        <v>401.54920000000004</v>
      </c>
      <c r="CU43">
        <f t="shared" si="34"/>
        <v>0</v>
      </c>
      <c r="CV43">
        <f t="shared" si="35"/>
        <v>7.7049999999999992</v>
      </c>
      <c r="CW43">
        <f t="shared" si="36"/>
        <v>0</v>
      </c>
      <c r="CX43">
        <f t="shared" si="37"/>
        <v>0</v>
      </c>
      <c r="CY43">
        <f t="shared" si="38"/>
        <v>52.353400000000001</v>
      </c>
      <c r="CZ43">
        <f t="shared" si="39"/>
        <v>26.6706</v>
      </c>
      <c r="DC43" t="s">
        <v>6</v>
      </c>
      <c r="DD43" t="s">
        <v>6</v>
      </c>
      <c r="DE43" t="s">
        <v>27</v>
      </c>
      <c r="DF43" t="s">
        <v>27</v>
      </c>
      <c r="DG43" t="s">
        <v>28</v>
      </c>
      <c r="DH43" t="s">
        <v>6</v>
      </c>
      <c r="DI43" t="s">
        <v>28</v>
      </c>
      <c r="DJ43" t="s">
        <v>27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40</v>
      </c>
      <c r="DW43" t="s">
        <v>40</v>
      </c>
      <c r="DX43">
        <v>100</v>
      </c>
      <c r="EE43">
        <v>27029023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10001</v>
      </c>
      <c r="EL43" t="s">
        <v>29</v>
      </c>
      <c r="EM43" t="s">
        <v>30</v>
      </c>
      <c r="EO43" t="s">
        <v>31</v>
      </c>
      <c r="EQ43">
        <v>131072</v>
      </c>
      <c r="ER43">
        <v>93.15</v>
      </c>
      <c r="ES43">
        <v>36</v>
      </c>
      <c r="ET43">
        <v>0</v>
      </c>
      <c r="EU43">
        <v>0</v>
      </c>
      <c r="EV43">
        <v>57.15</v>
      </c>
      <c r="EW43">
        <v>6.7</v>
      </c>
      <c r="EX43">
        <v>0</v>
      </c>
      <c r="EY43">
        <v>0</v>
      </c>
      <c r="FQ43">
        <v>0</v>
      </c>
      <c r="FR43">
        <f t="shared" si="40"/>
        <v>0</v>
      </c>
      <c r="FS43">
        <v>0</v>
      </c>
      <c r="FT43" t="s">
        <v>21</v>
      </c>
      <c r="FU43" t="s">
        <v>22</v>
      </c>
      <c r="FX43">
        <v>106.2</v>
      </c>
      <c r="FY43">
        <v>53.55</v>
      </c>
      <c r="GA43" t="s">
        <v>6</v>
      </c>
      <c r="GD43">
        <v>0</v>
      </c>
      <c r="GF43">
        <v>-1862938563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1"/>
        <v>0</v>
      </c>
      <c r="GM43">
        <f t="shared" si="42"/>
        <v>155.47</v>
      </c>
      <c r="GN43">
        <f t="shared" si="43"/>
        <v>155.47</v>
      </c>
      <c r="GO43">
        <f t="shared" si="44"/>
        <v>0</v>
      </c>
      <c r="GP43">
        <f t="shared" si="45"/>
        <v>0</v>
      </c>
      <c r="GR43">
        <v>0</v>
      </c>
      <c r="GS43">
        <v>3</v>
      </c>
      <c r="GT43">
        <v>0</v>
      </c>
      <c r="GU43" t="s">
        <v>6</v>
      </c>
      <c r="GV43">
        <f t="shared" si="46"/>
        <v>0</v>
      </c>
      <c r="GW43">
        <v>1</v>
      </c>
      <c r="GX43">
        <f t="shared" si="47"/>
        <v>0</v>
      </c>
      <c r="HA43">
        <v>0</v>
      </c>
      <c r="HB43">
        <v>0</v>
      </c>
      <c r="HC43">
        <f t="shared" si="48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60</v>
      </c>
      <c r="D44" s="2"/>
      <c r="E44" s="2" t="s">
        <v>71</v>
      </c>
      <c r="F44" s="2" t="s">
        <v>72</v>
      </c>
      <c r="G44" s="2" t="s">
        <v>73</v>
      </c>
      <c r="H44" s="2" t="s">
        <v>74</v>
      </c>
      <c r="I44" s="2">
        <f>I42*J44</f>
        <v>1.23</v>
      </c>
      <c r="J44" s="2">
        <v>10</v>
      </c>
      <c r="K44" s="2"/>
      <c r="L44" s="2"/>
      <c r="M44" s="2"/>
      <c r="N44" s="2"/>
      <c r="O44" s="2">
        <f t="shared" si="14"/>
        <v>39.85</v>
      </c>
      <c r="P44" s="2">
        <f t="shared" si="15"/>
        <v>39.85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27935367</v>
      </c>
      <c r="AB44" s="2">
        <f t="shared" si="25"/>
        <v>32.4</v>
      </c>
      <c r="AC44" s="2">
        <f t="shared" si="26"/>
        <v>32.4</v>
      </c>
      <c r="AD44" s="2">
        <f>ROUND((((ET44)-(EU44))+AE44),2)</f>
        <v>0</v>
      </c>
      <c r="AE44" s="2">
        <f>ROUND((EU44),2)</f>
        <v>0</v>
      </c>
      <c r="AF44" s="2">
        <f>ROUND((EV44),2)</f>
        <v>0</v>
      </c>
      <c r="AG44" s="2">
        <f t="shared" si="27"/>
        <v>0</v>
      </c>
      <c r="AH44" s="2">
        <f>(EW44)</f>
        <v>0</v>
      </c>
      <c r="AI44" s="2">
        <f>(EX44)</f>
        <v>0</v>
      </c>
      <c r="AJ44" s="2">
        <f t="shared" si="28"/>
        <v>0</v>
      </c>
      <c r="AK44" s="2">
        <v>32.4</v>
      </c>
      <c r="AL44" s="2">
        <v>32.4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75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29"/>
        <v>39.85</v>
      </c>
      <c r="CQ44" s="2">
        <f t="shared" si="30"/>
        <v>32.4</v>
      </c>
      <c r="CR44" s="2">
        <f t="shared" si="31"/>
        <v>0</v>
      </c>
      <c r="CS44" s="2">
        <f t="shared" si="32"/>
        <v>0</v>
      </c>
      <c r="CT44" s="2">
        <f t="shared" si="33"/>
        <v>0</v>
      </c>
      <c r="CU44" s="2">
        <f t="shared" si="34"/>
        <v>0</v>
      </c>
      <c r="CV44" s="2">
        <f t="shared" si="35"/>
        <v>0</v>
      </c>
      <c r="CW44" s="2">
        <f t="shared" si="36"/>
        <v>0</v>
      </c>
      <c r="CX44" s="2">
        <f t="shared" si="37"/>
        <v>0</v>
      </c>
      <c r="CY44" s="2">
        <f t="shared" si="38"/>
        <v>0</v>
      </c>
      <c r="CZ44" s="2">
        <f t="shared" si="39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74</v>
      </c>
      <c r="DW44" s="2" t="s">
        <v>74</v>
      </c>
      <c r="DX44" s="2">
        <v>10</v>
      </c>
      <c r="DY44" s="2"/>
      <c r="DZ44" s="2"/>
      <c r="EA44" s="2"/>
      <c r="EB44" s="2"/>
      <c r="EC44" s="2"/>
      <c r="ED44" s="2"/>
      <c r="EE44" s="2">
        <v>27029023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29</v>
      </c>
      <c r="EM44" s="2" t="s">
        <v>30</v>
      </c>
      <c r="EN44" s="2"/>
      <c r="EO44" s="2" t="s">
        <v>6</v>
      </c>
      <c r="EP44" s="2"/>
      <c r="EQ44" s="2">
        <v>0</v>
      </c>
      <c r="ER44" s="2">
        <v>32.4</v>
      </c>
      <c r="ES44" s="2">
        <v>32.4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0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0</v>
      </c>
      <c r="GE44" s="2"/>
      <c r="GF44" s="2">
        <v>-125809932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1"/>
        <v>0</v>
      </c>
      <c r="GM44" s="2">
        <f t="shared" si="42"/>
        <v>39.85</v>
      </c>
      <c r="GN44" s="2">
        <f t="shared" si="43"/>
        <v>39.85</v>
      </c>
      <c r="GO44" s="2">
        <f t="shared" si="44"/>
        <v>0</v>
      </c>
      <c r="GP44" s="2">
        <f t="shared" si="4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6"/>
        <v>0</v>
      </c>
      <c r="GW44" s="2">
        <v>1</v>
      </c>
      <c r="GX44" s="2">
        <f t="shared" si="47"/>
        <v>0</v>
      </c>
      <c r="GY44" s="2"/>
      <c r="GZ44" s="2"/>
      <c r="HA44" s="2">
        <v>0</v>
      </c>
      <c r="HB44" s="2">
        <v>0</v>
      </c>
      <c r="HC44" s="2">
        <f t="shared" si="48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63</v>
      </c>
      <c r="E45" t="s">
        <v>71</v>
      </c>
      <c r="F45" t="s">
        <v>72</v>
      </c>
      <c r="G45" t="s">
        <v>73</v>
      </c>
      <c r="H45" t="s">
        <v>74</v>
      </c>
      <c r="I45">
        <f>I43*J45</f>
        <v>1.23</v>
      </c>
      <c r="J45">
        <v>10</v>
      </c>
      <c r="O45">
        <f t="shared" si="14"/>
        <v>243.5</v>
      </c>
      <c r="P45">
        <f t="shared" si="15"/>
        <v>243.5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27935368</v>
      </c>
      <c r="AB45">
        <f t="shared" si="25"/>
        <v>32.4</v>
      </c>
      <c r="AC45">
        <f t="shared" si="26"/>
        <v>32.4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7"/>
        <v>0</v>
      </c>
      <c r="AH45">
        <f>(EW45)</f>
        <v>0</v>
      </c>
      <c r="AI45">
        <f>(EX45)</f>
        <v>0</v>
      </c>
      <c r="AJ45">
        <f t="shared" si="28"/>
        <v>0</v>
      </c>
      <c r="AK45">
        <v>32.4</v>
      </c>
      <c r="AL45">
        <v>32.4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6.11</v>
      </c>
      <c r="BA45">
        <v>1</v>
      </c>
      <c r="BB45">
        <v>1</v>
      </c>
      <c r="BC45">
        <v>6.11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75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29"/>
        <v>243.5</v>
      </c>
      <c r="CQ45">
        <f t="shared" si="30"/>
        <v>197.964</v>
      </c>
      <c r="CR45">
        <f t="shared" si="31"/>
        <v>0</v>
      </c>
      <c r="CS45">
        <f t="shared" si="32"/>
        <v>0</v>
      </c>
      <c r="CT45">
        <f t="shared" si="33"/>
        <v>0</v>
      </c>
      <c r="CU45">
        <f t="shared" si="34"/>
        <v>0</v>
      </c>
      <c r="CV45">
        <f t="shared" si="35"/>
        <v>0</v>
      </c>
      <c r="CW45">
        <f t="shared" si="36"/>
        <v>0</v>
      </c>
      <c r="CX45">
        <f t="shared" si="37"/>
        <v>0</v>
      </c>
      <c r="CY45">
        <f t="shared" si="38"/>
        <v>0</v>
      </c>
      <c r="CZ45">
        <f t="shared" si="39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74</v>
      </c>
      <c r="DW45" t="s">
        <v>74</v>
      </c>
      <c r="DX45">
        <v>10</v>
      </c>
      <c r="EE45">
        <v>27029023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10001</v>
      </c>
      <c r="EL45" t="s">
        <v>29</v>
      </c>
      <c r="EM45" t="s">
        <v>30</v>
      </c>
      <c r="EO45" t="s">
        <v>6</v>
      </c>
      <c r="EQ45">
        <v>0</v>
      </c>
      <c r="ER45">
        <v>32.4</v>
      </c>
      <c r="ES45">
        <v>32.4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0"/>
        <v>0</v>
      </c>
      <c r="FS45">
        <v>0</v>
      </c>
      <c r="FT45" t="s">
        <v>21</v>
      </c>
      <c r="FU45" t="s">
        <v>22</v>
      </c>
      <c r="FX45">
        <v>106.2</v>
      </c>
      <c r="FY45">
        <v>53.55</v>
      </c>
      <c r="GA45" t="s">
        <v>6</v>
      </c>
      <c r="GD45">
        <v>0</v>
      </c>
      <c r="GF45">
        <v>-125809932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1"/>
        <v>0</v>
      </c>
      <c r="GM45">
        <f t="shared" si="42"/>
        <v>243.5</v>
      </c>
      <c r="GN45">
        <f t="shared" si="43"/>
        <v>243.5</v>
      </c>
      <c r="GO45">
        <f t="shared" si="44"/>
        <v>0</v>
      </c>
      <c r="GP45">
        <f t="shared" si="45"/>
        <v>0</v>
      </c>
      <c r="GR45">
        <v>0</v>
      </c>
      <c r="GS45">
        <v>3</v>
      </c>
      <c r="GT45">
        <v>0</v>
      </c>
      <c r="GU45" t="s">
        <v>6</v>
      </c>
      <c r="GV45">
        <f t="shared" si="46"/>
        <v>0</v>
      </c>
      <c r="GW45">
        <v>1</v>
      </c>
      <c r="GX45">
        <f t="shared" si="47"/>
        <v>0</v>
      </c>
      <c r="HA45">
        <v>0</v>
      </c>
      <c r="HB45">
        <v>0</v>
      </c>
      <c r="HC45">
        <f t="shared" si="48"/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ROW(SmtRes!A82)</f>
        <v>82</v>
      </c>
      <c r="D46" s="2">
        <f>ROW(EtalonRes!A83)</f>
        <v>83</v>
      </c>
      <c r="E46" s="2" t="s">
        <v>76</v>
      </c>
      <c r="F46" s="2" t="s">
        <v>77</v>
      </c>
      <c r="G46" s="2" t="s">
        <v>78</v>
      </c>
      <c r="H46" s="2" t="s">
        <v>65</v>
      </c>
      <c r="I46" s="2">
        <v>0.05</v>
      </c>
      <c r="J46" s="2">
        <v>0</v>
      </c>
      <c r="K46" s="2"/>
      <c r="L46" s="2"/>
      <c r="M46" s="2"/>
      <c r="N46" s="2"/>
      <c r="O46" s="2">
        <f t="shared" si="14"/>
        <v>19.559999999999999</v>
      </c>
      <c r="P46" s="2">
        <f t="shared" si="15"/>
        <v>0</v>
      </c>
      <c r="Q46" s="2">
        <f t="shared" si="16"/>
        <v>4.4000000000000004</v>
      </c>
      <c r="R46" s="2">
        <f t="shared" si="17"/>
        <v>0.13</v>
      </c>
      <c r="S46" s="2">
        <f t="shared" si="18"/>
        <v>15.16</v>
      </c>
      <c r="T46" s="2">
        <f t="shared" si="19"/>
        <v>0</v>
      </c>
      <c r="U46" s="2">
        <f t="shared" si="20"/>
        <v>1.77765</v>
      </c>
      <c r="V46" s="2">
        <f t="shared" si="21"/>
        <v>1.085E-2</v>
      </c>
      <c r="W46" s="2">
        <f t="shared" si="22"/>
        <v>0</v>
      </c>
      <c r="X46" s="2">
        <f t="shared" si="23"/>
        <v>12.38</v>
      </c>
      <c r="Y46" s="2">
        <f t="shared" si="24"/>
        <v>11.01</v>
      </c>
      <c r="Z46" s="2"/>
      <c r="AA46" s="2">
        <v>27935367</v>
      </c>
      <c r="AB46" s="2">
        <f t="shared" si="25"/>
        <v>391.33</v>
      </c>
      <c r="AC46" s="2">
        <f>ROUND(((ES46*0)),2)</f>
        <v>0</v>
      </c>
      <c r="AD46" s="2">
        <f>ROUND(((((ET46*0.7))-((EU46*0.7)))+AE46),2)</f>
        <v>88.06</v>
      </c>
      <c r="AE46" s="2">
        <f>ROUND(((EU46*0.7)),2)</f>
        <v>2.67</v>
      </c>
      <c r="AF46" s="2">
        <f>ROUND(((EV46*0.7)),2)</f>
        <v>303.27</v>
      </c>
      <c r="AG46" s="2">
        <f t="shared" si="27"/>
        <v>0</v>
      </c>
      <c r="AH46" s="2">
        <f>((EW46*0.7))</f>
        <v>35.552999999999997</v>
      </c>
      <c r="AI46" s="2">
        <f>((EX46*0.7))</f>
        <v>0.217</v>
      </c>
      <c r="AJ46" s="2">
        <f t="shared" si="28"/>
        <v>0</v>
      </c>
      <c r="AK46" s="2">
        <v>641</v>
      </c>
      <c r="AL46" s="2">
        <v>81.96</v>
      </c>
      <c r="AM46" s="2">
        <v>125.8</v>
      </c>
      <c r="AN46" s="2">
        <v>3.82</v>
      </c>
      <c r="AO46" s="2">
        <v>433.24</v>
      </c>
      <c r="AP46" s="2">
        <v>0</v>
      </c>
      <c r="AQ46" s="2">
        <v>50.79</v>
      </c>
      <c r="AR46" s="2">
        <v>0.31</v>
      </c>
      <c r="AS46" s="2">
        <v>0</v>
      </c>
      <c r="AT46" s="2">
        <v>81</v>
      </c>
      <c r="AU46" s="2">
        <v>72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79</v>
      </c>
      <c r="BK46" s="2"/>
      <c r="BL46" s="2"/>
      <c r="BM46" s="2">
        <v>9001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90</v>
      </c>
      <c r="CA46" s="2">
        <v>85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80</v>
      </c>
      <c r="CO46" s="2">
        <v>0</v>
      </c>
      <c r="CP46" s="2">
        <f t="shared" si="29"/>
        <v>19.560000000000002</v>
      </c>
      <c r="CQ46" s="2">
        <f t="shared" si="30"/>
        <v>0</v>
      </c>
      <c r="CR46" s="2">
        <f t="shared" si="31"/>
        <v>88.06</v>
      </c>
      <c r="CS46" s="2">
        <f t="shared" si="32"/>
        <v>2.67</v>
      </c>
      <c r="CT46" s="2">
        <f t="shared" si="33"/>
        <v>303.27</v>
      </c>
      <c r="CU46" s="2">
        <f t="shared" si="34"/>
        <v>0</v>
      </c>
      <c r="CV46" s="2">
        <f t="shared" si="35"/>
        <v>35.552999999999997</v>
      </c>
      <c r="CW46" s="2">
        <f t="shared" si="36"/>
        <v>0.217</v>
      </c>
      <c r="CX46" s="2">
        <f t="shared" si="37"/>
        <v>0</v>
      </c>
      <c r="CY46" s="2">
        <f t="shared" si="38"/>
        <v>12.3849</v>
      </c>
      <c r="CZ46" s="2">
        <f t="shared" si="39"/>
        <v>11.008800000000001</v>
      </c>
      <c r="DA46" s="2"/>
      <c r="DB46" s="2"/>
      <c r="DC46" s="2" t="s">
        <v>6</v>
      </c>
      <c r="DD46" s="2" t="s">
        <v>81</v>
      </c>
      <c r="DE46" s="2" t="s">
        <v>82</v>
      </c>
      <c r="DF46" s="2" t="s">
        <v>82</v>
      </c>
      <c r="DG46" s="2" t="s">
        <v>82</v>
      </c>
      <c r="DH46" s="2" t="s">
        <v>6</v>
      </c>
      <c r="DI46" s="2" t="s">
        <v>82</v>
      </c>
      <c r="DJ46" s="2" t="s">
        <v>82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1009</v>
      </c>
      <c r="DV46" s="2" t="s">
        <v>65</v>
      </c>
      <c r="DW46" s="2" t="s">
        <v>65</v>
      </c>
      <c r="DX46" s="2">
        <v>1000</v>
      </c>
      <c r="DY46" s="2"/>
      <c r="DZ46" s="2"/>
      <c r="EA46" s="2"/>
      <c r="EB46" s="2"/>
      <c r="EC46" s="2"/>
      <c r="ED46" s="2"/>
      <c r="EE46" s="2">
        <v>27029022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9001</v>
      </c>
      <c r="EL46" s="2" t="s">
        <v>83</v>
      </c>
      <c r="EM46" s="2" t="s">
        <v>84</v>
      </c>
      <c r="EN46" s="2"/>
      <c r="EO46" s="2" t="s">
        <v>85</v>
      </c>
      <c r="EP46" s="2"/>
      <c r="EQ46" s="2">
        <v>131072</v>
      </c>
      <c r="ER46" s="2">
        <v>641</v>
      </c>
      <c r="ES46" s="2">
        <v>81.96</v>
      </c>
      <c r="ET46" s="2">
        <v>125.8</v>
      </c>
      <c r="EU46" s="2">
        <v>3.82</v>
      </c>
      <c r="EV46" s="2">
        <v>433.24</v>
      </c>
      <c r="EW46" s="2">
        <v>50.79</v>
      </c>
      <c r="EX46" s="2">
        <v>0.31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0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81</v>
      </c>
      <c r="FY46" s="2">
        <v>72.25</v>
      </c>
      <c r="FZ46" s="2"/>
      <c r="GA46" s="2" t="s">
        <v>6</v>
      </c>
      <c r="GB46" s="2"/>
      <c r="GC46" s="2"/>
      <c r="GD46" s="2">
        <v>0</v>
      </c>
      <c r="GE46" s="2"/>
      <c r="GF46" s="2">
        <v>1491610335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1"/>
        <v>0</v>
      </c>
      <c r="GM46" s="2">
        <f t="shared" si="42"/>
        <v>42.95</v>
      </c>
      <c r="GN46" s="2">
        <f t="shared" si="43"/>
        <v>42.95</v>
      </c>
      <c r="GO46" s="2">
        <f t="shared" si="44"/>
        <v>0</v>
      </c>
      <c r="GP46" s="2">
        <f t="shared" si="4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6"/>
        <v>0</v>
      </c>
      <c r="GW46" s="2">
        <v>1</v>
      </c>
      <c r="GX46" s="2">
        <f t="shared" si="47"/>
        <v>0</v>
      </c>
      <c r="GY46" s="2"/>
      <c r="GZ46" s="2"/>
      <c r="HA46" s="2">
        <v>0</v>
      </c>
      <c r="HB46" s="2">
        <v>0</v>
      </c>
      <c r="HC46" s="2">
        <f t="shared" si="48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ROW(SmtRes!A100)</f>
        <v>100</v>
      </c>
      <c r="D47">
        <f>ROW(EtalonRes!A102)</f>
        <v>102</v>
      </c>
      <c r="E47" t="s">
        <v>76</v>
      </c>
      <c r="F47" t="s">
        <v>77</v>
      </c>
      <c r="G47" t="s">
        <v>78</v>
      </c>
      <c r="H47" t="s">
        <v>65</v>
      </c>
      <c r="I47">
        <v>0.05</v>
      </c>
      <c r="J47">
        <v>0</v>
      </c>
      <c r="O47">
        <f t="shared" si="14"/>
        <v>119.55</v>
      </c>
      <c r="P47">
        <f t="shared" si="15"/>
        <v>0</v>
      </c>
      <c r="Q47">
        <f t="shared" si="16"/>
        <v>26.9</v>
      </c>
      <c r="R47">
        <f t="shared" si="17"/>
        <v>0.82</v>
      </c>
      <c r="S47">
        <f t="shared" si="18"/>
        <v>92.65</v>
      </c>
      <c r="T47">
        <f t="shared" si="19"/>
        <v>0</v>
      </c>
      <c r="U47">
        <f t="shared" si="20"/>
        <v>1.77765</v>
      </c>
      <c r="V47">
        <f t="shared" si="21"/>
        <v>1.085E-2</v>
      </c>
      <c r="W47">
        <f t="shared" si="22"/>
        <v>0</v>
      </c>
      <c r="X47">
        <f t="shared" si="23"/>
        <v>75.709999999999994</v>
      </c>
      <c r="Y47">
        <f t="shared" si="24"/>
        <v>67.3</v>
      </c>
      <c r="AA47">
        <v>27935368</v>
      </c>
      <c r="AB47">
        <f t="shared" si="25"/>
        <v>391.33</v>
      </c>
      <c r="AC47">
        <f>ROUND(((ES47*0)),2)</f>
        <v>0</v>
      </c>
      <c r="AD47">
        <f>ROUND(((((ET47*0.7))-((EU47*0.7)))+AE47),2)</f>
        <v>88.06</v>
      </c>
      <c r="AE47">
        <f>ROUND(((EU47*0.7)),2)</f>
        <v>2.67</v>
      </c>
      <c r="AF47">
        <f>ROUND(((EV47*0.7)),2)</f>
        <v>303.27</v>
      </c>
      <c r="AG47">
        <f t="shared" si="27"/>
        <v>0</v>
      </c>
      <c r="AH47">
        <f>((EW47*0.7))</f>
        <v>35.552999999999997</v>
      </c>
      <c r="AI47">
        <f>((EX47*0.7))</f>
        <v>0.217</v>
      </c>
      <c r="AJ47">
        <f t="shared" si="28"/>
        <v>0</v>
      </c>
      <c r="AK47">
        <v>641</v>
      </c>
      <c r="AL47">
        <v>81.96</v>
      </c>
      <c r="AM47">
        <v>125.8</v>
      </c>
      <c r="AN47">
        <v>3.82</v>
      </c>
      <c r="AO47">
        <v>433.24</v>
      </c>
      <c r="AP47">
        <v>0</v>
      </c>
      <c r="AQ47">
        <v>50.79</v>
      </c>
      <c r="AR47">
        <v>0.31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6.11</v>
      </c>
      <c r="BA47">
        <v>6.11</v>
      </c>
      <c r="BB47">
        <v>6.11</v>
      </c>
      <c r="BC47">
        <v>6.11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79</v>
      </c>
      <c r="BM47">
        <v>9001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6.11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90</v>
      </c>
      <c r="CA47">
        <v>85</v>
      </c>
      <c r="CE47">
        <v>0</v>
      </c>
      <c r="CF47">
        <v>0</v>
      </c>
      <c r="CG47">
        <v>0</v>
      </c>
      <c r="CM47">
        <v>0</v>
      </c>
      <c r="CN47" t="s">
        <v>80</v>
      </c>
      <c r="CO47">
        <v>0</v>
      </c>
      <c r="CP47">
        <f t="shared" si="29"/>
        <v>119.55000000000001</v>
      </c>
      <c r="CQ47">
        <f t="shared" si="30"/>
        <v>0</v>
      </c>
      <c r="CR47">
        <f t="shared" si="31"/>
        <v>538.04660000000001</v>
      </c>
      <c r="CS47">
        <f t="shared" si="32"/>
        <v>16.313700000000001</v>
      </c>
      <c r="CT47">
        <f t="shared" si="33"/>
        <v>1852.9797000000001</v>
      </c>
      <c r="CU47">
        <f t="shared" si="34"/>
        <v>0</v>
      </c>
      <c r="CV47">
        <f t="shared" si="35"/>
        <v>35.552999999999997</v>
      </c>
      <c r="CW47">
        <f t="shared" si="36"/>
        <v>0.217</v>
      </c>
      <c r="CX47">
        <f t="shared" si="37"/>
        <v>0</v>
      </c>
      <c r="CY47">
        <f t="shared" si="38"/>
        <v>75.710700000000003</v>
      </c>
      <c r="CZ47">
        <f t="shared" si="39"/>
        <v>67.298400000000001</v>
      </c>
      <c r="DC47" t="s">
        <v>6</v>
      </c>
      <c r="DD47" t="s">
        <v>81</v>
      </c>
      <c r="DE47" t="s">
        <v>82</v>
      </c>
      <c r="DF47" t="s">
        <v>82</v>
      </c>
      <c r="DG47" t="s">
        <v>82</v>
      </c>
      <c r="DH47" t="s">
        <v>6</v>
      </c>
      <c r="DI47" t="s">
        <v>82</v>
      </c>
      <c r="DJ47" t="s">
        <v>82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65</v>
      </c>
      <c r="DW47" t="s">
        <v>65</v>
      </c>
      <c r="DX47">
        <v>1000</v>
      </c>
      <c r="EE47">
        <v>27029022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9001</v>
      </c>
      <c r="EL47" t="s">
        <v>83</v>
      </c>
      <c r="EM47" t="s">
        <v>84</v>
      </c>
      <c r="EO47" t="s">
        <v>85</v>
      </c>
      <c r="EQ47">
        <v>131072</v>
      </c>
      <c r="ER47">
        <v>641</v>
      </c>
      <c r="ES47">
        <v>81.96</v>
      </c>
      <c r="ET47">
        <v>125.8</v>
      </c>
      <c r="EU47">
        <v>3.82</v>
      </c>
      <c r="EV47">
        <v>433.24</v>
      </c>
      <c r="EW47">
        <v>50.79</v>
      </c>
      <c r="EX47">
        <v>0.31</v>
      </c>
      <c r="EY47">
        <v>0</v>
      </c>
      <c r="FQ47">
        <v>0</v>
      </c>
      <c r="FR47">
        <f t="shared" si="40"/>
        <v>0</v>
      </c>
      <c r="FS47">
        <v>0</v>
      </c>
      <c r="FT47" t="s">
        <v>21</v>
      </c>
      <c r="FU47" t="s">
        <v>22</v>
      </c>
      <c r="FX47">
        <v>81</v>
      </c>
      <c r="FY47">
        <v>72.25</v>
      </c>
      <c r="GA47" t="s">
        <v>6</v>
      </c>
      <c r="GD47">
        <v>0</v>
      </c>
      <c r="GF47">
        <v>1491610335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1"/>
        <v>0</v>
      </c>
      <c r="GM47">
        <f t="shared" si="42"/>
        <v>262.56</v>
      </c>
      <c r="GN47">
        <f t="shared" si="43"/>
        <v>262.56</v>
      </c>
      <c r="GO47">
        <f t="shared" si="44"/>
        <v>0</v>
      </c>
      <c r="GP47">
        <f t="shared" si="45"/>
        <v>0</v>
      </c>
      <c r="GR47">
        <v>0</v>
      </c>
      <c r="GS47">
        <v>3</v>
      </c>
      <c r="GT47">
        <v>0</v>
      </c>
      <c r="GU47" t="s">
        <v>6</v>
      </c>
      <c r="GV47">
        <f t="shared" si="46"/>
        <v>0</v>
      </c>
      <c r="GW47">
        <v>1</v>
      </c>
      <c r="GX47">
        <f t="shared" si="47"/>
        <v>0</v>
      </c>
      <c r="HA47">
        <v>0</v>
      </c>
      <c r="HB47">
        <v>0</v>
      </c>
      <c r="HC47">
        <f t="shared" si="48"/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ROW(SmtRes!A108)</f>
        <v>108</v>
      </c>
      <c r="D48" s="2">
        <f>ROW(EtalonRes!A110)</f>
        <v>110</v>
      </c>
      <c r="E48" s="2" t="s">
        <v>86</v>
      </c>
      <c r="F48" s="2" t="s">
        <v>87</v>
      </c>
      <c r="G48" s="2" t="s">
        <v>88</v>
      </c>
      <c r="H48" s="2" t="s">
        <v>40</v>
      </c>
      <c r="I48" s="2">
        <f>ROUND(2.8/100,9)</f>
        <v>2.8000000000000001E-2</v>
      </c>
      <c r="J48" s="2">
        <v>0</v>
      </c>
      <c r="K48" s="2"/>
      <c r="L48" s="2"/>
      <c r="M48" s="2"/>
      <c r="N48" s="2"/>
      <c r="O48" s="2">
        <f t="shared" si="14"/>
        <v>12.72</v>
      </c>
      <c r="P48" s="2">
        <f t="shared" si="15"/>
        <v>2.69</v>
      </c>
      <c r="Q48" s="2">
        <f t="shared" si="16"/>
        <v>0.14000000000000001</v>
      </c>
      <c r="R48" s="2">
        <f t="shared" si="17"/>
        <v>0.04</v>
      </c>
      <c r="S48" s="2">
        <f t="shared" si="18"/>
        <v>9.89</v>
      </c>
      <c r="T48" s="2">
        <f t="shared" si="19"/>
        <v>0</v>
      </c>
      <c r="U48" s="2">
        <f t="shared" si="20"/>
        <v>1.1594799999999998</v>
      </c>
      <c r="V48" s="2">
        <f t="shared" si="21"/>
        <v>3.3600000000000001E-3</v>
      </c>
      <c r="W48" s="2">
        <f t="shared" si="22"/>
        <v>0</v>
      </c>
      <c r="X48" s="2">
        <f t="shared" si="23"/>
        <v>8.24</v>
      </c>
      <c r="Y48" s="2">
        <f t="shared" si="24"/>
        <v>6.45</v>
      </c>
      <c r="Z48" s="2"/>
      <c r="AA48" s="2">
        <v>27935367</v>
      </c>
      <c r="AB48" s="2">
        <f t="shared" si="25"/>
        <v>454.41</v>
      </c>
      <c r="AC48" s="2">
        <f t="shared" ref="AC48:AC79" si="52">ROUND((ES48),2)</f>
        <v>96.05</v>
      </c>
      <c r="AD48" s="2">
        <f t="shared" ref="AD48:AD63" si="53">ROUND((((ET48)-(EU48))+AE48),2)</f>
        <v>5.13</v>
      </c>
      <c r="AE48" s="2">
        <f t="shared" ref="AE48:AE63" si="54">ROUND((EU48),2)</f>
        <v>1.54</v>
      </c>
      <c r="AF48" s="2">
        <f t="shared" ref="AF48:AF63" si="55">ROUND((EV48),2)</f>
        <v>353.23</v>
      </c>
      <c r="AG48" s="2">
        <f t="shared" si="27"/>
        <v>0</v>
      </c>
      <c r="AH48" s="2">
        <f t="shared" ref="AH48:AH63" si="56">(EW48)</f>
        <v>41.41</v>
      </c>
      <c r="AI48" s="2">
        <f t="shared" ref="AI48:AI63" si="57">(EX48)</f>
        <v>0.12</v>
      </c>
      <c r="AJ48" s="2">
        <f t="shared" si="28"/>
        <v>0</v>
      </c>
      <c r="AK48" s="2">
        <v>454.41</v>
      </c>
      <c r="AL48" s="2">
        <v>96.05</v>
      </c>
      <c r="AM48" s="2">
        <v>5.13</v>
      </c>
      <c r="AN48" s="2">
        <v>1.54</v>
      </c>
      <c r="AO48" s="2">
        <v>353.23</v>
      </c>
      <c r="AP48" s="2">
        <v>0</v>
      </c>
      <c r="AQ48" s="2">
        <v>41.41</v>
      </c>
      <c r="AR48" s="2">
        <v>0.12</v>
      </c>
      <c r="AS48" s="2">
        <v>0</v>
      </c>
      <c r="AT48" s="2">
        <v>83</v>
      </c>
      <c r="AU48" s="2">
        <v>65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89</v>
      </c>
      <c r="BK48" s="2"/>
      <c r="BL48" s="2"/>
      <c r="BM48" s="2">
        <v>58001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83</v>
      </c>
      <c r="CA48" s="2">
        <v>65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29"/>
        <v>12.72</v>
      </c>
      <c r="CQ48" s="2">
        <f t="shared" si="30"/>
        <v>96.05</v>
      </c>
      <c r="CR48" s="2">
        <f t="shared" si="31"/>
        <v>5.13</v>
      </c>
      <c r="CS48" s="2">
        <f t="shared" si="32"/>
        <v>1.54</v>
      </c>
      <c r="CT48" s="2">
        <f t="shared" si="33"/>
        <v>353.23</v>
      </c>
      <c r="CU48" s="2">
        <f t="shared" si="34"/>
        <v>0</v>
      </c>
      <c r="CV48" s="2">
        <f t="shared" si="35"/>
        <v>41.41</v>
      </c>
      <c r="CW48" s="2">
        <f t="shared" si="36"/>
        <v>0.12</v>
      </c>
      <c r="CX48" s="2">
        <f t="shared" si="37"/>
        <v>0</v>
      </c>
      <c r="CY48" s="2">
        <f t="shared" si="38"/>
        <v>8.2418999999999993</v>
      </c>
      <c r="CZ48" s="2">
        <f t="shared" si="39"/>
        <v>6.4544999999999995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40</v>
      </c>
      <c r="DW48" s="2" t="s">
        <v>40</v>
      </c>
      <c r="DX48" s="2">
        <v>100</v>
      </c>
      <c r="DY48" s="2"/>
      <c r="DZ48" s="2"/>
      <c r="EA48" s="2"/>
      <c r="EB48" s="2"/>
      <c r="EC48" s="2"/>
      <c r="ED48" s="2"/>
      <c r="EE48" s="2">
        <v>27029103</v>
      </c>
      <c r="EF48" s="2">
        <v>6</v>
      </c>
      <c r="EG48" s="2" t="s">
        <v>90</v>
      </c>
      <c r="EH48" s="2">
        <v>0</v>
      </c>
      <c r="EI48" s="2" t="s">
        <v>6</v>
      </c>
      <c r="EJ48" s="2">
        <v>1</v>
      </c>
      <c r="EK48" s="2">
        <v>58001</v>
      </c>
      <c r="EL48" s="2" t="s">
        <v>91</v>
      </c>
      <c r="EM48" s="2" t="s">
        <v>92</v>
      </c>
      <c r="EN48" s="2"/>
      <c r="EO48" s="2" t="s">
        <v>6</v>
      </c>
      <c r="EP48" s="2"/>
      <c r="EQ48" s="2">
        <v>131072</v>
      </c>
      <c r="ER48" s="2">
        <v>454.41</v>
      </c>
      <c r="ES48" s="2">
        <v>96.05</v>
      </c>
      <c r="ET48" s="2">
        <v>5.13</v>
      </c>
      <c r="EU48" s="2">
        <v>1.54</v>
      </c>
      <c r="EV48" s="2">
        <v>353.23</v>
      </c>
      <c r="EW48" s="2">
        <v>41.41</v>
      </c>
      <c r="EX48" s="2">
        <v>0.12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0"/>
        <v>0</v>
      </c>
      <c r="FS48" s="2">
        <v>0</v>
      </c>
      <c r="FT48" s="2"/>
      <c r="FU48" s="2"/>
      <c r="FV48" s="2"/>
      <c r="FW48" s="2"/>
      <c r="FX48" s="2">
        <v>83</v>
      </c>
      <c r="FY48" s="2">
        <v>65</v>
      </c>
      <c r="FZ48" s="2"/>
      <c r="GA48" s="2" t="s">
        <v>6</v>
      </c>
      <c r="GB48" s="2"/>
      <c r="GC48" s="2"/>
      <c r="GD48" s="2">
        <v>0</v>
      </c>
      <c r="GE48" s="2"/>
      <c r="GF48" s="2">
        <v>1476584102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1"/>
        <v>0</v>
      </c>
      <c r="GM48" s="2">
        <f t="shared" si="42"/>
        <v>27.41</v>
      </c>
      <c r="GN48" s="2">
        <f t="shared" si="43"/>
        <v>27.41</v>
      </c>
      <c r="GO48" s="2">
        <f t="shared" si="44"/>
        <v>0</v>
      </c>
      <c r="GP48" s="2">
        <f t="shared" si="4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6"/>
        <v>0</v>
      </c>
      <c r="GW48" s="2">
        <v>1</v>
      </c>
      <c r="GX48" s="2">
        <f t="shared" si="47"/>
        <v>0</v>
      </c>
      <c r="GY48" s="2"/>
      <c r="GZ48" s="2"/>
      <c r="HA48" s="2">
        <v>0</v>
      </c>
      <c r="HB48" s="2">
        <v>0</v>
      </c>
      <c r="HC48" s="2">
        <f t="shared" si="48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ROW(SmtRes!A116)</f>
        <v>116</v>
      </c>
      <c r="D49">
        <f>ROW(EtalonRes!A118)</f>
        <v>118</v>
      </c>
      <c r="E49" t="s">
        <v>86</v>
      </c>
      <c r="F49" t="s">
        <v>87</v>
      </c>
      <c r="G49" t="s">
        <v>88</v>
      </c>
      <c r="H49" t="s">
        <v>40</v>
      </c>
      <c r="I49">
        <f>ROUND(2.8/100,9)</f>
        <v>2.8000000000000001E-2</v>
      </c>
      <c r="J49">
        <v>0</v>
      </c>
      <c r="O49">
        <f t="shared" si="14"/>
        <v>77.739999999999995</v>
      </c>
      <c r="P49">
        <f t="shared" si="15"/>
        <v>16.43</v>
      </c>
      <c r="Q49">
        <f t="shared" si="16"/>
        <v>0.88</v>
      </c>
      <c r="R49">
        <f t="shared" si="17"/>
        <v>0.26</v>
      </c>
      <c r="S49">
        <f t="shared" si="18"/>
        <v>60.43</v>
      </c>
      <c r="T49">
        <f t="shared" si="19"/>
        <v>0</v>
      </c>
      <c r="U49">
        <f t="shared" si="20"/>
        <v>1.1594799999999998</v>
      </c>
      <c r="V49">
        <f t="shared" si="21"/>
        <v>3.3600000000000001E-3</v>
      </c>
      <c r="W49">
        <f t="shared" si="22"/>
        <v>0</v>
      </c>
      <c r="X49">
        <f t="shared" si="23"/>
        <v>50.37</v>
      </c>
      <c r="Y49">
        <f t="shared" si="24"/>
        <v>39.450000000000003</v>
      </c>
      <c r="AA49">
        <v>27935368</v>
      </c>
      <c r="AB49">
        <f t="shared" si="25"/>
        <v>454.41</v>
      </c>
      <c r="AC49">
        <f t="shared" si="52"/>
        <v>96.05</v>
      </c>
      <c r="AD49">
        <f t="shared" si="53"/>
        <v>5.13</v>
      </c>
      <c r="AE49">
        <f t="shared" si="54"/>
        <v>1.54</v>
      </c>
      <c r="AF49">
        <f t="shared" si="55"/>
        <v>353.23</v>
      </c>
      <c r="AG49">
        <f t="shared" si="27"/>
        <v>0</v>
      </c>
      <c r="AH49">
        <f t="shared" si="56"/>
        <v>41.41</v>
      </c>
      <c r="AI49">
        <f t="shared" si="57"/>
        <v>0.12</v>
      </c>
      <c r="AJ49">
        <f t="shared" si="28"/>
        <v>0</v>
      </c>
      <c r="AK49">
        <v>454.41</v>
      </c>
      <c r="AL49">
        <v>96.05</v>
      </c>
      <c r="AM49">
        <v>5.13</v>
      </c>
      <c r="AN49">
        <v>1.54</v>
      </c>
      <c r="AO49">
        <v>353.23</v>
      </c>
      <c r="AP49">
        <v>0</v>
      </c>
      <c r="AQ49">
        <v>41.41</v>
      </c>
      <c r="AR49">
        <v>0.12</v>
      </c>
      <c r="AS49">
        <v>0</v>
      </c>
      <c r="AT49">
        <v>83</v>
      </c>
      <c r="AU49">
        <v>65</v>
      </c>
      <c r="AV49">
        <v>1</v>
      </c>
      <c r="AW49">
        <v>1</v>
      </c>
      <c r="AZ49">
        <v>6.11</v>
      </c>
      <c r="BA49">
        <v>6.11</v>
      </c>
      <c r="BB49">
        <v>6.11</v>
      </c>
      <c r="BC49">
        <v>6.11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89</v>
      </c>
      <c r="BM49">
        <v>58001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6.11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83</v>
      </c>
      <c r="CA49">
        <v>65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29"/>
        <v>77.739999999999995</v>
      </c>
      <c r="CQ49">
        <f t="shared" si="30"/>
        <v>586.8655</v>
      </c>
      <c r="CR49">
        <f t="shared" si="31"/>
        <v>31.3443</v>
      </c>
      <c r="CS49">
        <f t="shared" si="32"/>
        <v>9.4094000000000015</v>
      </c>
      <c r="CT49">
        <f t="shared" si="33"/>
        <v>2158.2353000000003</v>
      </c>
      <c r="CU49">
        <f t="shared" si="34"/>
        <v>0</v>
      </c>
      <c r="CV49">
        <f t="shared" si="35"/>
        <v>41.41</v>
      </c>
      <c r="CW49">
        <f t="shared" si="36"/>
        <v>0.12</v>
      </c>
      <c r="CX49">
        <f t="shared" si="37"/>
        <v>0</v>
      </c>
      <c r="CY49">
        <f t="shared" si="38"/>
        <v>50.372699999999995</v>
      </c>
      <c r="CZ49">
        <f t="shared" si="39"/>
        <v>39.448499999999996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40</v>
      </c>
      <c r="DW49" t="s">
        <v>40</v>
      </c>
      <c r="DX49">
        <v>100</v>
      </c>
      <c r="EE49">
        <v>27029103</v>
      </c>
      <c r="EF49">
        <v>6</v>
      </c>
      <c r="EG49" t="s">
        <v>90</v>
      </c>
      <c r="EH49">
        <v>0</v>
      </c>
      <c r="EI49" t="s">
        <v>6</v>
      </c>
      <c r="EJ49">
        <v>1</v>
      </c>
      <c r="EK49">
        <v>58001</v>
      </c>
      <c r="EL49" t="s">
        <v>91</v>
      </c>
      <c r="EM49" t="s">
        <v>92</v>
      </c>
      <c r="EO49" t="s">
        <v>6</v>
      </c>
      <c r="EQ49">
        <v>131072</v>
      </c>
      <c r="ER49">
        <v>454.41</v>
      </c>
      <c r="ES49">
        <v>96.05</v>
      </c>
      <c r="ET49">
        <v>5.13</v>
      </c>
      <c r="EU49">
        <v>1.54</v>
      </c>
      <c r="EV49">
        <v>353.23</v>
      </c>
      <c r="EW49">
        <v>41.41</v>
      </c>
      <c r="EX49">
        <v>0.12</v>
      </c>
      <c r="EY49">
        <v>0</v>
      </c>
      <c r="FQ49">
        <v>0</v>
      </c>
      <c r="FR49">
        <f t="shared" si="40"/>
        <v>0</v>
      </c>
      <c r="FS49">
        <v>0</v>
      </c>
      <c r="FX49">
        <v>83</v>
      </c>
      <c r="FY49">
        <v>65</v>
      </c>
      <c r="GA49" t="s">
        <v>6</v>
      </c>
      <c r="GD49">
        <v>0</v>
      </c>
      <c r="GF49">
        <v>1476584102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1"/>
        <v>0</v>
      </c>
      <c r="GM49">
        <f t="shared" si="42"/>
        <v>167.56</v>
      </c>
      <c r="GN49">
        <f t="shared" si="43"/>
        <v>167.56</v>
      </c>
      <c r="GO49">
        <f t="shared" si="44"/>
        <v>0</v>
      </c>
      <c r="GP49">
        <f t="shared" si="45"/>
        <v>0</v>
      </c>
      <c r="GR49">
        <v>0</v>
      </c>
      <c r="GS49">
        <v>3</v>
      </c>
      <c r="GT49">
        <v>0</v>
      </c>
      <c r="GU49" t="s">
        <v>6</v>
      </c>
      <c r="GV49">
        <f t="shared" si="46"/>
        <v>0</v>
      </c>
      <c r="GW49">
        <v>1</v>
      </c>
      <c r="GX49">
        <f t="shared" si="47"/>
        <v>0</v>
      </c>
      <c r="HA49">
        <v>0</v>
      </c>
      <c r="HB49">
        <v>0</v>
      </c>
      <c r="HC49">
        <f t="shared" si="48"/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108</v>
      </c>
      <c r="D50" s="2"/>
      <c r="E50" s="2" t="s">
        <v>93</v>
      </c>
      <c r="F50" s="2" t="s">
        <v>94</v>
      </c>
      <c r="G50" s="2" t="s">
        <v>95</v>
      </c>
      <c r="H50" s="2" t="s">
        <v>65</v>
      </c>
      <c r="I50" s="2">
        <f>I48*J50</f>
        <v>5.1520000000000003E-3</v>
      </c>
      <c r="J50" s="2">
        <v>0.184</v>
      </c>
      <c r="K50" s="2"/>
      <c r="L50" s="2"/>
      <c r="M50" s="2"/>
      <c r="N50" s="2"/>
      <c r="O50" s="2">
        <f t="shared" si="14"/>
        <v>0</v>
      </c>
      <c r="P50" s="2">
        <f t="shared" si="15"/>
        <v>0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27935367</v>
      </c>
      <c r="AB50" s="2">
        <f t="shared" si="25"/>
        <v>0</v>
      </c>
      <c r="AC50" s="2">
        <f t="shared" si="52"/>
        <v>0</v>
      </c>
      <c r="AD50" s="2">
        <f t="shared" si="53"/>
        <v>0</v>
      </c>
      <c r="AE50" s="2">
        <f t="shared" si="54"/>
        <v>0</v>
      </c>
      <c r="AF50" s="2">
        <f t="shared" si="55"/>
        <v>0</v>
      </c>
      <c r="AG50" s="2">
        <f t="shared" si="27"/>
        <v>0</v>
      </c>
      <c r="AH50" s="2">
        <f t="shared" si="56"/>
        <v>0</v>
      </c>
      <c r="AI50" s="2">
        <f t="shared" si="57"/>
        <v>0</v>
      </c>
      <c r="AJ50" s="2">
        <f t="shared" si="28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83</v>
      </c>
      <c r="AU50" s="2">
        <v>65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6</v>
      </c>
      <c r="BK50" s="2"/>
      <c r="BL50" s="2"/>
      <c r="BM50" s="2">
        <v>58001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83</v>
      </c>
      <c r="CA50" s="2">
        <v>65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29"/>
        <v>0</v>
      </c>
      <c r="CQ50" s="2">
        <f t="shared" si="30"/>
        <v>0</v>
      </c>
      <c r="CR50" s="2">
        <f t="shared" si="31"/>
        <v>0</v>
      </c>
      <c r="CS50" s="2">
        <f t="shared" si="32"/>
        <v>0</v>
      </c>
      <c r="CT50" s="2">
        <f t="shared" si="33"/>
        <v>0</v>
      </c>
      <c r="CU50" s="2">
        <f t="shared" si="34"/>
        <v>0</v>
      </c>
      <c r="CV50" s="2">
        <f t="shared" si="35"/>
        <v>0</v>
      </c>
      <c r="CW50" s="2">
        <f t="shared" si="36"/>
        <v>0</v>
      </c>
      <c r="CX50" s="2">
        <f t="shared" si="37"/>
        <v>0</v>
      </c>
      <c r="CY50" s="2">
        <f t="shared" si="38"/>
        <v>0</v>
      </c>
      <c r="CZ50" s="2">
        <f t="shared" si="39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65</v>
      </c>
      <c r="DW50" s="2" t="s">
        <v>65</v>
      </c>
      <c r="DX50" s="2">
        <v>1000</v>
      </c>
      <c r="DY50" s="2"/>
      <c r="DZ50" s="2"/>
      <c r="EA50" s="2"/>
      <c r="EB50" s="2"/>
      <c r="EC50" s="2"/>
      <c r="ED50" s="2"/>
      <c r="EE50" s="2">
        <v>27029103</v>
      </c>
      <c r="EF50" s="2">
        <v>6</v>
      </c>
      <c r="EG50" s="2" t="s">
        <v>90</v>
      </c>
      <c r="EH50" s="2">
        <v>0</v>
      </c>
      <c r="EI50" s="2" t="s">
        <v>6</v>
      </c>
      <c r="EJ50" s="2">
        <v>1</v>
      </c>
      <c r="EK50" s="2">
        <v>58001</v>
      </c>
      <c r="EL50" s="2" t="s">
        <v>91</v>
      </c>
      <c r="EM50" s="2" t="s">
        <v>92</v>
      </c>
      <c r="EN50" s="2"/>
      <c r="EO50" s="2" t="s">
        <v>6</v>
      </c>
      <c r="EP50" s="2"/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0"/>
        <v>0</v>
      </c>
      <c r="FS50" s="2">
        <v>0</v>
      </c>
      <c r="FT50" s="2"/>
      <c r="FU50" s="2"/>
      <c r="FV50" s="2"/>
      <c r="FW50" s="2"/>
      <c r="FX50" s="2">
        <v>83</v>
      </c>
      <c r="FY50" s="2">
        <v>65</v>
      </c>
      <c r="FZ50" s="2"/>
      <c r="GA50" s="2" t="s">
        <v>6</v>
      </c>
      <c r="GB50" s="2"/>
      <c r="GC50" s="2"/>
      <c r="GD50" s="2">
        <v>0</v>
      </c>
      <c r="GE50" s="2"/>
      <c r="GF50" s="2">
        <v>789990620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1"/>
        <v>0</v>
      </c>
      <c r="GM50" s="2">
        <f t="shared" si="42"/>
        <v>0</v>
      </c>
      <c r="GN50" s="2">
        <f t="shared" si="43"/>
        <v>0</v>
      </c>
      <c r="GO50" s="2">
        <f t="shared" si="44"/>
        <v>0</v>
      </c>
      <c r="GP50" s="2">
        <f t="shared" si="4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6"/>
        <v>0</v>
      </c>
      <c r="GW50" s="2">
        <v>1</v>
      </c>
      <c r="GX50" s="2">
        <f t="shared" si="47"/>
        <v>0</v>
      </c>
      <c r="GY50" s="2"/>
      <c r="GZ50" s="2"/>
      <c r="HA50" s="2">
        <v>0</v>
      </c>
      <c r="HB50" s="2">
        <v>0</v>
      </c>
      <c r="HC50" s="2">
        <f t="shared" si="48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116</v>
      </c>
      <c r="E51" t="s">
        <v>93</v>
      </c>
      <c r="F51" t="s">
        <v>94</v>
      </c>
      <c r="G51" t="s">
        <v>95</v>
      </c>
      <c r="H51" t="s">
        <v>65</v>
      </c>
      <c r="I51">
        <f>I49*J51</f>
        <v>5.1520000000000003E-3</v>
      </c>
      <c r="J51">
        <v>0.184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27935368</v>
      </c>
      <c r="AB51">
        <f t="shared" si="25"/>
        <v>0</v>
      </c>
      <c r="AC51">
        <f t="shared" si="52"/>
        <v>0</v>
      </c>
      <c r="AD51">
        <f t="shared" si="53"/>
        <v>0</v>
      </c>
      <c r="AE51">
        <f t="shared" si="54"/>
        <v>0</v>
      </c>
      <c r="AF51">
        <f t="shared" si="55"/>
        <v>0</v>
      </c>
      <c r="AG51">
        <f t="shared" si="27"/>
        <v>0</v>
      </c>
      <c r="AH51">
        <f t="shared" si="56"/>
        <v>0</v>
      </c>
      <c r="AI51">
        <f t="shared" si="57"/>
        <v>0</v>
      </c>
      <c r="AJ51">
        <f t="shared" si="28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83</v>
      </c>
      <c r="AU51">
        <v>65</v>
      </c>
      <c r="AV51">
        <v>1</v>
      </c>
      <c r="AW51">
        <v>1</v>
      </c>
      <c r="AZ51">
        <v>6.11</v>
      </c>
      <c r="BA51">
        <v>1</v>
      </c>
      <c r="BB51">
        <v>1</v>
      </c>
      <c r="BC51">
        <v>6.11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6</v>
      </c>
      <c r="BM51">
        <v>58001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83</v>
      </c>
      <c r="CA51">
        <v>65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29"/>
        <v>0</v>
      </c>
      <c r="CQ51">
        <f t="shared" si="30"/>
        <v>0</v>
      </c>
      <c r="CR51">
        <f t="shared" si="31"/>
        <v>0</v>
      </c>
      <c r="CS51">
        <f t="shared" si="32"/>
        <v>0</v>
      </c>
      <c r="CT51">
        <f t="shared" si="33"/>
        <v>0</v>
      </c>
      <c r="CU51">
        <f t="shared" si="34"/>
        <v>0</v>
      </c>
      <c r="CV51">
        <f t="shared" si="35"/>
        <v>0</v>
      </c>
      <c r="CW51">
        <f t="shared" si="36"/>
        <v>0</v>
      </c>
      <c r="CX51">
        <f t="shared" si="37"/>
        <v>0</v>
      </c>
      <c r="CY51">
        <f t="shared" si="38"/>
        <v>0</v>
      </c>
      <c r="CZ51">
        <f t="shared" si="39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65</v>
      </c>
      <c r="DW51" t="s">
        <v>65</v>
      </c>
      <c r="DX51">
        <v>1000</v>
      </c>
      <c r="EE51">
        <v>27029103</v>
      </c>
      <c r="EF51">
        <v>6</v>
      </c>
      <c r="EG51" t="s">
        <v>90</v>
      </c>
      <c r="EH51">
        <v>0</v>
      </c>
      <c r="EI51" t="s">
        <v>6</v>
      </c>
      <c r="EJ51">
        <v>1</v>
      </c>
      <c r="EK51">
        <v>58001</v>
      </c>
      <c r="EL51" t="s">
        <v>91</v>
      </c>
      <c r="EM51" t="s">
        <v>92</v>
      </c>
      <c r="EO51" t="s">
        <v>6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0"/>
        <v>0</v>
      </c>
      <c r="FS51">
        <v>0</v>
      </c>
      <c r="FX51">
        <v>83</v>
      </c>
      <c r="FY51">
        <v>65</v>
      </c>
      <c r="GA51" t="s">
        <v>6</v>
      </c>
      <c r="GD51">
        <v>0</v>
      </c>
      <c r="GF51">
        <v>789990620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1"/>
        <v>0</v>
      </c>
      <c r="GM51">
        <f t="shared" si="42"/>
        <v>0</v>
      </c>
      <c r="GN51">
        <f t="shared" si="43"/>
        <v>0</v>
      </c>
      <c r="GO51">
        <f t="shared" si="44"/>
        <v>0</v>
      </c>
      <c r="GP51">
        <f t="shared" si="45"/>
        <v>0</v>
      </c>
      <c r="GR51">
        <v>0</v>
      </c>
      <c r="GS51">
        <v>3</v>
      </c>
      <c r="GT51">
        <v>0</v>
      </c>
      <c r="GU51" t="s">
        <v>6</v>
      </c>
      <c r="GV51">
        <f t="shared" si="46"/>
        <v>0</v>
      </c>
      <c r="GW51">
        <v>1</v>
      </c>
      <c r="GX51">
        <f t="shared" si="47"/>
        <v>0</v>
      </c>
      <c r="HA51">
        <v>0</v>
      </c>
      <c r="HB51">
        <v>0</v>
      </c>
      <c r="HC51">
        <f t="shared" si="48"/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106</v>
      </c>
      <c r="D52" s="2"/>
      <c r="E52" s="2" t="s">
        <v>96</v>
      </c>
      <c r="F52" s="2" t="s">
        <v>97</v>
      </c>
      <c r="G52" s="2" t="s">
        <v>98</v>
      </c>
      <c r="H52" s="2" t="s">
        <v>99</v>
      </c>
      <c r="I52" s="2">
        <f>I48*J52</f>
        <v>2.8</v>
      </c>
      <c r="J52" s="2">
        <v>99.999999999999986</v>
      </c>
      <c r="K52" s="2"/>
      <c r="L52" s="2"/>
      <c r="M52" s="2"/>
      <c r="N52" s="2"/>
      <c r="O52" s="2">
        <f t="shared" si="14"/>
        <v>73.95</v>
      </c>
      <c r="P52" s="2">
        <f t="shared" si="15"/>
        <v>73.95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27935367</v>
      </c>
      <c r="AB52" s="2">
        <f t="shared" si="25"/>
        <v>26.41</v>
      </c>
      <c r="AC52" s="2">
        <f t="shared" si="52"/>
        <v>26.41</v>
      </c>
      <c r="AD52" s="2">
        <f t="shared" si="53"/>
        <v>0</v>
      </c>
      <c r="AE52" s="2">
        <f t="shared" si="54"/>
        <v>0</v>
      </c>
      <c r="AF52" s="2">
        <f t="shared" si="55"/>
        <v>0</v>
      </c>
      <c r="AG52" s="2">
        <f t="shared" si="27"/>
        <v>0</v>
      </c>
      <c r="AH52" s="2">
        <f t="shared" si="56"/>
        <v>0</v>
      </c>
      <c r="AI52" s="2">
        <f t="shared" si="57"/>
        <v>0</v>
      </c>
      <c r="AJ52" s="2">
        <f t="shared" si="28"/>
        <v>0</v>
      </c>
      <c r="AK52" s="2">
        <v>26.41</v>
      </c>
      <c r="AL52" s="2">
        <v>26.41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83</v>
      </c>
      <c r="AU52" s="2">
        <v>65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100</v>
      </c>
      <c r="BK52" s="2"/>
      <c r="BL52" s="2"/>
      <c r="BM52" s="2">
        <v>58001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83</v>
      </c>
      <c r="CA52" s="2">
        <v>65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29"/>
        <v>73.95</v>
      </c>
      <c r="CQ52" s="2">
        <f t="shared" si="30"/>
        <v>26.41</v>
      </c>
      <c r="CR52" s="2">
        <f t="shared" si="31"/>
        <v>0</v>
      </c>
      <c r="CS52" s="2">
        <f t="shared" si="32"/>
        <v>0</v>
      </c>
      <c r="CT52" s="2">
        <f t="shared" si="33"/>
        <v>0</v>
      </c>
      <c r="CU52" s="2">
        <f t="shared" si="34"/>
        <v>0</v>
      </c>
      <c r="CV52" s="2">
        <f t="shared" si="35"/>
        <v>0</v>
      </c>
      <c r="CW52" s="2">
        <f t="shared" si="36"/>
        <v>0</v>
      </c>
      <c r="CX52" s="2">
        <f t="shared" si="37"/>
        <v>0</v>
      </c>
      <c r="CY52" s="2">
        <f t="shared" si="38"/>
        <v>0</v>
      </c>
      <c r="CZ52" s="2">
        <f t="shared" si="39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99</v>
      </c>
      <c r="DW52" s="2" t="s">
        <v>99</v>
      </c>
      <c r="DX52" s="2">
        <v>1</v>
      </c>
      <c r="DY52" s="2"/>
      <c r="DZ52" s="2"/>
      <c r="EA52" s="2"/>
      <c r="EB52" s="2"/>
      <c r="EC52" s="2"/>
      <c r="ED52" s="2"/>
      <c r="EE52" s="2">
        <v>27029103</v>
      </c>
      <c r="EF52" s="2">
        <v>6</v>
      </c>
      <c r="EG52" s="2" t="s">
        <v>90</v>
      </c>
      <c r="EH52" s="2">
        <v>0</v>
      </c>
      <c r="EI52" s="2" t="s">
        <v>6</v>
      </c>
      <c r="EJ52" s="2">
        <v>1</v>
      </c>
      <c r="EK52" s="2">
        <v>58001</v>
      </c>
      <c r="EL52" s="2" t="s">
        <v>91</v>
      </c>
      <c r="EM52" s="2" t="s">
        <v>92</v>
      </c>
      <c r="EN52" s="2"/>
      <c r="EO52" s="2" t="s">
        <v>6</v>
      </c>
      <c r="EP52" s="2"/>
      <c r="EQ52" s="2">
        <v>0</v>
      </c>
      <c r="ER52" s="2">
        <v>26.41</v>
      </c>
      <c r="ES52" s="2">
        <v>26.41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0"/>
        <v>0</v>
      </c>
      <c r="FS52" s="2">
        <v>0</v>
      </c>
      <c r="FT52" s="2"/>
      <c r="FU52" s="2"/>
      <c r="FV52" s="2"/>
      <c r="FW52" s="2"/>
      <c r="FX52" s="2">
        <v>83</v>
      </c>
      <c r="FY52" s="2">
        <v>65</v>
      </c>
      <c r="FZ52" s="2"/>
      <c r="GA52" s="2" t="s">
        <v>6</v>
      </c>
      <c r="GB52" s="2"/>
      <c r="GC52" s="2"/>
      <c r="GD52" s="2">
        <v>0</v>
      </c>
      <c r="GE52" s="2"/>
      <c r="GF52" s="2">
        <v>-892718151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1"/>
        <v>0</v>
      </c>
      <c r="GM52" s="2">
        <f t="shared" si="42"/>
        <v>73.95</v>
      </c>
      <c r="GN52" s="2">
        <f t="shared" si="43"/>
        <v>73.95</v>
      </c>
      <c r="GO52" s="2">
        <f t="shared" si="44"/>
        <v>0</v>
      </c>
      <c r="GP52" s="2">
        <f t="shared" si="45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6"/>
        <v>0</v>
      </c>
      <c r="GW52" s="2">
        <v>1</v>
      </c>
      <c r="GX52" s="2">
        <f t="shared" si="47"/>
        <v>0</v>
      </c>
      <c r="GY52" s="2"/>
      <c r="GZ52" s="2"/>
      <c r="HA52" s="2">
        <v>0</v>
      </c>
      <c r="HB52" s="2">
        <v>0</v>
      </c>
      <c r="HC52" s="2">
        <f t="shared" si="48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114</v>
      </c>
      <c r="E53" t="s">
        <v>96</v>
      </c>
      <c r="F53" t="s">
        <v>97</v>
      </c>
      <c r="G53" t="s">
        <v>98</v>
      </c>
      <c r="H53" t="s">
        <v>99</v>
      </c>
      <c r="I53">
        <f>I49*J53</f>
        <v>2.8</v>
      </c>
      <c r="J53">
        <v>99.999999999999986</v>
      </c>
      <c r="O53">
        <f t="shared" si="14"/>
        <v>451.82</v>
      </c>
      <c r="P53">
        <f t="shared" si="15"/>
        <v>451.82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27935368</v>
      </c>
      <c r="AB53">
        <f t="shared" si="25"/>
        <v>26.41</v>
      </c>
      <c r="AC53">
        <f t="shared" si="52"/>
        <v>26.41</v>
      </c>
      <c r="AD53">
        <f t="shared" si="53"/>
        <v>0</v>
      </c>
      <c r="AE53">
        <f t="shared" si="54"/>
        <v>0</v>
      </c>
      <c r="AF53">
        <f t="shared" si="55"/>
        <v>0</v>
      </c>
      <c r="AG53">
        <f t="shared" si="27"/>
        <v>0</v>
      </c>
      <c r="AH53">
        <f t="shared" si="56"/>
        <v>0</v>
      </c>
      <c r="AI53">
        <f t="shared" si="57"/>
        <v>0</v>
      </c>
      <c r="AJ53">
        <f t="shared" si="28"/>
        <v>0</v>
      </c>
      <c r="AK53">
        <v>26.41</v>
      </c>
      <c r="AL53">
        <v>26.41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83</v>
      </c>
      <c r="AU53">
        <v>65</v>
      </c>
      <c r="AV53">
        <v>1</v>
      </c>
      <c r="AW53">
        <v>1</v>
      </c>
      <c r="AZ53">
        <v>6.11</v>
      </c>
      <c r="BA53">
        <v>1</v>
      </c>
      <c r="BB53">
        <v>1</v>
      </c>
      <c r="BC53">
        <v>6.11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100</v>
      </c>
      <c r="BM53">
        <v>58001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83</v>
      </c>
      <c r="CA53">
        <v>65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29"/>
        <v>451.82</v>
      </c>
      <c r="CQ53">
        <f t="shared" si="30"/>
        <v>161.36510000000001</v>
      </c>
      <c r="CR53">
        <f t="shared" si="31"/>
        <v>0</v>
      </c>
      <c r="CS53">
        <f t="shared" si="32"/>
        <v>0</v>
      </c>
      <c r="CT53">
        <f t="shared" si="33"/>
        <v>0</v>
      </c>
      <c r="CU53">
        <f t="shared" si="34"/>
        <v>0</v>
      </c>
      <c r="CV53">
        <f t="shared" si="35"/>
        <v>0</v>
      </c>
      <c r="CW53">
        <f t="shared" si="36"/>
        <v>0</v>
      </c>
      <c r="CX53">
        <f t="shared" si="37"/>
        <v>0</v>
      </c>
      <c r="CY53">
        <f t="shared" si="38"/>
        <v>0</v>
      </c>
      <c r="CZ53">
        <f t="shared" si="39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99</v>
      </c>
      <c r="DW53" t="s">
        <v>99</v>
      </c>
      <c r="DX53">
        <v>1</v>
      </c>
      <c r="EE53">
        <v>27029103</v>
      </c>
      <c r="EF53">
        <v>6</v>
      </c>
      <c r="EG53" t="s">
        <v>90</v>
      </c>
      <c r="EH53">
        <v>0</v>
      </c>
      <c r="EI53" t="s">
        <v>6</v>
      </c>
      <c r="EJ53">
        <v>1</v>
      </c>
      <c r="EK53">
        <v>58001</v>
      </c>
      <c r="EL53" t="s">
        <v>91</v>
      </c>
      <c r="EM53" t="s">
        <v>92</v>
      </c>
      <c r="EO53" t="s">
        <v>6</v>
      </c>
      <c r="EQ53">
        <v>0</v>
      </c>
      <c r="ER53">
        <v>26.41</v>
      </c>
      <c r="ES53">
        <v>26.41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0"/>
        <v>0</v>
      </c>
      <c r="FS53">
        <v>0</v>
      </c>
      <c r="FX53">
        <v>83</v>
      </c>
      <c r="FY53">
        <v>65</v>
      </c>
      <c r="GA53" t="s">
        <v>6</v>
      </c>
      <c r="GD53">
        <v>0</v>
      </c>
      <c r="GF53">
        <v>-892718151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1"/>
        <v>0</v>
      </c>
      <c r="GM53">
        <f t="shared" si="42"/>
        <v>451.82</v>
      </c>
      <c r="GN53">
        <f t="shared" si="43"/>
        <v>451.82</v>
      </c>
      <c r="GO53">
        <f t="shared" si="44"/>
        <v>0</v>
      </c>
      <c r="GP53">
        <f t="shared" si="45"/>
        <v>0</v>
      </c>
      <c r="GR53">
        <v>0</v>
      </c>
      <c r="GS53">
        <v>3</v>
      </c>
      <c r="GT53">
        <v>0</v>
      </c>
      <c r="GU53" t="s">
        <v>6</v>
      </c>
      <c r="GV53">
        <f t="shared" si="46"/>
        <v>0</v>
      </c>
      <c r="GW53">
        <v>1</v>
      </c>
      <c r="GX53">
        <f t="shared" si="47"/>
        <v>0</v>
      </c>
      <c r="HA53">
        <v>0</v>
      </c>
      <c r="HB53">
        <v>0</v>
      </c>
      <c r="HC53">
        <f t="shared" si="48"/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ROW(SmtRes!A122)</f>
        <v>122</v>
      </c>
      <c r="D54" s="2">
        <f>ROW(EtalonRes!A123)</f>
        <v>123</v>
      </c>
      <c r="E54" s="2" t="s">
        <v>101</v>
      </c>
      <c r="F54" s="2" t="s">
        <v>102</v>
      </c>
      <c r="G54" s="2" t="s">
        <v>103</v>
      </c>
      <c r="H54" s="2" t="s">
        <v>16</v>
      </c>
      <c r="I54" s="2">
        <f>ROUND(10.8/100,9)</f>
        <v>0.108</v>
      </c>
      <c r="J54" s="2">
        <v>0</v>
      </c>
      <c r="K54" s="2"/>
      <c r="L54" s="2"/>
      <c r="M54" s="2"/>
      <c r="N54" s="2"/>
      <c r="O54" s="2">
        <f t="shared" si="14"/>
        <v>2870.05</v>
      </c>
      <c r="P54" s="2">
        <f t="shared" si="15"/>
        <v>2802.11</v>
      </c>
      <c r="Q54" s="2">
        <f t="shared" si="16"/>
        <v>0.08</v>
      </c>
      <c r="R54" s="2">
        <f t="shared" si="17"/>
        <v>0.03</v>
      </c>
      <c r="S54" s="2">
        <f t="shared" si="18"/>
        <v>67.86</v>
      </c>
      <c r="T54" s="2">
        <f t="shared" si="19"/>
        <v>0</v>
      </c>
      <c r="U54" s="2">
        <f t="shared" si="20"/>
        <v>7.48224</v>
      </c>
      <c r="V54" s="2">
        <f t="shared" si="21"/>
        <v>2.16E-3</v>
      </c>
      <c r="W54" s="2">
        <f t="shared" si="22"/>
        <v>0</v>
      </c>
      <c r="X54" s="2">
        <f t="shared" si="23"/>
        <v>52.28</v>
      </c>
      <c r="Y54" s="2">
        <f t="shared" si="24"/>
        <v>33.950000000000003</v>
      </c>
      <c r="Z54" s="2"/>
      <c r="AA54" s="2">
        <v>27935367</v>
      </c>
      <c r="AB54" s="2">
        <f t="shared" si="25"/>
        <v>26574.63</v>
      </c>
      <c r="AC54" s="2">
        <f t="shared" si="52"/>
        <v>25945.5</v>
      </c>
      <c r="AD54" s="2">
        <f t="shared" si="53"/>
        <v>0.76</v>
      </c>
      <c r="AE54" s="2">
        <f t="shared" si="54"/>
        <v>0.28999999999999998</v>
      </c>
      <c r="AF54" s="2">
        <f t="shared" si="55"/>
        <v>628.37</v>
      </c>
      <c r="AG54" s="2">
        <f t="shared" si="27"/>
        <v>0</v>
      </c>
      <c r="AH54" s="2">
        <f t="shared" si="56"/>
        <v>69.28</v>
      </c>
      <c r="AI54" s="2">
        <f t="shared" si="57"/>
        <v>0.02</v>
      </c>
      <c r="AJ54" s="2">
        <f t="shared" si="28"/>
        <v>0</v>
      </c>
      <c r="AK54" s="2">
        <v>26574.63</v>
      </c>
      <c r="AL54" s="2">
        <v>25945.5</v>
      </c>
      <c r="AM54" s="2">
        <v>0.76</v>
      </c>
      <c r="AN54" s="2">
        <v>0.28999999999999998</v>
      </c>
      <c r="AO54" s="2">
        <v>628.37</v>
      </c>
      <c r="AP54" s="2">
        <v>0</v>
      </c>
      <c r="AQ54" s="2">
        <v>69.28</v>
      </c>
      <c r="AR54" s="2">
        <v>0.02</v>
      </c>
      <c r="AS54" s="2">
        <v>0</v>
      </c>
      <c r="AT54" s="2">
        <v>77</v>
      </c>
      <c r="AU54" s="2">
        <v>50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104</v>
      </c>
      <c r="BK54" s="2"/>
      <c r="BL54" s="2"/>
      <c r="BM54" s="2">
        <v>63001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77</v>
      </c>
      <c r="CA54" s="2">
        <v>50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29"/>
        <v>2870.05</v>
      </c>
      <c r="CQ54" s="2">
        <f t="shared" si="30"/>
        <v>25945.5</v>
      </c>
      <c r="CR54" s="2">
        <f t="shared" si="31"/>
        <v>0.76</v>
      </c>
      <c r="CS54" s="2">
        <f t="shared" si="32"/>
        <v>0.28999999999999998</v>
      </c>
      <c r="CT54" s="2">
        <f t="shared" si="33"/>
        <v>628.37</v>
      </c>
      <c r="CU54" s="2">
        <f t="shared" si="34"/>
        <v>0</v>
      </c>
      <c r="CV54" s="2">
        <f t="shared" si="35"/>
        <v>69.28</v>
      </c>
      <c r="CW54" s="2">
        <f t="shared" si="36"/>
        <v>0.02</v>
      </c>
      <c r="CX54" s="2">
        <f t="shared" si="37"/>
        <v>0</v>
      </c>
      <c r="CY54" s="2">
        <f t="shared" si="38"/>
        <v>52.275299999999994</v>
      </c>
      <c r="CZ54" s="2">
        <f t="shared" si="39"/>
        <v>33.945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16</v>
      </c>
      <c r="DW54" s="2" t="s">
        <v>16</v>
      </c>
      <c r="DX54" s="2">
        <v>100</v>
      </c>
      <c r="DY54" s="2"/>
      <c r="DZ54" s="2"/>
      <c r="EA54" s="2"/>
      <c r="EB54" s="2"/>
      <c r="EC54" s="2"/>
      <c r="ED54" s="2"/>
      <c r="EE54" s="2">
        <v>27029108</v>
      </c>
      <c r="EF54" s="2">
        <v>6</v>
      </c>
      <c r="EG54" s="2" t="s">
        <v>90</v>
      </c>
      <c r="EH54" s="2">
        <v>0</v>
      </c>
      <c r="EI54" s="2" t="s">
        <v>6</v>
      </c>
      <c r="EJ54" s="2">
        <v>1</v>
      </c>
      <c r="EK54" s="2">
        <v>63001</v>
      </c>
      <c r="EL54" s="2" t="s">
        <v>105</v>
      </c>
      <c r="EM54" s="2" t="s">
        <v>106</v>
      </c>
      <c r="EN54" s="2"/>
      <c r="EO54" s="2" t="s">
        <v>6</v>
      </c>
      <c r="EP54" s="2"/>
      <c r="EQ54" s="2">
        <v>131072</v>
      </c>
      <c r="ER54" s="2">
        <v>26574.63</v>
      </c>
      <c r="ES54" s="2">
        <v>25945.5</v>
      </c>
      <c r="ET54" s="2">
        <v>0.76</v>
      </c>
      <c r="EU54" s="2">
        <v>0.28999999999999998</v>
      </c>
      <c r="EV54" s="2">
        <v>628.37</v>
      </c>
      <c r="EW54" s="2">
        <v>69.28</v>
      </c>
      <c r="EX54" s="2">
        <v>0.02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0"/>
        <v>0</v>
      </c>
      <c r="FS54" s="2">
        <v>0</v>
      </c>
      <c r="FT54" s="2"/>
      <c r="FU54" s="2"/>
      <c r="FV54" s="2"/>
      <c r="FW54" s="2"/>
      <c r="FX54" s="2">
        <v>77</v>
      </c>
      <c r="FY54" s="2">
        <v>50</v>
      </c>
      <c r="FZ54" s="2"/>
      <c r="GA54" s="2" t="s">
        <v>6</v>
      </c>
      <c r="GB54" s="2"/>
      <c r="GC54" s="2"/>
      <c r="GD54" s="2">
        <v>0</v>
      </c>
      <c r="GE54" s="2"/>
      <c r="GF54" s="2">
        <v>-1387339790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1"/>
        <v>0</v>
      </c>
      <c r="GM54" s="2">
        <f t="shared" si="42"/>
        <v>2956.28</v>
      </c>
      <c r="GN54" s="2">
        <f t="shared" si="43"/>
        <v>2956.28</v>
      </c>
      <c r="GO54" s="2">
        <f t="shared" si="44"/>
        <v>0</v>
      </c>
      <c r="GP54" s="2">
        <f t="shared" si="45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6"/>
        <v>0</v>
      </c>
      <c r="GW54" s="2">
        <v>1</v>
      </c>
      <c r="GX54" s="2">
        <f t="shared" si="47"/>
        <v>0</v>
      </c>
      <c r="GY54" s="2"/>
      <c r="GZ54" s="2"/>
      <c r="HA54" s="2">
        <v>0</v>
      </c>
      <c r="HB54" s="2">
        <v>0</v>
      </c>
      <c r="HC54" s="2">
        <f t="shared" si="48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ROW(SmtRes!A128)</f>
        <v>128</v>
      </c>
      <c r="D55">
        <f>ROW(EtalonRes!A128)</f>
        <v>128</v>
      </c>
      <c r="E55" t="s">
        <v>101</v>
      </c>
      <c r="F55" t="s">
        <v>102</v>
      </c>
      <c r="G55" t="s">
        <v>103</v>
      </c>
      <c r="H55" t="s">
        <v>16</v>
      </c>
      <c r="I55">
        <f>ROUND(10.8/100,9)</f>
        <v>0.108</v>
      </c>
      <c r="J55">
        <v>0</v>
      </c>
      <c r="O55">
        <f t="shared" si="14"/>
        <v>17536.07</v>
      </c>
      <c r="P55">
        <f t="shared" si="15"/>
        <v>17120.919999999998</v>
      </c>
      <c r="Q55">
        <f t="shared" si="16"/>
        <v>0.5</v>
      </c>
      <c r="R55">
        <f t="shared" si="17"/>
        <v>0.19</v>
      </c>
      <c r="S55">
        <f t="shared" si="18"/>
        <v>414.65</v>
      </c>
      <c r="T55">
        <f t="shared" si="19"/>
        <v>0</v>
      </c>
      <c r="U55">
        <f t="shared" si="20"/>
        <v>7.48224</v>
      </c>
      <c r="V55">
        <f t="shared" si="21"/>
        <v>2.16E-3</v>
      </c>
      <c r="W55">
        <f t="shared" si="22"/>
        <v>0</v>
      </c>
      <c r="X55">
        <f t="shared" si="23"/>
        <v>319.43</v>
      </c>
      <c r="Y55">
        <f t="shared" si="24"/>
        <v>207.42</v>
      </c>
      <c r="AA55">
        <v>27935368</v>
      </c>
      <c r="AB55">
        <f t="shared" si="25"/>
        <v>26574.63</v>
      </c>
      <c r="AC55">
        <f t="shared" si="52"/>
        <v>25945.5</v>
      </c>
      <c r="AD55">
        <f t="shared" si="53"/>
        <v>0.76</v>
      </c>
      <c r="AE55">
        <f t="shared" si="54"/>
        <v>0.28999999999999998</v>
      </c>
      <c r="AF55">
        <f t="shared" si="55"/>
        <v>628.37</v>
      </c>
      <c r="AG55">
        <f t="shared" si="27"/>
        <v>0</v>
      </c>
      <c r="AH55">
        <f t="shared" si="56"/>
        <v>69.28</v>
      </c>
      <c r="AI55">
        <f t="shared" si="57"/>
        <v>0.02</v>
      </c>
      <c r="AJ55">
        <f t="shared" si="28"/>
        <v>0</v>
      </c>
      <c r="AK55">
        <v>26574.63</v>
      </c>
      <c r="AL55">
        <v>25945.5</v>
      </c>
      <c r="AM55">
        <v>0.76</v>
      </c>
      <c r="AN55">
        <v>0.28999999999999998</v>
      </c>
      <c r="AO55">
        <v>628.37</v>
      </c>
      <c r="AP55">
        <v>0</v>
      </c>
      <c r="AQ55">
        <v>69.28</v>
      </c>
      <c r="AR55">
        <v>0.02</v>
      </c>
      <c r="AS55">
        <v>0</v>
      </c>
      <c r="AT55">
        <v>77</v>
      </c>
      <c r="AU55">
        <v>50</v>
      </c>
      <c r="AV55">
        <v>1</v>
      </c>
      <c r="AW55">
        <v>1</v>
      </c>
      <c r="AZ55">
        <v>6.11</v>
      </c>
      <c r="BA55">
        <v>6.11</v>
      </c>
      <c r="BB55">
        <v>6.11</v>
      </c>
      <c r="BC55">
        <v>6.11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104</v>
      </c>
      <c r="BM55">
        <v>63001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6.11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77</v>
      </c>
      <c r="CA55">
        <v>50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29"/>
        <v>17536.07</v>
      </c>
      <c r="CQ55">
        <f t="shared" si="30"/>
        <v>158527.005</v>
      </c>
      <c r="CR55">
        <f t="shared" si="31"/>
        <v>4.6436000000000002</v>
      </c>
      <c r="CS55">
        <f t="shared" si="32"/>
        <v>1.7719</v>
      </c>
      <c r="CT55">
        <f t="shared" si="33"/>
        <v>3839.3407000000002</v>
      </c>
      <c r="CU55">
        <f t="shared" si="34"/>
        <v>0</v>
      </c>
      <c r="CV55">
        <f t="shared" si="35"/>
        <v>69.28</v>
      </c>
      <c r="CW55">
        <f t="shared" si="36"/>
        <v>0.02</v>
      </c>
      <c r="CX55">
        <f t="shared" si="37"/>
        <v>0</v>
      </c>
      <c r="CY55">
        <f t="shared" si="38"/>
        <v>319.42679999999996</v>
      </c>
      <c r="CZ55">
        <f t="shared" si="39"/>
        <v>207.42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16</v>
      </c>
      <c r="DW55" t="s">
        <v>16</v>
      </c>
      <c r="DX55">
        <v>100</v>
      </c>
      <c r="EE55">
        <v>27029108</v>
      </c>
      <c r="EF55">
        <v>6</v>
      </c>
      <c r="EG55" t="s">
        <v>90</v>
      </c>
      <c r="EH55">
        <v>0</v>
      </c>
      <c r="EI55" t="s">
        <v>6</v>
      </c>
      <c r="EJ55">
        <v>1</v>
      </c>
      <c r="EK55">
        <v>63001</v>
      </c>
      <c r="EL55" t="s">
        <v>105</v>
      </c>
      <c r="EM55" t="s">
        <v>106</v>
      </c>
      <c r="EO55" t="s">
        <v>6</v>
      </c>
      <c r="EQ55">
        <v>131072</v>
      </c>
      <c r="ER55">
        <v>26574.63</v>
      </c>
      <c r="ES55">
        <v>25945.5</v>
      </c>
      <c r="ET55">
        <v>0.76</v>
      </c>
      <c r="EU55">
        <v>0.28999999999999998</v>
      </c>
      <c r="EV55">
        <v>628.37</v>
      </c>
      <c r="EW55">
        <v>69.28</v>
      </c>
      <c r="EX55">
        <v>0.02</v>
      </c>
      <c r="EY55">
        <v>0</v>
      </c>
      <c r="FQ55">
        <v>0</v>
      </c>
      <c r="FR55">
        <f t="shared" si="40"/>
        <v>0</v>
      </c>
      <c r="FS55">
        <v>0</v>
      </c>
      <c r="FX55">
        <v>77</v>
      </c>
      <c r="FY55">
        <v>50</v>
      </c>
      <c r="GA55" t="s">
        <v>6</v>
      </c>
      <c r="GD55">
        <v>0</v>
      </c>
      <c r="GF55">
        <v>-1387339790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1"/>
        <v>0</v>
      </c>
      <c r="GM55">
        <f t="shared" si="42"/>
        <v>18062.919999999998</v>
      </c>
      <c r="GN55">
        <f t="shared" si="43"/>
        <v>18062.919999999998</v>
      </c>
      <c r="GO55">
        <f t="shared" si="44"/>
        <v>0</v>
      </c>
      <c r="GP55">
        <f t="shared" si="45"/>
        <v>0</v>
      </c>
      <c r="GR55">
        <v>0</v>
      </c>
      <c r="GS55">
        <v>3</v>
      </c>
      <c r="GT55">
        <v>0</v>
      </c>
      <c r="GU55" t="s">
        <v>6</v>
      </c>
      <c r="GV55">
        <f t="shared" si="46"/>
        <v>0</v>
      </c>
      <c r="GW55">
        <v>1</v>
      </c>
      <c r="GX55">
        <f t="shared" si="47"/>
        <v>0</v>
      </c>
      <c r="HA55">
        <v>0</v>
      </c>
      <c r="HB55">
        <v>0</v>
      </c>
      <c r="HC55">
        <f t="shared" si="48"/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122</v>
      </c>
      <c r="D56" s="2"/>
      <c r="E56" s="2" t="s">
        <v>107</v>
      </c>
      <c r="F56" s="2" t="s">
        <v>108</v>
      </c>
      <c r="G56" s="2" t="s">
        <v>109</v>
      </c>
      <c r="H56" s="2" t="s">
        <v>45</v>
      </c>
      <c r="I56" s="2">
        <f>I54*J56</f>
        <v>-113.4</v>
      </c>
      <c r="J56" s="2">
        <v>-1050</v>
      </c>
      <c r="K56" s="2"/>
      <c r="L56" s="2"/>
      <c r="M56" s="2"/>
      <c r="N56" s="2"/>
      <c r="O56" s="2">
        <f t="shared" ref="O56:O87" si="58">ROUND(CP56,2)</f>
        <v>-2802.11</v>
      </c>
      <c r="P56" s="2">
        <f t="shared" ref="P56:P87" si="59">ROUND(CQ56*I56,2)</f>
        <v>-2802.11</v>
      </c>
      <c r="Q56" s="2">
        <f t="shared" ref="Q56:Q87" si="60">ROUND(CR56*I56,2)</f>
        <v>0</v>
      </c>
      <c r="R56" s="2">
        <f t="shared" ref="R56:R87" si="61">ROUND(CS56*I56,2)</f>
        <v>0</v>
      </c>
      <c r="S56" s="2">
        <f t="shared" ref="S56:S87" si="62">ROUND(CT56*I56,2)</f>
        <v>0</v>
      </c>
      <c r="T56" s="2">
        <f t="shared" ref="T56:T87" si="63">ROUND(CU56*I56,2)</f>
        <v>0</v>
      </c>
      <c r="U56" s="2">
        <f t="shared" ref="U56:U87" si="64">CV56*I56</f>
        <v>0</v>
      </c>
      <c r="V56" s="2">
        <f t="shared" ref="V56:V87" si="65">CW56*I56</f>
        <v>0</v>
      </c>
      <c r="W56" s="2">
        <f t="shared" ref="W56:W87" si="66">ROUND(CX56*I56,2)</f>
        <v>0</v>
      </c>
      <c r="X56" s="2">
        <f t="shared" ref="X56:X87" si="67">ROUND(CY56,2)</f>
        <v>0</v>
      </c>
      <c r="Y56" s="2">
        <f t="shared" ref="Y56:Y87" si="68">ROUND(CZ56,2)</f>
        <v>0</v>
      </c>
      <c r="Z56" s="2"/>
      <c r="AA56" s="2">
        <v>27935367</v>
      </c>
      <c r="AB56" s="2">
        <f t="shared" ref="AB56:AB87" si="69">ROUND((AC56+AD56+AF56),2)</f>
        <v>24.71</v>
      </c>
      <c r="AC56" s="2">
        <f t="shared" si="52"/>
        <v>24.71</v>
      </c>
      <c r="AD56" s="2">
        <f t="shared" si="53"/>
        <v>0</v>
      </c>
      <c r="AE56" s="2">
        <f t="shared" si="54"/>
        <v>0</v>
      </c>
      <c r="AF56" s="2">
        <f t="shared" si="55"/>
        <v>0</v>
      </c>
      <c r="AG56" s="2">
        <f t="shared" ref="AG56:AG87" si="70">ROUND((AP56),2)</f>
        <v>0</v>
      </c>
      <c r="AH56" s="2">
        <f t="shared" si="56"/>
        <v>0</v>
      </c>
      <c r="AI56" s="2">
        <f t="shared" si="57"/>
        <v>0</v>
      </c>
      <c r="AJ56" s="2">
        <f t="shared" ref="AJ56:AJ87" si="71">(AS56)</f>
        <v>0</v>
      </c>
      <c r="AK56" s="2">
        <v>24.71</v>
      </c>
      <c r="AL56" s="2">
        <v>24.71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77</v>
      </c>
      <c r="AU56" s="2">
        <v>50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110</v>
      </c>
      <c r="BK56" s="2"/>
      <c r="BL56" s="2"/>
      <c r="BM56" s="2">
        <v>63001</v>
      </c>
      <c r="BN56" s="2">
        <v>0</v>
      </c>
      <c r="BO56" s="2" t="s">
        <v>6</v>
      </c>
      <c r="BP56" s="2">
        <v>0</v>
      </c>
      <c r="BQ56" s="2">
        <v>6</v>
      </c>
      <c r="BR56" s="2">
        <v>1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77</v>
      </c>
      <c r="CA56" s="2">
        <v>50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ref="CP56:CP87" si="72">(P56+Q56+S56)</f>
        <v>-2802.11</v>
      </c>
      <c r="CQ56" s="2">
        <f t="shared" ref="CQ56:CQ87" si="73">AC56*BC56</f>
        <v>24.71</v>
      </c>
      <c r="CR56" s="2">
        <f t="shared" ref="CR56:CR87" si="74">AD56*BB56</f>
        <v>0</v>
      </c>
      <c r="CS56" s="2">
        <f t="shared" ref="CS56:CS87" si="75">AE56*BS56</f>
        <v>0</v>
      </c>
      <c r="CT56" s="2">
        <f t="shared" ref="CT56:CT87" si="76">AF56*BA56</f>
        <v>0</v>
      </c>
      <c r="CU56" s="2">
        <f t="shared" ref="CU56:CU87" si="77">AG56</f>
        <v>0</v>
      </c>
      <c r="CV56" s="2">
        <f t="shared" ref="CV56:CV87" si="78">AH56</f>
        <v>0</v>
      </c>
      <c r="CW56" s="2">
        <f t="shared" ref="CW56:CW87" si="79">AI56</f>
        <v>0</v>
      </c>
      <c r="CX56" s="2">
        <f t="shared" ref="CX56:CX87" si="80">AJ56</f>
        <v>0</v>
      </c>
      <c r="CY56" s="2">
        <f t="shared" ref="CY56:CY87" si="81">(((S56+R56)*AT56)/100)</f>
        <v>0</v>
      </c>
      <c r="CZ56" s="2">
        <f t="shared" ref="CZ56:CZ87" si="82">(((S56+R56)*AU56)/100)</f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1003</v>
      </c>
      <c r="DV56" s="2" t="s">
        <v>45</v>
      </c>
      <c r="DW56" s="2" t="s">
        <v>45</v>
      </c>
      <c r="DX56" s="2">
        <v>1</v>
      </c>
      <c r="DY56" s="2"/>
      <c r="DZ56" s="2"/>
      <c r="EA56" s="2"/>
      <c r="EB56" s="2"/>
      <c r="EC56" s="2"/>
      <c r="ED56" s="2"/>
      <c r="EE56" s="2">
        <v>27029108</v>
      </c>
      <c r="EF56" s="2">
        <v>6</v>
      </c>
      <c r="EG56" s="2" t="s">
        <v>90</v>
      </c>
      <c r="EH56" s="2">
        <v>0</v>
      </c>
      <c r="EI56" s="2" t="s">
        <v>6</v>
      </c>
      <c r="EJ56" s="2">
        <v>1</v>
      </c>
      <c r="EK56" s="2">
        <v>63001</v>
      </c>
      <c r="EL56" s="2" t="s">
        <v>105</v>
      </c>
      <c r="EM56" s="2" t="s">
        <v>106</v>
      </c>
      <c r="EN56" s="2"/>
      <c r="EO56" s="2" t="s">
        <v>6</v>
      </c>
      <c r="EP56" s="2"/>
      <c r="EQ56" s="2">
        <v>0</v>
      </c>
      <c r="ER56" s="2">
        <v>24.71</v>
      </c>
      <c r="ES56" s="2">
        <v>24.71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3">ROUND(IF(AND(BH56=3,BI56=3),P56,0),2)</f>
        <v>0</v>
      </c>
      <c r="FS56" s="2">
        <v>0</v>
      </c>
      <c r="FT56" s="2"/>
      <c r="FU56" s="2"/>
      <c r="FV56" s="2"/>
      <c r="FW56" s="2"/>
      <c r="FX56" s="2">
        <v>77</v>
      </c>
      <c r="FY56" s="2">
        <v>50</v>
      </c>
      <c r="FZ56" s="2"/>
      <c r="GA56" s="2" t="s">
        <v>6</v>
      </c>
      <c r="GB56" s="2"/>
      <c r="GC56" s="2"/>
      <c r="GD56" s="2">
        <v>0</v>
      </c>
      <c r="GE56" s="2"/>
      <c r="GF56" s="2">
        <v>1265826934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84">ROUND(IF(AND(BH56=3,BI56=3,FS56&lt;&gt;0),P56,0),2)</f>
        <v>0</v>
      </c>
      <c r="GM56" s="2">
        <f t="shared" ref="GM56:GM87" si="85">ROUND(O56+X56+Y56+GK56,2)+GX56</f>
        <v>-2802.11</v>
      </c>
      <c r="GN56" s="2">
        <f t="shared" ref="GN56:GN87" si="86">IF(OR(BI56=0,BI56=1),ROUND(O56+X56+Y56+GK56,2),0)</f>
        <v>-2802.11</v>
      </c>
      <c r="GO56" s="2">
        <f t="shared" ref="GO56:GO87" si="87">IF(BI56=2,ROUND(O56+X56+Y56+GK56,2),0)</f>
        <v>0</v>
      </c>
      <c r="GP56" s="2">
        <f t="shared" ref="GP56:GP87" si="88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87" si="89">ROUND((GT56),2)</f>
        <v>0</v>
      </c>
      <c r="GW56" s="2">
        <v>1</v>
      </c>
      <c r="GX56" s="2">
        <f t="shared" ref="GX56:GX87" si="90">ROUND(HC56*I56,2)</f>
        <v>0</v>
      </c>
      <c r="GY56" s="2"/>
      <c r="GZ56" s="2"/>
      <c r="HA56" s="2">
        <v>0</v>
      </c>
      <c r="HB56" s="2">
        <v>0</v>
      </c>
      <c r="HC56" s="2">
        <f t="shared" ref="HC56:HC87" si="91">GV56*GW56</f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128</v>
      </c>
      <c r="E57" t="s">
        <v>107</v>
      </c>
      <c r="F57" t="s">
        <v>108</v>
      </c>
      <c r="G57" t="s">
        <v>109</v>
      </c>
      <c r="H57" t="s">
        <v>45</v>
      </c>
      <c r="I57">
        <f>I55*J57</f>
        <v>-113.4</v>
      </c>
      <c r="J57">
        <v>-1050</v>
      </c>
      <c r="O57">
        <f t="shared" si="58"/>
        <v>-17120.919999999998</v>
      </c>
      <c r="P57">
        <f t="shared" si="59"/>
        <v>-17120.919999999998</v>
      </c>
      <c r="Q57">
        <f t="shared" si="60"/>
        <v>0</v>
      </c>
      <c r="R57">
        <f t="shared" si="61"/>
        <v>0</v>
      </c>
      <c r="S57">
        <f t="shared" si="62"/>
        <v>0</v>
      </c>
      <c r="T57">
        <f t="shared" si="63"/>
        <v>0</v>
      </c>
      <c r="U57">
        <f t="shared" si="64"/>
        <v>0</v>
      </c>
      <c r="V57">
        <f t="shared" si="65"/>
        <v>0</v>
      </c>
      <c r="W57">
        <f t="shared" si="66"/>
        <v>0</v>
      </c>
      <c r="X57">
        <f t="shared" si="67"/>
        <v>0</v>
      </c>
      <c r="Y57">
        <f t="shared" si="68"/>
        <v>0</v>
      </c>
      <c r="AA57">
        <v>27935368</v>
      </c>
      <c r="AB57">
        <f t="shared" si="69"/>
        <v>24.71</v>
      </c>
      <c r="AC57">
        <f t="shared" si="52"/>
        <v>24.71</v>
      </c>
      <c r="AD57">
        <f t="shared" si="53"/>
        <v>0</v>
      </c>
      <c r="AE57">
        <f t="shared" si="54"/>
        <v>0</v>
      </c>
      <c r="AF57">
        <f t="shared" si="55"/>
        <v>0</v>
      </c>
      <c r="AG57">
        <f t="shared" si="70"/>
        <v>0</v>
      </c>
      <c r="AH57">
        <f t="shared" si="56"/>
        <v>0</v>
      </c>
      <c r="AI57">
        <f t="shared" si="57"/>
        <v>0</v>
      </c>
      <c r="AJ57">
        <f t="shared" si="71"/>
        <v>0</v>
      </c>
      <c r="AK57">
        <v>24.71</v>
      </c>
      <c r="AL57">
        <v>24.71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77</v>
      </c>
      <c r="AU57">
        <v>50</v>
      </c>
      <c r="AV57">
        <v>1</v>
      </c>
      <c r="AW57">
        <v>1</v>
      </c>
      <c r="AZ57">
        <v>6.11</v>
      </c>
      <c r="BA57">
        <v>1</v>
      </c>
      <c r="BB57">
        <v>1</v>
      </c>
      <c r="BC57">
        <v>6.11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110</v>
      </c>
      <c r="BM57">
        <v>63001</v>
      </c>
      <c r="BN57">
        <v>0</v>
      </c>
      <c r="BO57" t="s">
        <v>6</v>
      </c>
      <c r="BP57">
        <v>0</v>
      </c>
      <c r="BQ57">
        <v>6</v>
      </c>
      <c r="BR57">
        <v>1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77</v>
      </c>
      <c r="CA57">
        <v>50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72"/>
        <v>-17120.919999999998</v>
      </c>
      <c r="CQ57">
        <f t="shared" si="73"/>
        <v>150.97810000000001</v>
      </c>
      <c r="CR57">
        <f t="shared" si="74"/>
        <v>0</v>
      </c>
      <c r="CS57">
        <f t="shared" si="75"/>
        <v>0</v>
      </c>
      <c r="CT57">
        <f t="shared" si="76"/>
        <v>0</v>
      </c>
      <c r="CU57">
        <f t="shared" si="77"/>
        <v>0</v>
      </c>
      <c r="CV57">
        <f t="shared" si="78"/>
        <v>0</v>
      </c>
      <c r="CW57">
        <f t="shared" si="79"/>
        <v>0</v>
      </c>
      <c r="CX57">
        <f t="shared" si="80"/>
        <v>0</v>
      </c>
      <c r="CY57">
        <f t="shared" si="81"/>
        <v>0</v>
      </c>
      <c r="CZ57">
        <f t="shared" si="82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45</v>
      </c>
      <c r="DW57" t="s">
        <v>45</v>
      </c>
      <c r="DX57">
        <v>1</v>
      </c>
      <c r="EE57">
        <v>27029108</v>
      </c>
      <c r="EF57">
        <v>6</v>
      </c>
      <c r="EG57" t="s">
        <v>90</v>
      </c>
      <c r="EH57">
        <v>0</v>
      </c>
      <c r="EI57" t="s">
        <v>6</v>
      </c>
      <c r="EJ57">
        <v>1</v>
      </c>
      <c r="EK57">
        <v>63001</v>
      </c>
      <c r="EL57" t="s">
        <v>105</v>
      </c>
      <c r="EM57" t="s">
        <v>106</v>
      </c>
      <c r="EO57" t="s">
        <v>6</v>
      </c>
      <c r="EQ57">
        <v>0</v>
      </c>
      <c r="ER57">
        <v>24.71</v>
      </c>
      <c r="ES57">
        <v>24.71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3"/>
        <v>0</v>
      </c>
      <c r="FS57">
        <v>0</v>
      </c>
      <c r="FX57">
        <v>77</v>
      </c>
      <c r="FY57">
        <v>50</v>
      </c>
      <c r="GA57" t="s">
        <v>6</v>
      </c>
      <c r="GD57">
        <v>0</v>
      </c>
      <c r="GF57">
        <v>1265826934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4"/>
        <v>0</v>
      </c>
      <c r="GM57">
        <f t="shared" si="85"/>
        <v>-17120.919999999998</v>
      </c>
      <c r="GN57">
        <f t="shared" si="86"/>
        <v>-17120.919999999998</v>
      </c>
      <c r="GO57">
        <f t="shared" si="87"/>
        <v>0</v>
      </c>
      <c r="GP57">
        <f t="shared" si="88"/>
        <v>0</v>
      </c>
      <c r="GR57">
        <v>0</v>
      </c>
      <c r="GS57">
        <v>3</v>
      </c>
      <c r="GT57">
        <v>0</v>
      </c>
      <c r="GU57" t="s">
        <v>6</v>
      </c>
      <c r="GV57">
        <f t="shared" si="89"/>
        <v>0</v>
      </c>
      <c r="GW57">
        <v>1</v>
      </c>
      <c r="GX57">
        <f t="shared" si="90"/>
        <v>0</v>
      </c>
      <c r="HA57">
        <v>0</v>
      </c>
      <c r="HB57">
        <v>0</v>
      </c>
      <c r="HC57">
        <f t="shared" si="91"/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121</v>
      </c>
      <c r="D58" s="2"/>
      <c r="E58" s="2" t="s">
        <v>111</v>
      </c>
      <c r="F58" s="2" t="s">
        <v>112</v>
      </c>
      <c r="G58" s="2" t="s">
        <v>113</v>
      </c>
      <c r="H58" s="2" t="s">
        <v>35</v>
      </c>
      <c r="I58" s="2">
        <f>I54*J58</f>
        <v>10.8</v>
      </c>
      <c r="J58" s="2">
        <v>100.00000000000001</v>
      </c>
      <c r="K58" s="2"/>
      <c r="L58" s="2"/>
      <c r="M58" s="2"/>
      <c r="N58" s="2"/>
      <c r="O58" s="2">
        <f t="shared" si="58"/>
        <v>590.98</v>
      </c>
      <c r="P58" s="2">
        <f t="shared" si="59"/>
        <v>590.98</v>
      </c>
      <c r="Q58" s="2">
        <f t="shared" si="60"/>
        <v>0</v>
      </c>
      <c r="R58" s="2">
        <f t="shared" si="61"/>
        <v>0</v>
      </c>
      <c r="S58" s="2">
        <f t="shared" si="62"/>
        <v>0</v>
      </c>
      <c r="T58" s="2">
        <f t="shared" si="63"/>
        <v>0</v>
      </c>
      <c r="U58" s="2">
        <f t="shared" si="64"/>
        <v>0</v>
      </c>
      <c r="V58" s="2">
        <f t="shared" si="65"/>
        <v>0</v>
      </c>
      <c r="W58" s="2">
        <f t="shared" si="66"/>
        <v>0</v>
      </c>
      <c r="X58" s="2">
        <f t="shared" si="67"/>
        <v>0</v>
      </c>
      <c r="Y58" s="2">
        <f t="shared" si="68"/>
        <v>0</v>
      </c>
      <c r="Z58" s="2"/>
      <c r="AA58" s="2">
        <v>27935367</v>
      </c>
      <c r="AB58" s="2">
        <f t="shared" si="69"/>
        <v>54.72</v>
      </c>
      <c r="AC58" s="2">
        <f t="shared" si="52"/>
        <v>54.72</v>
      </c>
      <c r="AD58" s="2">
        <f t="shared" si="53"/>
        <v>0</v>
      </c>
      <c r="AE58" s="2">
        <f t="shared" si="54"/>
        <v>0</v>
      </c>
      <c r="AF58" s="2">
        <f t="shared" si="55"/>
        <v>0</v>
      </c>
      <c r="AG58" s="2">
        <f t="shared" si="70"/>
        <v>0</v>
      </c>
      <c r="AH58" s="2">
        <f t="shared" si="56"/>
        <v>0</v>
      </c>
      <c r="AI58" s="2">
        <f t="shared" si="57"/>
        <v>0</v>
      </c>
      <c r="AJ58" s="2">
        <f t="shared" si="71"/>
        <v>0</v>
      </c>
      <c r="AK58" s="2">
        <v>54.72</v>
      </c>
      <c r="AL58" s="2">
        <v>54.72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77</v>
      </c>
      <c r="AU58" s="2">
        <v>50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114</v>
      </c>
      <c r="BK58" s="2"/>
      <c r="BL58" s="2"/>
      <c r="BM58" s="2">
        <v>63001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77</v>
      </c>
      <c r="CA58" s="2">
        <v>50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72"/>
        <v>590.98</v>
      </c>
      <c r="CQ58" s="2">
        <f t="shared" si="73"/>
        <v>54.72</v>
      </c>
      <c r="CR58" s="2">
        <f t="shared" si="74"/>
        <v>0</v>
      </c>
      <c r="CS58" s="2">
        <f t="shared" si="75"/>
        <v>0</v>
      </c>
      <c r="CT58" s="2">
        <f t="shared" si="76"/>
        <v>0</v>
      </c>
      <c r="CU58" s="2">
        <f t="shared" si="77"/>
        <v>0</v>
      </c>
      <c r="CV58" s="2">
        <f t="shared" si="78"/>
        <v>0</v>
      </c>
      <c r="CW58" s="2">
        <f t="shared" si="79"/>
        <v>0</v>
      </c>
      <c r="CX58" s="2">
        <f t="shared" si="80"/>
        <v>0</v>
      </c>
      <c r="CY58" s="2">
        <f t="shared" si="81"/>
        <v>0</v>
      </c>
      <c r="CZ58" s="2">
        <f t="shared" si="82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35</v>
      </c>
      <c r="DW58" s="2" t="s">
        <v>35</v>
      </c>
      <c r="DX58" s="2">
        <v>1</v>
      </c>
      <c r="DY58" s="2"/>
      <c r="DZ58" s="2"/>
      <c r="EA58" s="2"/>
      <c r="EB58" s="2"/>
      <c r="EC58" s="2"/>
      <c r="ED58" s="2"/>
      <c r="EE58" s="2">
        <v>27029108</v>
      </c>
      <c r="EF58" s="2">
        <v>6</v>
      </c>
      <c r="EG58" s="2" t="s">
        <v>90</v>
      </c>
      <c r="EH58" s="2">
        <v>0</v>
      </c>
      <c r="EI58" s="2" t="s">
        <v>6</v>
      </c>
      <c r="EJ58" s="2">
        <v>1</v>
      </c>
      <c r="EK58" s="2">
        <v>63001</v>
      </c>
      <c r="EL58" s="2" t="s">
        <v>105</v>
      </c>
      <c r="EM58" s="2" t="s">
        <v>106</v>
      </c>
      <c r="EN58" s="2"/>
      <c r="EO58" s="2" t="s">
        <v>6</v>
      </c>
      <c r="EP58" s="2"/>
      <c r="EQ58" s="2">
        <v>0</v>
      </c>
      <c r="ER58" s="2">
        <v>54.72</v>
      </c>
      <c r="ES58" s="2">
        <v>54.72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3"/>
        <v>0</v>
      </c>
      <c r="FS58" s="2">
        <v>0</v>
      </c>
      <c r="FT58" s="2"/>
      <c r="FU58" s="2"/>
      <c r="FV58" s="2"/>
      <c r="FW58" s="2"/>
      <c r="FX58" s="2">
        <v>77</v>
      </c>
      <c r="FY58" s="2">
        <v>50</v>
      </c>
      <c r="FZ58" s="2"/>
      <c r="GA58" s="2" t="s">
        <v>6</v>
      </c>
      <c r="GB58" s="2"/>
      <c r="GC58" s="2"/>
      <c r="GD58" s="2">
        <v>0</v>
      </c>
      <c r="GE58" s="2"/>
      <c r="GF58" s="2">
        <v>-1442549120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4"/>
        <v>0</v>
      </c>
      <c r="GM58" s="2">
        <f t="shared" si="85"/>
        <v>590.98</v>
      </c>
      <c r="GN58" s="2">
        <f t="shared" si="86"/>
        <v>590.98</v>
      </c>
      <c r="GO58" s="2">
        <f t="shared" si="87"/>
        <v>0</v>
      </c>
      <c r="GP58" s="2">
        <f t="shared" si="88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9"/>
        <v>0</v>
      </c>
      <c r="GW58" s="2">
        <v>1</v>
      </c>
      <c r="GX58" s="2">
        <f t="shared" si="90"/>
        <v>0</v>
      </c>
      <c r="GY58" s="2"/>
      <c r="GZ58" s="2"/>
      <c r="HA58" s="2">
        <v>0</v>
      </c>
      <c r="HB58" s="2">
        <v>0</v>
      </c>
      <c r="HC58" s="2">
        <f t="shared" si="91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127</v>
      </c>
      <c r="E59" t="s">
        <v>111</v>
      </c>
      <c r="F59" t="s">
        <v>112</v>
      </c>
      <c r="G59" t="s">
        <v>113</v>
      </c>
      <c r="H59" t="s">
        <v>35</v>
      </c>
      <c r="I59">
        <f>I55*J59</f>
        <v>10.8</v>
      </c>
      <c r="J59">
        <v>100.00000000000001</v>
      </c>
      <c r="O59">
        <f t="shared" si="58"/>
        <v>3610.86</v>
      </c>
      <c r="P59">
        <f t="shared" si="59"/>
        <v>3610.86</v>
      </c>
      <c r="Q59">
        <f t="shared" si="60"/>
        <v>0</v>
      </c>
      <c r="R59">
        <f t="shared" si="61"/>
        <v>0</v>
      </c>
      <c r="S59">
        <f t="shared" si="62"/>
        <v>0</v>
      </c>
      <c r="T59">
        <f t="shared" si="63"/>
        <v>0</v>
      </c>
      <c r="U59">
        <f t="shared" si="64"/>
        <v>0</v>
      </c>
      <c r="V59">
        <f t="shared" si="65"/>
        <v>0</v>
      </c>
      <c r="W59">
        <f t="shared" si="66"/>
        <v>0</v>
      </c>
      <c r="X59">
        <f t="shared" si="67"/>
        <v>0</v>
      </c>
      <c r="Y59">
        <f t="shared" si="68"/>
        <v>0</v>
      </c>
      <c r="AA59">
        <v>27935368</v>
      </c>
      <c r="AB59">
        <f t="shared" si="69"/>
        <v>54.72</v>
      </c>
      <c r="AC59">
        <f t="shared" si="52"/>
        <v>54.72</v>
      </c>
      <c r="AD59">
        <f t="shared" si="53"/>
        <v>0</v>
      </c>
      <c r="AE59">
        <f t="shared" si="54"/>
        <v>0</v>
      </c>
      <c r="AF59">
        <f t="shared" si="55"/>
        <v>0</v>
      </c>
      <c r="AG59">
        <f t="shared" si="70"/>
        <v>0</v>
      </c>
      <c r="AH59">
        <f t="shared" si="56"/>
        <v>0</v>
      </c>
      <c r="AI59">
        <f t="shared" si="57"/>
        <v>0</v>
      </c>
      <c r="AJ59">
        <f t="shared" si="71"/>
        <v>0</v>
      </c>
      <c r="AK59">
        <v>54.72</v>
      </c>
      <c r="AL59">
        <v>54.72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77</v>
      </c>
      <c r="AU59">
        <v>50</v>
      </c>
      <c r="AV59">
        <v>1</v>
      </c>
      <c r="AW59">
        <v>1</v>
      </c>
      <c r="AZ59">
        <v>6.11</v>
      </c>
      <c r="BA59">
        <v>1</v>
      </c>
      <c r="BB59">
        <v>1</v>
      </c>
      <c r="BC59">
        <v>6.11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114</v>
      </c>
      <c r="BM59">
        <v>63001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77</v>
      </c>
      <c r="CA59">
        <v>50</v>
      </c>
      <c r="CE59">
        <v>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72"/>
        <v>3610.86</v>
      </c>
      <c r="CQ59">
        <f t="shared" si="73"/>
        <v>334.33920000000001</v>
      </c>
      <c r="CR59">
        <f t="shared" si="74"/>
        <v>0</v>
      </c>
      <c r="CS59">
        <f t="shared" si="75"/>
        <v>0</v>
      </c>
      <c r="CT59">
        <f t="shared" si="76"/>
        <v>0</v>
      </c>
      <c r="CU59">
        <f t="shared" si="77"/>
        <v>0</v>
      </c>
      <c r="CV59">
        <f t="shared" si="78"/>
        <v>0</v>
      </c>
      <c r="CW59">
        <f t="shared" si="79"/>
        <v>0</v>
      </c>
      <c r="CX59">
        <f t="shared" si="80"/>
        <v>0</v>
      </c>
      <c r="CY59">
        <f t="shared" si="81"/>
        <v>0</v>
      </c>
      <c r="CZ59">
        <f t="shared" si="82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35</v>
      </c>
      <c r="DW59" t="s">
        <v>35</v>
      </c>
      <c r="DX59">
        <v>1</v>
      </c>
      <c r="EE59">
        <v>27029108</v>
      </c>
      <c r="EF59">
        <v>6</v>
      </c>
      <c r="EG59" t="s">
        <v>90</v>
      </c>
      <c r="EH59">
        <v>0</v>
      </c>
      <c r="EI59" t="s">
        <v>6</v>
      </c>
      <c r="EJ59">
        <v>1</v>
      </c>
      <c r="EK59">
        <v>63001</v>
      </c>
      <c r="EL59" t="s">
        <v>105</v>
      </c>
      <c r="EM59" t="s">
        <v>106</v>
      </c>
      <c r="EO59" t="s">
        <v>6</v>
      </c>
      <c r="EQ59">
        <v>0</v>
      </c>
      <c r="ER59">
        <v>54.72</v>
      </c>
      <c r="ES59">
        <v>54.72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3"/>
        <v>0</v>
      </c>
      <c r="FS59">
        <v>0</v>
      </c>
      <c r="FX59">
        <v>77</v>
      </c>
      <c r="FY59">
        <v>50</v>
      </c>
      <c r="GA59" t="s">
        <v>6</v>
      </c>
      <c r="GD59">
        <v>0</v>
      </c>
      <c r="GF59">
        <v>-1442549120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4"/>
        <v>0</v>
      </c>
      <c r="GM59">
        <f t="shared" si="85"/>
        <v>3610.86</v>
      </c>
      <c r="GN59">
        <f t="shared" si="86"/>
        <v>3610.86</v>
      </c>
      <c r="GO59">
        <f t="shared" si="87"/>
        <v>0</v>
      </c>
      <c r="GP59">
        <f t="shared" si="88"/>
        <v>0</v>
      </c>
      <c r="GR59">
        <v>0</v>
      </c>
      <c r="GS59">
        <v>3</v>
      </c>
      <c r="GT59">
        <v>0</v>
      </c>
      <c r="GU59" t="s">
        <v>6</v>
      </c>
      <c r="GV59">
        <f t="shared" si="89"/>
        <v>0</v>
      </c>
      <c r="GW59">
        <v>1</v>
      </c>
      <c r="GX59">
        <f t="shared" si="90"/>
        <v>0</v>
      </c>
      <c r="HA59">
        <v>0</v>
      </c>
      <c r="HB59">
        <v>0</v>
      </c>
      <c r="HC59">
        <f t="shared" si="91"/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ROW(SmtRes!A131)</f>
        <v>131</v>
      </c>
      <c r="D60" s="2">
        <f>ROW(EtalonRes!A132)</f>
        <v>132</v>
      </c>
      <c r="E60" s="2" t="s">
        <v>115</v>
      </c>
      <c r="F60" s="2" t="s">
        <v>116</v>
      </c>
      <c r="G60" s="2" t="s">
        <v>117</v>
      </c>
      <c r="H60" s="2" t="s">
        <v>16</v>
      </c>
      <c r="I60" s="2">
        <f>ROUND(41.6/100,9)</f>
        <v>0.41599999999999998</v>
      </c>
      <c r="J60" s="2">
        <v>0</v>
      </c>
      <c r="K60" s="2"/>
      <c r="L60" s="2"/>
      <c r="M60" s="2"/>
      <c r="N60" s="2"/>
      <c r="O60" s="2">
        <f t="shared" si="58"/>
        <v>266.64999999999998</v>
      </c>
      <c r="P60" s="2">
        <f t="shared" si="59"/>
        <v>0</v>
      </c>
      <c r="Q60" s="2">
        <f t="shared" si="60"/>
        <v>18.72</v>
      </c>
      <c r="R60" s="2">
        <f t="shared" si="61"/>
        <v>8.09</v>
      </c>
      <c r="S60" s="2">
        <f t="shared" si="62"/>
        <v>247.93</v>
      </c>
      <c r="T60" s="2">
        <f t="shared" si="63"/>
        <v>0</v>
      </c>
      <c r="U60" s="2">
        <f t="shared" si="64"/>
        <v>29.065920000000002</v>
      </c>
      <c r="V60" s="2">
        <f t="shared" si="65"/>
        <v>0.59903999999999991</v>
      </c>
      <c r="W60" s="2">
        <f t="shared" si="66"/>
        <v>0</v>
      </c>
      <c r="X60" s="2">
        <f t="shared" si="67"/>
        <v>204.82</v>
      </c>
      <c r="Y60" s="2">
        <f t="shared" si="68"/>
        <v>174.09</v>
      </c>
      <c r="Z60" s="2"/>
      <c r="AA60" s="2">
        <v>27935367</v>
      </c>
      <c r="AB60" s="2">
        <f t="shared" si="69"/>
        <v>641</v>
      </c>
      <c r="AC60" s="2">
        <f t="shared" si="52"/>
        <v>0</v>
      </c>
      <c r="AD60" s="2">
        <f t="shared" si="53"/>
        <v>45.01</v>
      </c>
      <c r="AE60" s="2">
        <f t="shared" si="54"/>
        <v>19.440000000000001</v>
      </c>
      <c r="AF60" s="2">
        <f t="shared" si="55"/>
        <v>595.99</v>
      </c>
      <c r="AG60" s="2">
        <f t="shared" si="70"/>
        <v>0</v>
      </c>
      <c r="AH60" s="2">
        <f t="shared" si="56"/>
        <v>69.87</v>
      </c>
      <c r="AI60" s="2">
        <f t="shared" si="57"/>
        <v>1.44</v>
      </c>
      <c r="AJ60" s="2">
        <f t="shared" si="71"/>
        <v>0</v>
      </c>
      <c r="AK60" s="2">
        <v>641</v>
      </c>
      <c r="AL60" s="2">
        <v>0</v>
      </c>
      <c r="AM60" s="2">
        <v>45.01</v>
      </c>
      <c r="AN60" s="2">
        <v>19.440000000000001</v>
      </c>
      <c r="AO60" s="2">
        <v>595.99</v>
      </c>
      <c r="AP60" s="2">
        <v>0</v>
      </c>
      <c r="AQ60" s="2">
        <v>69.87</v>
      </c>
      <c r="AR60" s="2">
        <v>1.44</v>
      </c>
      <c r="AS60" s="2">
        <v>0</v>
      </c>
      <c r="AT60" s="2">
        <v>80</v>
      </c>
      <c r="AU60" s="2">
        <v>68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118</v>
      </c>
      <c r="BK60" s="2"/>
      <c r="BL60" s="2"/>
      <c r="BM60" s="2">
        <v>57001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80</v>
      </c>
      <c r="CA60" s="2">
        <v>68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72"/>
        <v>266.64999999999998</v>
      </c>
      <c r="CQ60" s="2">
        <f t="shared" si="73"/>
        <v>0</v>
      </c>
      <c r="CR60" s="2">
        <f t="shared" si="74"/>
        <v>45.01</v>
      </c>
      <c r="CS60" s="2">
        <f t="shared" si="75"/>
        <v>19.440000000000001</v>
      </c>
      <c r="CT60" s="2">
        <f t="shared" si="76"/>
        <v>595.99</v>
      </c>
      <c r="CU60" s="2">
        <f t="shared" si="77"/>
        <v>0</v>
      </c>
      <c r="CV60" s="2">
        <f t="shared" si="78"/>
        <v>69.87</v>
      </c>
      <c r="CW60" s="2">
        <f t="shared" si="79"/>
        <v>1.44</v>
      </c>
      <c r="CX60" s="2">
        <f t="shared" si="80"/>
        <v>0</v>
      </c>
      <c r="CY60" s="2">
        <f t="shared" si="81"/>
        <v>204.81599999999997</v>
      </c>
      <c r="CZ60" s="2">
        <f t="shared" si="82"/>
        <v>174.09360000000001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16</v>
      </c>
      <c r="DW60" s="2" t="s">
        <v>16</v>
      </c>
      <c r="DX60" s="2">
        <v>100</v>
      </c>
      <c r="DY60" s="2"/>
      <c r="DZ60" s="2"/>
      <c r="EA60" s="2"/>
      <c r="EB60" s="2"/>
      <c r="EC60" s="2"/>
      <c r="ED60" s="2"/>
      <c r="EE60" s="2">
        <v>27029102</v>
      </c>
      <c r="EF60" s="2">
        <v>6</v>
      </c>
      <c r="EG60" s="2" t="s">
        <v>90</v>
      </c>
      <c r="EH60" s="2">
        <v>0</v>
      </c>
      <c r="EI60" s="2" t="s">
        <v>6</v>
      </c>
      <c r="EJ60" s="2">
        <v>1</v>
      </c>
      <c r="EK60" s="2">
        <v>57001</v>
      </c>
      <c r="EL60" s="2" t="s">
        <v>119</v>
      </c>
      <c r="EM60" s="2" t="s">
        <v>120</v>
      </c>
      <c r="EN60" s="2"/>
      <c r="EO60" s="2" t="s">
        <v>6</v>
      </c>
      <c r="EP60" s="2"/>
      <c r="EQ60" s="2">
        <v>131072</v>
      </c>
      <c r="ER60" s="2">
        <v>641</v>
      </c>
      <c r="ES60" s="2">
        <v>0</v>
      </c>
      <c r="ET60" s="2">
        <v>45.01</v>
      </c>
      <c r="EU60" s="2">
        <v>19.440000000000001</v>
      </c>
      <c r="EV60" s="2">
        <v>595.99</v>
      </c>
      <c r="EW60" s="2">
        <v>69.87</v>
      </c>
      <c r="EX60" s="2">
        <v>1.44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3"/>
        <v>0</v>
      </c>
      <c r="FS60" s="2">
        <v>0</v>
      </c>
      <c r="FT60" s="2"/>
      <c r="FU60" s="2"/>
      <c r="FV60" s="2"/>
      <c r="FW60" s="2"/>
      <c r="FX60" s="2">
        <v>80</v>
      </c>
      <c r="FY60" s="2">
        <v>68</v>
      </c>
      <c r="FZ60" s="2"/>
      <c r="GA60" s="2" t="s">
        <v>6</v>
      </c>
      <c r="GB60" s="2"/>
      <c r="GC60" s="2"/>
      <c r="GD60" s="2">
        <v>0</v>
      </c>
      <c r="GE60" s="2"/>
      <c r="GF60" s="2">
        <v>-1405612292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4"/>
        <v>0</v>
      </c>
      <c r="GM60" s="2">
        <f t="shared" si="85"/>
        <v>645.55999999999995</v>
      </c>
      <c r="GN60" s="2">
        <f t="shared" si="86"/>
        <v>645.55999999999995</v>
      </c>
      <c r="GO60" s="2">
        <f t="shared" si="87"/>
        <v>0</v>
      </c>
      <c r="GP60" s="2">
        <f t="shared" si="88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89"/>
        <v>0</v>
      </c>
      <c r="GW60" s="2">
        <v>1</v>
      </c>
      <c r="GX60" s="2">
        <f t="shared" si="90"/>
        <v>0</v>
      </c>
      <c r="GY60" s="2"/>
      <c r="GZ60" s="2"/>
      <c r="HA60" s="2">
        <v>0</v>
      </c>
      <c r="HB60" s="2">
        <v>0</v>
      </c>
      <c r="HC60" s="2">
        <f t="shared" si="91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ROW(SmtRes!A134)</f>
        <v>134</v>
      </c>
      <c r="D61">
        <f>ROW(EtalonRes!A136)</f>
        <v>136</v>
      </c>
      <c r="E61" t="s">
        <v>115</v>
      </c>
      <c r="F61" t="s">
        <v>116</v>
      </c>
      <c r="G61" t="s">
        <v>117</v>
      </c>
      <c r="H61" t="s">
        <v>16</v>
      </c>
      <c r="I61">
        <f>ROUND(41.6/100,9)</f>
        <v>0.41599999999999998</v>
      </c>
      <c r="J61">
        <v>0</v>
      </c>
      <c r="O61">
        <f t="shared" si="58"/>
        <v>1629.26</v>
      </c>
      <c r="P61">
        <f t="shared" si="59"/>
        <v>0</v>
      </c>
      <c r="Q61">
        <f t="shared" si="60"/>
        <v>114.4</v>
      </c>
      <c r="R61">
        <f t="shared" si="61"/>
        <v>49.41</v>
      </c>
      <c r="S61">
        <f t="shared" si="62"/>
        <v>1514.86</v>
      </c>
      <c r="T61">
        <f t="shared" si="63"/>
        <v>0</v>
      </c>
      <c r="U61">
        <f t="shared" si="64"/>
        <v>29.065920000000002</v>
      </c>
      <c r="V61">
        <f t="shared" si="65"/>
        <v>0.59903999999999991</v>
      </c>
      <c r="W61">
        <f t="shared" si="66"/>
        <v>0</v>
      </c>
      <c r="X61">
        <f t="shared" si="67"/>
        <v>1251.42</v>
      </c>
      <c r="Y61">
        <f t="shared" si="68"/>
        <v>1063.7</v>
      </c>
      <c r="AA61">
        <v>27935368</v>
      </c>
      <c r="AB61">
        <f t="shared" si="69"/>
        <v>641</v>
      </c>
      <c r="AC61">
        <f t="shared" si="52"/>
        <v>0</v>
      </c>
      <c r="AD61">
        <f t="shared" si="53"/>
        <v>45.01</v>
      </c>
      <c r="AE61">
        <f t="shared" si="54"/>
        <v>19.440000000000001</v>
      </c>
      <c r="AF61">
        <f t="shared" si="55"/>
        <v>595.99</v>
      </c>
      <c r="AG61">
        <f t="shared" si="70"/>
        <v>0</v>
      </c>
      <c r="AH61">
        <f t="shared" si="56"/>
        <v>69.87</v>
      </c>
      <c r="AI61">
        <f t="shared" si="57"/>
        <v>1.44</v>
      </c>
      <c r="AJ61">
        <f t="shared" si="71"/>
        <v>0</v>
      </c>
      <c r="AK61">
        <v>641</v>
      </c>
      <c r="AL61">
        <v>0</v>
      </c>
      <c r="AM61">
        <v>45.01</v>
      </c>
      <c r="AN61">
        <v>19.440000000000001</v>
      </c>
      <c r="AO61">
        <v>595.99</v>
      </c>
      <c r="AP61">
        <v>0</v>
      </c>
      <c r="AQ61">
        <v>69.87</v>
      </c>
      <c r="AR61">
        <v>1.44</v>
      </c>
      <c r="AS61">
        <v>0</v>
      </c>
      <c r="AT61">
        <v>80</v>
      </c>
      <c r="AU61">
        <v>68</v>
      </c>
      <c r="AV61">
        <v>1</v>
      </c>
      <c r="AW61">
        <v>1</v>
      </c>
      <c r="AZ61">
        <v>6.11</v>
      </c>
      <c r="BA61">
        <v>6.11</v>
      </c>
      <c r="BB61">
        <v>6.11</v>
      </c>
      <c r="BC61">
        <v>6.11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118</v>
      </c>
      <c r="BM61">
        <v>57001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6.11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80</v>
      </c>
      <c r="CA61">
        <v>68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72"/>
        <v>1629.26</v>
      </c>
      <c r="CQ61">
        <f t="shared" si="73"/>
        <v>0</v>
      </c>
      <c r="CR61">
        <f t="shared" si="74"/>
        <v>275.0111</v>
      </c>
      <c r="CS61">
        <f t="shared" si="75"/>
        <v>118.77840000000002</v>
      </c>
      <c r="CT61">
        <f t="shared" si="76"/>
        <v>3641.4989</v>
      </c>
      <c r="CU61">
        <f t="shared" si="77"/>
        <v>0</v>
      </c>
      <c r="CV61">
        <f t="shared" si="78"/>
        <v>69.87</v>
      </c>
      <c r="CW61">
        <f t="shared" si="79"/>
        <v>1.44</v>
      </c>
      <c r="CX61">
        <f t="shared" si="80"/>
        <v>0</v>
      </c>
      <c r="CY61">
        <f t="shared" si="81"/>
        <v>1251.4160000000002</v>
      </c>
      <c r="CZ61">
        <f t="shared" si="82"/>
        <v>1063.7036000000001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16</v>
      </c>
      <c r="DW61" t="s">
        <v>16</v>
      </c>
      <c r="DX61">
        <v>100</v>
      </c>
      <c r="EE61">
        <v>27029102</v>
      </c>
      <c r="EF61">
        <v>6</v>
      </c>
      <c r="EG61" t="s">
        <v>90</v>
      </c>
      <c r="EH61">
        <v>0</v>
      </c>
      <c r="EI61" t="s">
        <v>6</v>
      </c>
      <c r="EJ61">
        <v>1</v>
      </c>
      <c r="EK61">
        <v>57001</v>
      </c>
      <c r="EL61" t="s">
        <v>119</v>
      </c>
      <c r="EM61" t="s">
        <v>120</v>
      </c>
      <c r="EO61" t="s">
        <v>6</v>
      </c>
      <c r="EQ61">
        <v>131072</v>
      </c>
      <c r="ER61">
        <v>641</v>
      </c>
      <c r="ES61">
        <v>0</v>
      </c>
      <c r="ET61">
        <v>45.01</v>
      </c>
      <c r="EU61">
        <v>19.440000000000001</v>
      </c>
      <c r="EV61">
        <v>595.99</v>
      </c>
      <c r="EW61">
        <v>69.87</v>
      </c>
      <c r="EX61">
        <v>1.44</v>
      </c>
      <c r="EY61">
        <v>0</v>
      </c>
      <c r="FQ61">
        <v>0</v>
      </c>
      <c r="FR61">
        <f t="shared" si="83"/>
        <v>0</v>
      </c>
      <c r="FS61">
        <v>0</v>
      </c>
      <c r="FX61">
        <v>80</v>
      </c>
      <c r="FY61">
        <v>68</v>
      </c>
      <c r="GA61" t="s">
        <v>6</v>
      </c>
      <c r="GD61">
        <v>0</v>
      </c>
      <c r="GF61">
        <v>-1405612292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4"/>
        <v>0</v>
      </c>
      <c r="GM61">
        <f t="shared" si="85"/>
        <v>3944.38</v>
      </c>
      <c r="GN61">
        <f t="shared" si="86"/>
        <v>3944.38</v>
      </c>
      <c r="GO61">
        <f t="shared" si="87"/>
        <v>0</v>
      </c>
      <c r="GP61">
        <f t="shared" si="88"/>
        <v>0</v>
      </c>
      <c r="GR61">
        <v>0</v>
      </c>
      <c r="GS61">
        <v>3</v>
      </c>
      <c r="GT61">
        <v>0</v>
      </c>
      <c r="GU61" t="s">
        <v>6</v>
      </c>
      <c r="GV61">
        <f t="shared" si="89"/>
        <v>0</v>
      </c>
      <c r="GW61">
        <v>1</v>
      </c>
      <c r="GX61">
        <f t="shared" si="90"/>
        <v>0</v>
      </c>
      <c r="HA61">
        <v>0</v>
      </c>
      <c r="HB61">
        <v>0</v>
      </c>
      <c r="HC61">
        <f t="shared" si="91"/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ROW(SmtRes!A135)</f>
        <v>135</v>
      </c>
      <c r="D62" s="2">
        <f>ROW(EtalonRes!A138)</f>
        <v>138</v>
      </c>
      <c r="E62" s="2" t="s">
        <v>121</v>
      </c>
      <c r="F62" s="2" t="s">
        <v>122</v>
      </c>
      <c r="G62" s="2" t="s">
        <v>123</v>
      </c>
      <c r="H62" s="2" t="s">
        <v>40</v>
      </c>
      <c r="I62" s="2">
        <f>ROUND(14/100,9)</f>
        <v>0.14000000000000001</v>
      </c>
      <c r="J62" s="2">
        <v>0</v>
      </c>
      <c r="K62" s="2"/>
      <c r="L62" s="2"/>
      <c r="M62" s="2"/>
      <c r="N62" s="2"/>
      <c r="O62" s="2">
        <f t="shared" si="58"/>
        <v>4.12</v>
      </c>
      <c r="P62" s="2">
        <f t="shared" si="59"/>
        <v>0</v>
      </c>
      <c r="Q62" s="2">
        <f t="shared" si="60"/>
        <v>0</v>
      </c>
      <c r="R62" s="2">
        <f t="shared" si="61"/>
        <v>0</v>
      </c>
      <c r="S62" s="2">
        <f t="shared" si="62"/>
        <v>4.12</v>
      </c>
      <c r="T62" s="2">
        <f t="shared" si="63"/>
        <v>0</v>
      </c>
      <c r="U62" s="2">
        <f t="shared" si="64"/>
        <v>0.52780000000000005</v>
      </c>
      <c r="V62" s="2">
        <f t="shared" si="65"/>
        <v>0</v>
      </c>
      <c r="W62" s="2">
        <f t="shared" si="66"/>
        <v>0</v>
      </c>
      <c r="X62" s="2">
        <f t="shared" si="67"/>
        <v>3.3</v>
      </c>
      <c r="Y62" s="2">
        <f t="shared" si="68"/>
        <v>2.8</v>
      </c>
      <c r="Z62" s="2"/>
      <c r="AA62" s="2">
        <v>27935367</v>
      </c>
      <c r="AB62" s="2">
        <f t="shared" si="69"/>
        <v>29.41</v>
      </c>
      <c r="AC62" s="2">
        <f t="shared" si="52"/>
        <v>0</v>
      </c>
      <c r="AD62" s="2">
        <f t="shared" si="53"/>
        <v>0</v>
      </c>
      <c r="AE62" s="2">
        <f t="shared" si="54"/>
        <v>0</v>
      </c>
      <c r="AF62" s="2">
        <f t="shared" si="55"/>
        <v>29.41</v>
      </c>
      <c r="AG62" s="2">
        <f t="shared" si="70"/>
        <v>0</v>
      </c>
      <c r="AH62" s="2">
        <f t="shared" si="56"/>
        <v>3.77</v>
      </c>
      <c r="AI62" s="2">
        <f t="shared" si="57"/>
        <v>0</v>
      </c>
      <c r="AJ62" s="2">
        <f t="shared" si="71"/>
        <v>0</v>
      </c>
      <c r="AK62" s="2">
        <v>29.41</v>
      </c>
      <c r="AL62" s="2">
        <v>0</v>
      </c>
      <c r="AM62" s="2">
        <v>0</v>
      </c>
      <c r="AN62" s="2">
        <v>0</v>
      </c>
      <c r="AO62" s="2">
        <v>29.41</v>
      </c>
      <c r="AP62" s="2">
        <v>0</v>
      </c>
      <c r="AQ62" s="2">
        <v>3.77</v>
      </c>
      <c r="AR62" s="2">
        <v>0</v>
      </c>
      <c r="AS62" s="2">
        <v>0</v>
      </c>
      <c r="AT62" s="2">
        <v>80</v>
      </c>
      <c r="AU62" s="2">
        <v>68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124</v>
      </c>
      <c r="BK62" s="2"/>
      <c r="BL62" s="2"/>
      <c r="BM62" s="2">
        <v>57001</v>
      </c>
      <c r="BN62" s="2">
        <v>0</v>
      </c>
      <c r="BO62" s="2" t="s">
        <v>6</v>
      </c>
      <c r="BP62" s="2">
        <v>0</v>
      </c>
      <c r="BQ62" s="2">
        <v>6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80</v>
      </c>
      <c r="CA62" s="2">
        <v>68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72"/>
        <v>4.12</v>
      </c>
      <c r="CQ62" s="2">
        <f t="shared" si="73"/>
        <v>0</v>
      </c>
      <c r="CR62" s="2">
        <f t="shared" si="74"/>
        <v>0</v>
      </c>
      <c r="CS62" s="2">
        <f t="shared" si="75"/>
        <v>0</v>
      </c>
      <c r="CT62" s="2">
        <f t="shared" si="76"/>
        <v>29.41</v>
      </c>
      <c r="CU62" s="2">
        <f t="shared" si="77"/>
        <v>0</v>
      </c>
      <c r="CV62" s="2">
        <f t="shared" si="78"/>
        <v>3.77</v>
      </c>
      <c r="CW62" s="2">
        <f t="shared" si="79"/>
        <v>0</v>
      </c>
      <c r="CX62" s="2">
        <f t="shared" si="80"/>
        <v>0</v>
      </c>
      <c r="CY62" s="2">
        <f t="shared" si="81"/>
        <v>3.2960000000000003</v>
      </c>
      <c r="CZ62" s="2">
        <f t="shared" si="82"/>
        <v>2.8016000000000001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1003</v>
      </c>
      <c r="DV62" s="2" t="s">
        <v>40</v>
      </c>
      <c r="DW62" s="2" t="s">
        <v>40</v>
      </c>
      <c r="DX62" s="2">
        <v>100</v>
      </c>
      <c r="DY62" s="2"/>
      <c r="DZ62" s="2"/>
      <c r="EA62" s="2"/>
      <c r="EB62" s="2"/>
      <c r="EC62" s="2"/>
      <c r="ED62" s="2"/>
      <c r="EE62" s="2">
        <v>27029102</v>
      </c>
      <c r="EF62" s="2">
        <v>6</v>
      </c>
      <c r="EG62" s="2" t="s">
        <v>90</v>
      </c>
      <c r="EH62" s="2">
        <v>0</v>
      </c>
      <c r="EI62" s="2" t="s">
        <v>6</v>
      </c>
      <c r="EJ62" s="2">
        <v>1</v>
      </c>
      <c r="EK62" s="2">
        <v>57001</v>
      </c>
      <c r="EL62" s="2" t="s">
        <v>119</v>
      </c>
      <c r="EM62" s="2" t="s">
        <v>120</v>
      </c>
      <c r="EN62" s="2"/>
      <c r="EO62" s="2" t="s">
        <v>6</v>
      </c>
      <c r="EP62" s="2"/>
      <c r="EQ62" s="2">
        <v>131072</v>
      </c>
      <c r="ER62" s="2">
        <v>29.41</v>
      </c>
      <c r="ES62" s="2">
        <v>0</v>
      </c>
      <c r="ET62" s="2">
        <v>0</v>
      </c>
      <c r="EU62" s="2">
        <v>0</v>
      </c>
      <c r="EV62" s="2">
        <v>29.41</v>
      </c>
      <c r="EW62" s="2">
        <v>3.77</v>
      </c>
      <c r="EX62" s="2">
        <v>0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3"/>
        <v>0</v>
      </c>
      <c r="FS62" s="2">
        <v>0</v>
      </c>
      <c r="FT62" s="2"/>
      <c r="FU62" s="2"/>
      <c r="FV62" s="2"/>
      <c r="FW62" s="2"/>
      <c r="FX62" s="2">
        <v>80</v>
      </c>
      <c r="FY62" s="2">
        <v>68</v>
      </c>
      <c r="FZ62" s="2"/>
      <c r="GA62" s="2" t="s">
        <v>6</v>
      </c>
      <c r="GB62" s="2"/>
      <c r="GC62" s="2"/>
      <c r="GD62" s="2">
        <v>0</v>
      </c>
      <c r="GE62" s="2"/>
      <c r="GF62" s="2">
        <v>-1389370821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4"/>
        <v>0</v>
      </c>
      <c r="GM62" s="2">
        <f t="shared" si="85"/>
        <v>10.220000000000001</v>
      </c>
      <c r="GN62" s="2">
        <f t="shared" si="86"/>
        <v>10.220000000000001</v>
      </c>
      <c r="GO62" s="2">
        <f t="shared" si="87"/>
        <v>0</v>
      </c>
      <c r="GP62" s="2">
        <f t="shared" si="88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9"/>
        <v>0</v>
      </c>
      <c r="GW62" s="2">
        <v>1</v>
      </c>
      <c r="GX62" s="2">
        <f t="shared" si="90"/>
        <v>0</v>
      </c>
      <c r="GY62" s="2"/>
      <c r="GZ62" s="2"/>
      <c r="HA62" s="2">
        <v>0</v>
      </c>
      <c r="HB62" s="2">
        <v>0</v>
      </c>
      <c r="HC62" s="2">
        <f t="shared" si="91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ROW(SmtRes!A136)</f>
        <v>136</v>
      </c>
      <c r="D63">
        <f>ROW(EtalonRes!A140)</f>
        <v>140</v>
      </c>
      <c r="E63" t="s">
        <v>121</v>
      </c>
      <c r="F63" t="s">
        <v>122</v>
      </c>
      <c r="G63" t="s">
        <v>123</v>
      </c>
      <c r="H63" t="s">
        <v>40</v>
      </c>
      <c r="I63">
        <f>ROUND(14/100,9)</f>
        <v>0.14000000000000001</v>
      </c>
      <c r="J63">
        <v>0</v>
      </c>
      <c r="O63">
        <f t="shared" si="58"/>
        <v>25.16</v>
      </c>
      <c r="P63">
        <f t="shared" si="59"/>
        <v>0</v>
      </c>
      <c r="Q63">
        <f t="shared" si="60"/>
        <v>0</v>
      </c>
      <c r="R63">
        <f t="shared" si="61"/>
        <v>0</v>
      </c>
      <c r="S63">
        <f t="shared" si="62"/>
        <v>25.16</v>
      </c>
      <c r="T63">
        <f t="shared" si="63"/>
        <v>0</v>
      </c>
      <c r="U63">
        <f t="shared" si="64"/>
        <v>0.52780000000000005</v>
      </c>
      <c r="V63">
        <f t="shared" si="65"/>
        <v>0</v>
      </c>
      <c r="W63">
        <f t="shared" si="66"/>
        <v>0</v>
      </c>
      <c r="X63">
        <f t="shared" si="67"/>
        <v>20.13</v>
      </c>
      <c r="Y63">
        <f t="shared" si="68"/>
        <v>17.11</v>
      </c>
      <c r="AA63">
        <v>27935368</v>
      </c>
      <c r="AB63">
        <f t="shared" si="69"/>
        <v>29.41</v>
      </c>
      <c r="AC63">
        <f t="shared" si="52"/>
        <v>0</v>
      </c>
      <c r="AD63">
        <f t="shared" si="53"/>
        <v>0</v>
      </c>
      <c r="AE63">
        <f t="shared" si="54"/>
        <v>0</v>
      </c>
      <c r="AF63">
        <f t="shared" si="55"/>
        <v>29.41</v>
      </c>
      <c r="AG63">
        <f t="shared" si="70"/>
        <v>0</v>
      </c>
      <c r="AH63">
        <f t="shared" si="56"/>
        <v>3.77</v>
      </c>
      <c r="AI63">
        <f t="shared" si="57"/>
        <v>0</v>
      </c>
      <c r="AJ63">
        <f t="shared" si="71"/>
        <v>0</v>
      </c>
      <c r="AK63">
        <v>29.41</v>
      </c>
      <c r="AL63">
        <v>0</v>
      </c>
      <c r="AM63">
        <v>0</v>
      </c>
      <c r="AN63">
        <v>0</v>
      </c>
      <c r="AO63">
        <v>29.41</v>
      </c>
      <c r="AP63">
        <v>0</v>
      </c>
      <c r="AQ63">
        <v>3.77</v>
      </c>
      <c r="AR63">
        <v>0</v>
      </c>
      <c r="AS63">
        <v>0</v>
      </c>
      <c r="AT63">
        <v>80</v>
      </c>
      <c r="AU63">
        <v>68</v>
      </c>
      <c r="AV63">
        <v>1</v>
      </c>
      <c r="AW63">
        <v>1</v>
      </c>
      <c r="AZ63">
        <v>6.11</v>
      </c>
      <c r="BA63">
        <v>6.11</v>
      </c>
      <c r="BB63">
        <v>6.11</v>
      </c>
      <c r="BC63">
        <v>6.11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124</v>
      </c>
      <c r="BM63">
        <v>57001</v>
      </c>
      <c r="BN63">
        <v>0</v>
      </c>
      <c r="BO63" t="s">
        <v>6</v>
      </c>
      <c r="BP63">
        <v>0</v>
      </c>
      <c r="BQ63">
        <v>6</v>
      </c>
      <c r="BR63">
        <v>0</v>
      </c>
      <c r="BS63">
        <v>6.11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80</v>
      </c>
      <c r="CA63">
        <v>68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72"/>
        <v>25.16</v>
      </c>
      <c r="CQ63">
        <f t="shared" si="73"/>
        <v>0</v>
      </c>
      <c r="CR63">
        <f t="shared" si="74"/>
        <v>0</v>
      </c>
      <c r="CS63">
        <f t="shared" si="75"/>
        <v>0</v>
      </c>
      <c r="CT63">
        <f t="shared" si="76"/>
        <v>179.6951</v>
      </c>
      <c r="CU63">
        <f t="shared" si="77"/>
        <v>0</v>
      </c>
      <c r="CV63">
        <f t="shared" si="78"/>
        <v>3.77</v>
      </c>
      <c r="CW63">
        <f t="shared" si="79"/>
        <v>0</v>
      </c>
      <c r="CX63">
        <f t="shared" si="80"/>
        <v>0</v>
      </c>
      <c r="CY63">
        <f t="shared" si="81"/>
        <v>20.128</v>
      </c>
      <c r="CZ63">
        <f t="shared" si="82"/>
        <v>17.108800000000002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1003</v>
      </c>
      <c r="DV63" t="s">
        <v>40</v>
      </c>
      <c r="DW63" t="s">
        <v>40</v>
      </c>
      <c r="DX63">
        <v>100</v>
      </c>
      <c r="EE63">
        <v>27029102</v>
      </c>
      <c r="EF63">
        <v>6</v>
      </c>
      <c r="EG63" t="s">
        <v>90</v>
      </c>
      <c r="EH63">
        <v>0</v>
      </c>
      <c r="EI63" t="s">
        <v>6</v>
      </c>
      <c r="EJ63">
        <v>1</v>
      </c>
      <c r="EK63">
        <v>57001</v>
      </c>
      <c r="EL63" t="s">
        <v>119</v>
      </c>
      <c r="EM63" t="s">
        <v>120</v>
      </c>
      <c r="EO63" t="s">
        <v>6</v>
      </c>
      <c r="EQ63">
        <v>131072</v>
      </c>
      <c r="ER63">
        <v>29.41</v>
      </c>
      <c r="ES63">
        <v>0</v>
      </c>
      <c r="ET63">
        <v>0</v>
      </c>
      <c r="EU63">
        <v>0</v>
      </c>
      <c r="EV63">
        <v>29.41</v>
      </c>
      <c r="EW63">
        <v>3.77</v>
      </c>
      <c r="EX63">
        <v>0</v>
      </c>
      <c r="EY63">
        <v>0</v>
      </c>
      <c r="FQ63">
        <v>0</v>
      </c>
      <c r="FR63">
        <f t="shared" si="83"/>
        <v>0</v>
      </c>
      <c r="FS63">
        <v>0</v>
      </c>
      <c r="FX63">
        <v>80</v>
      </c>
      <c r="FY63">
        <v>68</v>
      </c>
      <c r="GA63" t="s">
        <v>6</v>
      </c>
      <c r="GD63">
        <v>0</v>
      </c>
      <c r="GF63">
        <v>-1389370821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4"/>
        <v>0</v>
      </c>
      <c r="GM63">
        <f t="shared" si="85"/>
        <v>62.4</v>
      </c>
      <c r="GN63">
        <f t="shared" si="86"/>
        <v>62.4</v>
      </c>
      <c r="GO63">
        <f t="shared" si="87"/>
        <v>0</v>
      </c>
      <c r="GP63">
        <f t="shared" si="88"/>
        <v>0</v>
      </c>
      <c r="GR63">
        <v>0</v>
      </c>
      <c r="GS63">
        <v>3</v>
      </c>
      <c r="GT63">
        <v>0</v>
      </c>
      <c r="GU63" t="s">
        <v>6</v>
      </c>
      <c r="GV63">
        <f t="shared" si="89"/>
        <v>0</v>
      </c>
      <c r="GW63">
        <v>1</v>
      </c>
      <c r="GX63">
        <f t="shared" si="90"/>
        <v>0</v>
      </c>
      <c r="HA63">
        <v>0</v>
      </c>
      <c r="HB63">
        <v>0</v>
      </c>
      <c r="HC63">
        <f t="shared" si="91"/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ROW(SmtRes!A142)</f>
        <v>142</v>
      </c>
      <c r="D64" s="2">
        <f>ROW(EtalonRes!A146)</f>
        <v>146</v>
      </c>
      <c r="E64" s="2" t="s">
        <v>125</v>
      </c>
      <c r="F64" s="2" t="s">
        <v>126</v>
      </c>
      <c r="G64" s="2" t="s">
        <v>127</v>
      </c>
      <c r="H64" s="2" t="s">
        <v>16</v>
      </c>
      <c r="I64" s="2">
        <f>ROUND(41.6/100,9)</f>
        <v>0.41599999999999998</v>
      </c>
      <c r="J64" s="2">
        <v>0</v>
      </c>
      <c r="K64" s="2"/>
      <c r="L64" s="2"/>
      <c r="M64" s="2"/>
      <c r="N64" s="2"/>
      <c r="O64" s="2">
        <f t="shared" si="58"/>
        <v>176.63</v>
      </c>
      <c r="P64" s="2">
        <f t="shared" si="59"/>
        <v>3.55</v>
      </c>
      <c r="Q64" s="2">
        <f t="shared" si="60"/>
        <v>23</v>
      </c>
      <c r="R64" s="2">
        <f t="shared" si="61"/>
        <v>8.92</v>
      </c>
      <c r="S64" s="2">
        <f t="shared" si="62"/>
        <v>150.08000000000001</v>
      </c>
      <c r="T64" s="2">
        <f t="shared" si="63"/>
        <v>0</v>
      </c>
      <c r="U64" s="2">
        <f t="shared" si="64"/>
        <v>18.901583999999996</v>
      </c>
      <c r="V64" s="2">
        <f t="shared" si="65"/>
        <v>0.66039999999999999</v>
      </c>
      <c r="W64" s="2">
        <f t="shared" si="66"/>
        <v>0</v>
      </c>
      <c r="X64" s="2">
        <f t="shared" si="67"/>
        <v>176.49</v>
      </c>
      <c r="Y64" s="2">
        <f t="shared" si="68"/>
        <v>101.76</v>
      </c>
      <c r="Z64" s="2"/>
      <c r="AA64" s="2">
        <v>27935367</v>
      </c>
      <c r="AB64" s="2">
        <f t="shared" si="69"/>
        <v>424.61</v>
      </c>
      <c r="AC64" s="2">
        <f t="shared" si="52"/>
        <v>8.5399999999999991</v>
      </c>
      <c r="AD64" s="2">
        <f>ROUND(((((ET64*1.25))-((EU64*1.25)))+AE64),2)</f>
        <v>55.3</v>
      </c>
      <c r="AE64" s="2">
        <f>ROUND(((EU64*1.25)),2)</f>
        <v>21.44</v>
      </c>
      <c r="AF64" s="2">
        <f>ROUND(((EV64*1.15)),2)</f>
        <v>360.77</v>
      </c>
      <c r="AG64" s="2">
        <f t="shared" si="70"/>
        <v>0</v>
      </c>
      <c r="AH64" s="2">
        <f>((EW64*1.15))</f>
        <v>45.436499999999995</v>
      </c>
      <c r="AI64" s="2">
        <f>((EX64*1.25))</f>
        <v>1.5874999999999999</v>
      </c>
      <c r="AJ64" s="2">
        <f t="shared" si="71"/>
        <v>0</v>
      </c>
      <c r="AK64" s="2">
        <v>366.49</v>
      </c>
      <c r="AL64" s="2">
        <v>8.5399999999999991</v>
      </c>
      <c r="AM64" s="2">
        <v>44.24</v>
      </c>
      <c r="AN64" s="2">
        <v>17.149999999999999</v>
      </c>
      <c r="AO64" s="2">
        <v>313.70999999999998</v>
      </c>
      <c r="AP64" s="2">
        <v>0</v>
      </c>
      <c r="AQ64" s="2">
        <v>39.51</v>
      </c>
      <c r="AR64" s="2">
        <v>1.27</v>
      </c>
      <c r="AS64" s="2">
        <v>0</v>
      </c>
      <c r="AT64" s="2">
        <v>111</v>
      </c>
      <c r="AU64" s="2">
        <v>64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128</v>
      </c>
      <c r="BK64" s="2"/>
      <c r="BL64" s="2"/>
      <c r="BM64" s="2">
        <v>11001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123</v>
      </c>
      <c r="CA64" s="2">
        <v>75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766</v>
      </c>
      <c r="CO64" s="2">
        <v>0</v>
      </c>
      <c r="CP64" s="2">
        <f t="shared" si="72"/>
        <v>176.63000000000002</v>
      </c>
      <c r="CQ64" s="2">
        <f t="shared" si="73"/>
        <v>8.5399999999999991</v>
      </c>
      <c r="CR64" s="2">
        <f t="shared" si="74"/>
        <v>55.3</v>
      </c>
      <c r="CS64" s="2">
        <f t="shared" si="75"/>
        <v>21.44</v>
      </c>
      <c r="CT64" s="2">
        <f t="shared" si="76"/>
        <v>360.77</v>
      </c>
      <c r="CU64" s="2">
        <f t="shared" si="77"/>
        <v>0</v>
      </c>
      <c r="CV64" s="2">
        <f t="shared" si="78"/>
        <v>45.436499999999995</v>
      </c>
      <c r="CW64" s="2">
        <f t="shared" si="79"/>
        <v>1.5874999999999999</v>
      </c>
      <c r="CX64" s="2">
        <f t="shared" si="80"/>
        <v>0</v>
      </c>
      <c r="CY64" s="2">
        <f t="shared" si="81"/>
        <v>176.49</v>
      </c>
      <c r="CZ64" s="2">
        <f t="shared" si="82"/>
        <v>101.76</v>
      </c>
      <c r="DA64" s="2"/>
      <c r="DB64" s="2"/>
      <c r="DC64" s="2" t="s">
        <v>6</v>
      </c>
      <c r="DD64" s="2" t="s">
        <v>6</v>
      </c>
      <c r="DE64" s="2" t="s">
        <v>27</v>
      </c>
      <c r="DF64" s="2" t="s">
        <v>27</v>
      </c>
      <c r="DG64" s="2" t="s">
        <v>28</v>
      </c>
      <c r="DH64" s="2" t="s">
        <v>6</v>
      </c>
      <c r="DI64" s="2" t="s">
        <v>28</v>
      </c>
      <c r="DJ64" s="2" t="s">
        <v>27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16</v>
      </c>
      <c r="DW64" s="2" t="s">
        <v>16</v>
      </c>
      <c r="DX64" s="2">
        <v>100</v>
      </c>
      <c r="DY64" s="2"/>
      <c r="DZ64" s="2"/>
      <c r="EA64" s="2"/>
      <c r="EB64" s="2"/>
      <c r="EC64" s="2"/>
      <c r="ED64" s="2"/>
      <c r="EE64" s="2">
        <v>27029024</v>
      </c>
      <c r="EF64" s="2">
        <v>2</v>
      </c>
      <c r="EG64" s="2" t="s">
        <v>18</v>
      </c>
      <c r="EH64" s="2">
        <v>0</v>
      </c>
      <c r="EI64" s="2" t="s">
        <v>6</v>
      </c>
      <c r="EJ64" s="2">
        <v>1</v>
      </c>
      <c r="EK64" s="2">
        <v>11001</v>
      </c>
      <c r="EL64" s="2" t="s">
        <v>119</v>
      </c>
      <c r="EM64" s="2" t="s">
        <v>129</v>
      </c>
      <c r="EN64" s="2"/>
      <c r="EO64" s="2" t="s">
        <v>31</v>
      </c>
      <c r="EP64" s="2"/>
      <c r="EQ64" s="2">
        <v>131072</v>
      </c>
      <c r="ER64" s="2">
        <v>366.49</v>
      </c>
      <c r="ES64" s="2">
        <v>8.5399999999999991</v>
      </c>
      <c r="ET64" s="2">
        <v>44.24</v>
      </c>
      <c r="EU64" s="2">
        <v>17.149999999999999</v>
      </c>
      <c r="EV64" s="2">
        <v>313.70999999999998</v>
      </c>
      <c r="EW64" s="2">
        <v>39.51</v>
      </c>
      <c r="EX64" s="2">
        <v>1.27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3"/>
        <v>0</v>
      </c>
      <c r="FS64" s="2">
        <v>0</v>
      </c>
      <c r="FT64" s="2" t="s">
        <v>21</v>
      </c>
      <c r="FU64" s="2" t="s">
        <v>22</v>
      </c>
      <c r="FV64" s="2"/>
      <c r="FW64" s="2"/>
      <c r="FX64" s="2">
        <v>110.7</v>
      </c>
      <c r="FY64" s="2">
        <v>63.75</v>
      </c>
      <c r="FZ64" s="2"/>
      <c r="GA64" s="2" t="s">
        <v>6</v>
      </c>
      <c r="GB64" s="2"/>
      <c r="GC64" s="2"/>
      <c r="GD64" s="2">
        <v>0</v>
      </c>
      <c r="GE64" s="2"/>
      <c r="GF64" s="2">
        <v>192743499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4"/>
        <v>0</v>
      </c>
      <c r="GM64" s="2">
        <f t="shared" si="85"/>
        <v>454.88</v>
      </c>
      <c r="GN64" s="2">
        <f t="shared" si="86"/>
        <v>454.88</v>
      </c>
      <c r="GO64" s="2">
        <f t="shared" si="87"/>
        <v>0</v>
      </c>
      <c r="GP64" s="2">
        <f t="shared" si="88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9"/>
        <v>0</v>
      </c>
      <c r="GW64" s="2">
        <v>1</v>
      </c>
      <c r="GX64" s="2">
        <f t="shared" si="90"/>
        <v>0</v>
      </c>
      <c r="GY64" s="2"/>
      <c r="GZ64" s="2"/>
      <c r="HA64" s="2">
        <v>0</v>
      </c>
      <c r="HB64" s="2">
        <v>0</v>
      </c>
      <c r="HC64" s="2">
        <f t="shared" si="91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ROW(SmtRes!A148)</f>
        <v>148</v>
      </c>
      <c r="D65">
        <f>ROW(EtalonRes!A152)</f>
        <v>152</v>
      </c>
      <c r="E65" t="s">
        <v>125</v>
      </c>
      <c r="F65" t="s">
        <v>126</v>
      </c>
      <c r="G65" t="s">
        <v>127</v>
      </c>
      <c r="H65" t="s">
        <v>16</v>
      </c>
      <c r="I65">
        <f>ROUND(41.6/100,9)</f>
        <v>0.41599999999999998</v>
      </c>
      <c r="J65">
        <v>0</v>
      </c>
      <c r="O65">
        <f t="shared" si="58"/>
        <v>1079.26</v>
      </c>
      <c r="P65">
        <f t="shared" si="59"/>
        <v>21.71</v>
      </c>
      <c r="Q65">
        <f t="shared" si="60"/>
        <v>140.56</v>
      </c>
      <c r="R65">
        <f t="shared" si="61"/>
        <v>54.5</v>
      </c>
      <c r="S65">
        <f t="shared" si="62"/>
        <v>916.99</v>
      </c>
      <c r="T65">
        <f t="shared" si="63"/>
        <v>0</v>
      </c>
      <c r="U65">
        <f t="shared" si="64"/>
        <v>18.901583999999996</v>
      </c>
      <c r="V65">
        <f t="shared" si="65"/>
        <v>0.66039999999999999</v>
      </c>
      <c r="W65">
        <f t="shared" si="66"/>
        <v>0</v>
      </c>
      <c r="X65">
        <f t="shared" si="67"/>
        <v>1078.3499999999999</v>
      </c>
      <c r="Y65">
        <f t="shared" si="68"/>
        <v>621.75</v>
      </c>
      <c r="AA65">
        <v>27935368</v>
      </c>
      <c r="AB65">
        <f t="shared" si="69"/>
        <v>424.61</v>
      </c>
      <c r="AC65">
        <f t="shared" si="52"/>
        <v>8.5399999999999991</v>
      </c>
      <c r="AD65">
        <f>ROUND(((((ET65*1.25))-((EU65*1.25)))+AE65),2)</f>
        <v>55.3</v>
      </c>
      <c r="AE65">
        <f>ROUND(((EU65*1.25)),2)</f>
        <v>21.44</v>
      </c>
      <c r="AF65">
        <f>ROUND(((EV65*1.15)),2)</f>
        <v>360.77</v>
      </c>
      <c r="AG65">
        <f t="shared" si="70"/>
        <v>0</v>
      </c>
      <c r="AH65">
        <f>((EW65*1.15))</f>
        <v>45.436499999999995</v>
      </c>
      <c r="AI65">
        <f>((EX65*1.25))</f>
        <v>1.5874999999999999</v>
      </c>
      <c r="AJ65">
        <f t="shared" si="71"/>
        <v>0</v>
      </c>
      <c r="AK65">
        <v>366.49</v>
      </c>
      <c r="AL65">
        <v>8.5399999999999991</v>
      </c>
      <c r="AM65">
        <v>44.24</v>
      </c>
      <c r="AN65">
        <v>17.149999999999999</v>
      </c>
      <c r="AO65">
        <v>313.70999999999998</v>
      </c>
      <c r="AP65">
        <v>0</v>
      </c>
      <c r="AQ65">
        <v>39.51</v>
      </c>
      <c r="AR65">
        <v>1.27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6.11</v>
      </c>
      <c r="BA65">
        <v>6.11</v>
      </c>
      <c r="BB65">
        <v>6.11</v>
      </c>
      <c r="BC65">
        <v>6.11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128</v>
      </c>
      <c r="BM65">
        <v>11001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6.11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123</v>
      </c>
      <c r="CA65">
        <v>75</v>
      </c>
      <c r="CE65">
        <v>0</v>
      </c>
      <c r="CF65">
        <v>0</v>
      </c>
      <c r="CG65">
        <v>0</v>
      </c>
      <c r="CM65">
        <v>0</v>
      </c>
      <c r="CN65" t="s">
        <v>766</v>
      </c>
      <c r="CO65">
        <v>0</v>
      </c>
      <c r="CP65">
        <f t="shared" si="72"/>
        <v>1079.26</v>
      </c>
      <c r="CQ65">
        <f t="shared" si="73"/>
        <v>52.179399999999994</v>
      </c>
      <c r="CR65">
        <f t="shared" si="74"/>
        <v>337.88299999999998</v>
      </c>
      <c r="CS65">
        <f t="shared" si="75"/>
        <v>130.9984</v>
      </c>
      <c r="CT65">
        <f t="shared" si="76"/>
        <v>2204.3047000000001</v>
      </c>
      <c r="CU65">
        <f t="shared" si="77"/>
        <v>0</v>
      </c>
      <c r="CV65">
        <f t="shared" si="78"/>
        <v>45.436499999999995</v>
      </c>
      <c r="CW65">
        <f t="shared" si="79"/>
        <v>1.5874999999999999</v>
      </c>
      <c r="CX65">
        <f t="shared" si="80"/>
        <v>0</v>
      </c>
      <c r="CY65">
        <f t="shared" si="81"/>
        <v>1078.3539000000001</v>
      </c>
      <c r="CZ65">
        <f t="shared" si="82"/>
        <v>621.75360000000001</v>
      </c>
      <c r="DC65" t="s">
        <v>6</v>
      </c>
      <c r="DD65" t="s">
        <v>6</v>
      </c>
      <c r="DE65" t="s">
        <v>27</v>
      </c>
      <c r="DF65" t="s">
        <v>27</v>
      </c>
      <c r="DG65" t="s">
        <v>28</v>
      </c>
      <c r="DH65" t="s">
        <v>6</v>
      </c>
      <c r="DI65" t="s">
        <v>28</v>
      </c>
      <c r="DJ65" t="s">
        <v>27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16</v>
      </c>
      <c r="DW65" t="s">
        <v>16</v>
      </c>
      <c r="DX65">
        <v>100</v>
      </c>
      <c r="EE65">
        <v>27029024</v>
      </c>
      <c r="EF65">
        <v>2</v>
      </c>
      <c r="EG65" t="s">
        <v>18</v>
      </c>
      <c r="EH65">
        <v>0</v>
      </c>
      <c r="EI65" t="s">
        <v>6</v>
      </c>
      <c r="EJ65">
        <v>1</v>
      </c>
      <c r="EK65">
        <v>11001</v>
      </c>
      <c r="EL65" t="s">
        <v>119</v>
      </c>
      <c r="EM65" t="s">
        <v>129</v>
      </c>
      <c r="EO65" t="s">
        <v>31</v>
      </c>
      <c r="EQ65">
        <v>131072</v>
      </c>
      <c r="ER65">
        <v>366.49</v>
      </c>
      <c r="ES65">
        <v>8.5399999999999991</v>
      </c>
      <c r="ET65">
        <v>44.24</v>
      </c>
      <c r="EU65">
        <v>17.149999999999999</v>
      </c>
      <c r="EV65">
        <v>313.70999999999998</v>
      </c>
      <c r="EW65">
        <v>39.51</v>
      </c>
      <c r="EX65">
        <v>1.27</v>
      </c>
      <c r="EY65">
        <v>0</v>
      </c>
      <c r="FQ65">
        <v>0</v>
      </c>
      <c r="FR65">
        <f t="shared" si="83"/>
        <v>0</v>
      </c>
      <c r="FS65">
        <v>0</v>
      </c>
      <c r="FT65" t="s">
        <v>21</v>
      </c>
      <c r="FU65" t="s">
        <v>22</v>
      </c>
      <c r="FX65">
        <v>110.7</v>
      </c>
      <c r="FY65">
        <v>63.75</v>
      </c>
      <c r="GA65" t="s">
        <v>6</v>
      </c>
      <c r="GD65">
        <v>0</v>
      </c>
      <c r="GF65">
        <v>192743499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4"/>
        <v>0</v>
      </c>
      <c r="GM65">
        <f t="shared" si="85"/>
        <v>2779.36</v>
      </c>
      <c r="GN65">
        <f t="shared" si="86"/>
        <v>2779.36</v>
      </c>
      <c r="GO65">
        <f t="shared" si="87"/>
        <v>0</v>
      </c>
      <c r="GP65">
        <f t="shared" si="88"/>
        <v>0</v>
      </c>
      <c r="GR65">
        <v>0</v>
      </c>
      <c r="GS65">
        <v>3</v>
      </c>
      <c r="GT65">
        <v>0</v>
      </c>
      <c r="GU65" t="s">
        <v>6</v>
      </c>
      <c r="GV65">
        <f t="shared" si="89"/>
        <v>0</v>
      </c>
      <c r="GW65">
        <v>1</v>
      </c>
      <c r="GX65">
        <f t="shared" si="90"/>
        <v>0</v>
      </c>
      <c r="HA65">
        <v>0</v>
      </c>
      <c r="HB65">
        <v>0</v>
      </c>
      <c r="HC65">
        <f t="shared" si="91"/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142</v>
      </c>
      <c r="D66" s="2"/>
      <c r="E66" s="2" t="s">
        <v>130</v>
      </c>
      <c r="F66" s="2" t="s">
        <v>131</v>
      </c>
      <c r="G66" s="2" t="s">
        <v>132</v>
      </c>
      <c r="H66" s="2" t="s">
        <v>133</v>
      </c>
      <c r="I66" s="2">
        <f>I64*J66</f>
        <v>0.84863999999999995</v>
      </c>
      <c r="J66" s="2">
        <v>2.04</v>
      </c>
      <c r="K66" s="2"/>
      <c r="L66" s="2"/>
      <c r="M66" s="2"/>
      <c r="N66" s="2"/>
      <c r="O66" s="2">
        <f t="shared" si="58"/>
        <v>465.31</v>
      </c>
      <c r="P66" s="2">
        <f t="shared" si="59"/>
        <v>465.31</v>
      </c>
      <c r="Q66" s="2">
        <f t="shared" si="60"/>
        <v>0</v>
      </c>
      <c r="R66" s="2">
        <f t="shared" si="61"/>
        <v>0</v>
      </c>
      <c r="S66" s="2">
        <f t="shared" si="62"/>
        <v>0</v>
      </c>
      <c r="T66" s="2">
        <f t="shared" si="63"/>
        <v>0</v>
      </c>
      <c r="U66" s="2">
        <f t="shared" si="64"/>
        <v>0</v>
      </c>
      <c r="V66" s="2">
        <f t="shared" si="65"/>
        <v>0</v>
      </c>
      <c r="W66" s="2">
        <f t="shared" si="66"/>
        <v>0</v>
      </c>
      <c r="X66" s="2">
        <f t="shared" si="67"/>
        <v>0</v>
      </c>
      <c r="Y66" s="2">
        <f t="shared" si="68"/>
        <v>0</v>
      </c>
      <c r="Z66" s="2"/>
      <c r="AA66" s="2">
        <v>27935367</v>
      </c>
      <c r="AB66" s="2">
        <f t="shared" si="69"/>
        <v>548.29999999999995</v>
      </c>
      <c r="AC66" s="2">
        <f t="shared" si="52"/>
        <v>548.29999999999995</v>
      </c>
      <c r="AD66" s="2">
        <f>ROUND((((ET66)-(EU66))+AE66),2)</f>
        <v>0</v>
      </c>
      <c r="AE66" s="2">
        <f>ROUND((EU66),2)</f>
        <v>0</v>
      </c>
      <c r="AF66" s="2">
        <f>ROUND((EV66),2)</f>
        <v>0</v>
      </c>
      <c r="AG66" s="2">
        <f t="shared" si="70"/>
        <v>0</v>
      </c>
      <c r="AH66" s="2">
        <f>(EW66)</f>
        <v>0</v>
      </c>
      <c r="AI66" s="2">
        <f>(EX66)</f>
        <v>0</v>
      </c>
      <c r="AJ66" s="2">
        <f t="shared" si="71"/>
        <v>0</v>
      </c>
      <c r="AK66" s="2">
        <v>548.29999999999995</v>
      </c>
      <c r="AL66" s="2">
        <v>548.29999999999995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111</v>
      </c>
      <c r="AU66" s="2">
        <v>64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134</v>
      </c>
      <c r="BK66" s="2"/>
      <c r="BL66" s="2"/>
      <c r="BM66" s="2">
        <v>11001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123</v>
      </c>
      <c r="CA66" s="2">
        <v>75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72"/>
        <v>465.31</v>
      </c>
      <c r="CQ66" s="2">
        <f t="shared" si="73"/>
        <v>548.29999999999995</v>
      </c>
      <c r="CR66" s="2">
        <f t="shared" si="74"/>
        <v>0</v>
      </c>
      <c r="CS66" s="2">
        <f t="shared" si="75"/>
        <v>0</v>
      </c>
      <c r="CT66" s="2">
        <f t="shared" si="76"/>
        <v>0</v>
      </c>
      <c r="CU66" s="2">
        <f t="shared" si="77"/>
        <v>0</v>
      </c>
      <c r="CV66" s="2">
        <f t="shared" si="78"/>
        <v>0</v>
      </c>
      <c r="CW66" s="2">
        <f t="shared" si="79"/>
        <v>0</v>
      </c>
      <c r="CX66" s="2">
        <f t="shared" si="80"/>
        <v>0</v>
      </c>
      <c r="CY66" s="2">
        <f t="shared" si="81"/>
        <v>0</v>
      </c>
      <c r="CZ66" s="2">
        <f t="shared" si="82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1007</v>
      </c>
      <c r="DV66" s="2" t="s">
        <v>133</v>
      </c>
      <c r="DW66" s="2" t="s">
        <v>133</v>
      </c>
      <c r="DX66" s="2">
        <v>1</v>
      </c>
      <c r="DY66" s="2"/>
      <c r="DZ66" s="2"/>
      <c r="EA66" s="2"/>
      <c r="EB66" s="2"/>
      <c r="EC66" s="2"/>
      <c r="ED66" s="2"/>
      <c r="EE66" s="2">
        <v>27029024</v>
      </c>
      <c r="EF66" s="2">
        <v>2</v>
      </c>
      <c r="EG66" s="2" t="s">
        <v>18</v>
      </c>
      <c r="EH66" s="2">
        <v>0</v>
      </c>
      <c r="EI66" s="2" t="s">
        <v>6</v>
      </c>
      <c r="EJ66" s="2">
        <v>1</v>
      </c>
      <c r="EK66" s="2">
        <v>11001</v>
      </c>
      <c r="EL66" s="2" t="s">
        <v>119</v>
      </c>
      <c r="EM66" s="2" t="s">
        <v>129</v>
      </c>
      <c r="EN66" s="2"/>
      <c r="EO66" s="2" t="s">
        <v>6</v>
      </c>
      <c r="EP66" s="2"/>
      <c r="EQ66" s="2">
        <v>0</v>
      </c>
      <c r="ER66" s="2">
        <v>548.29999999999995</v>
      </c>
      <c r="ES66" s="2">
        <v>548.29999999999995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3"/>
        <v>0</v>
      </c>
      <c r="FS66" s="2">
        <v>0</v>
      </c>
      <c r="FT66" s="2" t="s">
        <v>21</v>
      </c>
      <c r="FU66" s="2" t="s">
        <v>22</v>
      </c>
      <c r="FV66" s="2"/>
      <c r="FW66" s="2"/>
      <c r="FX66" s="2">
        <v>110.7</v>
      </c>
      <c r="FY66" s="2">
        <v>63.75</v>
      </c>
      <c r="FZ66" s="2"/>
      <c r="GA66" s="2" t="s">
        <v>6</v>
      </c>
      <c r="GB66" s="2"/>
      <c r="GC66" s="2"/>
      <c r="GD66" s="2">
        <v>0</v>
      </c>
      <c r="GE66" s="2"/>
      <c r="GF66" s="2">
        <v>-1970722706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4"/>
        <v>0</v>
      </c>
      <c r="GM66" s="2">
        <f t="shared" si="85"/>
        <v>465.31</v>
      </c>
      <c r="GN66" s="2">
        <f t="shared" si="86"/>
        <v>465.31</v>
      </c>
      <c r="GO66" s="2">
        <f t="shared" si="87"/>
        <v>0</v>
      </c>
      <c r="GP66" s="2">
        <f t="shared" si="88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89"/>
        <v>0</v>
      </c>
      <c r="GW66" s="2">
        <v>1</v>
      </c>
      <c r="GX66" s="2">
        <f t="shared" si="90"/>
        <v>0</v>
      </c>
      <c r="GY66" s="2"/>
      <c r="GZ66" s="2"/>
      <c r="HA66" s="2">
        <v>0</v>
      </c>
      <c r="HB66" s="2">
        <v>0</v>
      </c>
      <c r="HC66" s="2">
        <f t="shared" si="91"/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148</v>
      </c>
      <c r="E67" t="s">
        <v>130</v>
      </c>
      <c r="F67" t="s">
        <v>131</v>
      </c>
      <c r="G67" t="s">
        <v>132</v>
      </c>
      <c r="H67" t="s">
        <v>133</v>
      </c>
      <c r="I67">
        <f>I65*J67</f>
        <v>0.84863999999999995</v>
      </c>
      <c r="J67">
        <v>2.04</v>
      </c>
      <c r="O67">
        <f t="shared" si="58"/>
        <v>2843.04</v>
      </c>
      <c r="P67">
        <f t="shared" si="59"/>
        <v>2843.04</v>
      </c>
      <c r="Q67">
        <f t="shared" si="60"/>
        <v>0</v>
      </c>
      <c r="R67">
        <f t="shared" si="61"/>
        <v>0</v>
      </c>
      <c r="S67">
        <f t="shared" si="62"/>
        <v>0</v>
      </c>
      <c r="T67">
        <f t="shared" si="63"/>
        <v>0</v>
      </c>
      <c r="U67">
        <f t="shared" si="64"/>
        <v>0</v>
      </c>
      <c r="V67">
        <f t="shared" si="65"/>
        <v>0</v>
      </c>
      <c r="W67">
        <f t="shared" si="66"/>
        <v>0</v>
      </c>
      <c r="X67">
        <f t="shared" si="67"/>
        <v>0</v>
      </c>
      <c r="Y67">
        <f t="shared" si="68"/>
        <v>0</v>
      </c>
      <c r="AA67">
        <v>27935368</v>
      </c>
      <c r="AB67">
        <f t="shared" si="69"/>
        <v>548.29999999999995</v>
      </c>
      <c r="AC67">
        <f t="shared" si="52"/>
        <v>548.29999999999995</v>
      </c>
      <c r="AD67">
        <f>ROUND((((ET67)-(EU67))+AE67),2)</f>
        <v>0</v>
      </c>
      <c r="AE67">
        <f>ROUND((EU67),2)</f>
        <v>0</v>
      </c>
      <c r="AF67">
        <f>ROUND((EV67),2)</f>
        <v>0</v>
      </c>
      <c r="AG67">
        <f t="shared" si="70"/>
        <v>0</v>
      </c>
      <c r="AH67">
        <f>(EW67)</f>
        <v>0</v>
      </c>
      <c r="AI67">
        <f>(EX67)</f>
        <v>0</v>
      </c>
      <c r="AJ67">
        <f t="shared" si="71"/>
        <v>0</v>
      </c>
      <c r="AK67">
        <v>548.29999999999995</v>
      </c>
      <c r="AL67">
        <v>548.29999999999995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6.11</v>
      </c>
      <c r="BA67">
        <v>1</v>
      </c>
      <c r="BB67">
        <v>1</v>
      </c>
      <c r="BC67">
        <v>6.11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134</v>
      </c>
      <c r="BM67">
        <v>11001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123</v>
      </c>
      <c r="CA67">
        <v>75</v>
      </c>
      <c r="CE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72"/>
        <v>2843.04</v>
      </c>
      <c r="CQ67">
        <f t="shared" si="73"/>
        <v>3350.1129999999998</v>
      </c>
      <c r="CR67">
        <f t="shared" si="74"/>
        <v>0</v>
      </c>
      <c r="CS67">
        <f t="shared" si="75"/>
        <v>0</v>
      </c>
      <c r="CT67">
        <f t="shared" si="76"/>
        <v>0</v>
      </c>
      <c r="CU67">
        <f t="shared" si="77"/>
        <v>0</v>
      </c>
      <c r="CV67">
        <f t="shared" si="78"/>
        <v>0</v>
      </c>
      <c r="CW67">
        <f t="shared" si="79"/>
        <v>0</v>
      </c>
      <c r="CX67">
        <f t="shared" si="80"/>
        <v>0</v>
      </c>
      <c r="CY67">
        <f t="shared" si="81"/>
        <v>0</v>
      </c>
      <c r="CZ67">
        <f t="shared" si="82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1007</v>
      </c>
      <c r="DV67" t="s">
        <v>133</v>
      </c>
      <c r="DW67" t="s">
        <v>133</v>
      </c>
      <c r="DX67">
        <v>1</v>
      </c>
      <c r="EE67">
        <v>27029024</v>
      </c>
      <c r="EF67">
        <v>2</v>
      </c>
      <c r="EG67" t="s">
        <v>18</v>
      </c>
      <c r="EH67">
        <v>0</v>
      </c>
      <c r="EI67" t="s">
        <v>6</v>
      </c>
      <c r="EJ67">
        <v>1</v>
      </c>
      <c r="EK67">
        <v>11001</v>
      </c>
      <c r="EL67" t="s">
        <v>119</v>
      </c>
      <c r="EM67" t="s">
        <v>129</v>
      </c>
      <c r="EO67" t="s">
        <v>6</v>
      </c>
      <c r="EQ67">
        <v>0</v>
      </c>
      <c r="ER67">
        <v>548.29999999999995</v>
      </c>
      <c r="ES67">
        <v>548.29999999999995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3"/>
        <v>0</v>
      </c>
      <c r="FS67">
        <v>0</v>
      </c>
      <c r="FT67" t="s">
        <v>21</v>
      </c>
      <c r="FU67" t="s">
        <v>22</v>
      </c>
      <c r="FX67">
        <v>110.7</v>
      </c>
      <c r="FY67">
        <v>63.75</v>
      </c>
      <c r="GA67" t="s">
        <v>6</v>
      </c>
      <c r="GD67">
        <v>0</v>
      </c>
      <c r="GF67">
        <v>-1970722706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4"/>
        <v>0</v>
      </c>
      <c r="GM67">
        <f t="shared" si="85"/>
        <v>2843.04</v>
      </c>
      <c r="GN67">
        <f t="shared" si="86"/>
        <v>2843.04</v>
      </c>
      <c r="GO67">
        <f t="shared" si="87"/>
        <v>0</v>
      </c>
      <c r="GP67">
        <f t="shared" si="88"/>
        <v>0</v>
      </c>
      <c r="GR67">
        <v>0</v>
      </c>
      <c r="GS67">
        <v>3</v>
      </c>
      <c r="GT67">
        <v>0</v>
      </c>
      <c r="GU67" t="s">
        <v>6</v>
      </c>
      <c r="GV67">
        <f t="shared" si="89"/>
        <v>0</v>
      </c>
      <c r="GW67">
        <v>1</v>
      </c>
      <c r="GX67">
        <f t="shared" si="90"/>
        <v>0</v>
      </c>
      <c r="HA67">
        <v>0</v>
      </c>
      <c r="HB67">
        <v>0</v>
      </c>
      <c r="HC67">
        <f t="shared" si="91"/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ROW(SmtRes!A155)</f>
        <v>155</v>
      </c>
      <c r="D68" s="2">
        <f>ROW(EtalonRes!A159)</f>
        <v>159</v>
      </c>
      <c r="E68" s="2" t="s">
        <v>135</v>
      </c>
      <c r="F68" s="2" t="s">
        <v>136</v>
      </c>
      <c r="G68" s="2" t="s">
        <v>137</v>
      </c>
      <c r="H68" s="2" t="s">
        <v>16</v>
      </c>
      <c r="I68" s="2">
        <f>ROUND(41.6/100,9)</f>
        <v>0.41599999999999998</v>
      </c>
      <c r="J68" s="2">
        <v>0</v>
      </c>
      <c r="K68" s="2"/>
      <c r="L68" s="2"/>
      <c r="M68" s="2"/>
      <c r="N68" s="2"/>
      <c r="O68" s="2">
        <f t="shared" si="58"/>
        <v>4608.71</v>
      </c>
      <c r="P68" s="2">
        <f t="shared" si="59"/>
        <v>4451.75</v>
      </c>
      <c r="Q68" s="2">
        <f t="shared" si="60"/>
        <v>3.24</v>
      </c>
      <c r="R68" s="2">
        <f t="shared" si="61"/>
        <v>1.02</v>
      </c>
      <c r="S68" s="2">
        <f t="shared" si="62"/>
        <v>153.72</v>
      </c>
      <c r="T68" s="2">
        <f t="shared" si="63"/>
        <v>0</v>
      </c>
      <c r="U68" s="2">
        <f t="shared" si="64"/>
        <v>18.021327999999997</v>
      </c>
      <c r="V68" s="2">
        <f t="shared" si="65"/>
        <v>8.8400000000000006E-2</v>
      </c>
      <c r="W68" s="2">
        <f t="shared" si="66"/>
        <v>0</v>
      </c>
      <c r="X68" s="2">
        <f t="shared" si="67"/>
        <v>171.76</v>
      </c>
      <c r="Y68" s="2">
        <f t="shared" si="68"/>
        <v>99.03</v>
      </c>
      <c r="Z68" s="2"/>
      <c r="AA68" s="2">
        <v>27935367</v>
      </c>
      <c r="AB68" s="2">
        <f t="shared" si="69"/>
        <v>11078.65</v>
      </c>
      <c r="AC68" s="2">
        <f t="shared" si="52"/>
        <v>10701.33</v>
      </c>
      <c r="AD68" s="2">
        <f>ROUND(((((ET68*1.25))-((EU68*1.25)))+AE68),2)</f>
        <v>7.79</v>
      </c>
      <c r="AE68" s="2">
        <f>ROUND(((EU68*1.25)),2)</f>
        <v>2.46</v>
      </c>
      <c r="AF68" s="2">
        <f>ROUND(((EV68*1.15)),2)</f>
        <v>369.53</v>
      </c>
      <c r="AG68" s="2">
        <f t="shared" si="70"/>
        <v>0</v>
      </c>
      <c r="AH68" s="2">
        <f>((EW68*1.15))</f>
        <v>43.320499999999996</v>
      </c>
      <c r="AI68" s="2">
        <f>((EX68*1.25))</f>
        <v>0.21250000000000002</v>
      </c>
      <c r="AJ68" s="2">
        <f t="shared" si="71"/>
        <v>0</v>
      </c>
      <c r="AK68" s="2">
        <v>11028.89</v>
      </c>
      <c r="AL68" s="2">
        <v>10701.33</v>
      </c>
      <c r="AM68" s="2">
        <v>6.23</v>
      </c>
      <c r="AN68" s="2">
        <v>1.97</v>
      </c>
      <c r="AO68" s="2">
        <v>321.33</v>
      </c>
      <c r="AP68" s="2">
        <v>0</v>
      </c>
      <c r="AQ68" s="2">
        <v>37.67</v>
      </c>
      <c r="AR68" s="2">
        <v>0.17</v>
      </c>
      <c r="AS68" s="2">
        <v>0</v>
      </c>
      <c r="AT68" s="2">
        <v>111</v>
      </c>
      <c r="AU68" s="2">
        <v>64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138</v>
      </c>
      <c r="BK68" s="2"/>
      <c r="BL68" s="2"/>
      <c r="BM68" s="2">
        <v>11001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123</v>
      </c>
      <c r="CA68" s="2">
        <v>75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766</v>
      </c>
      <c r="CO68" s="2">
        <v>0</v>
      </c>
      <c r="CP68" s="2">
        <f t="shared" si="72"/>
        <v>4608.71</v>
      </c>
      <c r="CQ68" s="2">
        <f t="shared" si="73"/>
        <v>10701.33</v>
      </c>
      <c r="CR68" s="2">
        <f t="shared" si="74"/>
        <v>7.79</v>
      </c>
      <c r="CS68" s="2">
        <f t="shared" si="75"/>
        <v>2.46</v>
      </c>
      <c r="CT68" s="2">
        <f t="shared" si="76"/>
        <v>369.53</v>
      </c>
      <c r="CU68" s="2">
        <f t="shared" si="77"/>
        <v>0</v>
      </c>
      <c r="CV68" s="2">
        <f t="shared" si="78"/>
        <v>43.320499999999996</v>
      </c>
      <c r="CW68" s="2">
        <f t="shared" si="79"/>
        <v>0.21250000000000002</v>
      </c>
      <c r="CX68" s="2">
        <f t="shared" si="80"/>
        <v>0</v>
      </c>
      <c r="CY68" s="2">
        <f t="shared" si="81"/>
        <v>171.76139999999998</v>
      </c>
      <c r="CZ68" s="2">
        <f t="shared" si="82"/>
        <v>99.033600000000007</v>
      </c>
      <c r="DA68" s="2"/>
      <c r="DB68" s="2"/>
      <c r="DC68" s="2" t="s">
        <v>6</v>
      </c>
      <c r="DD68" s="2" t="s">
        <v>6</v>
      </c>
      <c r="DE68" s="2" t="s">
        <v>27</v>
      </c>
      <c r="DF68" s="2" t="s">
        <v>27</v>
      </c>
      <c r="DG68" s="2" t="s">
        <v>28</v>
      </c>
      <c r="DH68" s="2" t="s">
        <v>6</v>
      </c>
      <c r="DI68" s="2" t="s">
        <v>28</v>
      </c>
      <c r="DJ68" s="2" t="s">
        <v>27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16</v>
      </c>
      <c r="DW68" s="2" t="s">
        <v>16</v>
      </c>
      <c r="DX68" s="2">
        <v>100</v>
      </c>
      <c r="DY68" s="2"/>
      <c r="DZ68" s="2"/>
      <c r="EA68" s="2"/>
      <c r="EB68" s="2"/>
      <c r="EC68" s="2"/>
      <c r="ED68" s="2"/>
      <c r="EE68" s="2">
        <v>27029024</v>
      </c>
      <c r="EF68" s="2">
        <v>2</v>
      </c>
      <c r="EG68" s="2" t="s">
        <v>18</v>
      </c>
      <c r="EH68" s="2">
        <v>0</v>
      </c>
      <c r="EI68" s="2" t="s">
        <v>6</v>
      </c>
      <c r="EJ68" s="2">
        <v>1</v>
      </c>
      <c r="EK68" s="2">
        <v>11001</v>
      </c>
      <c r="EL68" s="2" t="s">
        <v>119</v>
      </c>
      <c r="EM68" s="2" t="s">
        <v>129</v>
      </c>
      <c r="EN68" s="2"/>
      <c r="EO68" s="2" t="s">
        <v>31</v>
      </c>
      <c r="EP68" s="2"/>
      <c r="EQ68" s="2">
        <v>131072</v>
      </c>
      <c r="ER68" s="2">
        <v>11028.89</v>
      </c>
      <c r="ES68" s="2">
        <v>10701.33</v>
      </c>
      <c r="ET68" s="2">
        <v>6.23</v>
      </c>
      <c r="EU68" s="2">
        <v>1.97</v>
      </c>
      <c r="EV68" s="2">
        <v>321.33</v>
      </c>
      <c r="EW68" s="2">
        <v>37.67</v>
      </c>
      <c r="EX68" s="2">
        <v>0.17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3"/>
        <v>0</v>
      </c>
      <c r="FS68" s="2">
        <v>0</v>
      </c>
      <c r="FT68" s="2" t="s">
        <v>21</v>
      </c>
      <c r="FU68" s="2" t="s">
        <v>22</v>
      </c>
      <c r="FV68" s="2"/>
      <c r="FW68" s="2"/>
      <c r="FX68" s="2">
        <v>110.7</v>
      </c>
      <c r="FY68" s="2">
        <v>63.75</v>
      </c>
      <c r="FZ68" s="2"/>
      <c r="GA68" s="2" t="s">
        <v>6</v>
      </c>
      <c r="GB68" s="2"/>
      <c r="GC68" s="2"/>
      <c r="GD68" s="2">
        <v>0</v>
      </c>
      <c r="GE68" s="2"/>
      <c r="GF68" s="2">
        <v>1715562049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4"/>
        <v>0</v>
      </c>
      <c r="GM68" s="2">
        <f t="shared" si="85"/>
        <v>4879.5</v>
      </c>
      <c r="GN68" s="2">
        <f t="shared" si="86"/>
        <v>4879.5</v>
      </c>
      <c r="GO68" s="2">
        <f t="shared" si="87"/>
        <v>0</v>
      </c>
      <c r="GP68" s="2">
        <f t="shared" si="88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89"/>
        <v>0</v>
      </c>
      <c r="GW68" s="2">
        <v>1</v>
      </c>
      <c r="GX68" s="2">
        <f t="shared" si="90"/>
        <v>0</v>
      </c>
      <c r="GY68" s="2"/>
      <c r="GZ68" s="2"/>
      <c r="HA68" s="2">
        <v>0</v>
      </c>
      <c r="HB68" s="2">
        <v>0</v>
      </c>
      <c r="HC68" s="2">
        <f t="shared" si="91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ROW(SmtRes!A162)</f>
        <v>162</v>
      </c>
      <c r="D69">
        <f>ROW(EtalonRes!A166)</f>
        <v>166</v>
      </c>
      <c r="E69" t="s">
        <v>135</v>
      </c>
      <c r="F69" t="s">
        <v>136</v>
      </c>
      <c r="G69" t="s">
        <v>137</v>
      </c>
      <c r="H69" t="s">
        <v>16</v>
      </c>
      <c r="I69">
        <f>ROUND(41.6/100,9)</f>
        <v>0.41599999999999998</v>
      </c>
      <c r="J69">
        <v>0</v>
      </c>
      <c r="O69">
        <f t="shared" si="58"/>
        <v>28159.27</v>
      </c>
      <c r="P69">
        <f t="shared" si="59"/>
        <v>27200.21</v>
      </c>
      <c r="Q69">
        <f t="shared" si="60"/>
        <v>19.8</v>
      </c>
      <c r="R69">
        <f t="shared" si="61"/>
        <v>6.25</v>
      </c>
      <c r="S69">
        <f t="shared" si="62"/>
        <v>939.26</v>
      </c>
      <c r="T69">
        <f t="shared" si="63"/>
        <v>0</v>
      </c>
      <c r="U69">
        <f t="shared" si="64"/>
        <v>18.021327999999997</v>
      </c>
      <c r="V69">
        <f t="shared" si="65"/>
        <v>8.8400000000000006E-2</v>
      </c>
      <c r="W69">
        <f t="shared" si="66"/>
        <v>0</v>
      </c>
      <c r="X69">
        <f t="shared" si="67"/>
        <v>1049.52</v>
      </c>
      <c r="Y69">
        <f t="shared" si="68"/>
        <v>605.13</v>
      </c>
      <c r="AA69">
        <v>27935368</v>
      </c>
      <c r="AB69">
        <f t="shared" si="69"/>
        <v>11078.65</v>
      </c>
      <c r="AC69">
        <f t="shared" si="52"/>
        <v>10701.33</v>
      </c>
      <c r="AD69">
        <f>ROUND(((((ET69*1.25))-((EU69*1.25)))+AE69),2)</f>
        <v>7.79</v>
      </c>
      <c r="AE69">
        <f>ROUND(((EU69*1.25)),2)</f>
        <v>2.46</v>
      </c>
      <c r="AF69">
        <f>ROUND(((EV69*1.15)),2)</f>
        <v>369.53</v>
      </c>
      <c r="AG69">
        <f t="shared" si="70"/>
        <v>0</v>
      </c>
      <c r="AH69">
        <f>((EW69*1.15))</f>
        <v>43.320499999999996</v>
      </c>
      <c r="AI69">
        <f>((EX69*1.25))</f>
        <v>0.21250000000000002</v>
      </c>
      <c r="AJ69">
        <f t="shared" si="71"/>
        <v>0</v>
      </c>
      <c r="AK69">
        <v>11028.89</v>
      </c>
      <c r="AL69">
        <v>10701.33</v>
      </c>
      <c r="AM69">
        <v>6.23</v>
      </c>
      <c r="AN69">
        <v>1.97</v>
      </c>
      <c r="AO69">
        <v>321.33</v>
      </c>
      <c r="AP69">
        <v>0</v>
      </c>
      <c r="AQ69">
        <v>37.67</v>
      </c>
      <c r="AR69">
        <v>0.17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6.11</v>
      </c>
      <c r="BA69">
        <v>6.11</v>
      </c>
      <c r="BB69">
        <v>6.11</v>
      </c>
      <c r="BC69">
        <v>6.11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138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6.11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E69">
        <v>0</v>
      </c>
      <c r="CF69">
        <v>0</v>
      </c>
      <c r="CG69">
        <v>0</v>
      </c>
      <c r="CM69">
        <v>0</v>
      </c>
      <c r="CN69" t="s">
        <v>766</v>
      </c>
      <c r="CO69">
        <v>0</v>
      </c>
      <c r="CP69">
        <f t="shared" si="72"/>
        <v>28159.269999999997</v>
      </c>
      <c r="CQ69">
        <f t="shared" si="73"/>
        <v>65385.126300000004</v>
      </c>
      <c r="CR69">
        <f t="shared" si="74"/>
        <v>47.596900000000005</v>
      </c>
      <c r="CS69">
        <f t="shared" si="75"/>
        <v>15.0306</v>
      </c>
      <c r="CT69">
        <f t="shared" si="76"/>
        <v>2257.8283000000001</v>
      </c>
      <c r="CU69">
        <f t="shared" si="77"/>
        <v>0</v>
      </c>
      <c r="CV69">
        <f t="shared" si="78"/>
        <v>43.320499999999996</v>
      </c>
      <c r="CW69">
        <f t="shared" si="79"/>
        <v>0.21250000000000002</v>
      </c>
      <c r="CX69">
        <f t="shared" si="80"/>
        <v>0</v>
      </c>
      <c r="CY69">
        <f t="shared" si="81"/>
        <v>1049.5161000000001</v>
      </c>
      <c r="CZ69">
        <f t="shared" si="82"/>
        <v>605.12639999999999</v>
      </c>
      <c r="DC69" t="s">
        <v>6</v>
      </c>
      <c r="DD69" t="s">
        <v>6</v>
      </c>
      <c r="DE69" t="s">
        <v>27</v>
      </c>
      <c r="DF69" t="s">
        <v>27</v>
      </c>
      <c r="DG69" t="s">
        <v>28</v>
      </c>
      <c r="DH69" t="s">
        <v>6</v>
      </c>
      <c r="DI69" t="s">
        <v>28</v>
      </c>
      <c r="DJ69" t="s">
        <v>27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16</v>
      </c>
      <c r="DW69" t="s">
        <v>16</v>
      </c>
      <c r="DX69">
        <v>100</v>
      </c>
      <c r="EE69">
        <v>27029024</v>
      </c>
      <c r="EF69">
        <v>2</v>
      </c>
      <c r="EG69" t="s">
        <v>18</v>
      </c>
      <c r="EH69">
        <v>0</v>
      </c>
      <c r="EI69" t="s">
        <v>6</v>
      </c>
      <c r="EJ69">
        <v>1</v>
      </c>
      <c r="EK69">
        <v>11001</v>
      </c>
      <c r="EL69" t="s">
        <v>119</v>
      </c>
      <c r="EM69" t="s">
        <v>129</v>
      </c>
      <c r="EO69" t="s">
        <v>31</v>
      </c>
      <c r="EQ69">
        <v>131072</v>
      </c>
      <c r="ER69">
        <v>11028.89</v>
      </c>
      <c r="ES69">
        <v>10701.33</v>
      </c>
      <c r="ET69">
        <v>6.23</v>
      </c>
      <c r="EU69">
        <v>1.97</v>
      </c>
      <c r="EV69">
        <v>321.33</v>
      </c>
      <c r="EW69">
        <v>37.67</v>
      </c>
      <c r="EX69">
        <v>0.17</v>
      </c>
      <c r="EY69">
        <v>0</v>
      </c>
      <c r="FQ69">
        <v>0</v>
      </c>
      <c r="FR69">
        <f t="shared" si="83"/>
        <v>0</v>
      </c>
      <c r="FS69">
        <v>0</v>
      </c>
      <c r="FT69" t="s">
        <v>21</v>
      </c>
      <c r="FU69" t="s">
        <v>22</v>
      </c>
      <c r="FX69">
        <v>110.7</v>
      </c>
      <c r="FY69">
        <v>63.75</v>
      </c>
      <c r="GA69" t="s">
        <v>6</v>
      </c>
      <c r="GD69">
        <v>0</v>
      </c>
      <c r="GF69">
        <v>1715562049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4"/>
        <v>0</v>
      </c>
      <c r="GM69">
        <f t="shared" si="85"/>
        <v>29813.919999999998</v>
      </c>
      <c r="GN69">
        <f t="shared" si="86"/>
        <v>29813.919999999998</v>
      </c>
      <c r="GO69">
        <f t="shared" si="87"/>
        <v>0</v>
      </c>
      <c r="GP69">
        <f t="shared" si="88"/>
        <v>0</v>
      </c>
      <c r="GR69">
        <v>0</v>
      </c>
      <c r="GS69">
        <v>3</v>
      </c>
      <c r="GT69">
        <v>0</v>
      </c>
      <c r="GU69" t="s">
        <v>6</v>
      </c>
      <c r="GV69">
        <f t="shared" si="89"/>
        <v>0</v>
      </c>
      <c r="GW69">
        <v>1</v>
      </c>
      <c r="GX69">
        <f t="shared" si="90"/>
        <v>0</v>
      </c>
      <c r="HA69">
        <v>0</v>
      </c>
      <c r="HB69">
        <v>0</v>
      </c>
      <c r="HC69">
        <f t="shared" si="91"/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ROW(SmtRes!A174)</f>
        <v>174</v>
      </c>
      <c r="D70" s="2">
        <f>ROW(EtalonRes!A178)</f>
        <v>178</v>
      </c>
      <c r="E70" s="2" t="s">
        <v>139</v>
      </c>
      <c r="F70" s="2" t="s">
        <v>140</v>
      </c>
      <c r="G70" s="2" t="s">
        <v>141</v>
      </c>
      <c r="H70" s="2" t="s">
        <v>16</v>
      </c>
      <c r="I70" s="2">
        <f>ROUND(41.6/100,9)</f>
        <v>0.41599999999999998</v>
      </c>
      <c r="J70" s="2">
        <v>0</v>
      </c>
      <c r="K70" s="2"/>
      <c r="L70" s="2"/>
      <c r="M70" s="2"/>
      <c r="N70" s="2"/>
      <c r="O70" s="2">
        <f t="shared" si="58"/>
        <v>9147.7800000000007</v>
      </c>
      <c r="P70" s="2">
        <f t="shared" si="59"/>
        <v>7837.29</v>
      </c>
      <c r="Q70" s="2">
        <f t="shared" si="60"/>
        <v>12.56</v>
      </c>
      <c r="R70" s="2">
        <f t="shared" si="61"/>
        <v>9.11</v>
      </c>
      <c r="S70" s="2">
        <f t="shared" si="62"/>
        <v>1297.93</v>
      </c>
      <c r="T70" s="2">
        <f t="shared" si="63"/>
        <v>0</v>
      </c>
      <c r="U70" s="2">
        <f t="shared" si="64"/>
        <v>148.50492800000001</v>
      </c>
      <c r="V70" s="2">
        <f t="shared" si="65"/>
        <v>0.89959999999999996</v>
      </c>
      <c r="W70" s="2">
        <f t="shared" si="66"/>
        <v>0</v>
      </c>
      <c r="X70" s="2">
        <f t="shared" si="67"/>
        <v>1450.81</v>
      </c>
      <c r="Y70" s="2">
        <f t="shared" si="68"/>
        <v>836.51</v>
      </c>
      <c r="Z70" s="2"/>
      <c r="AA70" s="2">
        <v>27935367</v>
      </c>
      <c r="AB70" s="2">
        <f t="shared" si="69"/>
        <v>21989.86</v>
      </c>
      <c r="AC70" s="2">
        <f t="shared" si="52"/>
        <v>18839.64</v>
      </c>
      <c r="AD70" s="2">
        <f>ROUND(((((ET70*1.25))-((EU70*1.25)))+AE70),2)</f>
        <v>30.19</v>
      </c>
      <c r="AE70" s="2">
        <f>ROUND(((EU70*1.25)),2)</f>
        <v>21.89</v>
      </c>
      <c r="AF70" s="2">
        <f>ROUND(((EV70*1.15)),2)</f>
        <v>3120.03</v>
      </c>
      <c r="AG70" s="2">
        <f t="shared" si="70"/>
        <v>0</v>
      </c>
      <c r="AH70" s="2">
        <f>((EW70*1.15))</f>
        <v>356.983</v>
      </c>
      <c r="AI70" s="2">
        <f>((EX70*1.25))</f>
        <v>2.1625000000000001</v>
      </c>
      <c r="AJ70" s="2">
        <f t="shared" si="71"/>
        <v>0</v>
      </c>
      <c r="AK70" s="2">
        <v>21576.86</v>
      </c>
      <c r="AL70" s="2">
        <v>18839.64</v>
      </c>
      <c r="AM70" s="2">
        <v>24.15</v>
      </c>
      <c r="AN70" s="2">
        <v>17.510000000000002</v>
      </c>
      <c r="AO70" s="2">
        <v>2713.07</v>
      </c>
      <c r="AP70" s="2">
        <v>0</v>
      </c>
      <c r="AQ70" s="2">
        <v>310.42</v>
      </c>
      <c r="AR70" s="2">
        <v>1.73</v>
      </c>
      <c r="AS70" s="2">
        <v>0</v>
      </c>
      <c r="AT70" s="2">
        <v>111</v>
      </c>
      <c r="AU70" s="2">
        <v>64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142</v>
      </c>
      <c r="BK70" s="2"/>
      <c r="BL70" s="2"/>
      <c r="BM70" s="2">
        <v>11001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123</v>
      </c>
      <c r="CA70" s="2">
        <v>75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766</v>
      </c>
      <c r="CO70" s="2">
        <v>0</v>
      </c>
      <c r="CP70" s="2">
        <f t="shared" si="72"/>
        <v>9147.7800000000007</v>
      </c>
      <c r="CQ70" s="2">
        <f t="shared" si="73"/>
        <v>18839.64</v>
      </c>
      <c r="CR70" s="2">
        <f t="shared" si="74"/>
        <v>30.19</v>
      </c>
      <c r="CS70" s="2">
        <f t="shared" si="75"/>
        <v>21.89</v>
      </c>
      <c r="CT70" s="2">
        <f t="shared" si="76"/>
        <v>3120.03</v>
      </c>
      <c r="CU70" s="2">
        <f t="shared" si="77"/>
        <v>0</v>
      </c>
      <c r="CV70" s="2">
        <f t="shared" si="78"/>
        <v>356.983</v>
      </c>
      <c r="CW70" s="2">
        <f t="shared" si="79"/>
        <v>2.1625000000000001</v>
      </c>
      <c r="CX70" s="2">
        <f t="shared" si="80"/>
        <v>0</v>
      </c>
      <c r="CY70" s="2">
        <f t="shared" si="81"/>
        <v>1450.8144</v>
      </c>
      <c r="CZ70" s="2">
        <f t="shared" si="82"/>
        <v>836.50559999999996</v>
      </c>
      <c r="DA70" s="2"/>
      <c r="DB70" s="2"/>
      <c r="DC70" s="2" t="s">
        <v>6</v>
      </c>
      <c r="DD70" s="2" t="s">
        <v>6</v>
      </c>
      <c r="DE70" s="2" t="s">
        <v>27</v>
      </c>
      <c r="DF70" s="2" t="s">
        <v>27</v>
      </c>
      <c r="DG70" s="2" t="s">
        <v>28</v>
      </c>
      <c r="DH70" s="2" t="s">
        <v>6</v>
      </c>
      <c r="DI70" s="2" t="s">
        <v>28</v>
      </c>
      <c r="DJ70" s="2" t="s">
        <v>27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16</v>
      </c>
      <c r="DW70" s="2" t="s">
        <v>16</v>
      </c>
      <c r="DX70" s="2">
        <v>100</v>
      </c>
      <c r="DY70" s="2"/>
      <c r="DZ70" s="2"/>
      <c r="EA70" s="2"/>
      <c r="EB70" s="2"/>
      <c r="EC70" s="2"/>
      <c r="ED70" s="2"/>
      <c r="EE70" s="2">
        <v>27029024</v>
      </c>
      <c r="EF70" s="2">
        <v>2</v>
      </c>
      <c r="EG70" s="2" t="s">
        <v>18</v>
      </c>
      <c r="EH70" s="2">
        <v>0</v>
      </c>
      <c r="EI70" s="2" t="s">
        <v>6</v>
      </c>
      <c r="EJ70" s="2">
        <v>1</v>
      </c>
      <c r="EK70" s="2">
        <v>11001</v>
      </c>
      <c r="EL70" s="2" t="s">
        <v>119</v>
      </c>
      <c r="EM70" s="2" t="s">
        <v>129</v>
      </c>
      <c r="EN70" s="2"/>
      <c r="EO70" s="2" t="s">
        <v>31</v>
      </c>
      <c r="EP70" s="2"/>
      <c r="EQ70" s="2">
        <v>131072</v>
      </c>
      <c r="ER70" s="2">
        <v>21576.86</v>
      </c>
      <c r="ES70" s="2">
        <v>18839.64</v>
      </c>
      <c r="ET70" s="2">
        <v>24.15</v>
      </c>
      <c r="EU70" s="2">
        <v>17.510000000000002</v>
      </c>
      <c r="EV70" s="2">
        <v>2713.07</v>
      </c>
      <c r="EW70" s="2">
        <v>310.42</v>
      </c>
      <c r="EX70" s="2">
        <v>1.73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3"/>
        <v>0</v>
      </c>
      <c r="FS70" s="2">
        <v>0</v>
      </c>
      <c r="FT70" s="2" t="s">
        <v>21</v>
      </c>
      <c r="FU70" s="2" t="s">
        <v>22</v>
      </c>
      <c r="FV70" s="2"/>
      <c r="FW70" s="2"/>
      <c r="FX70" s="2">
        <v>110.7</v>
      </c>
      <c r="FY70" s="2">
        <v>63.75</v>
      </c>
      <c r="FZ70" s="2"/>
      <c r="GA70" s="2" t="s">
        <v>6</v>
      </c>
      <c r="GB70" s="2"/>
      <c r="GC70" s="2"/>
      <c r="GD70" s="2">
        <v>0</v>
      </c>
      <c r="GE70" s="2"/>
      <c r="GF70" s="2">
        <v>1016495109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4"/>
        <v>0</v>
      </c>
      <c r="GM70" s="2">
        <f t="shared" si="85"/>
        <v>11435.1</v>
      </c>
      <c r="GN70" s="2">
        <f t="shared" si="86"/>
        <v>11435.1</v>
      </c>
      <c r="GO70" s="2">
        <f t="shared" si="87"/>
        <v>0</v>
      </c>
      <c r="GP70" s="2">
        <f t="shared" si="88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89"/>
        <v>0</v>
      </c>
      <c r="GW70" s="2">
        <v>1</v>
      </c>
      <c r="GX70" s="2">
        <f t="shared" si="90"/>
        <v>0</v>
      </c>
      <c r="GY70" s="2"/>
      <c r="GZ70" s="2"/>
      <c r="HA70" s="2">
        <v>0</v>
      </c>
      <c r="HB70" s="2">
        <v>0</v>
      </c>
      <c r="HC70" s="2">
        <f t="shared" si="91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ROW(SmtRes!A186)</f>
        <v>186</v>
      </c>
      <c r="D71">
        <f>ROW(EtalonRes!A190)</f>
        <v>190</v>
      </c>
      <c r="E71" t="s">
        <v>139</v>
      </c>
      <c r="F71" t="s">
        <v>140</v>
      </c>
      <c r="G71" t="s">
        <v>141</v>
      </c>
      <c r="H71" t="s">
        <v>16</v>
      </c>
      <c r="I71">
        <f>ROUND(41.6/100,9)</f>
        <v>0.41599999999999998</v>
      </c>
      <c r="J71">
        <v>0</v>
      </c>
      <c r="O71">
        <f t="shared" si="58"/>
        <v>55892.95</v>
      </c>
      <c r="P71">
        <f t="shared" si="59"/>
        <v>47885.84</v>
      </c>
      <c r="Q71">
        <f t="shared" si="60"/>
        <v>76.739999999999995</v>
      </c>
      <c r="R71">
        <f t="shared" si="61"/>
        <v>55.64</v>
      </c>
      <c r="S71">
        <f t="shared" si="62"/>
        <v>7930.37</v>
      </c>
      <c r="T71">
        <f t="shared" si="63"/>
        <v>0</v>
      </c>
      <c r="U71">
        <f t="shared" si="64"/>
        <v>148.50492800000001</v>
      </c>
      <c r="V71">
        <f t="shared" si="65"/>
        <v>0.89959999999999996</v>
      </c>
      <c r="W71">
        <f t="shared" si="66"/>
        <v>0</v>
      </c>
      <c r="X71">
        <f t="shared" si="67"/>
        <v>8864.4699999999993</v>
      </c>
      <c r="Y71">
        <f t="shared" si="68"/>
        <v>5111.05</v>
      </c>
      <c r="AA71">
        <v>27935368</v>
      </c>
      <c r="AB71">
        <f t="shared" si="69"/>
        <v>21989.86</v>
      </c>
      <c r="AC71">
        <f t="shared" si="52"/>
        <v>18839.64</v>
      </c>
      <c r="AD71">
        <f>ROUND(((((ET71*1.25))-((EU71*1.25)))+AE71),2)</f>
        <v>30.19</v>
      </c>
      <c r="AE71">
        <f>ROUND(((EU71*1.25)),2)</f>
        <v>21.89</v>
      </c>
      <c r="AF71">
        <f>ROUND(((EV71*1.15)),2)</f>
        <v>3120.03</v>
      </c>
      <c r="AG71">
        <f t="shared" si="70"/>
        <v>0</v>
      </c>
      <c r="AH71">
        <f>((EW71*1.15))</f>
        <v>356.983</v>
      </c>
      <c r="AI71">
        <f>((EX71*1.25))</f>
        <v>2.1625000000000001</v>
      </c>
      <c r="AJ71">
        <f t="shared" si="71"/>
        <v>0</v>
      </c>
      <c r="AK71">
        <v>21576.86</v>
      </c>
      <c r="AL71">
        <v>18839.64</v>
      </c>
      <c r="AM71">
        <v>24.15</v>
      </c>
      <c r="AN71">
        <v>17.510000000000002</v>
      </c>
      <c r="AO71">
        <v>2713.07</v>
      </c>
      <c r="AP71">
        <v>0</v>
      </c>
      <c r="AQ71">
        <v>310.42</v>
      </c>
      <c r="AR71">
        <v>1.73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6.11</v>
      </c>
      <c r="BA71">
        <v>6.11</v>
      </c>
      <c r="BB71">
        <v>6.11</v>
      </c>
      <c r="BC71">
        <v>6.11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142</v>
      </c>
      <c r="BM71">
        <v>11001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6.11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123</v>
      </c>
      <c r="CA71">
        <v>75</v>
      </c>
      <c r="CE71">
        <v>0</v>
      </c>
      <c r="CF71">
        <v>0</v>
      </c>
      <c r="CG71">
        <v>0</v>
      </c>
      <c r="CM71">
        <v>0</v>
      </c>
      <c r="CN71" t="s">
        <v>766</v>
      </c>
      <c r="CO71">
        <v>0</v>
      </c>
      <c r="CP71">
        <f t="shared" si="72"/>
        <v>55892.95</v>
      </c>
      <c r="CQ71">
        <f t="shared" si="73"/>
        <v>115110.2004</v>
      </c>
      <c r="CR71">
        <f t="shared" si="74"/>
        <v>184.46090000000001</v>
      </c>
      <c r="CS71">
        <f t="shared" si="75"/>
        <v>133.74790000000002</v>
      </c>
      <c r="CT71">
        <f t="shared" si="76"/>
        <v>19063.383300000001</v>
      </c>
      <c r="CU71">
        <f t="shared" si="77"/>
        <v>0</v>
      </c>
      <c r="CV71">
        <f t="shared" si="78"/>
        <v>356.983</v>
      </c>
      <c r="CW71">
        <f t="shared" si="79"/>
        <v>2.1625000000000001</v>
      </c>
      <c r="CX71">
        <f t="shared" si="80"/>
        <v>0</v>
      </c>
      <c r="CY71">
        <f t="shared" si="81"/>
        <v>8864.4711000000007</v>
      </c>
      <c r="CZ71">
        <f t="shared" si="82"/>
        <v>5111.0464000000002</v>
      </c>
      <c r="DC71" t="s">
        <v>6</v>
      </c>
      <c r="DD71" t="s">
        <v>6</v>
      </c>
      <c r="DE71" t="s">
        <v>27</v>
      </c>
      <c r="DF71" t="s">
        <v>27</v>
      </c>
      <c r="DG71" t="s">
        <v>28</v>
      </c>
      <c r="DH71" t="s">
        <v>6</v>
      </c>
      <c r="DI71" t="s">
        <v>28</v>
      </c>
      <c r="DJ71" t="s">
        <v>27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16</v>
      </c>
      <c r="DW71" t="s">
        <v>16</v>
      </c>
      <c r="DX71">
        <v>100</v>
      </c>
      <c r="EE71">
        <v>27029024</v>
      </c>
      <c r="EF71">
        <v>2</v>
      </c>
      <c r="EG71" t="s">
        <v>18</v>
      </c>
      <c r="EH71">
        <v>0</v>
      </c>
      <c r="EI71" t="s">
        <v>6</v>
      </c>
      <c r="EJ71">
        <v>1</v>
      </c>
      <c r="EK71">
        <v>11001</v>
      </c>
      <c r="EL71" t="s">
        <v>119</v>
      </c>
      <c r="EM71" t="s">
        <v>129</v>
      </c>
      <c r="EO71" t="s">
        <v>31</v>
      </c>
      <c r="EQ71">
        <v>131072</v>
      </c>
      <c r="ER71">
        <v>21576.86</v>
      </c>
      <c r="ES71">
        <v>18839.64</v>
      </c>
      <c r="ET71">
        <v>24.15</v>
      </c>
      <c r="EU71">
        <v>17.510000000000002</v>
      </c>
      <c r="EV71">
        <v>2713.07</v>
      </c>
      <c r="EW71">
        <v>310.42</v>
      </c>
      <c r="EX71">
        <v>1.73</v>
      </c>
      <c r="EY71">
        <v>0</v>
      </c>
      <c r="FQ71">
        <v>0</v>
      </c>
      <c r="FR71">
        <f t="shared" si="83"/>
        <v>0</v>
      </c>
      <c r="FS71">
        <v>0</v>
      </c>
      <c r="FT71" t="s">
        <v>21</v>
      </c>
      <c r="FU71" t="s">
        <v>22</v>
      </c>
      <c r="FX71">
        <v>110.7</v>
      </c>
      <c r="FY71">
        <v>63.75</v>
      </c>
      <c r="GA71" t="s">
        <v>6</v>
      </c>
      <c r="GD71">
        <v>0</v>
      </c>
      <c r="GF71">
        <v>1016495109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4"/>
        <v>0</v>
      </c>
      <c r="GM71">
        <f t="shared" si="85"/>
        <v>69868.47</v>
      </c>
      <c r="GN71">
        <f t="shared" si="86"/>
        <v>69868.47</v>
      </c>
      <c r="GO71">
        <f t="shared" si="87"/>
        <v>0</v>
      </c>
      <c r="GP71">
        <f t="shared" si="88"/>
        <v>0</v>
      </c>
      <c r="GR71">
        <v>0</v>
      </c>
      <c r="GS71">
        <v>3</v>
      </c>
      <c r="GT71">
        <v>0</v>
      </c>
      <c r="GU71" t="s">
        <v>6</v>
      </c>
      <c r="GV71">
        <f t="shared" si="89"/>
        <v>0</v>
      </c>
      <c r="GW71">
        <v>1</v>
      </c>
      <c r="GX71">
        <f t="shared" si="90"/>
        <v>0</v>
      </c>
      <c r="HA71">
        <v>0</v>
      </c>
      <c r="HB71">
        <v>0</v>
      </c>
      <c r="HC71">
        <f t="shared" si="91"/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174</v>
      </c>
      <c r="D72" s="2"/>
      <c r="E72" s="2" t="s">
        <v>143</v>
      </c>
      <c r="F72" s="2" t="s">
        <v>144</v>
      </c>
      <c r="G72" s="2" t="s">
        <v>145</v>
      </c>
      <c r="H72" s="2" t="s">
        <v>60</v>
      </c>
      <c r="I72" s="2">
        <f>I70*J72</f>
        <v>5.4080000000000004</v>
      </c>
      <c r="J72" s="2">
        <v>13.000000000000002</v>
      </c>
      <c r="K72" s="2"/>
      <c r="L72" s="2"/>
      <c r="M72" s="2"/>
      <c r="N72" s="2"/>
      <c r="O72" s="2">
        <f t="shared" si="58"/>
        <v>82.47</v>
      </c>
      <c r="P72" s="2">
        <f t="shared" si="59"/>
        <v>82.47</v>
      </c>
      <c r="Q72" s="2">
        <f t="shared" si="60"/>
        <v>0</v>
      </c>
      <c r="R72" s="2">
        <f t="shared" si="61"/>
        <v>0</v>
      </c>
      <c r="S72" s="2">
        <f t="shared" si="62"/>
        <v>0</v>
      </c>
      <c r="T72" s="2">
        <f t="shared" si="63"/>
        <v>0</v>
      </c>
      <c r="U72" s="2">
        <f t="shared" si="64"/>
        <v>0</v>
      </c>
      <c r="V72" s="2">
        <f t="shared" si="65"/>
        <v>0</v>
      </c>
      <c r="W72" s="2">
        <f t="shared" si="66"/>
        <v>0</v>
      </c>
      <c r="X72" s="2">
        <f t="shared" si="67"/>
        <v>0</v>
      </c>
      <c r="Y72" s="2">
        <f t="shared" si="68"/>
        <v>0</v>
      </c>
      <c r="Z72" s="2"/>
      <c r="AA72" s="2">
        <v>27935367</v>
      </c>
      <c r="AB72" s="2">
        <f t="shared" si="69"/>
        <v>15.25</v>
      </c>
      <c r="AC72" s="2">
        <f t="shared" si="52"/>
        <v>15.25</v>
      </c>
      <c r="AD72" s="2">
        <f t="shared" ref="AD72:AD79" si="92">ROUND((((ET72)-(EU72))+AE72),2)</f>
        <v>0</v>
      </c>
      <c r="AE72" s="2">
        <f t="shared" ref="AE72:AF79" si="93">ROUND((EU72),2)</f>
        <v>0</v>
      </c>
      <c r="AF72" s="2">
        <f t="shared" si="93"/>
        <v>0</v>
      </c>
      <c r="AG72" s="2">
        <f t="shared" si="70"/>
        <v>0</v>
      </c>
      <c r="AH72" s="2">
        <f t="shared" ref="AH72:AI79" si="94">(EW72)</f>
        <v>0</v>
      </c>
      <c r="AI72" s="2">
        <f t="shared" si="94"/>
        <v>0</v>
      </c>
      <c r="AJ72" s="2">
        <f t="shared" si="71"/>
        <v>0</v>
      </c>
      <c r="AK72" s="2">
        <v>15.25</v>
      </c>
      <c r="AL72" s="2">
        <v>15.25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111</v>
      </c>
      <c r="AU72" s="2">
        <v>64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146</v>
      </c>
      <c r="BK72" s="2"/>
      <c r="BL72" s="2"/>
      <c r="BM72" s="2">
        <v>11001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123</v>
      </c>
      <c r="CA72" s="2">
        <v>75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2"/>
        <v>82.47</v>
      </c>
      <c r="CQ72" s="2">
        <f t="shared" si="73"/>
        <v>15.25</v>
      </c>
      <c r="CR72" s="2">
        <f t="shared" si="74"/>
        <v>0</v>
      </c>
      <c r="CS72" s="2">
        <f t="shared" si="75"/>
        <v>0</v>
      </c>
      <c r="CT72" s="2">
        <f t="shared" si="76"/>
        <v>0</v>
      </c>
      <c r="CU72" s="2">
        <f t="shared" si="77"/>
        <v>0</v>
      </c>
      <c r="CV72" s="2">
        <f t="shared" si="78"/>
        <v>0</v>
      </c>
      <c r="CW72" s="2">
        <f t="shared" si="79"/>
        <v>0</v>
      </c>
      <c r="CX72" s="2">
        <f t="shared" si="80"/>
        <v>0</v>
      </c>
      <c r="CY72" s="2">
        <f t="shared" si="81"/>
        <v>0</v>
      </c>
      <c r="CZ72" s="2">
        <f t="shared" si="82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60</v>
      </c>
      <c r="DW72" s="2" t="s">
        <v>60</v>
      </c>
      <c r="DX72" s="2">
        <v>1</v>
      </c>
      <c r="DY72" s="2"/>
      <c r="DZ72" s="2"/>
      <c r="EA72" s="2"/>
      <c r="EB72" s="2"/>
      <c r="EC72" s="2"/>
      <c r="ED72" s="2"/>
      <c r="EE72" s="2">
        <v>27029024</v>
      </c>
      <c r="EF72" s="2">
        <v>2</v>
      </c>
      <c r="EG72" s="2" t="s">
        <v>18</v>
      </c>
      <c r="EH72" s="2">
        <v>0</v>
      </c>
      <c r="EI72" s="2" t="s">
        <v>6</v>
      </c>
      <c r="EJ72" s="2">
        <v>1</v>
      </c>
      <c r="EK72" s="2">
        <v>11001</v>
      </c>
      <c r="EL72" s="2" t="s">
        <v>119</v>
      </c>
      <c r="EM72" s="2" t="s">
        <v>129</v>
      </c>
      <c r="EN72" s="2"/>
      <c r="EO72" s="2" t="s">
        <v>6</v>
      </c>
      <c r="EP72" s="2"/>
      <c r="EQ72" s="2">
        <v>0</v>
      </c>
      <c r="ER72" s="2">
        <v>15.25</v>
      </c>
      <c r="ES72" s="2">
        <v>15.25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3"/>
        <v>0</v>
      </c>
      <c r="FS72" s="2">
        <v>0</v>
      </c>
      <c r="FT72" s="2" t="s">
        <v>21</v>
      </c>
      <c r="FU72" s="2" t="s">
        <v>22</v>
      </c>
      <c r="FV72" s="2"/>
      <c r="FW72" s="2"/>
      <c r="FX72" s="2">
        <v>110.7</v>
      </c>
      <c r="FY72" s="2">
        <v>63.75</v>
      </c>
      <c r="FZ72" s="2"/>
      <c r="GA72" s="2" t="s">
        <v>6</v>
      </c>
      <c r="GB72" s="2"/>
      <c r="GC72" s="2"/>
      <c r="GD72" s="2">
        <v>0</v>
      </c>
      <c r="GE72" s="2"/>
      <c r="GF72" s="2">
        <v>303141801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4"/>
        <v>0</v>
      </c>
      <c r="GM72" s="2">
        <f t="shared" si="85"/>
        <v>82.47</v>
      </c>
      <c r="GN72" s="2">
        <f t="shared" si="86"/>
        <v>82.47</v>
      </c>
      <c r="GO72" s="2">
        <f t="shared" si="87"/>
        <v>0</v>
      </c>
      <c r="GP72" s="2">
        <f t="shared" si="88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89"/>
        <v>0</v>
      </c>
      <c r="GW72" s="2">
        <v>1</v>
      </c>
      <c r="GX72" s="2">
        <f t="shared" si="90"/>
        <v>0</v>
      </c>
      <c r="GY72" s="2"/>
      <c r="GZ72" s="2"/>
      <c r="HA72" s="2">
        <v>0</v>
      </c>
      <c r="HB72" s="2">
        <v>0</v>
      </c>
      <c r="HC72" s="2">
        <f t="shared" si="91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186</v>
      </c>
      <c r="E73" t="s">
        <v>143</v>
      </c>
      <c r="F73" t="s">
        <v>144</v>
      </c>
      <c r="G73" t="s">
        <v>145</v>
      </c>
      <c r="H73" t="s">
        <v>60</v>
      </c>
      <c r="I73">
        <f>I71*J73</f>
        <v>5.4080000000000004</v>
      </c>
      <c r="J73">
        <v>13.000000000000002</v>
      </c>
      <c r="O73">
        <f t="shared" si="58"/>
        <v>503.9</v>
      </c>
      <c r="P73">
        <f t="shared" si="59"/>
        <v>503.9</v>
      </c>
      <c r="Q73">
        <f t="shared" si="60"/>
        <v>0</v>
      </c>
      <c r="R73">
        <f t="shared" si="61"/>
        <v>0</v>
      </c>
      <c r="S73">
        <f t="shared" si="62"/>
        <v>0</v>
      </c>
      <c r="T73">
        <f t="shared" si="63"/>
        <v>0</v>
      </c>
      <c r="U73">
        <f t="shared" si="64"/>
        <v>0</v>
      </c>
      <c r="V73">
        <f t="shared" si="65"/>
        <v>0</v>
      </c>
      <c r="W73">
        <f t="shared" si="66"/>
        <v>0</v>
      </c>
      <c r="X73">
        <f t="shared" si="67"/>
        <v>0</v>
      </c>
      <c r="Y73">
        <f t="shared" si="68"/>
        <v>0</v>
      </c>
      <c r="AA73">
        <v>27935368</v>
      </c>
      <c r="AB73">
        <f t="shared" si="69"/>
        <v>15.25</v>
      </c>
      <c r="AC73">
        <f t="shared" si="52"/>
        <v>15.25</v>
      </c>
      <c r="AD73">
        <f t="shared" si="92"/>
        <v>0</v>
      </c>
      <c r="AE73">
        <f t="shared" si="93"/>
        <v>0</v>
      </c>
      <c r="AF73">
        <f t="shared" si="93"/>
        <v>0</v>
      </c>
      <c r="AG73">
        <f t="shared" si="70"/>
        <v>0</v>
      </c>
      <c r="AH73">
        <f t="shared" si="94"/>
        <v>0</v>
      </c>
      <c r="AI73">
        <f t="shared" si="94"/>
        <v>0</v>
      </c>
      <c r="AJ73">
        <f t="shared" si="71"/>
        <v>0</v>
      </c>
      <c r="AK73">
        <v>15.25</v>
      </c>
      <c r="AL73">
        <v>15.25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6.11</v>
      </c>
      <c r="BA73">
        <v>1</v>
      </c>
      <c r="BB73">
        <v>1</v>
      </c>
      <c r="BC73">
        <v>6.11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146</v>
      </c>
      <c r="BM73">
        <v>11001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123</v>
      </c>
      <c r="CA73">
        <v>75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2"/>
        <v>503.9</v>
      </c>
      <c r="CQ73">
        <f t="shared" si="73"/>
        <v>93.177500000000009</v>
      </c>
      <c r="CR73">
        <f t="shared" si="74"/>
        <v>0</v>
      </c>
      <c r="CS73">
        <f t="shared" si="75"/>
        <v>0</v>
      </c>
      <c r="CT73">
        <f t="shared" si="76"/>
        <v>0</v>
      </c>
      <c r="CU73">
        <f t="shared" si="77"/>
        <v>0</v>
      </c>
      <c r="CV73">
        <f t="shared" si="78"/>
        <v>0</v>
      </c>
      <c r="CW73">
        <f t="shared" si="79"/>
        <v>0</v>
      </c>
      <c r="CX73">
        <f t="shared" si="80"/>
        <v>0</v>
      </c>
      <c r="CY73">
        <f t="shared" si="81"/>
        <v>0</v>
      </c>
      <c r="CZ73">
        <f t="shared" si="82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60</v>
      </c>
      <c r="DW73" t="s">
        <v>60</v>
      </c>
      <c r="DX73">
        <v>1</v>
      </c>
      <c r="EE73">
        <v>27029024</v>
      </c>
      <c r="EF73">
        <v>2</v>
      </c>
      <c r="EG73" t="s">
        <v>18</v>
      </c>
      <c r="EH73">
        <v>0</v>
      </c>
      <c r="EI73" t="s">
        <v>6</v>
      </c>
      <c r="EJ73">
        <v>1</v>
      </c>
      <c r="EK73">
        <v>11001</v>
      </c>
      <c r="EL73" t="s">
        <v>119</v>
      </c>
      <c r="EM73" t="s">
        <v>129</v>
      </c>
      <c r="EO73" t="s">
        <v>6</v>
      </c>
      <c r="EQ73">
        <v>0</v>
      </c>
      <c r="ER73">
        <v>15.25</v>
      </c>
      <c r="ES73">
        <v>15.25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3"/>
        <v>0</v>
      </c>
      <c r="FS73">
        <v>0</v>
      </c>
      <c r="FT73" t="s">
        <v>21</v>
      </c>
      <c r="FU73" t="s">
        <v>22</v>
      </c>
      <c r="FX73">
        <v>110.7</v>
      </c>
      <c r="FY73">
        <v>63.75</v>
      </c>
      <c r="GA73" t="s">
        <v>6</v>
      </c>
      <c r="GD73">
        <v>0</v>
      </c>
      <c r="GF73">
        <v>303141801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4"/>
        <v>0</v>
      </c>
      <c r="GM73">
        <f t="shared" si="85"/>
        <v>503.9</v>
      </c>
      <c r="GN73">
        <f t="shared" si="86"/>
        <v>503.9</v>
      </c>
      <c r="GO73">
        <f t="shared" si="87"/>
        <v>0</v>
      </c>
      <c r="GP73">
        <f t="shared" si="88"/>
        <v>0</v>
      </c>
      <c r="GR73">
        <v>0</v>
      </c>
      <c r="GS73">
        <v>3</v>
      </c>
      <c r="GT73">
        <v>0</v>
      </c>
      <c r="GU73" t="s">
        <v>6</v>
      </c>
      <c r="GV73">
        <f t="shared" si="89"/>
        <v>0</v>
      </c>
      <c r="GW73">
        <v>1</v>
      </c>
      <c r="GX73">
        <f t="shared" si="90"/>
        <v>0</v>
      </c>
      <c r="HA73">
        <v>0</v>
      </c>
      <c r="HB73">
        <v>0</v>
      </c>
      <c r="HC73">
        <f t="shared" si="91"/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171</v>
      </c>
      <c r="D74" s="2"/>
      <c r="E74" s="2" t="s">
        <v>147</v>
      </c>
      <c r="F74" s="2" t="s">
        <v>148</v>
      </c>
      <c r="G74" s="2" t="s">
        <v>149</v>
      </c>
      <c r="H74" s="2" t="s">
        <v>35</v>
      </c>
      <c r="I74" s="2">
        <f>I70*J74</f>
        <v>-42.431999999999995</v>
      </c>
      <c r="J74" s="2">
        <v>-101.99999999999999</v>
      </c>
      <c r="K74" s="2"/>
      <c r="L74" s="2"/>
      <c r="M74" s="2"/>
      <c r="N74" s="2"/>
      <c r="O74" s="2">
        <f t="shared" si="58"/>
        <v>-5959.57</v>
      </c>
      <c r="P74" s="2">
        <f t="shared" si="59"/>
        <v>-5959.57</v>
      </c>
      <c r="Q74" s="2">
        <f t="shared" si="60"/>
        <v>0</v>
      </c>
      <c r="R74" s="2">
        <f t="shared" si="61"/>
        <v>0</v>
      </c>
      <c r="S74" s="2">
        <f t="shared" si="62"/>
        <v>0</v>
      </c>
      <c r="T74" s="2">
        <f t="shared" si="63"/>
        <v>0</v>
      </c>
      <c r="U74" s="2">
        <f t="shared" si="64"/>
        <v>0</v>
      </c>
      <c r="V74" s="2">
        <f t="shared" si="65"/>
        <v>0</v>
      </c>
      <c r="W74" s="2">
        <f t="shared" si="66"/>
        <v>0</v>
      </c>
      <c r="X74" s="2">
        <f t="shared" si="67"/>
        <v>0</v>
      </c>
      <c r="Y74" s="2">
        <f t="shared" si="68"/>
        <v>0</v>
      </c>
      <c r="Z74" s="2"/>
      <c r="AA74" s="2">
        <v>27935367</v>
      </c>
      <c r="AB74" s="2">
        <f t="shared" si="69"/>
        <v>140.44999999999999</v>
      </c>
      <c r="AC74" s="2">
        <f t="shared" si="52"/>
        <v>140.44999999999999</v>
      </c>
      <c r="AD74" s="2">
        <f t="shared" si="92"/>
        <v>0</v>
      </c>
      <c r="AE74" s="2">
        <f t="shared" si="93"/>
        <v>0</v>
      </c>
      <c r="AF74" s="2">
        <f t="shared" si="93"/>
        <v>0</v>
      </c>
      <c r="AG74" s="2">
        <f t="shared" si="70"/>
        <v>0</v>
      </c>
      <c r="AH74" s="2">
        <f t="shared" si="94"/>
        <v>0</v>
      </c>
      <c r="AI74" s="2">
        <f t="shared" si="94"/>
        <v>0</v>
      </c>
      <c r="AJ74" s="2">
        <f t="shared" si="71"/>
        <v>0</v>
      </c>
      <c r="AK74" s="2">
        <v>140.44999999999999</v>
      </c>
      <c r="AL74" s="2">
        <v>140.44999999999999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111</v>
      </c>
      <c r="AU74" s="2">
        <v>64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150</v>
      </c>
      <c r="BK74" s="2"/>
      <c r="BL74" s="2"/>
      <c r="BM74" s="2">
        <v>11001</v>
      </c>
      <c r="BN74" s="2">
        <v>0</v>
      </c>
      <c r="BO74" s="2" t="s">
        <v>6</v>
      </c>
      <c r="BP74" s="2">
        <v>0</v>
      </c>
      <c r="BQ74" s="2">
        <v>2</v>
      </c>
      <c r="BR74" s="2">
        <v>1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123</v>
      </c>
      <c r="CA74" s="2">
        <v>75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2"/>
        <v>-5959.57</v>
      </c>
      <c r="CQ74" s="2">
        <f t="shared" si="73"/>
        <v>140.44999999999999</v>
      </c>
      <c r="CR74" s="2">
        <f t="shared" si="74"/>
        <v>0</v>
      </c>
      <c r="CS74" s="2">
        <f t="shared" si="75"/>
        <v>0</v>
      </c>
      <c r="CT74" s="2">
        <f t="shared" si="76"/>
        <v>0</v>
      </c>
      <c r="CU74" s="2">
        <f t="shared" si="77"/>
        <v>0</v>
      </c>
      <c r="CV74" s="2">
        <f t="shared" si="78"/>
        <v>0</v>
      </c>
      <c r="CW74" s="2">
        <f t="shared" si="79"/>
        <v>0</v>
      </c>
      <c r="CX74" s="2">
        <f t="shared" si="80"/>
        <v>0</v>
      </c>
      <c r="CY74" s="2">
        <f t="shared" si="81"/>
        <v>0</v>
      </c>
      <c r="CZ74" s="2">
        <f t="shared" si="82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35</v>
      </c>
      <c r="DW74" s="2" t="s">
        <v>35</v>
      </c>
      <c r="DX74" s="2">
        <v>1</v>
      </c>
      <c r="DY74" s="2"/>
      <c r="DZ74" s="2"/>
      <c r="EA74" s="2"/>
      <c r="EB74" s="2"/>
      <c r="EC74" s="2"/>
      <c r="ED74" s="2"/>
      <c r="EE74" s="2">
        <v>27029024</v>
      </c>
      <c r="EF74" s="2">
        <v>2</v>
      </c>
      <c r="EG74" s="2" t="s">
        <v>18</v>
      </c>
      <c r="EH74" s="2">
        <v>0</v>
      </c>
      <c r="EI74" s="2" t="s">
        <v>6</v>
      </c>
      <c r="EJ74" s="2">
        <v>1</v>
      </c>
      <c r="EK74" s="2">
        <v>11001</v>
      </c>
      <c r="EL74" s="2" t="s">
        <v>119</v>
      </c>
      <c r="EM74" s="2" t="s">
        <v>129</v>
      </c>
      <c r="EN74" s="2"/>
      <c r="EO74" s="2" t="s">
        <v>6</v>
      </c>
      <c r="EP74" s="2"/>
      <c r="EQ74" s="2">
        <v>0</v>
      </c>
      <c r="ER74" s="2">
        <v>140.44999999999999</v>
      </c>
      <c r="ES74" s="2">
        <v>140.44999999999999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3"/>
        <v>0</v>
      </c>
      <c r="FS74" s="2">
        <v>0</v>
      </c>
      <c r="FT74" s="2" t="s">
        <v>21</v>
      </c>
      <c r="FU74" s="2" t="s">
        <v>22</v>
      </c>
      <c r="FV74" s="2"/>
      <c r="FW74" s="2"/>
      <c r="FX74" s="2">
        <v>110.7</v>
      </c>
      <c r="FY74" s="2">
        <v>63.75</v>
      </c>
      <c r="FZ74" s="2"/>
      <c r="GA74" s="2" t="s">
        <v>6</v>
      </c>
      <c r="GB74" s="2"/>
      <c r="GC74" s="2"/>
      <c r="GD74" s="2">
        <v>0</v>
      </c>
      <c r="GE74" s="2"/>
      <c r="GF74" s="2">
        <v>2046761779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4"/>
        <v>0</v>
      </c>
      <c r="GM74" s="2">
        <f t="shared" si="85"/>
        <v>-5959.57</v>
      </c>
      <c r="GN74" s="2">
        <f t="shared" si="86"/>
        <v>-5959.57</v>
      </c>
      <c r="GO74" s="2">
        <f t="shared" si="87"/>
        <v>0</v>
      </c>
      <c r="GP74" s="2">
        <f t="shared" si="88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89"/>
        <v>0</v>
      </c>
      <c r="GW74" s="2">
        <v>1</v>
      </c>
      <c r="GX74" s="2">
        <f t="shared" si="90"/>
        <v>0</v>
      </c>
      <c r="GY74" s="2"/>
      <c r="GZ74" s="2"/>
      <c r="HA74" s="2">
        <v>0</v>
      </c>
      <c r="HB74" s="2">
        <v>0</v>
      </c>
      <c r="HC74" s="2">
        <f t="shared" si="91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183</v>
      </c>
      <c r="E75" t="s">
        <v>147</v>
      </c>
      <c r="F75" t="s">
        <v>148</v>
      </c>
      <c r="G75" t="s">
        <v>149</v>
      </c>
      <c r="H75" t="s">
        <v>35</v>
      </c>
      <c r="I75">
        <f>I71*J75</f>
        <v>-42.431999999999995</v>
      </c>
      <c r="J75">
        <v>-101.99999999999999</v>
      </c>
      <c r="O75">
        <f t="shared" si="58"/>
        <v>-36413</v>
      </c>
      <c r="P75">
        <f t="shared" si="59"/>
        <v>-36413</v>
      </c>
      <c r="Q75">
        <f t="shared" si="60"/>
        <v>0</v>
      </c>
      <c r="R75">
        <f t="shared" si="61"/>
        <v>0</v>
      </c>
      <c r="S75">
        <f t="shared" si="62"/>
        <v>0</v>
      </c>
      <c r="T75">
        <f t="shared" si="63"/>
        <v>0</v>
      </c>
      <c r="U75">
        <f t="shared" si="64"/>
        <v>0</v>
      </c>
      <c r="V75">
        <f t="shared" si="65"/>
        <v>0</v>
      </c>
      <c r="W75">
        <f t="shared" si="66"/>
        <v>0</v>
      </c>
      <c r="X75">
        <f t="shared" si="67"/>
        <v>0</v>
      </c>
      <c r="Y75">
        <f t="shared" si="68"/>
        <v>0</v>
      </c>
      <c r="AA75">
        <v>27935368</v>
      </c>
      <c r="AB75">
        <f t="shared" si="69"/>
        <v>140.44999999999999</v>
      </c>
      <c r="AC75">
        <f t="shared" si="52"/>
        <v>140.44999999999999</v>
      </c>
      <c r="AD75">
        <f t="shared" si="92"/>
        <v>0</v>
      </c>
      <c r="AE75">
        <f t="shared" si="93"/>
        <v>0</v>
      </c>
      <c r="AF75">
        <f t="shared" si="93"/>
        <v>0</v>
      </c>
      <c r="AG75">
        <f t="shared" si="70"/>
        <v>0</v>
      </c>
      <c r="AH75">
        <f t="shared" si="94"/>
        <v>0</v>
      </c>
      <c r="AI75">
        <f t="shared" si="94"/>
        <v>0</v>
      </c>
      <c r="AJ75">
        <f t="shared" si="71"/>
        <v>0</v>
      </c>
      <c r="AK75">
        <v>140.44999999999999</v>
      </c>
      <c r="AL75">
        <v>140.44999999999999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6.11</v>
      </c>
      <c r="BA75">
        <v>1</v>
      </c>
      <c r="BB75">
        <v>1</v>
      </c>
      <c r="BC75">
        <v>6.11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150</v>
      </c>
      <c r="BM75">
        <v>11001</v>
      </c>
      <c r="BN75">
        <v>0</v>
      </c>
      <c r="BO75" t="s">
        <v>6</v>
      </c>
      <c r="BP75">
        <v>0</v>
      </c>
      <c r="BQ75">
        <v>2</v>
      </c>
      <c r="BR75">
        <v>1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123</v>
      </c>
      <c r="CA75">
        <v>75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2"/>
        <v>-36413</v>
      </c>
      <c r="CQ75">
        <f t="shared" si="73"/>
        <v>858.14949999999999</v>
      </c>
      <c r="CR75">
        <f t="shared" si="74"/>
        <v>0</v>
      </c>
      <c r="CS75">
        <f t="shared" si="75"/>
        <v>0</v>
      </c>
      <c r="CT75">
        <f t="shared" si="76"/>
        <v>0</v>
      </c>
      <c r="CU75">
        <f t="shared" si="77"/>
        <v>0</v>
      </c>
      <c r="CV75">
        <f t="shared" si="78"/>
        <v>0</v>
      </c>
      <c r="CW75">
        <f t="shared" si="79"/>
        <v>0</v>
      </c>
      <c r="CX75">
        <f t="shared" si="80"/>
        <v>0</v>
      </c>
      <c r="CY75">
        <f t="shared" si="81"/>
        <v>0</v>
      </c>
      <c r="CZ75">
        <f t="shared" si="82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35</v>
      </c>
      <c r="DW75" t="s">
        <v>35</v>
      </c>
      <c r="DX75">
        <v>1</v>
      </c>
      <c r="EE75">
        <v>27029024</v>
      </c>
      <c r="EF75">
        <v>2</v>
      </c>
      <c r="EG75" t="s">
        <v>18</v>
      </c>
      <c r="EH75">
        <v>0</v>
      </c>
      <c r="EI75" t="s">
        <v>6</v>
      </c>
      <c r="EJ75">
        <v>1</v>
      </c>
      <c r="EK75">
        <v>11001</v>
      </c>
      <c r="EL75" t="s">
        <v>119</v>
      </c>
      <c r="EM75" t="s">
        <v>129</v>
      </c>
      <c r="EO75" t="s">
        <v>6</v>
      </c>
      <c r="EQ75">
        <v>0</v>
      </c>
      <c r="ER75">
        <v>140.44999999999999</v>
      </c>
      <c r="ES75">
        <v>140.44999999999999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3"/>
        <v>0</v>
      </c>
      <c r="FS75">
        <v>0</v>
      </c>
      <c r="FT75" t="s">
        <v>21</v>
      </c>
      <c r="FU75" t="s">
        <v>22</v>
      </c>
      <c r="FX75">
        <v>110.7</v>
      </c>
      <c r="FY75">
        <v>63.75</v>
      </c>
      <c r="GA75" t="s">
        <v>6</v>
      </c>
      <c r="GD75">
        <v>0</v>
      </c>
      <c r="GF75">
        <v>2046761779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4"/>
        <v>0</v>
      </c>
      <c r="GM75">
        <f t="shared" si="85"/>
        <v>-36413</v>
      </c>
      <c r="GN75">
        <f t="shared" si="86"/>
        <v>-36413</v>
      </c>
      <c r="GO75">
        <f t="shared" si="87"/>
        <v>0</v>
      </c>
      <c r="GP75">
        <f t="shared" si="88"/>
        <v>0</v>
      </c>
      <c r="GR75">
        <v>0</v>
      </c>
      <c r="GS75">
        <v>3</v>
      </c>
      <c r="GT75">
        <v>0</v>
      </c>
      <c r="GU75" t="s">
        <v>6</v>
      </c>
      <c r="GV75">
        <f t="shared" si="89"/>
        <v>0</v>
      </c>
      <c r="GW75">
        <v>1</v>
      </c>
      <c r="GX75">
        <f t="shared" si="90"/>
        <v>0</v>
      </c>
      <c r="HA75">
        <v>0</v>
      </c>
      <c r="HB75">
        <v>0</v>
      </c>
      <c r="HC75">
        <f t="shared" si="91"/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172</v>
      </c>
      <c r="D76" s="2"/>
      <c r="E76" s="2" t="s">
        <v>151</v>
      </c>
      <c r="F76" s="2" t="s">
        <v>152</v>
      </c>
      <c r="G76" s="2" t="s">
        <v>153</v>
      </c>
      <c r="H76" s="2" t="s">
        <v>35</v>
      </c>
      <c r="I76" s="2">
        <f>I70*J76</f>
        <v>42.432000000000002</v>
      </c>
      <c r="J76" s="2">
        <v>102.00000000000001</v>
      </c>
      <c r="K76" s="2"/>
      <c r="L76" s="2"/>
      <c r="M76" s="2"/>
      <c r="N76" s="2"/>
      <c r="O76" s="2">
        <f t="shared" si="58"/>
        <v>3530.34</v>
      </c>
      <c r="P76" s="2">
        <f t="shared" si="59"/>
        <v>3530.34</v>
      </c>
      <c r="Q76" s="2">
        <f t="shared" si="60"/>
        <v>0</v>
      </c>
      <c r="R76" s="2">
        <f t="shared" si="61"/>
        <v>0</v>
      </c>
      <c r="S76" s="2">
        <f t="shared" si="62"/>
        <v>0</v>
      </c>
      <c r="T76" s="2">
        <f t="shared" si="63"/>
        <v>0</v>
      </c>
      <c r="U76" s="2">
        <f t="shared" si="64"/>
        <v>0</v>
      </c>
      <c r="V76" s="2">
        <f t="shared" si="65"/>
        <v>0</v>
      </c>
      <c r="W76" s="2">
        <f t="shared" si="66"/>
        <v>0</v>
      </c>
      <c r="X76" s="2">
        <f t="shared" si="67"/>
        <v>0</v>
      </c>
      <c r="Y76" s="2">
        <f t="shared" si="68"/>
        <v>0</v>
      </c>
      <c r="Z76" s="2"/>
      <c r="AA76" s="2">
        <v>27935367</v>
      </c>
      <c r="AB76" s="2">
        <f t="shared" si="69"/>
        <v>83.2</v>
      </c>
      <c r="AC76" s="2">
        <f t="shared" si="52"/>
        <v>83.2</v>
      </c>
      <c r="AD76" s="2">
        <f t="shared" si="92"/>
        <v>0</v>
      </c>
      <c r="AE76" s="2">
        <f t="shared" si="93"/>
        <v>0</v>
      </c>
      <c r="AF76" s="2">
        <f t="shared" si="93"/>
        <v>0</v>
      </c>
      <c r="AG76" s="2">
        <f t="shared" si="70"/>
        <v>0</v>
      </c>
      <c r="AH76" s="2">
        <f t="shared" si="94"/>
        <v>0</v>
      </c>
      <c r="AI76" s="2">
        <f t="shared" si="94"/>
        <v>0</v>
      </c>
      <c r="AJ76" s="2">
        <f t="shared" si="71"/>
        <v>0</v>
      </c>
      <c r="AK76" s="2">
        <v>83.2</v>
      </c>
      <c r="AL76" s="2">
        <v>83.2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111</v>
      </c>
      <c r="AU76" s="2">
        <v>64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154</v>
      </c>
      <c r="BK76" s="2"/>
      <c r="BL76" s="2"/>
      <c r="BM76" s="2">
        <v>11001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123</v>
      </c>
      <c r="CA76" s="2">
        <v>75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72"/>
        <v>3530.34</v>
      </c>
      <c r="CQ76" s="2">
        <f t="shared" si="73"/>
        <v>83.2</v>
      </c>
      <c r="CR76" s="2">
        <f t="shared" si="74"/>
        <v>0</v>
      </c>
      <c r="CS76" s="2">
        <f t="shared" si="75"/>
        <v>0</v>
      </c>
      <c r="CT76" s="2">
        <f t="shared" si="76"/>
        <v>0</v>
      </c>
      <c r="CU76" s="2">
        <f t="shared" si="77"/>
        <v>0</v>
      </c>
      <c r="CV76" s="2">
        <f t="shared" si="78"/>
        <v>0</v>
      </c>
      <c r="CW76" s="2">
        <f t="shared" si="79"/>
        <v>0</v>
      </c>
      <c r="CX76" s="2">
        <f t="shared" si="80"/>
        <v>0</v>
      </c>
      <c r="CY76" s="2">
        <f t="shared" si="81"/>
        <v>0</v>
      </c>
      <c r="CZ76" s="2">
        <f t="shared" si="82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35</v>
      </c>
      <c r="DW76" s="2" t="s">
        <v>35</v>
      </c>
      <c r="DX76" s="2">
        <v>1</v>
      </c>
      <c r="DY76" s="2"/>
      <c r="DZ76" s="2"/>
      <c r="EA76" s="2"/>
      <c r="EB76" s="2"/>
      <c r="EC76" s="2"/>
      <c r="ED76" s="2"/>
      <c r="EE76" s="2">
        <v>27029024</v>
      </c>
      <c r="EF76" s="2">
        <v>2</v>
      </c>
      <c r="EG76" s="2" t="s">
        <v>18</v>
      </c>
      <c r="EH76" s="2">
        <v>0</v>
      </c>
      <c r="EI76" s="2" t="s">
        <v>6</v>
      </c>
      <c r="EJ76" s="2">
        <v>1</v>
      </c>
      <c r="EK76" s="2">
        <v>11001</v>
      </c>
      <c r="EL76" s="2" t="s">
        <v>119</v>
      </c>
      <c r="EM76" s="2" t="s">
        <v>129</v>
      </c>
      <c r="EN76" s="2"/>
      <c r="EO76" s="2" t="s">
        <v>6</v>
      </c>
      <c r="EP76" s="2"/>
      <c r="EQ76" s="2">
        <v>0</v>
      </c>
      <c r="ER76" s="2">
        <v>83.2</v>
      </c>
      <c r="ES76" s="2">
        <v>83.2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3"/>
        <v>0</v>
      </c>
      <c r="FS76" s="2">
        <v>0</v>
      </c>
      <c r="FT76" s="2" t="s">
        <v>21</v>
      </c>
      <c r="FU76" s="2" t="s">
        <v>22</v>
      </c>
      <c r="FV76" s="2"/>
      <c r="FW76" s="2"/>
      <c r="FX76" s="2">
        <v>110.7</v>
      </c>
      <c r="FY76" s="2">
        <v>63.75</v>
      </c>
      <c r="FZ76" s="2"/>
      <c r="GA76" s="2" t="s">
        <v>6</v>
      </c>
      <c r="GB76" s="2"/>
      <c r="GC76" s="2"/>
      <c r="GD76" s="2">
        <v>0</v>
      </c>
      <c r="GE76" s="2"/>
      <c r="GF76" s="2">
        <v>1925995961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4"/>
        <v>0</v>
      </c>
      <c r="GM76" s="2">
        <f t="shared" si="85"/>
        <v>3530.34</v>
      </c>
      <c r="GN76" s="2">
        <f t="shared" si="86"/>
        <v>3530.34</v>
      </c>
      <c r="GO76" s="2">
        <f t="shared" si="87"/>
        <v>0</v>
      </c>
      <c r="GP76" s="2">
        <f t="shared" si="88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89"/>
        <v>0</v>
      </c>
      <c r="GW76" s="2">
        <v>1</v>
      </c>
      <c r="GX76" s="2">
        <f t="shared" si="90"/>
        <v>0</v>
      </c>
      <c r="GY76" s="2"/>
      <c r="GZ76" s="2"/>
      <c r="HA76" s="2">
        <v>0</v>
      </c>
      <c r="HB76" s="2">
        <v>0</v>
      </c>
      <c r="HC76" s="2">
        <f t="shared" si="91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184</v>
      </c>
      <c r="E77" t="s">
        <v>151</v>
      </c>
      <c r="F77" t="s">
        <v>152</v>
      </c>
      <c r="G77" t="s">
        <v>153</v>
      </c>
      <c r="H77" t="s">
        <v>35</v>
      </c>
      <c r="I77">
        <f>I71*J77</f>
        <v>42.432000000000002</v>
      </c>
      <c r="J77">
        <v>102.00000000000001</v>
      </c>
      <c r="O77">
        <f t="shared" si="58"/>
        <v>21570.39</v>
      </c>
      <c r="P77">
        <f t="shared" si="59"/>
        <v>21570.39</v>
      </c>
      <c r="Q77">
        <f t="shared" si="60"/>
        <v>0</v>
      </c>
      <c r="R77">
        <f t="shared" si="61"/>
        <v>0</v>
      </c>
      <c r="S77">
        <f t="shared" si="62"/>
        <v>0</v>
      </c>
      <c r="T77">
        <f t="shared" si="63"/>
        <v>0</v>
      </c>
      <c r="U77">
        <f t="shared" si="64"/>
        <v>0</v>
      </c>
      <c r="V77">
        <f t="shared" si="65"/>
        <v>0</v>
      </c>
      <c r="W77">
        <f t="shared" si="66"/>
        <v>0</v>
      </c>
      <c r="X77">
        <f t="shared" si="67"/>
        <v>0</v>
      </c>
      <c r="Y77">
        <f t="shared" si="68"/>
        <v>0</v>
      </c>
      <c r="AA77">
        <v>27935368</v>
      </c>
      <c r="AB77">
        <f t="shared" si="69"/>
        <v>83.2</v>
      </c>
      <c r="AC77">
        <f t="shared" si="52"/>
        <v>83.2</v>
      </c>
      <c r="AD77">
        <f t="shared" si="92"/>
        <v>0</v>
      </c>
      <c r="AE77">
        <f t="shared" si="93"/>
        <v>0</v>
      </c>
      <c r="AF77">
        <f t="shared" si="93"/>
        <v>0</v>
      </c>
      <c r="AG77">
        <f t="shared" si="70"/>
        <v>0</v>
      </c>
      <c r="AH77">
        <f t="shared" si="94"/>
        <v>0</v>
      </c>
      <c r="AI77">
        <f t="shared" si="94"/>
        <v>0</v>
      </c>
      <c r="AJ77">
        <f t="shared" si="71"/>
        <v>0</v>
      </c>
      <c r="AK77">
        <v>83.2</v>
      </c>
      <c r="AL77">
        <v>83.2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111</v>
      </c>
      <c r="AU77">
        <v>64</v>
      </c>
      <c r="AV77">
        <v>1</v>
      </c>
      <c r="AW77">
        <v>1</v>
      </c>
      <c r="AZ77">
        <v>6.11</v>
      </c>
      <c r="BA77">
        <v>1</v>
      </c>
      <c r="BB77">
        <v>1</v>
      </c>
      <c r="BC77">
        <v>6.11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154</v>
      </c>
      <c r="BM77">
        <v>11001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123</v>
      </c>
      <c r="CA77">
        <v>75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72"/>
        <v>21570.39</v>
      </c>
      <c r="CQ77">
        <f t="shared" si="73"/>
        <v>508.35200000000003</v>
      </c>
      <c r="CR77">
        <f t="shared" si="74"/>
        <v>0</v>
      </c>
      <c r="CS77">
        <f t="shared" si="75"/>
        <v>0</v>
      </c>
      <c r="CT77">
        <f t="shared" si="76"/>
        <v>0</v>
      </c>
      <c r="CU77">
        <f t="shared" si="77"/>
        <v>0</v>
      </c>
      <c r="CV77">
        <f t="shared" si="78"/>
        <v>0</v>
      </c>
      <c r="CW77">
        <f t="shared" si="79"/>
        <v>0</v>
      </c>
      <c r="CX77">
        <f t="shared" si="80"/>
        <v>0</v>
      </c>
      <c r="CY77">
        <f t="shared" si="81"/>
        <v>0</v>
      </c>
      <c r="CZ77">
        <f t="shared" si="82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35</v>
      </c>
      <c r="DW77" t="s">
        <v>35</v>
      </c>
      <c r="DX77">
        <v>1</v>
      </c>
      <c r="EE77">
        <v>27029024</v>
      </c>
      <c r="EF77">
        <v>2</v>
      </c>
      <c r="EG77" t="s">
        <v>18</v>
      </c>
      <c r="EH77">
        <v>0</v>
      </c>
      <c r="EI77" t="s">
        <v>6</v>
      </c>
      <c r="EJ77">
        <v>1</v>
      </c>
      <c r="EK77">
        <v>11001</v>
      </c>
      <c r="EL77" t="s">
        <v>119</v>
      </c>
      <c r="EM77" t="s">
        <v>129</v>
      </c>
      <c r="EO77" t="s">
        <v>6</v>
      </c>
      <c r="EQ77">
        <v>0</v>
      </c>
      <c r="ER77">
        <v>83.2</v>
      </c>
      <c r="ES77">
        <v>83.2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3"/>
        <v>0</v>
      </c>
      <c r="FS77">
        <v>0</v>
      </c>
      <c r="FT77" t="s">
        <v>21</v>
      </c>
      <c r="FU77" t="s">
        <v>22</v>
      </c>
      <c r="FX77">
        <v>110.7</v>
      </c>
      <c r="FY77">
        <v>63.75</v>
      </c>
      <c r="GA77" t="s">
        <v>6</v>
      </c>
      <c r="GD77">
        <v>0</v>
      </c>
      <c r="GF77">
        <v>1925995961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4"/>
        <v>0</v>
      </c>
      <c r="GM77">
        <f t="shared" si="85"/>
        <v>21570.39</v>
      </c>
      <c r="GN77">
        <f t="shared" si="86"/>
        <v>21570.39</v>
      </c>
      <c r="GO77">
        <f t="shared" si="87"/>
        <v>0</v>
      </c>
      <c r="GP77">
        <f t="shared" si="88"/>
        <v>0</v>
      </c>
      <c r="GR77">
        <v>0</v>
      </c>
      <c r="GS77">
        <v>3</v>
      </c>
      <c r="GT77">
        <v>0</v>
      </c>
      <c r="GU77" t="s">
        <v>6</v>
      </c>
      <c r="GV77">
        <f t="shared" si="89"/>
        <v>0</v>
      </c>
      <c r="GW77">
        <v>1</v>
      </c>
      <c r="GX77">
        <f t="shared" si="90"/>
        <v>0</v>
      </c>
      <c r="HA77">
        <v>0</v>
      </c>
      <c r="HB77">
        <v>0</v>
      </c>
      <c r="HC77">
        <f t="shared" si="91"/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ROW(SmtRes!A187)</f>
        <v>187</v>
      </c>
      <c r="D78" s="2">
        <f>ROW(EtalonRes!A192)</f>
        <v>192</v>
      </c>
      <c r="E78" s="2" t="s">
        <v>155</v>
      </c>
      <c r="F78" s="2" t="s">
        <v>156</v>
      </c>
      <c r="G78" s="2" t="s">
        <v>157</v>
      </c>
      <c r="H78" s="2" t="s">
        <v>16</v>
      </c>
      <c r="I78" s="2">
        <f>ROUND(17.04/100,9)</f>
        <v>0.1704</v>
      </c>
      <c r="J78" s="2">
        <v>0</v>
      </c>
      <c r="K78" s="2"/>
      <c r="L78" s="2"/>
      <c r="M78" s="2"/>
      <c r="N78" s="2"/>
      <c r="O78" s="2">
        <f t="shared" si="58"/>
        <v>13.82</v>
      </c>
      <c r="P78" s="2">
        <f t="shared" si="59"/>
        <v>0</v>
      </c>
      <c r="Q78" s="2">
        <f t="shared" si="60"/>
        <v>0</v>
      </c>
      <c r="R78" s="2">
        <f t="shared" si="61"/>
        <v>0</v>
      </c>
      <c r="S78" s="2">
        <f t="shared" si="62"/>
        <v>13.82</v>
      </c>
      <c r="T78" s="2">
        <f t="shared" si="63"/>
        <v>0</v>
      </c>
      <c r="U78" s="2">
        <f t="shared" si="64"/>
        <v>1.77216</v>
      </c>
      <c r="V78" s="2">
        <f t="shared" si="65"/>
        <v>0</v>
      </c>
      <c r="W78" s="2">
        <f t="shared" si="66"/>
        <v>0</v>
      </c>
      <c r="X78" s="2">
        <f t="shared" si="67"/>
        <v>10.64</v>
      </c>
      <c r="Y78" s="2">
        <f t="shared" si="68"/>
        <v>6.91</v>
      </c>
      <c r="Z78" s="2"/>
      <c r="AA78" s="2">
        <v>27935367</v>
      </c>
      <c r="AB78" s="2">
        <f t="shared" si="69"/>
        <v>81.12</v>
      </c>
      <c r="AC78" s="2">
        <f t="shared" si="52"/>
        <v>0</v>
      </c>
      <c r="AD78" s="2">
        <f t="shared" si="92"/>
        <v>0</v>
      </c>
      <c r="AE78" s="2">
        <f t="shared" si="93"/>
        <v>0</v>
      </c>
      <c r="AF78" s="2">
        <f t="shared" si="93"/>
        <v>81.12</v>
      </c>
      <c r="AG78" s="2">
        <f t="shared" si="70"/>
        <v>0</v>
      </c>
      <c r="AH78" s="2">
        <f t="shared" si="94"/>
        <v>10.4</v>
      </c>
      <c r="AI78" s="2">
        <f t="shared" si="94"/>
        <v>0</v>
      </c>
      <c r="AJ78" s="2">
        <f t="shared" si="71"/>
        <v>0</v>
      </c>
      <c r="AK78" s="2">
        <v>81.12</v>
      </c>
      <c r="AL78" s="2">
        <v>0</v>
      </c>
      <c r="AM78" s="2">
        <v>0</v>
      </c>
      <c r="AN78" s="2">
        <v>0</v>
      </c>
      <c r="AO78" s="2">
        <v>81.12</v>
      </c>
      <c r="AP78" s="2">
        <v>0</v>
      </c>
      <c r="AQ78" s="2">
        <v>10.4</v>
      </c>
      <c r="AR78" s="2">
        <v>0</v>
      </c>
      <c r="AS78" s="2">
        <v>0</v>
      </c>
      <c r="AT78" s="2">
        <v>77</v>
      </c>
      <c r="AU78" s="2">
        <v>50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158</v>
      </c>
      <c r="BK78" s="2"/>
      <c r="BL78" s="2"/>
      <c r="BM78" s="2">
        <v>63001</v>
      </c>
      <c r="BN78" s="2">
        <v>0</v>
      </c>
      <c r="BO78" s="2" t="s">
        <v>6</v>
      </c>
      <c r="BP78" s="2">
        <v>0</v>
      </c>
      <c r="BQ78" s="2">
        <v>6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77</v>
      </c>
      <c r="CA78" s="2">
        <v>50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2"/>
        <v>13.82</v>
      </c>
      <c r="CQ78" s="2">
        <f t="shared" si="73"/>
        <v>0</v>
      </c>
      <c r="CR78" s="2">
        <f t="shared" si="74"/>
        <v>0</v>
      </c>
      <c r="CS78" s="2">
        <f t="shared" si="75"/>
        <v>0</v>
      </c>
      <c r="CT78" s="2">
        <f t="shared" si="76"/>
        <v>81.12</v>
      </c>
      <c r="CU78" s="2">
        <f t="shared" si="77"/>
        <v>0</v>
      </c>
      <c r="CV78" s="2">
        <f t="shared" si="78"/>
        <v>10.4</v>
      </c>
      <c r="CW78" s="2">
        <f t="shared" si="79"/>
        <v>0</v>
      </c>
      <c r="CX78" s="2">
        <f t="shared" si="80"/>
        <v>0</v>
      </c>
      <c r="CY78" s="2">
        <f t="shared" si="81"/>
        <v>10.641400000000001</v>
      </c>
      <c r="CZ78" s="2">
        <f t="shared" si="82"/>
        <v>6.91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16</v>
      </c>
      <c r="DW78" s="2" t="s">
        <v>16</v>
      </c>
      <c r="DX78" s="2">
        <v>100</v>
      </c>
      <c r="DY78" s="2"/>
      <c r="DZ78" s="2"/>
      <c r="EA78" s="2"/>
      <c r="EB78" s="2"/>
      <c r="EC78" s="2"/>
      <c r="ED78" s="2"/>
      <c r="EE78" s="2">
        <v>27029108</v>
      </c>
      <c r="EF78" s="2">
        <v>6</v>
      </c>
      <c r="EG78" s="2" t="s">
        <v>90</v>
      </c>
      <c r="EH78" s="2">
        <v>0</v>
      </c>
      <c r="EI78" s="2" t="s">
        <v>6</v>
      </c>
      <c r="EJ78" s="2">
        <v>1</v>
      </c>
      <c r="EK78" s="2">
        <v>63001</v>
      </c>
      <c r="EL78" s="2" t="s">
        <v>105</v>
      </c>
      <c r="EM78" s="2" t="s">
        <v>106</v>
      </c>
      <c r="EN78" s="2"/>
      <c r="EO78" s="2" t="s">
        <v>6</v>
      </c>
      <c r="EP78" s="2"/>
      <c r="EQ78" s="2">
        <v>131072</v>
      </c>
      <c r="ER78" s="2">
        <v>81.12</v>
      </c>
      <c r="ES78" s="2">
        <v>0</v>
      </c>
      <c r="ET78" s="2">
        <v>0</v>
      </c>
      <c r="EU78" s="2">
        <v>0</v>
      </c>
      <c r="EV78" s="2">
        <v>81.12</v>
      </c>
      <c r="EW78" s="2">
        <v>10.4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3"/>
        <v>0</v>
      </c>
      <c r="FS78" s="2">
        <v>0</v>
      </c>
      <c r="FT78" s="2"/>
      <c r="FU78" s="2"/>
      <c r="FV78" s="2"/>
      <c r="FW78" s="2"/>
      <c r="FX78" s="2">
        <v>77</v>
      </c>
      <c r="FY78" s="2">
        <v>50</v>
      </c>
      <c r="FZ78" s="2"/>
      <c r="GA78" s="2" t="s">
        <v>6</v>
      </c>
      <c r="GB78" s="2"/>
      <c r="GC78" s="2"/>
      <c r="GD78" s="2">
        <v>0</v>
      </c>
      <c r="GE78" s="2"/>
      <c r="GF78" s="2">
        <v>857715586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4"/>
        <v>0</v>
      </c>
      <c r="GM78" s="2">
        <f t="shared" si="85"/>
        <v>31.37</v>
      </c>
      <c r="GN78" s="2">
        <f t="shared" si="86"/>
        <v>31.37</v>
      </c>
      <c r="GO78" s="2">
        <f t="shared" si="87"/>
        <v>0</v>
      </c>
      <c r="GP78" s="2">
        <f t="shared" si="88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89"/>
        <v>0</v>
      </c>
      <c r="GW78" s="2">
        <v>1</v>
      </c>
      <c r="GX78" s="2">
        <f t="shared" si="90"/>
        <v>0</v>
      </c>
      <c r="GY78" s="2"/>
      <c r="GZ78" s="2"/>
      <c r="HA78" s="2">
        <v>0</v>
      </c>
      <c r="HB78" s="2">
        <v>0</v>
      </c>
      <c r="HC78" s="2">
        <f t="shared" si="91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ROW(SmtRes!A188)</f>
        <v>188</v>
      </c>
      <c r="D79">
        <f>ROW(EtalonRes!A194)</f>
        <v>194</v>
      </c>
      <c r="E79" t="s">
        <v>155</v>
      </c>
      <c r="F79" t="s">
        <v>156</v>
      </c>
      <c r="G79" t="s">
        <v>157</v>
      </c>
      <c r="H79" t="s">
        <v>16</v>
      </c>
      <c r="I79">
        <f>ROUND(17.04/100,9)</f>
        <v>0.1704</v>
      </c>
      <c r="J79">
        <v>0</v>
      </c>
      <c r="O79">
        <f t="shared" si="58"/>
        <v>84.46</v>
      </c>
      <c r="P79">
        <f t="shared" si="59"/>
        <v>0</v>
      </c>
      <c r="Q79">
        <f t="shared" si="60"/>
        <v>0</v>
      </c>
      <c r="R79">
        <f t="shared" si="61"/>
        <v>0</v>
      </c>
      <c r="S79">
        <f t="shared" si="62"/>
        <v>84.46</v>
      </c>
      <c r="T79">
        <f t="shared" si="63"/>
        <v>0</v>
      </c>
      <c r="U79">
        <f t="shared" si="64"/>
        <v>1.77216</v>
      </c>
      <c r="V79">
        <f t="shared" si="65"/>
        <v>0</v>
      </c>
      <c r="W79">
        <f t="shared" si="66"/>
        <v>0</v>
      </c>
      <c r="X79">
        <f t="shared" si="67"/>
        <v>65.03</v>
      </c>
      <c r="Y79">
        <f t="shared" si="68"/>
        <v>42.23</v>
      </c>
      <c r="AA79">
        <v>27935368</v>
      </c>
      <c r="AB79">
        <f t="shared" si="69"/>
        <v>81.12</v>
      </c>
      <c r="AC79">
        <f t="shared" si="52"/>
        <v>0</v>
      </c>
      <c r="AD79">
        <f t="shared" si="92"/>
        <v>0</v>
      </c>
      <c r="AE79">
        <f t="shared" si="93"/>
        <v>0</v>
      </c>
      <c r="AF79">
        <f t="shared" si="93"/>
        <v>81.12</v>
      </c>
      <c r="AG79">
        <f t="shared" si="70"/>
        <v>0</v>
      </c>
      <c r="AH79">
        <f t="shared" si="94"/>
        <v>10.4</v>
      </c>
      <c r="AI79">
        <f t="shared" si="94"/>
        <v>0</v>
      </c>
      <c r="AJ79">
        <f t="shared" si="71"/>
        <v>0</v>
      </c>
      <c r="AK79">
        <v>81.12</v>
      </c>
      <c r="AL79">
        <v>0</v>
      </c>
      <c r="AM79">
        <v>0</v>
      </c>
      <c r="AN79">
        <v>0</v>
      </c>
      <c r="AO79">
        <v>81.12</v>
      </c>
      <c r="AP79">
        <v>0</v>
      </c>
      <c r="AQ79">
        <v>10.4</v>
      </c>
      <c r="AR79">
        <v>0</v>
      </c>
      <c r="AS79">
        <v>0</v>
      </c>
      <c r="AT79">
        <v>77</v>
      </c>
      <c r="AU79">
        <v>50</v>
      </c>
      <c r="AV79">
        <v>1</v>
      </c>
      <c r="AW79">
        <v>1</v>
      </c>
      <c r="AZ79">
        <v>6.11</v>
      </c>
      <c r="BA79">
        <v>6.11</v>
      </c>
      <c r="BB79">
        <v>6.11</v>
      </c>
      <c r="BC79">
        <v>6.11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158</v>
      </c>
      <c r="BM79">
        <v>63001</v>
      </c>
      <c r="BN79">
        <v>0</v>
      </c>
      <c r="BO79" t="s">
        <v>6</v>
      </c>
      <c r="BP79">
        <v>0</v>
      </c>
      <c r="BQ79">
        <v>6</v>
      </c>
      <c r="BR79">
        <v>0</v>
      </c>
      <c r="BS79">
        <v>6.11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77</v>
      </c>
      <c r="CA79">
        <v>50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2"/>
        <v>84.46</v>
      </c>
      <c r="CQ79">
        <f t="shared" si="73"/>
        <v>0</v>
      </c>
      <c r="CR79">
        <f t="shared" si="74"/>
        <v>0</v>
      </c>
      <c r="CS79">
        <f t="shared" si="75"/>
        <v>0</v>
      </c>
      <c r="CT79">
        <f t="shared" si="76"/>
        <v>495.64320000000004</v>
      </c>
      <c r="CU79">
        <f t="shared" si="77"/>
        <v>0</v>
      </c>
      <c r="CV79">
        <f t="shared" si="78"/>
        <v>10.4</v>
      </c>
      <c r="CW79">
        <f t="shared" si="79"/>
        <v>0</v>
      </c>
      <c r="CX79">
        <f t="shared" si="80"/>
        <v>0</v>
      </c>
      <c r="CY79">
        <f t="shared" si="81"/>
        <v>65.034199999999998</v>
      </c>
      <c r="CZ79">
        <f t="shared" si="82"/>
        <v>42.23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16</v>
      </c>
      <c r="DW79" t="s">
        <v>16</v>
      </c>
      <c r="DX79">
        <v>100</v>
      </c>
      <c r="EE79">
        <v>27029108</v>
      </c>
      <c r="EF79">
        <v>6</v>
      </c>
      <c r="EG79" t="s">
        <v>90</v>
      </c>
      <c r="EH79">
        <v>0</v>
      </c>
      <c r="EI79" t="s">
        <v>6</v>
      </c>
      <c r="EJ79">
        <v>1</v>
      </c>
      <c r="EK79">
        <v>63001</v>
      </c>
      <c r="EL79" t="s">
        <v>105</v>
      </c>
      <c r="EM79" t="s">
        <v>106</v>
      </c>
      <c r="EO79" t="s">
        <v>6</v>
      </c>
      <c r="EQ79">
        <v>131072</v>
      </c>
      <c r="ER79">
        <v>81.12</v>
      </c>
      <c r="ES79">
        <v>0</v>
      </c>
      <c r="ET79">
        <v>0</v>
      </c>
      <c r="EU79">
        <v>0</v>
      </c>
      <c r="EV79">
        <v>81.12</v>
      </c>
      <c r="EW79">
        <v>10.4</v>
      </c>
      <c r="EX79">
        <v>0</v>
      </c>
      <c r="EY79">
        <v>0</v>
      </c>
      <c r="FQ79">
        <v>0</v>
      </c>
      <c r="FR79">
        <f t="shared" si="83"/>
        <v>0</v>
      </c>
      <c r="FS79">
        <v>0</v>
      </c>
      <c r="FX79">
        <v>77</v>
      </c>
      <c r="FY79">
        <v>50</v>
      </c>
      <c r="GA79" t="s">
        <v>6</v>
      </c>
      <c r="GD79">
        <v>0</v>
      </c>
      <c r="GF79">
        <v>857715586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4"/>
        <v>0</v>
      </c>
      <c r="GM79">
        <f t="shared" si="85"/>
        <v>191.72</v>
      </c>
      <c r="GN79">
        <f t="shared" si="86"/>
        <v>191.72</v>
      </c>
      <c r="GO79">
        <f t="shared" si="87"/>
        <v>0</v>
      </c>
      <c r="GP79">
        <f t="shared" si="88"/>
        <v>0</v>
      </c>
      <c r="GR79">
        <v>0</v>
      </c>
      <c r="GS79">
        <v>3</v>
      </c>
      <c r="GT79">
        <v>0</v>
      </c>
      <c r="GU79" t="s">
        <v>6</v>
      </c>
      <c r="GV79">
        <f t="shared" si="89"/>
        <v>0</v>
      </c>
      <c r="GW79">
        <v>1</v>
      </c>
      <c r="GX79">
        <f t="shared" si="90"/>
        <v>0</v>
      </c>
      <c r="HA79">
        <v>0</v>
      </c>
      <c r="HB79">
        <v>0</v>
      </c>
      <c r="HC79">
        <f t="shared" si="91"/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ROW(SmtRes!A194)</f>
        <v>194</v>
      </c>
      <c r="D80" s="2">
        <f>ROW(EtalonRes!A200)</f>
        <v>200</v>
      </c>
      <c r="E80" s="2" t="s">
        <v>159</v>
      </c>
      <c r="F80" s="2" t="s">
        <v>160</v>
      </c>
      <c r="G80" s="2" t="s">
        <v>161</v>
      </c>
      <c r="H80" s="2" t="s">
        <v>16</v>
      </c>
      <c r="I80" s="2">
        <f>ROUND(17.04/100,9)</f>
        <v>0.1704</v>
      </c>
      <c r="J80" s="2">
        <v>0</v>
      </c>
      <c r="K80" s="2"/>
      <c r="L80" s="2"/>
      <c r="M80" s="2"/>
      <c r="N80" s="2"/>
      <c r="O80" s="2">
        <f t="shared" si="58"/>
        <v>31.17</v>
      </c>
      <c r="P80" s="2">
        <f t="shared" si="59"/>
        <v>0.06</v>
      </c>
      <c r="Q80" s="2">
        <f t="shared" si="60"/>
        <v>0.34</v>
      </c>
      <c r="R80" s="2">
        <f t="shared" si="61"/>
        <v>0.08</v>
      </c>
      <c r="S80" s="2">
        <f t="shared" si="62"/>
        <v>30.77</v>
      </c>
      <c r="T80" s="2">
        <f t="shared" si="63"/>
        <v>0</v>
      </c>
      <c r="U80" s="2">
        <f t="shared" si="64"/>
        <v>3.1980671999999992</v>
      </c>
      <c r="V80" s="2">
        <f t="shared" si="65"/>
        <v>6.3899999999999998E-3</v>
      </c>
      <c r="W80" s="2">
        <f t="shared" si="66"/>
        <v>0</v>
      </c>
      <c r="X80" s="2">
        <f t="shared" si="67"/>
        <v>29.31</v>
      </c>
      <c r="Y80" s="2">
        <f t="shared" si="68"/>
        <v>14.5</v>
      </c>
      <c r="Z80" s="2"/>
      <c r="AA80" s="2">
        <v>27935367</v>
      </c>
      <c r="AB80" s="2">
        <f t="shared" si="69"/>
        <v>182.93</v>
      </c>
      <c r="AC80" s="2">
        <f t="shared" ref="AC80:AC111" si="95">ROUND((ES80),2)</f>
        <v>0.36</v>
      </c>
      <c r="AD80" s="2">
        <f>ROUND(((((ET80*1.25))-((EU80*1.25)))+AE80),2)</f>
        <v>2.02</v>
      </c>
      <c r="AE80" s="2">
        <f>ROUND(((EU80*1.25)),2)</f>
        <v>0.46</v>
      </c>
      <c r="AF80" s="2">
        <f>ROUND(((EV80*1.15)),2)</f>
        <v>180.55</v>
      </c>
      <c r="AG80" s="2">
        <f t="shared" si="70"/>
        <v>0</v>
      </c>
      <c r="AH80" s="2">
        <f>((EW80*1.15))</f>
        <v>18.767999999999997</v>
      </c>
      <c r="AI80" s="2">
        <f>((EX80*1.25))</f>
        <v>3.7499999999999999E-2</v>
      </c>
      <c r="AJ80" s="2">
        <f t="shared" si="71"/>
        <v>0</v>
      </c>
      <c r="AK80" s="2">
        <v>158.97999999999999</v>
      </c>
      <c r="AL80" s="2">
        <v>0.36</v>
      </c>
      <c r="AM80" s="2">
        <v>1.62</v>
      </c>
      <c r="AN80" s="2">
        <v>0.37</v>
      </c>
      <c r="AO80" s="2">
        <v>157</v>
      </c>
      <c r="AP80" s="2">
        <v>0</v>
      </c>
      <c r="AQ80" s="2">
        <v>16.32</v>
      </c>
      <c r="AR80" s="2">
        <v>0.03</v>
      </c>
      <c r="AS80" s="2">
        <v>0</v>
      </c>
      <c r="AT80" s="2">
        <v>95</v>
      </c>
      <c r="AU80" s="2">
        <v>47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162</v>
      </c>
      <c r="BK80" s="2"/>
      <c r="BL80" s="2"/>
      <c r="BM80" s="2">
        <v>15001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105</v>
      </c>
      <c r="CA80" s="2">
        <v>55</v>
      </c>
      <c r="CB80" s="2"/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766</v>
      </c>
      <c r="CO80" s="2">
        <v>0</v>
      </c>
      <c r="CP80" s="2">
        <f t="shared" si="72"/>
        <v>31.169999999999998</v>
      </c>
      <c r="CQ80" s="2">
        <f t="shared" si="73"/>
        <v>0.36</v>
      </c>
      <c r="CR80" s="2">
        <f t="shared" si="74"/>
        <v>2.02</v>
      </c>
      <c r="CS80" s="2">
        <f t="shared" si="75"/>
        <v>0.46</v>
      </c>
      <c r="CT80" s="2">
        <f t="shared" si="76"/>
        <v>180.55</v>
      </c>
      <c r="CU80" s="2">
        <f t="shared" si="77"/>
        <v>0</v>
      </c>
      <c r="CV80" s="2">
        <f t="shared" si="78"/>
        <v>18.767999999999997</v>
      </c>
      <c r="CW80" s="2">
        <f t="shared" si="79"/>
        <v>3.7499999999999999E-2</v>
      </c>
      <c r="CX80" s="2">
        <f t="shared" si="80"/>
        <v>0</v>
      </c>
      <c r="CY80" s="2">
        <f t="shared" si="81"/>
        <v>29.307500000000001</v>
      </c>
      <c r="CZ80" s="2">
        <f t="shared" si="82"/>
        <v>14.499499999999998</v>
      </c>
      <c r="DA80" s="2"/>
      <c r="DB80" s="2"/>
      <c r="DC80" s="2" t="s">
        <v>6</v>
      </c>
      <c r="DD80" s="2" t="s">
        <v>6</v>
      </c>
      <c r="DE80" s="2" t="s">
        <v>27</v>
      </c>
      <c r="DF80" s="2" t="s">
        <v>27</v>
      </c>
      <c r="DG80" s="2" t="s">
        <v>28</v>
      </c>
      <c r="DH80" s="2" t="s">
        <v>6</v>
      </c>
      <c r="DI80" s="2" t="s">
        <v>28</v>
      </c>
      <c r="DJ80" s="2" t="s">
        <v>27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1005</v>
      </c>
      <c r="DV80" s="2" t="s">
        <v>16</v>
      </c>
      <c r="DW80" s="2" t="s">
        <v>16</v>
      </c>
      <c r="DX80" s="2">
        <v>100</v>
      </c>
      <c r="DY80" s="2"/>
      <c r="DZ80" s="2"/>
      <c r="EA80" s="2"/>
      <c r="EB80" s="2"/>
      <c r="EC80" s="2"/>
      <c r="ED80" s="2"/>
      <c r="EE80" s="2">
        <v>27029049</v>
      </c>
      <c r="EF80" s="2">
        <v>2</v>
      </c>
      <c r="EG80" s="2" t="s">
        <v>18</v>
      </c>
      <c r="EH80" s="2">
        <v>0</v>
      </c>
      <c r="EI80" s="2" t="s">
        <v>6</v>
      </c>
      <c r="EJ80" s="2">
        <v>1</v>
      </c>
      <c r="EK80" s="2">
        <v>15001</v>
      </c>
      <c r="EL80" s="2" t="s">
        <v>51</v>
      </c>
      <c r="EM80" s="2" t="s">
        <v>52</v>
      </c>
      <c r="EN80" s="2"/>
      <c r="EO80" s="2" t="s">
        <v>31</v>
      </c>
      <c r="EP80" s="2"/>
      <c r="EQ80" s="2">
        <v>131072</v>
      </c>
      <c r="ER80" s="2">
        <v>158.97999999999999</v>
      </c>
      <c r="ES80" s="2">
        <v>0.36</v>
      </c>
      <c r="ET80" s="2">
        <v>1.62</v>
      </c>
      <c r="EU80" s="2">
        <v>0.37</v>
      </c>
      <c r="EV80" s="2">
        <v>157</v>
      </c>
      <c r="EW80" s="2">
        <v>16.32</v>
      </c>
      <c r="EX80" s="2">
        <v>0.03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3"/>
        <v>0</v>
      </c>
      <c r="FS80" s="2">
        <v>0</v>
      </c>
      <c r="FT80" s="2" t="s">
        <v>21</v>
      </c>
      <c r="FU80" s="2" t="s">
        <v>22</v>
      </c>
      <c r="FV80" s="2"/>
      <c r="FW80" s="2"/>
      <c r="FX80" s="2">
        <v>94.5</v>
      </c>
      <c r="FY80" s="2">
        <v>46.75</v>
      </c>
      <c r="FZ80" s="2"/>
      <c r="GA80" s="2" t="s">
        <v>6</v>
      </c>
      <c r="GB80" s="2"/>
      <c r="GC80" s="2"/>
      <c r="GD80" s="2">
        <v>0</v>
      </c>
      <c r="GE80" s="2"/>
      <c r="GF80" s="2">
        <v>-816382651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4"/>
        <v>0</v>
      </c>
      <c r="GM80" s="2">
        <f t="shared" si="85"/>
        <v>74.98</v>
      </c>
      <c r="GN80" s="2">
        <f t="shared" si="86"/>
        <v>74.98</v>
      </c>
      <c r="GO80" s="2">
        <f t="shared" si="87"/>
        <v>0</v>
      </c>
      <c r="GP80" s="2">
        <f t="shared" si="88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89"/>
        <v>0</v>
      </c>
      <c r="GW80" s="2">
        <v>1</v>
      </c>
      <c r="GX80" s="2">
        <f t="shared" si="90"/>
        <v>0</v>
      </c>
      <c r="GY80" s="2"/>
      <c r="GZ80" s="2"/>
      <c r="HA80" s="2">
        <v>0</v>
      </c>
      <c r="HB80" s="2">
        <v>0</v>
      </c>
      <c r="HC80" s="2">
        <f t="shared" si="91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ROW(SmtRes!A200)</f>
        <v>200</v>
      </c>
      <c r="D81">
        <f>ROW(EtalonRes!A206)</f>
        <v>206</v>
      </c>
      <c r="E81" t="s">
        <v>159</v>
      </c>
      <c r="F81" t="s">
        <v>160</v>
      </c>
      <c r="G81" t="s">
        <v>161</v>
      </c>
      <c r="H81" t="s">
        <v>16</v>
      </c>
      <c r="I81">
        <f>ROUND(17.04/100,9)</f>
        <v>0.1704</v>
      </c>
      <c r="J81">
        <v>0</v>
      </c>
      <c r="O81">
        <f t="shared" si="58"/>
        <v>190.45</v>
      </c>
      <c r="P81">
        <f t="shared" si="59"/>
        <v>0.37</v>
      </c>
      <c r="Q81">
        <f t="shared" si="60"/>
        <v>2.1</v>
      </c>
      <c r="R81">
        <f t="shared" si="61"/>
        <v>0.48</v>
      </c>
      <c r="S81">
        <f t="shared" si="62"/>
        <v>187.98</v>
      </c>
      <c r="T81">
        <f t="shared" si="63"/>
        <v>0</v>
      </c>
      <c r="U81">
        <f t="shared" si="64"/>
        <v>3.1980671999999992</v>
      </c>
      <c r="V81">
        <f t="shared" si="65"/>
        <v>6.3899999999999998E-3</v>
      </c>
      <c r="W81">
        <f t="shared" si="66"/>
        <v>0</v>
      </c>
      <c r="X81">
        <f t="shared" si="67"/>
        <v>179.04</v>
      </c>
      <c r="Y81">
        <f t="shared" si="68"/>
        <v>88.58</v>
      </c>
      <c r="AA81">
        <v>27935368</v>
      </c>
      <c r="AB81">
        <f t="shared" si="69"/>
        <v>182.93</v>
      </c>
      <c r="AC81">
        <f t="shared" si="95"/>
        <v>0.36</v>
      </c>
      <c r="AD81">
        <f>ROUND(((((ET81*1.25))-((EU81*1.25)))+AE81),2)</f>
        <v>2.02</v>
      </c>
      <c r="AE81">
        <f>ROUND(((EU81*1.25)),2)</f>
        <v>0.46</v>
      </c>
      <c r="AF81">
        <f>ROUND(((EV81*1.15)),2)</f>
        <v>180.55</v>
      </c>
      <c r="AG81">
        <f t="shared" si="70"/>
        <v>0</v>
      </c>
      <c r="AH81">
        <f>((EW81*1.15))</f>
        <v>18.767999999999997</v>
      </c>
      <c r="AI81">
        <f>((EX81*1.25))</f>
        <v>3.7499999999999999E-2</v>
      </c>
      <c r="AJ81">
        <f t="shared" si="71"/>
        <v>0</v>
      </c>
      <c r="AK81">
        <v>158.97999999999999</v>
      </c>
      <c r="AL81">
        <v>0.36</v>
      </c>
      <c r="AM81">
        <v>1.62</v>
      </c>
      <c r="AN81">
        <v>0.37</v>
      </c>
      <c r="AO81">
        <v>157</v>
      </c>
      <c r="AP81">
        <v>0</v>
      </c>
      <c r="AQ81">
        <v>16.32</v>
      </c>
      <c r="AR81">
        <v>0.03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6.11</v>
      </c>
      <c r="BA81">
        <v>6.11</v>
      </c>
      <c r="BB81">
        <v>6.11</v>
      </c>
      <c r="BC81">
        <v>6.11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162</v>
      </c>
      <c r="BM81">
        <v>15001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6.11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105</v>
      </c>
      <c r="CA81">
        <v>55</v>
      </c>
      <c r="CE81">
        <v>0</v>
      </c>
      <c r="CF81">
        <v>0</v>
      </c>
      <c r="CG81">
        <v>0</v>
      </c>
      <c r="CM81">
        <v>0</v>
      </c>
      <c r="CN81" t="s">
        <v>766</v>
      </c>
      <c r="CO81">
        <v>0</v>
      </c>
      <c r="CP81">
        <f t="shared" si="72"/>
        <v>190.45</v>
      </c>
      <c r="CQ81">
        <f t="shared" si="73"/>
        <v>2.1996000000000002</v>
      </c>
      <c r="CR81">
        <f t="shared" si="74"/>
        <v>12.3422</v>
      </c>
      <c r="CS81">
        <f t="shared" si="75"/>
        <v>2.8106000000000004</v>
      </c>
      <c r="CT81">
        <f t="shared" si="76"/>
        <v>1103.1605000000002</v>
      </c>
      <c r="CU81">
        <f t="shared" si="77"/>
        <v>0</v>
      </c>
      <c r="CV81">
        <f t="shared" si="78"/>
        <v>18.767999999999997</v>
      </c>
      <c r="CW81">
        <f t="shared" si="79"/>
        <v>3.7499999999999999E-2</v>
      </c>
      <c r="CX81">
        <f t="shared" si="80"/>
        <v>0</v>
      </c>
      <c r="CY81">
        <f t="shared" si="81"/>
        <v>179.03699999999998</v>
      </c>
      <c r="CZ81">
        <f t="shared" si="82"/>
        <v>88.576199999999986</v>
      </c>
      <c r="DC81" t="s">
        <v>6</v>
      </c>
      <c r="DD81" t="s">
        <v>6</v>
      </c>
      <c r="DE81" t="s">
        <v>27</v>
      </c>
      <c r="DF81" t="s">
        <v>27</v>
      </c>
      <c r="DG81" t="s">
        <v>28</v>
      </c>
      <c r="DH81" t="s">
        <v>6</v>
      </c>
      <c r="DI81" t="s">
        <v>28</v>
      </c>
      <c r="DJ81" t="s">
        <v>27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16</v>
      </c>
      <c r="DW81" t="s">
        <v>16</v>
      </c>
      <c r="DX81">
        <v>100</v>
      </c>
      <c r="EE81">
        <v>27029049</v>
      </c>
      <c r="EF81">
        <v>2</v>
      </c>
      <c r="EG81" t="s">
        <v>18</v>
      </c>
      <c r="EH81">
        <v>0</v>
      </c>
      <c r="EI81" t="s">
        <v>6</v>
      </c>
      <c r="EJ81">
        <v>1</v>
      </c>
      <c r="EK81">
        <v>15001</v>
      </c>
      <c r="EL81" t="s">
        <v>51</v>
      </c>
      <c r="EM81" t="s">
        <v>52</v>
      </c>
      <c r="EO81" t="s">
        <v>31</v>
      </c>
      <c r="EQ81">
        <v>131072</v>
      </c>
      <c r="ER81">
        <v>158.97999999999999</v>
      </c>
      <c r="ES81">
        <v>0.36</v>
      </c>
      <c r="ET81">
        <v>1.62</v>
      </c>
      <c r="EU81">
        <v>0.37</v>
      </c>
      <c r="EV81">
        <v>157</v>
      </c>
      <c r="EW81">
        <v>16.32</v>
      </c>
      <c r="EX81">
        <v>0.03</v>
      </c>
      <c r="EY81">
        <v>0</v>
      </c>
      <c r="FQ81">
        <v>0</v>
      </c>
      <c r="FR81">
        <f t="shared" si="83"/>
        <v>0</v>
      </c>
      <c r="FS81">
        <v>0</v>
      </c>
      <c r="FT81" t="s">
        <v>21</v>
      </c>
      <c r="FU81" t="s">
        <v>22</v>
      </c>
      <c r="FX81">
        <v>94.5</v>
      </c>
      <c r="FY81">
        <v>46.75</v>
      </c>
      <c r="GA81" t="s">
        <v>6</v>
      </c>
      <c r="GD81">
        <v>0</v>
      </c>
      <c r="GF81">
        <v>-816382651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4"/>
        <v>0</v>
      </c>
      <c r="GM81">
        <f t="shared" si="85"/>
        <v>458.07</v>
      </c>
      <c r="GN81">
        <f t="shared" si="86"/>
        <v>458.07</v>
      </c>
      <c r="GO81">
        <f t="shared" si="87"/>
        <v>0</v>
      </c>
      <c r="GP81">
        <f t="shared" si="88"/>
        <v>0</v>
      </c>
      <c r="GR81">
        <v>0</v>
      </c>
      <c r="GS81">
        <v>3</v>
      </c>
      <c r="GT81">
        <v>0</v>
      </c>
      <c r="GU81" t="s">
        <v>6</v>
      </c>
      <c r="GV81">
        <f t="shared" si="89"/>
        <v>0</v>
      </c>
      <c r="GW81">
        <v>1</v>
      </c>
      <c r="GX81">
        <f t="shared" si="90"/>
        <v>0</v>
      </c>
      <c r="HA81">
        <v>0</v>
      </c>
      <c r="HB81">
        <v>0</v>
      </c>
      <c r="HC81">
        <f t="shared" si="91"/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194</v>
      </c>
      <c r="D82" s="2"/>
      <c r="E82" s="2" t="s">
        <v>163</v>
      </c>
      <c r="F82" s="2" t="s">
        <v>164</v>
      </c>
      <c r="G82" s="2" t="s">
        <v>165</v>
      </c>
      <c r="H82" s="2" t="s">
        <v>65</v>
      </c>
      <c r="I82" s="2">
        <f>I80*J82</f>
        <v>3.408E-3</v>
      </c>
      <c r="J82" s="2">
        <v>0.02</v>
      </c>
      <c r="K82" s="2"/>
      <c r="L82" s="2"/>
      <c r="M82" s="2"/>
      <c r="N82" s="2"/>
      <c r="O82" s="2">
        <f t="shared" si="58"/>
        <v>38.51</v>
      </c>
      <c r="P82" s="2">
        <f t="shared" si="59"/>
        <v>38.51</v>
      </c>
      <c r="Q82" s="2">
        <f t="shared" si="60"/>
        <v>0</v>
      </c>
      <c r="R82" s="2">
        <f t="shared" si="61"/>
        <v>0</v>
      </c>
      <c r="S82" s="2">
        <f t="shared" si="62"/>
        <v>0</v>
      </c>
      <c r="T82" s="2">
        <f t="shared" si="63"/>
        <v>0</v>
      </c>
      <c r="U82" s="2">
        <f t="shared" si="64"/>
        <v>0</v>
      </c>
      <c r="V82" s="2">
        <f t="shared" si="65"/>
        <v>0</v>
      </c>
      <c r="W82" s="2">
        <f t="shared" si="66"/>
        <v>0</v>
      </c>
      <c r="X82" s="2">
        <f t="shared" si="67"/>
        <v>0</v>
      </c>
      <c r="Y82" s="2">
        <f t="shared" si="68"/>
        <v>0</v>
      </c>
      <c r="Z82" s="2"/>
      <c r="AA82" s="2">
        <v>27935367</v>
      </c>
      <c r="AB82" s="2">
        <f t="shared" si="69"/>
        <v>11300</v>
      </c>
      <c r="AC82" s="2">
        <f t="shared" si="95"/>
        <v>11300</v>
      </c>
      <c r="AD82" s="2">
        <f t="shared" ref="AD82:AD89" si="96">ROUND((((ET82)-(EU82))+AE82),2)</f>
        <v>0</v>
      </c>
      <c r="AE82" s="2">
        <f t="shared" ref="AE82:AF89" si="97">ROUND((EU82),2)</f>
        <v>0</v>
      </c>
      <c r="AF82" s="2">
        <f t="shared" si="97"/>
        <v>0</v>
      </c>
      <c r="AG82" s="2">
        <f t="shared" si="70"/>
        <v>0</v>
      </c>
      <c r="AH82" s="2">
        <f t="shared" ref="AH82:AI89" si="98">(EW82)</f>
        <v>0</v>
      </c>
      <c r="AI82" s="2">
        <f t="shared" si="98"/>
        <v>0</v>
      </c>
      <c r="AJ82" s="2">
        <f t="shared" si="71"/>
        <v>0</v>
      </c>
      <c r="AK82" s="2">
        <v>11300</v>
      </c>
      <c r="AL82" s="2">
        <v>11300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95</v>
      </c>
      <c r="AU82" s="2">
        <v>47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166</v>
      </c>
      <c r="BK82" s="2"/>
      <c r="BL82" s="2"/>
      <c r="BM82" s="2">
        <v>15001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105</v>
      </c>
      <c r="CA82" s="2">
        <v>55</v>
      </c>
      <c r="CB82" s="2"/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2"/>
        <v>38.51</v>
      </c>
      <c r="CQ82" s="2">
        <f t="shared" si="73"/>
        <v>11300</v>
      </c>
      <c r="CR82" s="2">
        <f t="shared" si="74"/>
        <v>0</v>
      </c>
      <c r="CS82" s="2">
        <f t="shared" si="75"/>
        <v>0</v>
      </c>
      <c r="CT82" s="2">
        <f t="shared" si="76"/>
        <v>0</v>
      </c>
      <c r="CU82" s="2">
        <f t="shared" si="77"/>
        <v>0</v>
      </c>
      <c r="CV82" s="2">
        <f t="shared" si="78"/>
        <v>0</v>
      </c>
      <c r="CW82" s="2">
        <f t="shared" si="79"/>
        <v>0</v>
      </c>
      <c r="CX82" s="2">
        <f t="shared" si="80"/>
        <v>0</v>
      </c>
      <c r="CY82" s="2">
        <f t="shared" si="81"/>
        <v>0</v>
      </c>
      <c r="CZ82" s="2">
        <f t="shared" si="82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1009</v>
      </c>
      <c r="DV82" s="2" t="s">
        <v>65</v>
      </c>
      <c r="DW82" s="2" t="s">
        <v>65</v>
      </c>
      <c r="DX82" s="2">
        <v>1000</v>
      </c>
      <c r="DY82" s="2"/>
      <c r="DZ82" s="2"/>
      <c r="EA82" s="2"/>
      <c r="EB82" s="2"/>
      <c r="EC82" s="2"/>
      <c r="ED82" s="2"/>
      <c r="EE82" s="2">
        <v>27029049</v>
      </c>
      <c r="EF82" s="2">
        <v>2</v>
      </c>
      <c r="EG82" s="2" t="s">
        <v>18</v>
      </c>
      <c r="EH82" s="2">
        <v>0</v>
      </c>
      <c r="EI82" s="2" t="s">
        <v>6</v>
      </c>
      <c r="EJ82" s="2">
        <v>1</v>
      </c>
      <c r="EK82" s="2">
        <v>15001</v>
      </c>
      <c r="EL82" s="2" t="s">
        <v>51</v>
      </c>
      <c r="EM82" s="2" t="s">
        <v>52</v>
      </c>
      <c r="EN82" s="2"/>
      <c r="EO82" s="2" t="s">
        <v>6</v>
      </c>
      <c r="EP82" s="2"/>
      <c r="EQ82" s="2">
        <v>0</v>
      </c>
      <c r="ER82" s="2">
        <v>11300</v>
      </c>
      <c r="ES82" s="2">
        <v>11300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3"/>
        <v>0</v>
      </c>
      <c r="FS82" s="2">
        <v>0</v>
      </c>
      <c r="FT82" s="2" t="s">
        <v>21</v>
      </c>
      <c r="FU82" s="2" t="s">
        <v>22</v>
      </c>
      <c r="FV82" s="2"/>
      <c r="FW82" s="2"/>
      <c r="FX82" s="2">
        <v>94.5</v>
      </c>
      <c r="FY82" s="2">
        <v>46.75</v>
      </c>
      <c r="FZ82" s="2"/>
      <c r="GA82" s="2" t="s">
        <v>6</v>
      </c>
      <c r="GB82" s="2"/>
      <c r="GC82" s="2"/>
      <c r="GD82" s="2">
        <v>0</v>
      </c>
      <c r="GE82" s="2"/>
      <c r="GF82" s="2">
        <v>-1036077714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4"/>
        <v>0</v>
      </c>
      <c r="GM82" s="2">
        <f t="shared" si="85"/>
        <v>38.51</v>
      </c>
      <c r="GN82" s="2">
        <f t="shared" si="86"/>
        <v>38.51</v>
      </c>
      <c r="GO82" s="2">
        <f t="shared" si="87"/>
        <v>0</v>
      </c>
      <c r="GP82" s="2">
        <f t="shared" si="88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89"/>
        <v>0</v>
      </c>
      <c r="GW82" s="2">
        <v>1</v>
      </c>
      <c r="GX82" s="2">
        <f t="shared" si="90"/>
        <v>0</v>
      </c>
      <c r="GY82" s="2"/>
      <c r="GZ82" s="2"/>
      <c r="HA82" s="2">
        <v>0</v>
      </c>
      <c r="HB82" s="2">
        <v>0</v>
      </c>
      <c r="HC82" s="2">
        <f t="shared" si="91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200</v>
      </c>
      <c r="E83" t="s">
        <v>163</v>
      </c>
      <c r="F83" t="s">
        <v>164</v>
      </c>
      <c r="G83" t="s">
        <v>165</v>
      </c>
      <c r="H83" t="s">
        <v>65</v>
      </c>
      <c r="I83">
        <f>I81*J83</f>
        <v>3.408E-3</v>
      </c>
      <c r="J83">
        <v>0.02</v>
      </c>
      <c r="O83">
        <f t="shared" si="58"/>
        <v>235.3</v>
      </c>
      <c r="P83">
        <f t="shared" si="59"/>
        <v>235.3</v>
      </c>
      <c r="Q83">
        <f t="shared" si="60"/>
        <v>0</v>
      </c>
      <c r="R83">
        <f t="shared" si="61"/>
        <v>0</v>
      </c>
      <c r="S83">
        <f t="shared" si="62"/>
        <v>0</v>
      </c>
      <c r="T83">
        <f t="shared" si="63"/>
        <v>0</v>
      </c>
      <c r="U83">
        <f t="shared" si="64"/>
        <v>0</v>
      </c>
      <c r="V83">
        <f t="shared" si="65"/>
        <v>0</v>
      </c>
      <c r="W83">
        <f t="shared" si="66"/>
        <v>0</v>
      </c>
      <c r="X83">
        <f t="shared" si="67"/>
        <v>0</v>
      </c>
      <c r="Y83">
        <f t="shared" si="68"/>
        <v>0</v>
      </c>
      <c r="AA83">
        <v>27935368</v>
      </c>
      <c r="AB83">
        <f t="shared" si="69"/>
        <v>11300</v>
      </c>
      <c r="AC83">
        <f t="shared" si="95"/>
        <v>11300</v>
      </c>
      <c r="AD83">
        <f t="shared" si="96"/>
        <v>0</v>
      </c>
      <c r="AE83">
        <f t="shared" si="97"/>
        <v>0</v>
      </c>
      <c r="AF83">
        <f t="shared" si="97"/>
        <v>0</v>
      </c>
      <c r="AG83">
        <f t="shared" si="70"/>
        <v>0</v>
      </c>
      <c r="AH83">
        <f t="shared" si="98"/>
        <v>0</v>
      </c>
      <c r="AI83">
        <f t="shared" si="98"/>
        <v>0</v>
      </c>
      <c r="AJ83">
        <f t="shared" si="71"/>
        <v>0</v>
      </c>
      <c r="AK83">
        <v>11300</v>
      </c>
      <c r="AL83">
        <v>11300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95</v>
      </c>
      <c r="AU83">
        <v>47</v>
      </c>
      <c r="AV83">
        <v>1</v>
      </c>
      <c r="AW83">
        <v>1</v>
      </c>
      <c r="AZ83">
        <v>6.11</v>
      </c>
      <c r="BA83">
        <v>1</v>
      </c>
      <c r="BB83">
        <v>1</v>
      </c>
      <c r="BC83">
        <v>6.11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166</v>
      </c>
      <c r="BM83">
        <v>15001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105</v>
      </c>
      <c r="CA83">
        <v>55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2"/>
        <v>235.3</v>
      </c>
      <c r="CQ83">
        <f t="shared" si="73"/>
        <v>69043</v>
      </c>
      <c r="CR83">
        <f t="shared" si="74"/>
        <v>0</v>
      </c>
      <c r="CS83">
        <f t="shared" si="75"/>
        <v>0</v>
      </c>
      <c r="CT83">
        <f t="shared" si="76"/>
        <v>0</v>
      </c>
      <c r="CU83">
        <f t="shared" si="77"/>
        <v>0</v>
      </c>
      <c r="CV83">
        <f t="shared" si="78"/>
        <v>0</v>
      </c>
      <c r="CW83">
        <f t="shared" si="79"/>
        <v>0</v>
      </c>
      <c r="CX83">
        <f t="shared" si="80"/>
        <v>0</v>
      </c>
      <c r="CY83">
        <f t="shared" si="81"/>
        <v>0</v>
      </c>
      <c r="CZ83">
        <f t="shared" si="82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65</v>
      </c>
      <c r="DW83" t="s">
        <v>65</v>
      </c>
      <c r="DX83">
        <v>1000</v>
      </c>
      <c r="EE83">
        <v>27029049</v>
      </c>
      <c r="EF83">
        <v>2</v>
      </c>
      <c r="EG83" t="s">
        <v>18</v>
      </c>
      <c r="EH83">
        <v>0</v>
      </c>
      <c r="EI83" t="s">
        <v>6</v>
      </c>
      <c r="EJ83">
        <v>1</v>
      </c>
      <c r="EK83">
        <v>15001</v>
      </c>
      <c r="EL83" t="s">
        <v>51</v>
      </c>
      <c r="EM83" t="s">
        <v>52</v>
      </c>
      <c r="EO83" t="s">
        <v>6</v>
      </c>
      <c r="EQ83">
        <v>0</v>
      </c>
      <c r="ER83">
        <v>11300</v>
      </c>
      <c r="ES83">
        <v>11300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3"/>
        <v>0</v>
      </c>
      <c r="FS83">
        <v>0</v>
      </c>
      <c r="FT83" t="s">
        <v>21</v>
      </c>
      <c r="FU83" t="s">
        <v>22</v>
      </c>
      <c r="FX83">
        <v>94.5</v>
      </c>
      <c r="FY83">
        <v>46.75</v>
      </c>
      <c r="GA83" t="s">
        <v>6</v>
      </c>
      <c r="GD83">
        <v>0</v>
      </c>
      <c r="GF83">
        <v>-1036077714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4"/>
        <v>0</v>
      </c>
      <c r="GM83">
        <f t="shared" si="85"/>
        <v>235.3</v>
      </c>
      <c r="GN83">
        <f t="shared" si="86"/>
        <v>235.3</v>
      </c>
      <c r="GO83">
        <f t="shared" si="87"/>
        <v>0</v>
      </c>
      <c r="GP83">
        <f t="shared" si="88"/>
        <v>0</v>
      </c>
      <c r="GR83">
        <v>0</v>
      </c>
      <c r="GS83">
        <v>3</v>
      </c>
      <c r="GT83">
        <v>0</v>
      </c>
      <c r="GU83" t="s">
        <v>6</v>
      </c>
      <c r="GV83">
        <f t="shared" si="89"/>
        <v>0</v>
      </c>
      <c r="GW83">
        <v>1</v>
      </c>
      <c r="GX83">
        <f t="shared" si="90"/>
        <v>0</v>
      </c>
      <c r="HA83">
        <v>0</v>
      </c>
      <c r="HB83">
        <v>0</v>
      </c>
      <c r="HC83">
        <f t="shared" si="91"/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ROW(SmtRes!A212)</f>
        <v>212</v>
      </c>
      <c r="D84" s="2">
        <f>ROW(EtalonRes!A218)</f>
        <v>218</v>
      </c>
      <c r="E84" s="2" t="s">
        <v>167</v>
      </c>
      <c r="F84" s="2" t="s">
        <v>168</v>
      </c>
      <c r="G84" s="2" t="s">
        <v>169</v>
      </c>
      <c r="H84" s="2" t="s">
        <v>16</v>
      </c>
      <c r="I84" s="2">
        <f>ROUND(17.04/100,9)</f>
        <v>0.1704</v>
      </c>
      <c r="J84" s="2">
        <v>0</v>
      </c>
      <c r="K84" s="2"/>
      <c r="L84" s="2"/>
      <c r="M84" s="2"/>
      <c r="N84" s="2"/>
      <c r="O84" s="2">
        <f t="shared" si="58"/>
        <v>129.34</v>
      </c>
      <c r="P84" s="2">
        <f t="shared" si="59"/>
        <v>84.56</v>
      </c>
      <c r="Q84" s="2">
        <f t="shared" si="60"/>
        <v>1.2</v>
      </c>
      <c r="R84" s="2">
        <f t="shared" si="61"/>
        <v>0.35</v>
      </c>
      <c r="S84" s="2">
        <f t="shared" si="62"/>
        <v>43.58</v>
      </c>
      <c r="T84" s="2">
        <f t="shared" si="63"/>
        <v>0</v>
      </c>
      <c r="U84" s="2">
        <f t="shared" si="64"/>
        <v>5.0438400000000003</v>
      </c>
      <c r="V84" s="2">
        <f t="shared" si="65"/>
        <v>2.7264E-2</v>
      </c>
      <c r="W84" s="2">
        <f t="shared" si="66"/>
        <v>0</v>
      </c>
      <c r="X84" s="2">
        <f t="shared" si="67"/>
        <v>35.14</v>
      </c>
      <c r="Y84" s="2">
        <f t="shared" si="68"/>
        <v>21.97</v>
      </c>
      <c r="Z84" s="2"/>
      <c r="AA84" s="2">
        <v>27935367</v>
      </c>
      <c r="AB84" s="2">
        <f t="shared" si="69"/>
        <v>759.03</v>
      </c>
      <c r="AC84" s="2">
        <f t="shared" si="95"/>
        <v>496.22</v>
      </c>
      <c r="AD84" s="2">
        <f t="shared" si="96"/>
        <v>7.07</v>
      </c>
      <c r="AE84" s="2">
        <f t="shared" si="97"/>
        <v>2.0499999999999998</v>
      </c>
      <c r="AF84" s="2">
        <f t="shared" si="97"/>
        <v>255.74</v>
      </c>
      <c r="AG84" s="2">
        <f t="shared" si="70"/>
        <v>0</v>
      </c>
      <c r="AH84" s="2">
        <f t="shared" si="98"/>
        <v>29.6</v>
      </c>
      <c r="AI84" s="2">
        <f t="shared" si="98"/>
        <v>0.16</v>
      </c>
      <c r="AJ84" s="2">
        <f t="shared" si="71"/>
        <v>0</v>
      </c>
      <c r="AK84" s="2">
        <v>759.03</v>
      </c>
      <c r="AL84" s="2">
        <v>496.22</v>
      </c>
      <c r="AM84" s="2">
        <v>7.07</v>
      </c>
      <c r="AN84" s="2">
        <v>2.0499999999999998</v>
      </c>
      <c r="AO84" s="2">
        <v>255.74</v>
      </c>
      <c r="AP84" s="2">
        <v>0</v>
      </c>
      <c r="AQ84" s="2">
        <v>29.6</v>
      </c>
      <c r="AR84" s="2">
        <v>0.16</v>
      </c>
      <c r="AS84" s="2">
        <v>0</v>
      </c>
      <c r="AT84" s="2">
        <v>80</v>
      </c>
      <c r="AU84" s="2">
        <v>50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170</v>
      </c>
      <c r="BK84" s="2"/>
      <c r="BL84" s="2"/>
      <c r="BM84" s="2">
        <v>62001</v>
      </c>
      <c r="BN84" s="2">
        <v>0</v>
      </c>
      <c r="BO84" s="2" t="s">
        <v>6</v>
      </c>
      <c r="BP84" s="2">
        <v>0</v>
      </c>
      <c r="BQ84" s="2">
        <v>6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80</v>
      </c>
      <c r="CA84" s="2">
        <v>50</v>
      </c>
      <c r="CB84" s="2"/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72"/>
        <v>129.34</v>
      </c>
      <c r="CQ84" s="2">
        <f t="shared" si="73"/>
        <v>496.22</v>
      </c>
      <c r="CR84" s="2">
        <f t="shared" si="74"/>
        <v>7.07</v>
      </c>
      <c r="CS84" s="2">
        <f t="shared" si="75"/>
        <v>2.0499999999999998</v>
      </c>
      <c r="CT84" s="2">
        <f t="shared" si="76"/>
        <v>255.74</v>
      </c>
      <c r="CU84" s="2">
        <f t="shared" si="77"/>
        <v>0</v>
      </c>
      <c r="CV84" s="2">
        <f t="shared" si="78"/>
        <v>29.6</v>
      </c>
      <c r="CW84" s="2">
        <f t="shared" si="79"/>
        <v>0.16</v>
      </c>
      <c r="CX84" s="2">
        <f t="shared" si="80"/>
        <v>0</v>
      </c>
      <c r="CY84" s="2">
        <f t="shared" si="81"/>
        <v>35.143999999999998</v>
      </c>
      <c r="CZ84" s="2">
        <f t="shared" si="82"/>
        <v>21.965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16</v>
      </c>
      <c r="DW84" s="2" t="s">
        <v>16</v>
      </c>
      <c r="DX84" s="2">
        <v>100</v>
      </c>
      <c r="DY84" s="2"/>
      <c r="DZ84" s="2"/>
      <c r="EA84" s="2"/>
      <c r="EB84" s="2"/>
      <c r="EC84" s="2"/>
      <c r="ED84" s="2"/>
      <c r="EE84" s="2">
        <v>27029107</v>
      </c>
      <c r="EF84" s="2">
        <v>6</v>
      </c>
      <c r="EG84" s="2" t="s">
        <v>90</v>
      </c>
      <c r="EH84" s="2">
        <v>0</v>
      </c>
      <c r="EI84" s="2" t="s">
        <v>6</v>
      </c>
      <c r="EJ84" s="2">
        <v>1</v>
      </c>
      <c r="EK84" s="2">
        <v>62001</v>
      </c>
      <c r="EL84" s="2" t="s">
        <v>171</v>
      </c>
      <c r="EM84" s="2" t="s">
        <v>172</v>
      </c>
      <c r="EN84" s="2"/>
      <c r="EO84" s="2" t="s">
        <v>6</v>
      </c>
      <c r="EP84" s="2"/>
      <c r="EQ84" s="2">
        <v>131072</v>
      </c>
      <c r="ER84" s="2">
        <v>759.03</v>
      </c>
      <c r="ES84" s="2">
        <v>496.22</v>
      </c>
      <c r="ET84" s="2">
        <v>7.07</v>
      </c>
      <c r="EU84" s="2">
        <v>2.0499999999999998</v>
      </c>
      <c r="EV84" s="2">
        <v>255.74</v>
      </c>
      <c r="EW84" s="2">
        <v>29.6</v>
      </c>
      <c r="EX84" s="2">
        <v>0.16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3"/>
        <v>0</v>
      </c>
      <c r="FS84" s="2">
        <v>0</v>
      </c>
      <c r="FT84" s="2"/>
      <c r="FU84" s="2"/>
      <c r="FV84" s="2"/>
      <c r="FW84" s="2"/>
      <c r="FX84" s="2">
        <v>80</v>
      </c>
      <c r="FY84" s="2">
        <v>50</v>
      </c>
      <c r="FZ84" s="2"/>
      <c r="GA84" s="2" t="s">
        <v>6</v>
      </c>
      <c r="GB84" s="2"/>
      <c r="GC84" s="2"/>
      <c r="GD84" s="2">
        <v>0</v>
      </c>
      <c r="GE84" s="2"/>
      <c r="GF84" s="2">
        <v>-2059184300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4"/>
        <v>0</v>
      </c>
      <c r="GM84" s="2">
        <f t="shared" si="85"/>
        <v>186.45</v>
      </c>
      <c r="GN84" s="2">
        <f t="shared" si="86"/>
        <v>186.45</v>
      </c>
      <c r="GO84" s="2">
        <f t="shared" si="87"/>
        <v>0</v>
      </c>
      <c r="GP84" s="2">
        <f t="shared" si="88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89"/>
        <v>0</v>
      </c>
      <c r="GW84" s="2">
        <v>1</v>
      </c>
      <c r="GX84" s="2">
        <f t="shared" si="90"/>
        <v>0</v>
      </c>
      <c r="GY84" s="2"/>
      <c r="GZ84" s="2"/>
      <c r="HA84" s="2">
        <v>0</v>
      </c>
      <c r="HB84" s="2">
        <v>0</v>
      </c>
      <c r="HC84" s="2">
        <f t="shared" si="91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ROW(SmtRes!A224)</f>
        <v>224</v>
      </c>
      <c r="D85">
        <f>ROW(EtalonRes!A230)</f>
        <v>230</v>
      </c>
      <c r="E85" t="s">
        <v>167</v>
      </c>
      <c r="F85" t="s">
        <v>168</v>
      </c>
      <c r="G85" t="s">
        <v>169</v>
      </c>
      <c r="H85" t="s">
        <v>16</v>
      </c>
      <c r="I85">
        <f>ROUND(17.04/100,9)</f>
        <v>0.1704</v>
      </c>
      <c r="J85">
        <v>0</v>
      </c>
      <c r="O85">
        <f t="shared" si="58"/>
        <v>790.26</v>
      </c>
      <c r="P85">
        <f t="shared" si="59"/>
        <v>516.64</v>
      </c>
      <c r="Q85">
        <f t="shared" si="60"/>
        <v>7.36</v>
      </c>
      <c r="R85">
        <f t="shared" si="61"/>
        <v>2.13</v>
      </c>
      <c r="S85">
        <f t="shared" si="62"/>
        <v>266.26</v>
      </c>
      <c r="T85">
        <f t="shared" si="63"/>
        <v>0</v>
      </c>
      <c r="U85">
        <f t="shared" si="64"/>
        <v>5.0438400000000003</v>
      </c>
      <c r="V85">
        <f t="shared" si="65"/>
        <v>2.7264E-2</v>
      </c>
      <c r="W85">
        <f t="shared" si="66"/>
        <v>0</v>
      </c>
      <c r="X85">
        <f t="shared" si="67"/>
        <v>214.71</v>
      </c>
      <c r="Y85">
        <f t="shared" si="68"/>
        <v>134.19999999999999</v>
      </c>
      <c r="AA85">
        <v>27935368</v>
      </c>
      <c r="AB85">
        <f t="shared" si="69"/>
        <v>759.03</v>
      </c>
      <c r="AC85">
        <f t="shared" si="95"/>
        <v>496.22</v>
      </c>
      <c r="AD85">
        <f t="shared" si="96"/>
        <v>7.07</v>
      </c>
      <c r="AE85">
        <f t="shared" si="97"/>
        <v>2.0499999999999998</v>
      </c>
      <c r="AF85">
        <f t="shared" si="97"/>
        <v>255.74</v>
      </c>
      <c r="AG85">
        <f t="shared" si="70"/>
        <v>0</v>
      </c>
      <c r="AH85">
        <f t="shared" si="98"/>
        <v>29.6</v>
      </c>
      <c r="AI85">
        <f t="shared" si="98"/>
        <v>0.16</v>
      </c>
      <c r="AJ85">
        <f t="shared" si="71"/>
        <v>0</v>
      </c>
      <c r="AK85">
        <v>759.03</v>
      </c>
      <c r="AL85">
        <v>496.22</v>
      </c>
      <c r="AM85">
        <v>7.07</v>
      </c>
      <c r="AN85">
        <v>2.0499999999999998</v>
      </c>
      <c r="AO85">
        <v>255.74</v>
      </c>
      <c r="AP85">
        <v>0</v>
      </c>
      <c r="AQ85">
        <v>29.6</v>
      </c>
      <c r="AR85">
        <v>0.16</v>
      </c>
      <c r="AS85">
        <v>0</v>
      </c>
      <c r="AT85">
        <v>80</v>
      </c>
      <c r="AU85">
        <v>50</v>
      </c>
      <c r="AV85">
        <v>1</v>
      </c>
      <c r="AW85">
        <v>1</v>
      </c>
      <c r="AZ85">
        <v>6.11</v>
      </c>
      <c r="BA85">
        <v>6.11</v>
      </c>
      <c r="BB85">
        <v>6.11</v>
      </c>
      <c r="BC85">
        <v>6.11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170</v>
      </c>
      <c r="BM85">
        <v>62001</v>
      </c>
      <c r="BN85">
        <v>0</v>
      </c>
      <c r="BO85" t="s">
        <v>6</v>
      </c>
      <c r="BP85">
        <v>0</v>
      </c>
      <c r="BQ85">
        <v>6</v>
      </c>
      <c r="BR85">
        <v>0</v>
      </c>
      <c r="BS85">
        <v>6.11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80</v>
      </c>
      <c r="CA85">
        <v>50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72"/>
        <v>790.26</v>
      </c>
      <c r="CQ85">
        <f t="shared" si="73"/>
        <v>3031.9042000000004</v>
      </c>
      <c r="CR85">
        <f t="shared" si="74"/>
        <v>43.197700000000005</v>
      </c>
      <c r="CS85">
        <f t="shared" si="75"/>
        <v>12.525499999999999</v>
      </c>
      <c r="CT85">
        <f t="shared" si="76"/>
        <v>1562.5714</v>
      </c>
      <c r="CU85">
        <f t="shared" si="77"/>
        <v>0</v>
      </c>
      <c r="CV85">
        <f t="shared" si="78"/>
        <v>29.6</v>
      </c>
      <c r="CW85">
        <f t="shared" si="79"/>
        <v>0.16</v>
      </c>
      <c r="CX85">
        <f t="shared" si="80"/>
        <v>0</v>
      </c>
      <c r="CY85">
        <f t="shared" si="81"/>
        <v>214.71199999999996</v>
      </c>
      <c r="CZ85">
        <f t="shared" si="82"/>
        <v>134.19499999999999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16</v>
      </c>
      <c r="DW85" t="s">
        <v>16</v>
      </c>
      <c r="DX85">
        <v>100</v>
      </c>
      <c r="EE85">
        <v>27029107</v>
      </c>
      <c r="EF85">
        <v>6</v>
      </c>
      <c r="EG85" t="s">
        <v>90</v>
      </c>
      <c r="EH85">
        <v>0</v>
      </c>
      <c r="EI85" t="s">
        <v>6</v>
      </c>
      <c r="EJ85">
        <v>1</v>
      </c>
      <c r="EK85">
        <v>62001</v>
      </c>
      <c r="EL85" t="s">
        <v>171</v>
      </c>
      <c r="EM85" t="s">
        <v>172</v>
      </c>
      <c r="EO85" t="s">
        <v>6</v>
      </c>
      <c r="EQ85">
        <v>131072</v>
      </c>
      <c r="ER85">
        <v>759.03</v>
      </c>
      <c r="ES85">
        <v>496.22</v>
      </c>
      <c r="ET85">
        <v>7.07</v>
      </c>
      <c r="EU85">
        <v>2.0499999999999998</v>
      </c>
      <c r="EV85">
        <v>255.74</v>
      </c>
      <c r="EW85">
        <v>29.6</v>
      </c>
      <c r="EX85">
        <v>0.16</v>
      </c>
      <c r="EY85">
        <v>0</v>
      </c>
      <c r="FQ85">
        <v>0</v>
      </c>
      <c r="FR85">
        <f t="shared" si="83"/>
        <v>0</v>
      </c>
      <c r="FS85">
        <v>0</v>
      </c>
      <c r="FX85">
        <v>80</v>
      </c>
      <c r="FY85">
        <v>50</v>
      </c>
      <c r="GA85" t="s">
        <v>6</v>
      </c>
      <c r="GD85">
        <v>0</v>
      </c>
      <c r="GF85">
        <v>-2059184300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4"/>
        <v>0</v>
      </c>
      <c r="GM85">
        <f t="shared" si="85"/>
        <v>1139.17</v>
      </c>
      <c r="GN85">
        <f t="shared" si="86"/>
        <v>1139.17</v>
      </c>
      <c r="GO85">
        <f t="shared" si="87"/>
        <v>0</v>
      </c>
      <c r="GP85">
        <f t="shared" si="88"/>
        <v>0</v>
      </c>
      <c r="GR85">
        <v>0</v>
      </c>
      <c r="GS85">
        <v>3</v>
      </c>
      <c r="GT85">
        <v>0</v>
      </c>
      <c r="GU85" t="s">
        <v>6</v>
      </c>
      <c r="GV85">
        <f t="shared" si="89"/>
        <v>0</v>
      </c>
      <c r="GW85">
        <v>1</v>
      </c>
      <c r="GX85">
        <f t="shared" si="90"/>
        <v>0</v>
      </c>
      <c r="HA85">
        <v>0</v>
      </c>
      <c r="HB85">
        <v>0</v>
      </c>
      <c r="HC85">
        <f t="shared" si="91"/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211</v>
      </c>
      <c r="D86" s="2"/>
      <c r="E86" s="2" t="s">
        <v>173</v>
      </c>
      <c r="F86" s="2" t="s">
        <v>174</v>
      </c>
      <c r="G86" s="2" t="s">
        <v>175</v>
      </c>
      <c r="H86" s="2" t="s">
        <v>65</v>
      </c>
      <c r="I86" s="2">
        <f>I84*J86</f>
        <v>1.2097999999999999E-2</v>
      </c>
      <c r="J86" s="2">
        <v>7.099765258215962E-2</v>
      </c>
      <c r="K86" s="2"/>
      <c r="L86" s="2"/>
      <c r="M86" s="2"/>
      <c r="N86" s="2"/>
      <c r="O86" s="2">
        <f t="shared" si="58"/>
        <v>160.75</v>
      </c>
      <c r="P86" s="2">
        <f t="shared" si="59"/>
        <v>160.75</v>
      </c>
      <c r="Q86" s="2">
        <f t="shared" si="60"/>
        <v>0</v>
      </c>
      <c r="R86" s="2">
        <f t="shared" si="61"/>
        <v>0</v>
      </c>
      <c r="S86" s="2">
        <f t="shared" si="62"/>
        <v>0</v>
      </c>
      <c r="T86" s="2">
        <f t="shared" si="63"/>
        <v>0</v>
      </c>
      <c r="U86" s="2">
        <f t="shared" si="64"/>
        <v>0</v>
      </c>
      <c r="V86" s="2">
        <f t="shared" si="65"/>
        <v>0</v>
      </c>
      <c r="W86" s="2">
        <f t="shared" si="66"/>
        <v>0</v>
      </c>
      <c r="X86" s="2">
        <f t="shared" si="67"/>
        <v>0</v>
      </c>
      <c r="Y86" s="2">
        <f t="shared" si="68"/>
        <v>0</v>
      </c>
      <c r="Z86" s="2"/>
      <c r="AA86" s="2">
        <v>27935367</v>
      </c>
      <c r="AB86" s="2">
        <f t="shared" si="69"/>
        <v>13287.69</v>
      </c>
      <c r="AC86" s="2">
        <f t="shared" si="95"/>
        <v>13287.69</v>
      </c>
      <c r="AD86" s="2">
        <f t="shared" si="96"/>
        <v>0</v>
      </c>
      <c r="AE86" s="2">
        <f t="shared" si="97"/>
        <v>0</v>
      </c>
      <c r="AF86" s="2">
        <f t="shared" si="97"/>
        <v>0</v>
      </c>
      <c r="AG86" s="2">
        <f t="shared" si="70"/>
        <v>0</v>
      </c>
      <c r="AH86" s="2">
        <f t="shared" si="98"/>
        <v>0</v>
      </c>
      <c r="AI86" s="2">
        <f t="shared" si="98"/>
        <v>0</v>
      </c>
      <c r="AJ86" s="2">
        <f t="shared" si="71"/>
        <v>0</v>
      </c>
      <c r="AK86" s="2">
        <v>13287.69</v>
      </c>
      <c r="AL86" s="2">
        <v>13287.69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80</v>
      </c>
      <c r="AU86" s="2">
        <v>50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176</v>
      </c>
      <c r="BK86" s="2"/>
      <c r="BL86" s="2"/>
      <c r="BM86" s="2">
        <v>62001</v>
      </c>
      <c r="BN86" s="2">
        <v>0</v>
      </c>
      <c r="BO86" s="2" t="s">
        <v>6</v>
      </c>
      <c r="BP86" s="2">
        <v>0</v>
      </c>
      <c r="BQ86" s="2">
        <v>6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80</v>
      </c>
      <c r="CA86" s="2">
        <v>50</v>
      </c>
      <c r="CB86" s="2"/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2"/>
        <v>160.75</v>
      </c>
      <c r="CQ86" s="2">
        <f t="shared" si="73"/>
        <v>13287.69</v>
      </c>
      <c r="CR86" s="2">
        <f t="shared" si="74"/>
        <v>0</v>
      </c>
      <c r="CS86" s="2">
        <f t="shared" si="75"/>
        <v>0</v>
      </c>
      <c r="CT86" s="2">
        <f t="shared" si="76"/>
        <v>0</v>
      </c>
      <c r="CU86" s="2">
        <f t="shared" si="77"/>
        <v>0</v>
      </c>
      <c r="CV86" s="2">
        <f t="shared" si="78"/>
        <v>0</v>
      </c>
      <c r="CW86" s="2">
        <f t="shared" si="79"/>
        <v>0</v>
      </c>
      <c r="CX86" s="2">
        <f t="shared" si="80"/>
        <v>0</v>
      </c>
      <c r="CY86" s="2">
        <f t="shared" si="81"/>
        <v>0</v>
      </c>
      <c r="CZ86" s="2">
        <f t="shared" si="82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65</v>
      </c>
      <c r="DW86" s="2" t="s">
        <v>65</v>
      </c>
      <c r="DX86" s="2">
        <v>1000</v>
      </c>
      <c r="DY86" s="2"/>
      <c r="DZ86" s="2"/>
      <c r="EA86" s="2"/>
      <c r="EB86" s="2"/>
      <c r="EC86" s="2"/>
      <c r="ED86" s="2"/>
      <c r="EE86" s="2">
        <v>27029107</v>
      </c>
      <c r="EF86" s="2">
        <v>6</v>
      </c>
      <c r="EG86" s="2" t="s">
        <v>90</v>
      </c>
      <c r="EH86" s="2">
        <v>0</v>
      </c>
      <c r="EI86" s="2" t="s">
        <v>6</v>
      </c>
      <c r="EJ86" s="2">
        <v>1</v>
      </c>
      <c r="EK86" s="2">
        <v>62001</v>
      </c>
      <c r="EL86" s="2" t="s">
        <v>171</v>
      </c>
      <c r="EM86" s="2" t="s">
        <v>172</v>
      </c>
      <c r="EN86" s="2"/>
      <c r="EO86" s="2" t="s">
        <v>6</v>
      </c>
      <c r="EP86" s="2"/>
      <c r="EQ86" s="2">
        <v>0</v>
      </c>
      <c r="ER86" s="2">
        <v>13287.69</v>
      </c>
      <c r="ES86" s="2">
        <v>13287.69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3"/>
        <v>0</v>
      </c>
      <c r="FS86" s="2">
        <v>0</v>
      </c>
      <c r="FT86" s="2"/>
      <c r="FU86" s="2"/>
      <c r="FV86" s="2"/>
      <c r="FW86" s="2"/>
      <c r="FX86" s="2">
        <v>80</v>
      </c>
      <c r="FY86" s="2">
        <v>50</v>
      </c>
      <c r="FZ86" s="2"/>
      <c r="GA86" s="2" t="s">
        <v>6</v>
      </c>
      <c r="GB86" s="2"/>
      <c r="GC86" s="2"/>
      <c r="GD86" s="2">
        <v>0</v>
      </c>
      <c r="GE86" s="2"/>
      <c r="GF86" s="2">
        <v>80755745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4"/>
        <v>0</v>
      </c>
      <c r="GM86" s="2">
        <f t="shared" si="85"/>
        <v>160.75</v>
      </c>
      <c r="GN86" s="2">
        <f t="shared" si="86"/>
        <v>160.75</v>
      </c>
      <c r="GO86" s="2">
        <f t="shared" si="87"/>
        <v>0</v>
      </c>
      <c r="GP86" s="2">
        <f t="shared" si="88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89"/>
        <v>0</v>
      </c>
      <c r="GW86" s="2">
        <v>1</v>
      </c>
      <c r="GX86" s="2">
        <f t="shared" si="90"/>
        <v>0</v>
      </c>
      <c r="GY86" s="2"/>
      <c r="GZ86" s="2"/>
      <c r="HA86" s="2">
        <v>0</v>
      </c>
      <c r="HB86" s="2">
        <v>0</v>
      </c>
      <c r="HC86" s="2">
        <f t="shared" si="91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223</v>
      </c>
      <c r="E87" t="s">
        <v>173</v>
      </c>
      <c r="F87" t="s">
        <v>174</v>
      </c>
      <c r="G87" t="s">
        <v>175</v>
      </c>
      <c r="H87" t="s">
        <v>65</v>
      </c>
      <c r="I87">
        <f>I85*J87</f>
        <v>1.2097999999999999E-2</v>
      </c>
      <c r="J87">
        <v>7.099765258215962E-2</v>
      </c>
      <c r="O87">
        <f t="shared" si="58"/>
        <v>982.21</v>
      </c>
      <c r="P87">
        <f t="shared" si="59"/>
        <v>982.21</v>
      </c>
      <c r="Q87">
        <f t="shared" si="60"/>
        <v>0</v>
      </c>
      <c r="R87">
        <f t="shared" si="61"/>
        <v>0</v>
      </c>
      <c r="S87">
        <f t="shared" si="62"/>
        <v>0</v>
      </c>
      <c r="T87">
        <f t="shared" si="63"/>
        <v>0</v>
      </c>
      <c r="U87">
        <f t="shared" si="64"/>
        <v>0</v>
      </c>
      <c r="V87">
        <f t="shared" si="65"/>
        <v>0</v>
      </c>
      <c r="W87">
        <f t="shared" si="66"/>
        <v>0</v>
      </c>
      <c r="X87">
        <f t="shared" si="67"/>
        <v>0</v>
      </c>
      <c r="Y87">
        <f t="shared" si="68"/>
        <v>0</v>
      </c>
      <c r="AA87">
        <v>27935368</v>
      </c>
      <c r="AB87">
        <f t="shared" si="69"/>
        <v>13287.69</v>
      </c>
      <c r="AC87">
        <f t="shared" si="95"/>
        <v>13287.69</v>
      </c>
      <c r="AD87">
        <f t="shared" si="96"/>
        <v>0</v>
      </c>
      <c r="AE87">
        <f t="shared" si="97"/>
        <v>0</v>
      </c>
      <c r="AF87">
        <f t="shared" si="97"/>
        <v>0</v>
      </c>
      <c r="AG87">
        <f t="shared" si="70"/>
        <v>0</v>
      </c>
      <c r="AH87">
        <f t="shared" si="98"/>
        <v>0</v>
      </c>
      <c r="AI87">
        <f t="shared" si="98"/>
        <v>0</v>
      </c>
      <c r="AJ87">
        <f t="shared" si="71"/>
        <v>0</v>
      </c>
      <c r="AK87">
        <v>13287.69</v>
      </c>
      <c r="AL87">
        <v>13287.69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80</v>
      </c>
      <c r="AU87">
        <v>50</v>
      </c>
      <c r="AV87">
        <v>1</v>
      </c>
      <c r="AW87">
        <v>1</v>
      </c>
      <c r="AZ87">
        <v>6.11</v>
      </c>
      <c r="BA87">
        <v>1</v>
      </c>
      <c r="BB87">
        <v>1</v>
      </c>
      <c r="BC87">
        <v>6.11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176</v>
      </c>
      <c r="BM87">
        <v>62001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80</v>
      </c>
      <c r="CA87">
        <v>50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2"/>
        <v>982.21</v>
      </c>
      <c r="CQ87">
        <f t="shared" si="73"/>
        <v>81187.785900000003</v>
      </c>
      <c r="CR87">
        <f t="shared" si="74"/>
        <v>0</v>
      </c>
      <c r="CS87">
        <f t="shared" si="75"/>
        <v>0</v>
      </c>
      <c r="CT87">
        <f t="shared" si="76"/>
        <v>0</v>
      </c>
      <c r="CU87">
        <f t="shared" si="77"/>
        <v>0</v>
      </c>
      <c r="CV87">
        <f t="shared" si="78"/>
        <v>0</v>
      </c>
      <c r="CW87">
        <f t="shared" si="79"/>
        <v>0</v>
      </c>
      <c r="CX87">
        <f t="shared" si="80"/>
        <v>0</v>
      </c>
      <c r="CY87">
        <f t="shared" si="81"/>
        <v>0</v>
      </c>
      <c r="CZ87">
        <f t="shared" si="82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65</v>
      </c>
      <c r="DW87" t="s">
        <v>65</v>
      </c>
      <c r="DX87">
        <v>1000</v>
      </c>
      <c r="EE87">
        <v>27029107</v>
      </c>
      <c r="EF87">
        <v>6</v>
      </c>
      <c r="EG87" t="s">
        <v>90</v>
      </c>
      <c r="EH87">
        <v>0</v>
      </c>
      <c r="EI87" t="s">
        <v>6</v>
      </c>
      <c r="EJ87">
        <v>1</v>
      </c>
      <c r="EK87">
        <v>62001</v>
      </c>
      <c r="EL87" t="s">
        <v>171</v>
      </c>
      <c r="EM87" t="s">
        <v>172</v>
      </c>
      <c r="EO87" t="s">
        <v>6</v>
      </c>
      <c r="EQ87">
        <v>0</v>
      </c>
      <c r="ER87">
        <v>13287.69</v>
      </c>
      <c r="ES87">
        <v>13287.69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3"/>
        <v>0</v>
      </c>
      <c r="FS87">
        <v>0</v>
      </c>
      <c r="FX87">
        <v>80</v>
      </c>
      <c r="FY87">
        <v>50</v>
      </c>
      <c r="GA87" t="s">
        <v>6</v>
      </c>
      <c r="GD87">
        <v>0</v>
      </c>
      <c r="GF87">
        <v>80755745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4"/>
        <v>0</v>
      </c>
      <c r="GM87">
        <f t="shared" si="85"/>
        <v>982.21</v>
      </c>
      <c r="GN87">
        <f t="shared" si="86"/>
        <v>982.21</v>
      </c>
      <c r="GO87">
        <f t="shared" si="87"/>
        <v>0</v>
      </c>
      <c r="GP87">
        <f t="shared" si="88"/>
        <v>0</v>
      </c>
      <c r="GR87">
        <v>0</v>
      </c>
      <c r="GS87">
        <v>3</v>
      </c>
      <c r="GT87">
        <v>0</v>
      </c>
      <c r="GU87" t="s">
        <v>6</v>
      </c>
      <c r="GV87">
        <f t="shared" si="89"/>
        <v>0</v>
      </c>
      <c r="GW87">
        <v>1</v>
      </c>
      <c r="GX87">
        <f t="shared" si="90"/>
        <v>0</v>
      </c>
      <c r="HA87">
        <v>0</v>
      </c>
      <c r="HB87">
        <v>0</v>
      </c>
      <c r="HC87">
        <f t="shared" si="91"/>
        <v>0</v>
      </c>
      <c r="IK87">
        <v>0</v>
      </c>
    </row>
    <row r="88" spans="1:255" x14ac:dyDescent="0.2">
      <c r="A88" s="2">
        <v>17</v>
      </c>
      <c r="B88" s="2">
        <v>1</v>
      </c>
      <c r="C88" s="2">
        <f>ROW(SmtRes!A229)</f>
        <v>229</v>
      </c>
      <c r="D88" s="2">
        <f>ROW(EtalonRes!A235)</f>
        <v>235</v>
      </c>
      <c r="E88" s="2" t="s">
        <v>177</v>
      </c>
      <c r="F88" s="2" t="s">
        <v>178</v>
      </c>
      <c r="G88" s="2" t="s">
        <v>179</v>
      </c>
      <c r="H88" s="2" t="s">
        <v>16</v>
      </c>
      <c r="I88" s="2">
        <f>ROUND(23.46/100,9)</f>
        <v>0.2346</v>
      </c>
      <c r="J88" s="2">
        <v>0</v>
      </c>
      <c r="K88" s="2"/>
      <c r="L88" s="2"/>
      <c r="M88" s="2"/>
      <c r="N88" s="2"/>
      <c r="O88" s="2">
        <f t="shared" ref="O88:O123" si="99">ROUND(CP88,2)</f>
        <v>153.43</v>
      </c>
      <c r="P88" s="2">
        <f t="shared" ref="P88:P123" si="100">ROUND(CQ88*I88,2)</f>
        <v>0</v>
      </c>
      <c r="Q88" s="2">
        <f t="shared" ref="Q88:Q123" si="101">ROUND(CR88*I88,2)</f>
        <v>16.25</v>
      </c>
      <c r="R88" s="2">
        <f t="shared" ref="R88:R123" si="102">ROUND(CS88*I88,2)</f>
        <v>1.1100000000000001</v>
      </c>
      <c r="S88" s="2">
        <f t="shared" ref="S88:S123" si="103">ROUND(CT88*I88,2)</f>
        <v>137.18</v>
      </c>
      <c r="T88" s="2">
        <f t="shared" ref="T88:T123" si="104">ROUND(CU88*I88,2)</f>
        <v>0</v>
      </c>
      <c r="U88" s="2">
        <f t="shared" ref="U88:U123" si="105">CV88*I88</f>
        <v>17.430779999999999</v>
      </c>
      <c r="V88" s="2">
        <f t="shared" ref="V88:V123" si="106">CW88*I88</f>
        <v>8.2110000000000002E-2</v>
      </c>
      <c r="W88" s="2">
        <f t="shared" ref="W88:W123" si="107">ROUND(CX88*I88,2)</f>
        <v>0</v>
      </c>
      <c r="X88" s="2">
        <f t="shared" ref="X88:X123" si="108">ROUND(CY88,2)</f>
        <v>106.48</v>
      </c>
      <c r="Y88" s="2">
        <f t="shared" ref="Y88:Y123" si="109">ROUND(CZ88,2)</f>
        <v>69.150000000000006</v>
      </c>
      <c r="Z88" s="2"/>
      <c r="AA88" s="2">
        <v>27935367</v>
      </c>
      <c r="AB88" s="2">
        <f t="shared" ref="AB88:AB119" si="110">ROUND((AC88+AD88+AF88),2)</f>
        <v>654</v>
      </c>
      <c r="AC88" s="2">
        <f t="shared" si="95"/>
        <v>0</v>
      </c>
      <c r="AD88" s="2">
        <f t="shared" si="96"/>
        <v>69.260000000000005</v>
      </c>
      <c r="AE88" s="2">
        <f t="shared" si="97"/>
        <v>4.7300000000000004</v>
      </c>
      <c r="AF88" s="2">
        <f t="shared" si="97"/>
        <v>584.74</v>
      </c>
      <c r="AG88" s="2">
        <f t="shared" ref="AG88:AG123" si="111">ROUND((AP88),2)</f>
        <v>0</v>
      </c>
      <c r="AH88" s="2">
        <f t="shared" si="98"/>
        <v>74.3</v>
      </c>
      <c r="AI88" s="2">
        <f t="shared" si="98"/>
        <v>0.35</v>
      </c>
      <c r="AJ88" s="2">
        <f t="shared" ref="AJ88:AJ123" si="112">(AS88)</f>
        <v>0</v>
      </c>
      <c r="AK88" s="2">
        <v>654</v>
      </c>
      <c r="AL88" s="2">
        <v>0</v>
      </c>
      <c r="AM88" s="2">
        <v>69.260000000000005</v>
      </c>
      <c r="AN88" s="2">
        <v>4.7300000000000004</v>
      </c>
      <c r="AO88" s="2">
        <v>584.74</v>
      </c>
      <c r="AP88" s="2">
        <v>0</v>
      </c>
      <c r="AQ88" s="2">
        <v>74.3</v>
      </c>
      <c r="AR88" s="2">
        <v>0.35</v>
      </c>
      <c r="AS88" s="2">
        <v>0</v>
      </c>
      <c r="AT88" s="2">
        <v>77</v>
      </c>
      <c r="AU88" s="2">
        <v>50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1</v>
      </c>
      <c r="BJ88" s="2" t="s">
        <v>180</v>
      </c>
      <c r="BK88" s="2"/>
      <c r="BL88" s="2"/>
      <c r="BM88" s="2">
        <v>63001</v>
      </c>
      <c r="BN88" s="2">
        <v>0</v>
      </c>
      <c r="BO88" s="2" t="s">
        <v>6</v>
      </c>
      <c r="BP88" s="2">
        <v>0</v>
      </c>
      <c r="BQ88" s="2">
        <v>6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77</v>
      </c>
      <c r="CA88" s="2">
        <v>50</v>
      </c>
      <c r="CB88" s="2"/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ref="CP88:CP123" si="113">(P88+Q88+S88)</f>
        <v>153.43</v>
      </c>
      <c r="CQ88" s="2">
        <f t="shared" ref="CQ88:CQ123" si="114">AC88*BC88</f>
        <v>0</v>
      </c>
      <c r="CR88" s="2">
        <f t="shared" ref="CR88:CR123" si="115">AD88*BB88</f>
        <v>69.260000000000005</v>
      </c>
      <c r="CS88" s="2">
        <f t="shared" ref="CS88:CS123" si="116">AE88*BS88</f>
        <v>4.7300000000000004</v>
      </c>
      <c r="CT88" s="2">
        <f t="shared" ref="CT88:CT123" si="117">AF88*BA88</f>
        <v>584.74</v>
      </c>
      <c r="CU88" s="2">
        <f t="shared" ref="CU88:CU123" si="118">AG88</f>
        <v>0</v>
      </c>
      <c r="CV88" s="2">
        <f t="shared" ref="CV88:CV123" si="119">AH88</f>
        <v>74.3</v>
      </c>
      <c r="CW88" s="2">
        <f t="shared" ref="CW88:CW123" si="120">AI88</f>
        <v>0.35</v>
      </c>
      <c r="CX88" s="2">
        <f t="shared" ref="CX88:CX123" si="121">AJ88</f>
        <v>0</v>
      </c>
      <c r="CY88" s="2">
        <f t="shared" ref="CY88:CY123" si="122">(((S88+R88)*AT88)/100)</f>
        <v>106.48330000000001</v>
      </c>
      <c r="CZ88" s="2">
        <f t="shared" ref="CZ88:CZ123" si="123">(((S88+R88)*AU88)/100)</f>
        <v>69.14500000000001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16</v>
      </c>
      <c r="DW88" s="2" t="s">
        <v>16</v>
      </c>
      <c r="DX88" s="2">
        <v>100</v>
      </c>
      <c r="DY88" s="2"/>
      <c r="DZ88" s="2"/>
      <c r="EA88" s="2"/>
      <c r="EB88" s="2"/>
      <c r="EC88" s="2"/>
      <c r="ED88" s="2"/>
      <c r="EE88" s="2">
        <v>27029108</v>
      </c>
      <c r="EF88" s="2">
        <v>6</v>
      </c>
      <c r="EG88" s="2" t="s">
        <v>90</v>
      </c>
      <c r="EH88" s="2">
        <v>0</v>
      </c>
      <c r="EI88" s="2" t="s">
        <v>6</v>
      </c>
      <c r="EJ88" s="2">
        <v>1</v>
      </c>
      <c r="EK88" s="2">
        <v>63001</v>
      </c>
      <c r="EL88" s="2" t="s">
        <v>105</v>
      </c>
      <c r="EM88" s="2" t="s">
        <v>106</v>
      </c>
      <c r="EN88" s="2"/>
      <c r="EO88" s="2" t="s">
        <v>6</v>
      </c>
      <c r="EP88" s="2"/>
      <c r="EQ88" s="2">
        <v>131072</v>
      </c>
      <c r="ER88" s="2">
        <v>654</v>
      </c>
      <c r="ES88" s="2">
        <v>0</v>
      </c>
      <c r="ET88" s="2">
        <v>69.260000000000005</v>
      </c>
      <c r="EU88" s="2">
        <v>4.7300000000000004</v>
      </c>
      <c r="EV88" s="2">
        <v>584.74</v>
      </c>
      <c r="EW88" s="2">
        <v>74.3</v>
      </c>
      <c r="EX88" s="2">
        <v>0.35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19" si="124">ROUND(IF(AND(BH88=3,BI88=3),P88,0),2)</f>
        <v>0</v>
      </c>
      <c r="FS88" s="2">
        <v>0</v>
      </c>
      <c r="FT88" s="2"/>
      <c r="FU88" s="2"/>
      <c r="FV88" s="2"/>
      <c r="FW88" s="2"/>
      <c r="FX88" s="2">
        <v>77</v>
      </c>
      <c r="FY88" s="2">
        <v>50</v>
      </c>
      <c r="FZ88" s="2"/>
      <c r="GA88" s="2" t="s">
        <v>6</v>
      </c>
      <c r="GB88" s="2"/>
      <c r="GC88" s="2"/>
      <c r="GD88" s="2">
        <v>0</v>
      </c>
      <c r="GE88" s="2"/>
      <c r="GF88" s="2">
        <v>1410032296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19" si="125">ROUND(IF(AND(BH88=3,BI88=3,FS88&lt;&gt;0),P88,0),2)</f>
        <v>0</v>
      </c>
      <c r="GM88" s="2">
        <f t="shared" ref="GM88:GM123" si="126">ROUND(O88+X88+Y88+GK88,2)+GX88</f>
        <v>329.06</v>
      </c>
      <c r="GN88" s="2">
        <f t="shared" ref="GN88:GN123" si="127">IF(OR(BI88=0,BI88=1),ROUND(O88+X88+Y88+GK88,2),0)</f>
        <v>329.06</v>
      </c>
      <c r="GO88" s="2">
        <f t="shared" ref="GO88:GO123" si="128">IF(BI88=2,ROUND(O88+X88+Y88+GK88,2),0)</f>
        <v>0</v>
      </c>
      <c r="GP88" s="2">
        <f t="shared" ref="GP88:GP123" si="129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ref="GV88:GV123" si="130">ROUND((GT88),2)</f>
        <v>0</v>
      </c>
      <c r="GW88" s="2">
        <v>1</v>
      </c>
      <c r="GX88" s="2">
        <f t="shared" ref="GX88:GX123" si="131">ROUND(HC88*I88,2)</f>
        <v>0</v>
      </c>
      <c r="GY88" s="2"/>
      <c r="GZ88" s="2"/>
      <c r="HA88" s="2">
        <v>0</v>
      </c>
      <c r="HB88" s="2">
        <v>0</v>
      </c>
      <c r="HC88" s="2">
        <f t="shared" ref="HC88:HC123" si="132">GV88*GW88</f>
        <v>0</v>
      </c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C89">
        <f>ROW(SmtRes!A234)</f>
        <v>234</v>
      </c>
      <c r="D89">
        <f>ROW(EtalonRes!A240)</f>
        <v>240</v>
      </c>
      <c r="E89" t="s">
        <v>177</v>
      </c>
      <c r="F89" t="s">
        <v>178</v>
      </c>
      <c r="G89" t="s">
        <v>179</v>
      </c>
      <c r="H89" t="s">
        <v>16</v>
      </c>
      <c r="I89">
        <f>ROUND(23.46/100,9)</f>
        <v>0.2346</v>
      </c>
      <c r="J89">
        <v>0</v>
      </c>
      <c r="O89">
        <f t="shared" si="99"/>
        <v>937.45</v>
      </c>
      <c r="P89">
        <f t="shared" si="100"/>
        <v>0</v>
      </c>
      <c r="Q89">
        <f t="shared" si="101"/>
        <v>99.28</v>
      </c>
      <c r="R89">
        <f t="shared" si="102"/>
        <v>6.78</v>
      </c>
      <c r="S89">
        <f t="shared" si="103"/>
        <v>838.17</v>
      </c>
      <c r="T89">
        <f t="shared" si="104"/>
        <v>0</v>
      </c>
      <c r="U89">
        <f t="shared" si="105"/>
        <v>17.430779999999999</v>
      </c>
      <c r="V89">
        <f t="shared" si="106"/>
        <v>8.2110000000000002E-2</v>
      </c>
      <c r="W89">
        <f t="shared" si="107"/>
        <v>0</v>
      </c>
      <c r="X89">
        <f t="shared" si="108"/>
        <v>650.61</v>
      </c>
      <c r="Y89">
        <f t="shared" si="109"/>
        <v>422.48</v>
      </c>
      <c r="AA89">
        <v>27935368</v>
      </c>
      <c r="AB89">
        <f t="shared" si="110"/>
        <v>654</v>
      </c>
      <c r="AC89">
        <f t="shared" si="95"/>
        <v>0</v>
      </c>
      <c r="AD89">
        <f t="shared" si="96"/>
        <v>69.260000000000005</v>
      </c>
      <c r="AE89">
        <f t="shared" si="97"/>
        <v>4.7300000000000004</v>
      </c>
      <c r="AF89">
        <f t="shared" si="97"/>
        <v>584.74</v>
      </c>
      <c r="AG89">
        <f t="shared" si="111"/>
        <v>0</v>
      </c>
      <c r="AH89">
        <f t="shared" si="98"/>
        <v>74.3</v>
      </c>
      <c r="AI89">
        <f t="shared" si="98"/>
        <v>0.35</v>
      </c>
      <c r="AJ89">
        <f t="shared" si="112"/>
        <v>0</v>
      </c>
      <c r="AK89">
        <v>654</v>
      </c>
      <c r="AL89">
        <v>0</v>
      </c>
      <c r="AM89">
        <v>69.260000000000005</v>
      </c>
      <c r="AN89">
        <v>4.7300000000000004</v>
      </c>
      <c r="AO89">
        <v>584.74</v>
      </c>
      <c r="AP89">
        <v>0</v>
      </c>
      <c r="AQ89">
        <v>74.3</v>
      </c>
      <c r="AR89">
        <v>0.35</v>
      </c>
      <c r="AS89">
        <v>0</v>
      </c>
      <c r="AT89">
        <v>77</v>
      </c>
      <c r="AU89">
        <v>50</v>
      </c>
      <c r="AV89">
        <v>1</v>
      </c>
      <c r="AW89">
        <v>1</v>
      </c>
      <c r="AZ89">
        <v>6.11</v>
      </c>
      <c r="BA89">
        <v>6.11</v>
      </c>
      <c r="BB89">
        <v>6.11</v>
      </c>
      <c r="BC89">
        <v>6.11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180</v>
      </c>
      <c r="BM89">
        <v>63001</v>
      </c>
      <c r="BN89">
        <v>0</v>
      </c>
      <c r="BO89" t="s">
        <v>6</v>
      </c>
      <c r="BP89">
        <v>0</v>
      </c>
      <c r="BQ89">
        <v>6</v>
      </c>
      <c r="BR89">
        <v>0</v>
      </c>
      <c r="BS89">
        <v>6.11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77</v>
      </c>
      <c r="CA89">
        <v>50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113"/>
        <v>937.44999999999993</v>
      </c>
      <c r="CQ89">
        <f t="shared" si="114"/>
        <v>0</v>
      </c>
      <c r="CR89">
        <f t="shared" si="115"/>
        <v>423.17860000000007</v>
      </c>
      <c r="CS89">
        <f t="shared" si="116"/>
        <v>28.900300000000005</v>
      </c>
      <c r="CT89">
        <f t="shared" si="117"/>
        <v>3572.7614000000003</v>
      </c>
      <c r="CU89">
        <f t="shared" si="118"/>
        <v>0</v>
      </c>
      <c r="CV89">
        <f t="shared" si="119"/>
        <v>74.3</v>
      </c>
      <c r="CW89">
        <f t="shared" si="120"/>
        <v>0.35</v>
      </c>
      <c r="CX89">
        <f t="shared" si="121"/>
        <v>0</v>
      </c>
      <c r="CY89">
        <f t="shared" si="122"/>
        <v>650.61149999999998</v>
      </c>
      <c r="CZ89">
        <f t="shared" si="123"/>
        <v>422.47500000000002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16</v>
      </c>
      <c r="DW89" t="s">
        <v>16</v>
      </c>
      <c r="DX89">
        <v>100</v>
      </c>
      <c r="EE89">
        <v>27029108</v>
      </c>
      <c r="EF89">
        <v>6</v>
      </c>
      <c r="EG89" t="s">
        <v>90</v>
      </c>
      <c r="EH89">
        <v>0</v>
      </c>
      <c r="EI89" t="s">
        <v>6</v>
      </c>
      <c r="EJ89">
        <v>1</v>
      </c>
      <c r="EK89">
        <v>63001</v>
      </c>
      <c r="EL89" t="s">
        <v>105</v>
      </c>
      <c r="EM89" t="s">
        <v>106</v>
      </c>
      <c r="EO89" t="s">
        <v>6</v>
      </c>
      <c r="EQ89">
        <v>131072</v>
      </c>
      <c r="ER89">
        <v>654</v>
      </c>
      <c r="ES89">
        <v>0</v>
      </c>
      <c r="ET89">
        <v>69.260000000000005</v>
      </c>
      <c r="EU89">
        <v>4.7300000000000004</v>
      </c>
      <c r="EV89">
        <v>584.74</v>
      </c>
      <c r="EW89">
        <v>74.3</v>
      </c>
      <c r="EX89">
        <v>0.35</v>
      </c>
      <c r="EY89">
        <v>0</v>
      </c>
      <c r="FQ89">
        <v>0</v>
      </c>
      <c r="FR89">
        <f t="shared" si="124"/>
        <v>0</v>
      </c>
      <c r="FS89">
        <v>0</v>
      </c>
      <c r="FX89">
        <v>77</v>
      </c>
      <c r="FY89">
        <v>50</v>
      </c>
      <c r="GA89" t="s">
        <v>6</v>
      </c>
      <c r="GD89">
        <v>0</v>
      </c>
      <c r="GF89">
        <v>1410032296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25"/>
        <v>0</v>
      </c>
      <c r="GM89">
        <f t="shared" si="126"/>
        <v>2010.54</v>
      </c>
      <c r="GN89">
        <f t="shared" si="127"/>
        <v>2010.54</v>
      </c>
      <c r="GO89">
        <f t="shared" si="128"/>
        <v>0</v>
      </c>
      <c r="GP89">
        <f t="shared" si="129"/>
        <v>0</v>
      </c>
      <c r="GR89">
        <v>0</v>
      </c>
      <c r="GS89">
        <v>3</v>
      </c>
      <c r="GT89">
        <v>0</v>
      </c>
      <c r="GU89" t="s">
        <v>6</v>
      </c>
      <c r="GV89">
        <f t="shared" si="130"/>
        <v>0</v>
      </c>
      <c r="GW89">
        <v>1</v>
      </c>
      <c r="GX89">
        <f t="shared" si="131"/>
        <v>0</v>
      </c>
      <c r="HA89">
        <v>0</v>
      </c>
      <c r="HB89">
        <v>0</v>
      </c>
      <c r="HC89">
        <f t="shared" si="132"/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ROW(SmtRes!A244)</f>
        <v>244</v>
      </c>
      <c r="D90" s="2">
        <f>ROW(EtalonRes!A250)</f>
        <v>250</v>
      </c>
      <c r="E90" s="2" t="s">
        <v>181</v>
      </c>
      <c r="F90" s="2" t="s">
        <v>182</v>
      </c>
      <c r="G90" s="2" t="s">
        <v>183</v>
      </c>
      <c r="H90" s="2" t="s">
        <v>16</v>
      </c>
      <c r="I90" s="2">
        <f>ROUND(23.46/100,9)</f>
        <v>0.2346</v>
      </c>
      <c r="J90" s="2">
        <v>0</v>
      </c>
      <c r="K90" s="2"/>
      <c r="L90" s="2"/>
      <c r="M90" s="2"/>
      <c r="N90" s="2"/>
      <c r="O90" s="2">
        <f t="shared" si="99"/>
        <v>405.51</v>
      </c>
      <c r="P90" s="2">
        <f t="shared" si="100"/>
        <v>0.75</v>
      </c>
      <c r="Q90" s="2">
        <f t="shared" si="101"/>
        <v>9.31</v>
      </c>
      <c r="R90" s="2">
        <f t="shared" si="102"/>
        <v>5.14</v>
      </c>
      <c r="S90" s="2">
        <f t="shared" si="103"/>
        <v>395.45</v>
      </c>
      <c r="T90" s="2">
        <f t="shared" si="104"/>
        <v>0</v>
      </c>
      <c r="U90" s="2">
        <f t="shared" si="105"/>
        <v>43.077369299999994</v>
      </c>
      <c r="V90" s="2">
        <f t="shared" si="106"/>
        <v>0.48386250000000003</v>
      </c>
      <c r="W90" s="2">
        <f t="shared" si="107"/>
        <v>0</v>
      </c>
      <c r="X90" s="2">
        <f t="shared" si="108"/>
        <v>380.56</v>
      </c>
      <c r="Y90" s="2">
        <f t="shared" si="109"/>
        <v>188.28</v>
      </c>
      <c r="Z90" s="2"/>
      <c r="AA90" s="2">
        <v>27935367</v>
      </c>
      <c r="AB90" s="2">
        <f t="shared" si="110"/>
        <v>1728.51</v>
      </c>
      <c r="AC90" s="2">
        <f t="shared" si="95"/>
        <v>3.18</v>
      </c>
      <c r="AD90" s="2">
        <f>ROUND(((((ET90*1.25))-((EU90*1.25)))+AE90),2)</f>
        <v>39.69</v>
      </c>
      <c r="AE90" s="2">
        <f>ROUND(((EU90*1.25)),2)</f>
        <v>21.91</v>
      </c>
      <c r="AF90" s="2">
        <f>ROUND(((EV90*1.15)),2)</f>
        <v>1685.64</v>
      </c>
      <c r="AG90" s="2">
        <f t="shared" si="111"/>
        <v>0</v>
      </c>
      <c r="AH90" s="2">
        <f>((EW90*1.15))</f>
        <v>183.62049999999996</v>
      </c>
      <c r="AI90" s="2">
        <f>((EX90*1.25))</f>
        <v>2.0625</v>
      </c>
      <c r="AJ90" s="2">
        <f t="shared" si="112"/>
        <v>0</v>
      </c>
      <c r="AK90" s="2">
        <v>1500.7</v>
      </c>
      <c r="AL90" s="2">
        <v>3.18</v>
      </c>
      <c r="AM90" s="2">
        <v>31.75</v>
      </c>
      <c r="AN90" s="2">
        <v>17.53</v>
      </c>
      <c r="AO90" s="2">
        <v>1465.77</v>
      </c>
      <c r="AP90" s="2">
        <v>0</v>
      </c>
      <c r="AQ90" s="2">
        <v>159.66999999999999</v>
      </c>
      <c r="AR90" s="2">
        <v>1.65</v>
      </c>
      <c r="AS90" s="2">
        <v>0</v>
      </c>
      <c r="AT90" s="2">
        <v>95</v>
      </c>
      <c r="AU90" s="2">
        <v>47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184</v>
      </c>
      <c r="BK90" s="2"/>
      <c r="BL90" s="2"/>
      <c r="BM90" s="2">
        <v>15001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105</v>
      </c>
      <c r="CA90" s="2">
        <v>55</v>
      </c>
      <c r="CB90" s="2"/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766</v>
      </c>
      <c r="CO90" s="2">
        <v>0</v>
      </c>
      <c r="CP90" s="2">
        <f t="shared" si="113"/>
        <v>405.51</v>
      </c>
      <c r="CQ90" s="2">
        <f t="shared" si="114"/>
        <v>3.18</v>
      </c>
      <c r="CR90" s="2">
        <f t="shared" si="115"/>
        <v>39.69</v>
      </c>
      <c r="CS90" s="2">
        <f t="shared" si="116"/>
        <v>21.91</v>
      </c>
      <c r="CT90" s="2">
        <f t="shared" si="117"/>
        <v>1685.64</v>
      </c>
      <c r="CU90" s="2">
        <f t="shared" si="118"/>
        <v>0</v>
      </c>
      <c r="CV90" s="2">
        <f t="shared" si="119"/>
        <v>183.62049999999996</v>
      </c>
      <c r="CW90" s="2">
        <f t="shared" si="120"/>
        <v>2.0625</v>
      </c>
      <c r="CX90" s="2">
        <f t="shared" si="121"/>
        <v>0</v>
      </c>
      <c r="CY90" s="2">
        <f t="shared" si="122"/>
        <v>380.56049999999993</v>
      </c>
      <c r="CZ90" s="2">
        <f t="shared" si="123"/>
        <v>188.2773</v>
      </c>
      <c r="DA90" s="2"/>
      <c r="DB90" s="2"/>
      <c r="DC90" s="2" t="s">
        <v>6</v>
      </c>
      <c r="DD90" s="2" t="s">
        <v>6</v>
      </c>
      <c r="DE90" s="2" t="s">
        <v>27</v>
      </c>
      <c r="DF90" s="2" t="s">
        <v>27</v>
      </c>
      <c r="DG90" s="2" t="s">
        <v>28</v>
      </c>
      <c r="DH90" s="2" t="s">
        <v>6</v>
      </c>
      <c r="DI90" s="2" t="s">
        <v>28</v>
      </c>
      <c r="DJ90" s="2" t="s">
        <v>27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16</v>
      </c>
      <c r="DW90" s="2" t="s">
        <v>16</v>
      </c>
      <c r="DX90" s="2">
        <v>100</v>
      </c>
      <c r="DY90" s="2"/>
      <c r="DZ90" s="2"/>
      <c r="EA90" s="2"/>
      <c r="EB90" s="2"/>
      <c r="EC90" s="2"/>
      <c r="ED90" s="2"/>
      <c r="EE90" s="2">
        <v>27029049</v>
      </c>
      <c r="EF90" s="2">
        <v>2</v>
      </c>
      <c r="EG90" s="2" t="s">
        <v>18</v>
      </c>
      <c r="EH90" s="2">
        <v>0</v>
      </c>
      <c r="EI90" s="2" t="s">
        <v>6</v>
      </c>
      <c r="EJ90" s="2">
        <v>1</v>
      </c>
      <c r="EK90" s="2">
        <v>15001</v>
      </c>
      <c r="EL90" s="2" t="s">
        <v>51</v>
      </c>
      <c r="EM90" s="2" t="s">
        <v>52</v>
      </c>
      <c r="EN90" s="2"/>
      <c r="EO90" s="2" t="s">
        <v>31</v>
      </c>
      <c r="EP90" s="2"/>
      <c r="EQ90" s="2">
        <v>131072</v>
      </c>
      <c r="ER90" s="2">
        <v>1500.7</v>
      </c>
      <c r="ES90" s="2">
        <v>3.18</v>
      </c>
      <c r="ET90" s="2">
        <v>31.75</v>
      </c>
      <c r="EU90" s="2">
        <v>17.53</v>
      </c>
      <c r="EV90" s="2">
        <v>1465.77</v>
      </c>
      <c r="EW90" s="2">
        <v>159.66999999999999</v>
      </c>
      <c r="EX90" s="2">
        <v>1.65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24"/>
        <v>0</v>
      </c>
      <c r="FS90" s="2">
        <v>0</v>
      </c>
      <c r="FT90" s="2" t="s">
        <v>21</v>
      </c>
      <c r="FU90" s="2" t="s">
        <v>22</v>
      </c>
      <c r="FV90" s="2"/>
      <c r="FW90" s="2"/>
      <c r="FX90" s="2">
        <v>94.5</v>
      </c>
      <c r="FY90" s="2">
        <v>46.75</v>
      </c>
      <c r="FZ90" s="2"/>
      <c r="GA90" s="2" t="s">
        <v>6</v>
      </c>
      <c r="GB90" s="2"/>
      <c r="GC90" s="2"/>
      <c r="GD90" s="2">
        <v>0</v>
      </c>
      <c r="GE90" s="2"/>
      <c r="GF90" s="2">
        <v>2062515713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125"/>
        <v>0</v>
      </c>
      <c r="GM90" s="2">
        <f t="shared" si="126"/>
        <v>974.35</v>
      </c>
      <c r="GN90" s="2">
        <f t="shared" si="127"/>
        <v>974.35</v>
      </c>
      <c r="GO90" s="2">
        <f t="shared" si="128"/>
        <v>0</v>
      </c>
      <c r="GP90" s="2">
        <f t="shared" si="129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30"/>
        <v>0</v>
      </c>
      <c r="GW90" s="2">
        <v>1</v>
      </c>
      <c r="GX90" s="2">
        <f t="shared" si="131"/>
        <v>0</v>
      </c>
      <c r="GY90" s="2"/>
      <c r="GZ90" s="2"/>
      <c r="HA90" s="2">
        <v>0</v>
      </c>
      <c r="HB90" s="2">
        <v>0</v>
      </c>
      <c r="HC90" s="2">
        <f t="shared" si="132"/>
        <v>0</v>
      </c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ROW(SmtRes!A254)</f>
        <v>254</v>
      </c>
      <c r="D91">
        <f>ROW(EtalonRes!A260)</f>
        <v>260</v>
      </c>
      <c r="E91" t="s">
        <v>181</v>
      </c>
      <c r="F91" t="s">
        <v>182</v>
      </c>
      <c r="G91" t="s">
        <v>183</v>
      </c>
      <c r="H91" t="s">
        <v>16</v>
      </c>
      <c r="I91">
        <f>ROUND(23.46/100,9)</f>
        <v>0.2346</v>
      </c>
      <c r="J91">
        <v>0</v>
      </c>
      <c r="O91">
        <f t="shared" si="99"/>
        <v>2477.66</v>
      </c>
      <c r="P91">
        <f t="shared" si="100"/>
        <v>4.5599999999999996</v>
      </c>
      <c r="Q91">
        <f t="shared" si="101"/>
        <v>56.89</v>
      </c>
      <c r="R91">
        <f t="shared" si="102"/>
        <v>31.41</v>
      </c>
      <c r="S91">
        <f t="shared" si="103"/>
        <v>2416.21</v>
      </c>
      <c r="T91">
        <f t="shared" si="104"/>
        <v>0</v>
      </c>
      <c r="U91">
        <f t="shared" si="105"/>
        <v>43.077369299999994</v>
      </c>
      <c r="V91">
        <f t="shared" si="106"/>
        <v>0.48386250000000003</v>
      </c>
      <c r="W91">
        <f t="shared" si="107"/>
        <v>0</v>
      </c>
      <c r="X91">
        <f t="shared" si="108"/>
        <v>2325.2399999999998</v>
      </c>
      <c r="Y91">
        <f t="shared" si="109"/>
        <v>1150.3800000000001</v>
      </c>
      <c r="AA91">
        <v>27935368</v>
      </c>
      <c r="AB91">
        <f t="shared" si="110"/>
        <v>1728.51</v>
      </c>
      <c r="AC91">
        <f t="shared" si="95"/>
        <v>3.18</v>
      </c>
      <c r="AD91">
        <f>ROUND(((((ET91*1.25))-((EU91*1.25)))+AE91),2)</f>
        <v>39.69</v>
      </c>
      <c r="AE91">
        <f>ROUND(((EU91*1.25)),2)</f>
        <v>21.91</v>
      </c>
      <c r="AF91">
        <f>ROUND(((EV91*1.15)),2)</f>
        <v>1685.64</v>
      </c>
      <c r="AG91">
        <f t="shared" si="111"/>
        <v>0</v>
      </c>
      <c r="AH91">
        <f>((EW91*1.15))</f>
        <v>183.62049999999996</v>
      </c>
      <c r="AI91">
        <f>((EX91*1.25))</f>
        <v>2.0625</v>
      </c>
      <c r="AJ91">
        <f t="shared" si="112"/>
        <v>0</v>
      </c>
      <c r="AK91">
        <v>1500.7</v>
      </c>
      <c r="AL91">
        <v>3.18</v>
      </c>
      <c r="AM91">
        <v>31.75</v>
      </c>
      <c r="AN91">
        <v>17.53</v>
      </c>
      <c r="AO91">
        <v>1465.77</v>
      </c>
      <c r="AP91">
        <v>0</v>
      </c>
      <c r="AQ91">
        <v>159.66999999999999</v>
      </c>
      <c r="AR91">
        <v>1.65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6.11</v>
      </c>
      <c r="BA91">
        <v>6.11</v>
      </c>
      <c r="BB91">
        <v>6.11</v>
      </c>
      <c r="BC91">
        <v>6.11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184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6.11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E91">
        <v>0</v>
      </c>
      <c r="CF91">
        <v>0</v>
      </c>
      <c r="CG91">
        <v>0</v>
      </c>
      <c r="CM91">
        <v>0</v>
      </c>
      <c r="CN91" t="s">
        <v>766</v>
      </c>
      <c r="CO91">
        <v>0</v>
      </c>
      <c r="CP91">
        <f t="shared" si="113"/>
        <v>2477.66</v>
      </c>
      <c r="CQ91">
        <f t="shared" si="114"/>
        <v>19.429800000000004</v>
      </c>
      <c r="CR91">
        <f t="shared" si="115"/>
        <v>242.5059</v>
      </c>
      <c r="CS91">
        <f t="shared" si="116"/>
        <v>133.87010000000001</v>
      </c>
      <c r="CT91">
        <f t="shared" si="117"/>
        <v>10299.260400000001</v>
      </c>
      <c r="CU91">
        <f t="shared" si="118"/>
        <v>0</v>
      </c>
      <c r="CV91">
        <f t="shared" si="119"/>
        <v>183.62049999999996</v>
      </c>
      <c r="CW91">
        <f t="shared" si="120"/>
        <v>2.0625</v>
      </c>
      <c r="CX91">
        <f t="shared" si="121"/>
        <v>0</v>
      </c>
      <c r="CY91">
        <f t="shared" si="122"/>
        <v>2325.239</v>
      </c>
      <c r="CZ91">
        <f t="shared" si="123"/>
        <v>1150.3814</v>
      </c>
      <c r="DC91" t="s">
        <v>6</v>
      </c>
      <c r="DD91" t="s">
        <v>6</v>
      </c>
      <c r="DE91" t="s">
        <v>27</v>
      </c>
      <c r="DF91" t="s">
        <v>27</v>
      </c>
      <c r="DG91" t="s">
        <v>28</v>
      </c>
      <c r="DH91" t="s">
        <v>6</v>
      </c>
      <c r="DI91" t="s">
        <v>28</v>
      </c>
      <c r="DJ91" t="s">
        <v>27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16</v>
      </c>
      <c r="DW91" t="s">
        <v>16</v>
      </c>
      <c r="DX91">
        <v>100</v>
      </c>
      <c r="EE91">
        <v>27029049</v>
      </c>
      <c r="EF91">
        <v>2</v>
      </c>
      <c r="EG91" t="s">
        <v>18</v>
      </c>
      <c r="EH91">
        <v>0</v>
      </c>
      <c r="EI91" t="s">
        <v>6</v>
      </c>
      <c r="EJ91">
        <v>1</v>
      </c>
      <c r="EK91">
        <v>15001</v>
      </c>
      <c r="EL91" t="s">
        <v>51</v>
      </c>
      <c r="EM91" t="s">
        <v>52</v>
      </c>
      <c r="EO91" t="s">
        <v>31</v>
      </c>
      <c r="EQ91">
        <v>131072</v>
      </c>
      <c r="ER91">
        <v>1500.7</v>
      </c>
      <c r="ES91">
        <v>3.18</v>
      </c>
      <c r="ET91">
        <v>31.75</v>
      </c>
      <c r="EU91">
        <v>17.53</v>
      </c>
      <c r="EV91">
        <v>1465.77</v>
      </c>
      <c r="EW91">
        <v>159.66999999999999</v>
      </c>
      <c r="EX91">
        <v>1.65</v>
      </c>
      <c r="EY91">
        <v>0</v>
      </c>
      <c r="FQ91">
        <v>0</v>
      </c>
      <c r="FR91">
        <f t="shared" si="124"/>
        <v>0</v>
      </c>
      <c r="FS91">
        <v>0</v>
      </c>
      <c r="FT91" t="s">
        <v>21</v>
      </c>
      <c r="FU91" t="s">
        <v>22</v>
      </c>
      <c r="FX91">
        <v>94.5</v>
      </c>
      <c r="FY91">
        <v>46.75</v>
      </c>
      <c r="GA91" t="s">
        <v>6</v>
      </c>
      <c r="GD91">
        <v>0</v>
      </c>
      <c r="GF91">
        <v>2062515713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125"/>
        <v>0</v>
      </c>
      <c r="GM91">
        <f t="shared" si="126"/>
        <v>5953.28</v>
      </c>
      <c r="GN91">
        <f t="shared" si="127"/>
        <v>5953.28</v>
      </c>
      <c r="GO91">
        <f t="shared" si="128"/>
        <v>0</v>
      </c>
      <c r="GP91">
        <f t="shared" si="129"/>
        <v>0</v>
      </c>
      <c r="GR91">
        <v>0</v>
      </c>
      <c r="GS91">
        <v>3</v>
      </c>
      <c r="GT91">
        <v>0</v>
      </c>
      <c r="GU91" t="s">
        <v>6</v>
      </c>
      <c r="GV91">
        <f t="shared" si="130"/>
        <v>0</v>
      </c>
      <c r="GW91">
        <v>1</v>
      </c>
      <c r="GX91">
        <f t="shared" si="131"/>
        <v>0</v>
      </c>
      <c r="HA91">
        <v>0</v>
      </c>
      <c r="HB91">
        <v>0</v>
      </c>
      <c r="HC91">
        <f t="shared" si="132"/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242</v>
      </c>
      <c r="D92" s="2"/>
      <c r="E92" s="2" t="s">
        <v>185</v>
      </c>
      <c r="F92" s="2" t="s">
        <v>186</v>
      </c>
      <c r="G92" s="2" t="s">
        <v>187</v>
      </c>
      <c r="H92" s="2" t="s">
        <v>65</v>
      </c>
      <c r="I92" s="2">
        <f>I90*J92</f>
        <v>1.1730000000000001E-2</v>
      </c>
      <c r="J92" s="2">
        <v>0.05</v>
      </c>
      <c r="K92" s="2"/>
      <c r="L92" s="2"/>
      <c r="M92" s="2"/>
      <c r="N92" s="2"/>
      <c r="O92" s="2">
        <f t="shared" si="99"/>
        <v>105.57</v>
      </c>
      <c r="P92" s="2">
        <f t="shared" si="100"/>
        <v>105.57</v>
      </c>
      <c r="Q92" s="2">
        <f t="shared" si="101"/>
        <v>0</v>
      </c>
      <c r="R92" s="2">
        <f t="shared" si="102"/>
        <v>0</v>
      </c>
      <c r="S92" s="2">
        <f t="shared" si="103"/>
        <v>0</v>
      </c>
      <c r="T92" s="2">
        <f t="shared" si="104"/>
        <v>0</v>
      </c>
      <c r="U92" s="2">
        <f t="shared" si="105"/>
        <v>0</v>
      </c>
      <c r="V92" s="2">
        <f t="shared" si="106"/>
        <v>0</v>
      </c>
      <c r="W92" s="2">
        <f t="shared" si="107"/>
        <v>0</v>
      </c>
      <c r="X92" s="2">
        <f t="shared" si="108"/>
        <v>0</v>
      </c>
      <c r="Y92" s="2">
        <f t="shared" si="109"/>
        <v>0</v>
      </c>
      <c r="Z92" s="2"/>
      <c r="AA92" s="2">
        <v>27935367</v>
      </c>
      <c r="AB92" s="2">
        <f t="shared" si="110"/>
        <v>9000</v>
      </c>
      <c r="AC92" s="2">
        <f t="shared" si="95"/>
        <v>9000</v>
      </c>
      <c r="AD92" s="2">
        <f t="shared" ref="AD92:AD107" si="133">ROUND((((ET92)-(EU92))+AE92),2)</f>
        <v>0</v>
      </c>
      <c r="AE92" s="2">
        <f t="shared" ref="AE92:AE107" si="134">ROUND((EU92),2)</f>
        <v>0</v>
      </c>
      <c r="AF92" s="2">
        <f t="shared" ref="AF92:AF107" si="135">ROUND((EV92),2)</f>
        <v>0</v>
      </c>
      <c r="AG92" s="2">
        <f t="shared" si="111"/>
        <v>0</v>
      </c>
      <c r="AH92" s="2">
        <f t="shared" ref="AH92:AH107" si="136">(EW92)</f>
        <v>0</v>
      </c>
      <c r="AI92" s="2">
        <f t="shared" ref="AI92:AI107" si="137">(EX92)</f>
        <v>0</v>
      </c>
      <c r="AJ92" s="2">
        <f t="shared" si="112"/>
        <v>0</v>
      </c>
      <c r="AK92" s="2">
        <v>9000</v>
      </c>
      <c r="AL92" s="2">
        <v>9000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95</v>
      </c>
      <c r="AU92" s="2">
        <v>47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188</v>
      </c>
      <c r="BK92" s="2"/>
      <c r="BL92" s="2"/>
      <c r="BM92" s="2">
        <v>15001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105</v>
      </c>
      <c r="CA92" s="2">
        <v>55</v>
      </c>
      <c r="CB92" s="2"/>
      <c r="CC92" s="2"/>
      <c r="CD92" s="2"/>
      <c r="CE92" s="2">
        <v>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113"/>
        <v>105.57</v>
      </c>
      <c r="CQ92" s="2">
        <f t="shared" si="114"/>
        <v>9000</v>
      </c>
      <c r="CR92" s="2">
        <f t="shared" si="115"/>
        <v>0</v>
      </c>
      <c r="CS92" s="2">
        <f t="shared" si="116"/>
        <v>0</v>
      </c>
      <c r="CT92" s="2">
        <f t="shared" si="117"/>
        <v>0</v>
      </c>
      <c r="CU92" s="2">
        <f t="shared" si="118"/>
        <v>0</v>
      </c>
      <c r="CV92" s="2">
        <f t="shared" si="119"/>
        <v>0</v>
      </c>
      <c r="CW92" s="2">
        <f t="shared" si="120"/>
        <v>0</v>
      </c>
      <c r="CX92" s="2">
        <f t="shared" si="121"/>
        <v>0</v>
      </c>
      <c r="CY92" s="2">
        <f t="shared" si="122"/>
        <v>0</v>
      </c>
      <c r="CZ92" s="2">
        <f t="shared" si="123"/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1009</v>
      </c>
      <c r="DV92" s="2" t="s">
        <v>65</v>
      </c>
      <c r="DW92" s="2" t="s">
        <v>65</v>
      </c>
      <c r="DX92" s="2">
        <v>1000</v>
      </c>
      <c r="DY92" s="2"/>
      <c r="DZ92" s="2"/>
      <c r="EA92" s="2"/>
      <c r="EB92" s="2"/>
      <c r="EC92" s="2"/>
      <c r="ED92" s="2"/>
      <c r="EE92" s="2">
        <v>27029049</v>
      </c>
      <c r="EF92" s="2">
        <v>2</v>
      </c>
      <c r="EG92" s="2" t="s">
        <v>18</v>
      </c>
      <c r="EH92" s="2">
        <v>0</v>
      </c>
      <c r="EI92" s="2" t="s">
        <v>6</v>
      </c>
      <c r="EJ92" s="2">
        <v>1</v>
      </c>
      <c r="EK92" s="2">
        <v>15001</v>
      </c>
      <c r="EL92" s="2" t="s">
        <v>51</v>
      </c>
      <c r="EM92" s="2" t="s">
        <v>52</v>
      </c>
      <c r="EN92" s="2"/>
      <c r="EO92" s="2" t="s">
        <v>6</v>
      </c>
      <c r="EP92" s="2"/>
      <c r="EQ92" s="2">
        <v>0</v>
      </c>
      <c r="ER92" s="2">
        <v>9000</v>
      </c>
      <c r="ES92" s="2">
        <v>9000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24"/>
        <v>0</v>
      </c>
      <c r="FS92" s="2">
        <v>0</v>
      </c>
      <c r="FT92" s="2" t="s">
        <v>21</v>
      </c>
      <c r="FU92" s="2" t="s">
        <v>22</v>
      </c>
      <c r="FV92" s="2"/>
      <c r="FW92" s="2"/>
      <c r="FX92" s="2">
        <v>94.5</v>
      </c>
      <c r="FY92" s="2">
        <v>46.75</v>
      </c>
      <c r="FZ92" s="2"/>
      <c r="GA92" s="2" t="s">
        <v>6</v>
      </c>
      <c r="GB92" s="2"/>
      <c r="GC92" s="2"/>
      <c r="GD92" s="2">
        <v>0</v>
      </c>
      <c r="GE92" s="2"/>
      <c r="GF92" s="2">
        <v>-195795605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25"/>
        <v>0</v>
      </c>
      <c r="GM92" s="2">
        <f t="shared" si="126"/>
        <v>105.57</v>
      </c>
      <c r="GN92" s="2">
        <f t="shared" si="127"/>
        <v>105.57</v>
      </c>
      <c r="GO92" s="2">
        <f t="shared" si="128"/>
        <v>0</v>
      </c>
      <c r="GP92" s="2">
        <f t="shared" si="129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30"/>
        <v>0</v>
      </c>
      <c r="GW92" s="2">
        <v>1</v>
      </c>
      <c r="GX92" s="2">
        <f t="shared" si="131"/>
        <v>0</v>
      </c>
      <c r="GY92" s="2"/>
      <c r="GZ92" s="2"/>
      <c r="HA92" s="2">
        <v>0</v>
      </c>
      <c r="HB92" s="2">
        <v>0</v>
      </c>
      <c r="HC92" s="2">
        <f t="shared" si="132"/>
        <v>0</v>
      </c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252</v>
      </c>
      <c r="E93" t="s">
        <v>185</v>
      </c>
      <c r="F93" t="s">
        <v>186</v>
      </c>
      <c r="G93" t="s">
        <v>187</v>
      </c>
      <c r="H93" t="s">
        <v>65</v>
      </c>
      <c r="I93">
        <f>I91*J93</f>
        <v>1.1730000000000001E-2</v>
      </c>
      <c r="J93">
        <v>0.05</v>
      </c>
      <c r="O93">
        <f t="shared" si="99"/>
        <v>645.03</v>
      </c>
      <c r="P93">
        <f t="shared" si="100"/>
        <v>645.03</v>
      </c>
      <c r="Q93">
        <f t="shared" si="101"/>
        <v>0</v>
      </c>
      <c r="R93">
        <f t="shared" si="102"/>
        <v>0</v>
      </c>
      <c r="S93">
        <f t="shared" si="103"/>
        <v>0</v>
      </c>
      <c r="T93">
        <f t="shared" si="104"/>
        <v>0</v>
      </c>
      <c r="U93">
        <f t="shared" si="105"/>
        <v>0</v>
      </c>
      <c r="V93">
        <f t="shared" si="106"/>
        <v>0</v>
      </c>
      <c r="W93">
        <f t="shared" si="107"/>
        <v>0</v>
      </c>
      <c r="X93">
        <f t="shared" si="108"/>
        <v>0</v>
      </c>
      <c r="Y93">
        <f t="shared" si="109"/>
        <v>0</v>
      </c>
      <c r="AA93">
        <v>27935368</v>
      </c>
      <c r="AB93">
        <f t="shared" si="110"/>
        <v>9000</v>
      </c>
      <c r="AC93">
        <f t="shared" si="95"/>
        <v>9000</v>
      </c>
      <c r="AD93">
        <f t="shared" si="133"/>
        <v>0</v>
      </c>
      <c r="AE93">
        <f t="shared" si="134"/>
        <v>0</v>
      </c>
      <c r="AF93">
        <f t="shared" si="135"/>
        <v>0</v>
      </c>
      <c r="AG93">
        <f t="shared" si="111"/>
        <v>0</v>
      </c>
      <c r="AH93">
        <f t="shared" si="136"/>
        <v>0</v>
      </c>
      <c r="AI93">
        <f t="shared" si="137"/>
        <v>0</v>
      </c>
      <c r="AJ93">
        <f t="shared" si="112"/>
        <v>0</v>
      </c>
      <c r="AK93">
        <v>9000</v>
      </c>
      <c r="AL93">
        <v>9000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6.11</v>
      </c>
      <c r="BA93">
        <v>1</v>
      </c>
      <c r="BB93">
        <v>1</v>
      </c>
      <c r="BC93">
        <v>6.11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188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13"/>
        <v>645.03</v>
      </c>
      <c r="CQ93">
        <f t="shared" si="114"/>
        <v>54990</v>
      </c>
      <c r="CR93">
        <f t="shared" si="115"/>
        <v>0</v>
      </c>
      <c r="CS93">
        <f t="shared" si="116"/>
        <v>0</v>
      </c>
      <c r="CT93">
        <f t="shared" si="117"/>
        <v>0</v>
      </c>
      <c r="CU93">
        <f t="shared" si="118"/>
        <v>0</v>
      </c>
      <c r="CV93">
        <f t="shared" si="119"/>
        <v>0</v>
      </c>
      <c r="CW93">
        <f t="shared" si="120"/>
        <v>0</v>
      </c>
      <c r="CX93">
        <f t="shared" si="121"/>
        <v>0</v>
      </c>
      <c r="CY93">
        <f t="shared" si="122"/>
        <v>0</v>
      </c>
      <c r="CZ93">
        <f t="shared" si="123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65</v>
      </c>
      <c r="DW93" t="s">
        <v>65</v>
      </c>
      <c r="DX93">
        <v>1000</v>
      </c>
      <c r="EE93">
        <v>27029049</v>
      </c>
      <c r="EF93">
        <v>2</v>
      </c>
      <c r="EG93" t="s">
        <v>18</v>
      </c>
      <c r="EH93">
        <v>0</v>
      </c>
      <c r="EI93" t="s">
        <v>6</v>
      </c>
      <c r="EJ93">
        <v>1</v>
      </c>
      <c r="EK93">
        <v>15001</v>
      </c>
      <c r="EL93" t="s">
        <v>51</v>
      </c>
      <c r="EM93" t="s">
        <v>52</v>
      </c>
      <c r="EO93" t="s">
        <v>6</v>
      </c>
      <c r="EQ93">
        <v>0</v>
      </c>
      <c r="ER93">
        <v>9000</v>
      </c>
      <c r="ES93">
        <v>9000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4"/>
        <v>0</v>
      </c>
      <c r="FS93">
        <v>0</v>
      </c>
      <c r="FT93" t="s">
        <v>21</v>
      </c>
      <c r="FU93" t="s">
        <v>22</v>
      </c>
      <c r="FX93">
        <v>94.5</v>
      </c>
      <c r="FY93">
        <v>46.75</v>
      </c>
      <c r="GA93" t="s">
        <v>6</v>
      </c>
      <c r="GD93">
        <v>0</v>
      </c>
      <c r="GF93">
        <v>-195795605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25"/>
        <v>0</v>
      </c>
      <c r="GM93">
        <f t="shared" si="126"/>
        <v>645.03</v>
      </c>
      <c r="GN93">
        <f t="shared" si="127"/>
        <v>645.03</v>
      </c>
      <c r="GO93">
        <f t="shared" si="128"/>
        <v>0</v>
      </c>
      <c r="GP93">
        <f t="shared" si="129"/>
        <v>0</v>
      </c>
      <c r="GR93">
        <v>0</v>
      </c>
      <c r="GS93">
        <v>3</v>
      </c>
      <c r="GT93">
        <v>0</v>
      </c>
      <c r="GU93" t="s">
        <v>6</v>
      </c>
      <c r="GV93">
        <f t="shared" si="130"/>
        <v>0</v>
      </c>
      <c r="GW93">
        <v>1</v>
      </c>
      <c r="GX93">
        <f t="shared" si="131"/>
        <v>0</v>
      </c>
      <c r="HA93">
        <v>0</v>
      </c>
      <c r="HB93">
        <v>0</v>
      </c>
      <c r="HC93">
        <f t="shared" si="132"/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243</v>
      </c>
      <c r="D94" s="2"/>
      <c r="E94" s="2" t="s">
        <v>189</v>
      </c>
      <c r="F94" s="2" t="s">
        <v>190</v>
      </c>
      <c r="G94" s="2" t="s">
        <v>191</v>
      </c>
      <c r="H94" s="2" t="s">
        <v>35</v>
      </c>
      <c r="I94" s="2">
        <f>I90*J94</f>
        <v>23.46</v>
      </c>
      <c r="J94" s="2">
        <v>100</v>
      </c>
      <c r="K94" s="2"/>
      <c r="L94" s="2"/>
      <c r="M94" s="2"/>
      <c r="N94" s="2"/>
      <c r="O94" s="2">
        <f t="shared" si="99"/>
        <v>2010.76</v>
      </c>
      <c r="P94" s="2">
        <f t="shared" si="100"/>
        <v>2010.76</v>
      </c>
      <c r="Q94" s="2">
        <f t="shared" si="101"/>
        <v>0</v>
      </c>
      <c r="R94" s="2">
        <f t="shared" si="102"/>
        <v>0</v>
      </c>
      <c r="S94" s="2">
        <f t="shared" si="103"/>
        <v>0</v>
      </c>
      <c r="T94" s="2">
        <f t="shared" si="104"/>
        <v>0</v>
      </c>
      <c r="U94" s="2">
        <f t="shared" si="105"/>
        <v>0</v>
      </c>
      <c r="V94" s="2">
        <f t="shared" si="106"/>
        <v>0</v>
      </c>
      <c r="W94" s="2">
        <f t="shared" si="107"/>
        <v>0</v>
      </c>
      <c r="X94" s="2">
        <f t="shared" si="108"/>
        <v>0</v>
      </c>
      <c r="Y94" s="2">
        <f t="shared" si="109"/>
        <v>0</v>
      </c>
      <c r="Z94" s="2"/>
      <c r="AA94" s="2">
        <v>27935367</v>
      </c>
      <c r="AB94" s="2">
        <f t="shared" si="110"/>
        <v>85.71</v>
      </c>
      <c r="AC94" s="2">
        <f t="shared" si="95"/>
        <v>85.71</v>
      </c>
      <c r="AD94" s="2">
        <f t="shared" si="133"/>
        <v>0</v>
      </c>
      <c r="AE94" s="2">
        <f t="shared" si="134"/>
        <v>0</v>
      </c>
      <c r="AF94" s="2">
        <f t="shared" si="135"/>
        <v>0</v>
      </c>
      <c r="AG94" s="2">
        <f t="shared" si="111"/>
        <v>0</v>
      </c>
      <c r="AH94" s="2">
        <f t="shared" si="136"/>
        <v>0</v>
      </c>
      <c r="AI94" s="2">
        <f t="shared" si="137"/>
        <v>0</v>
      </c>
      <c r="AJ94" s="2">
        <f t="shared" si="112"/>
        <v>0</v>
      </c>
      <c r="AK94" s="2">
        <v>85.71</v>
      </c>
      <c r="AL94" s="2">
        <v>85.71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192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>
        <v>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13"/>
        <v>2010.76</v>
      </c>
      <c r="CQ94" s="2">
        <f t="shared" si="114"/>
        <v>85.71</v>
      </c>
      <c r="CR94" s="2">
        <f t="shared" si="115"/>
        <v>0</v>
      </c>
      <c r="CS94" s="2">
        <f t="shared" si="116"/>
        <v>0</v>
      </c>
      <c r="CT94" s="2">
        <f t="shared" si="117"/>
        <v>0</v>
      </c>
      <c r="CU94" s="2">
        <f t="shared" si="118"/>
        <v>0</v>
      </c>
      <c r="CV94" s="2">
        <f t="shared" si="119"/>
        <v>0</v>
      </c>
      <c r="CW94" s="2">
        <f t="shared" si="120"/>
        <v>0</v>
      </c>
      <c r="CX94" s="2">
        <f t="shared" si="121"/>
        <v>0</v>
      </c>
      <c r="CY94" s="2">
        <f t="shared" si="122"/>
        <v>0</v>
      </c>
      <c r="CZ94" s="2">
        <f t="shared" si="123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35</v>
      </c>
      <c r="DW94" s="2" t="s">
        <v>35</v>
      </c>
      <c r="DX94" s="2">
        <v>1</v>
      </c>
      <c r="DY94" s="2"/>
      <c r="DZ94" s="2"/>
      <c r="EA94" s="2"/>
      <c r="EB94" s="2"/>
      <c r="EC94" s="2"/>
      <c r="ED94" s="2"/>
      <c r="EE94" s="2">
        <v>27029049</v>
      </c>
      <c r="EF94" s="2">
        <v>2</v>
      </c>
      <c r="EG94" s="2" t="s">
        <v>18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51</v>
      </c>
      <c r="EM94" s="2" t="s">
        <v>52</v>
      </c>
      <c r="EN94" s="2"/>
      <c r="EO94" s="2" t="s">
        <v>6</v>
      </c>
      <c r="EP94" s="2"/>
      <c r="EQ94" s="2">
        <v>0</v>
      </c>
      <c r="ER94" s="2">
        <v>85.71</v>
      </c>
      <c r="ES94" s="2">
        <v>85.71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4"/>
        <v>0</v>
      </c>
      <c r="FS94" s="2">
        <v>0</v>
      </c>
      <c r="FT94" s="2" t="s">
        <v>21</v>
      </c>
      <c r="FU94" s="2" t="s">
        <v>22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797365537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25"/>
        <v>0</v>
      </c>
      <c r="GM94" s="2">
        <f t="shared" si="126"/>
        <v>2010.76</v>
      </c>
      <c r="GN94" s="2">
        <f t="shared" si="127"/>
        <v>2010.76</v>
      </c>
      <c r="GO94" s="2">
        <f t="shared" si="128"/>
        <v>0</v>
      </c>
      <c r="GP94" s="2">
        <f t="shared" si="129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0"/>
        <v>0</v>
      </c>
      <c r="GW94" s="2">
        <v>1</v>
      </c>
      <c r="GX94" s="2">
        <f t="shared" si="131"/>
        <v>0</v>
      </c>
      <c r="GY94" s="2"/>
      <c r="GZ94" s="2"/>
      <c r="HA94" s="2">
        <v>0</v>
      </c>
      <c r="HB94" s="2">
        <v>0</v>
      </c>
      <c r="HC94" s="2">
        <f t="shared" si="132"/>
        <v>0</v>
      </c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253</v>
      </c>
      <c r="E95" t="s">
        <v>189</v>
      </c>
      <c r="F95" t="s">
        <v>190</v>
      </c>
      <c r="G95" t="s">
        <v>191</v>
      </c>
      <c r="H95" t="s">
        <v>35</v>
      </c>
      <c r="I95">
        <f>I91*J95</f>
        <v>23.46</v>
      </c>
      <c r="J95">
        <v>100</v>
      </c>
      <c r="O95">
        <f t="shared" si="99"/>
        <v>12285.72</v>
      </c>
      <c r="P95">
        <f t="shared" si="100"/>
        <v>12285.72</v>
      </c>
      <c r="Q95">
        <f t="shared" si="101"/>
        <v>0</v>
      </c>
      <c r="R95">
        <f t="shared" si="102"/>
        <v>0</v>
      </c>
      <c r="S95">
        <f t="shared" si="103"/>
        <v>0</v>
      </c>
      <c r="T95">
        <f t="shared" si="104"/>
        <v>0</v>
      </c>
      <c r="U95">
        <f t="shared" si="105"/>
        <v>0</v>
      </c>
      <c r="V95">
        <f t="shared" si="106"/>
        <v>0</v>
      </c>
      <c r="W95">
        <f t="shared" si="107"/>
        <v>0</v>
      </c>
      <c r="X95">
        <f t="shared" si="108"/>
        <v>0</v>
      </c>
      <c r="Y95">
        <f t="shared" si="109"/>
        <v>0</v>
      </c>
      <c r="AA95">
        <v>27935368</v>
      </c>
      <c r="AB95">
        <f t="shared" si="110"/>
        <v>85.71</v>
      </c>
      <c r="AC95">
        <f t="shared" si="95"/>
        <v>85.71</v>
      </c>
      <c r="AD95">
        <f t="shared" si="133"/>
        <v>0</v>
      </c>
      <c r="AE95">
        <f t="shared" si="134"/>
        <v>0</v>
      </c>
      <c r="AF95">
        <f t="shared" si="135"/>
        <v>0</v>
      </c>
      <c r="AG95">
        <f t="shared" si="111"/>
        <v>0</v>
      </c>
      <c r="AH95">
        <f t="shared" si="136"/>
        <v>0</v>
      </c>
      <c r="AI95">
        <f t="shared" si="137"/>
        <v>0</v>
      </c>
      <c r="AJ95">
        <f t="shared" si="112"/>
        <v>0</v>
      </c>
      <c r="AK95">
        <v>85.71</v>
      </c>
      <c r="AL95">
        <v>85.71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6.11</v>
      </c>
      <c r="BA95">
        <v>1</v>
      </c>
      <c r="BB95">
        <v>1</v>
      </c>
      <c r="BC95">
        <v>6.11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192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13"/>
        <v>12285.72</v>
      </c>
      <c r="CQ95">
        <f t="shared" si="114"/>
        <v>523.68809999999996</v>
      </c>
      <c r="CR95">
        <f t="shared" si="115"/>
        <v>0</v>
      </c>
      <c r="CS95">
        <f t="shared" si="116"/>
        <v>0</v>
      </c>
      <c r="CT95">
        <f t="shared" si="117"/>
        <v>0</v>
      </c>
      <c r="CU95">
        <f t="shared" si="118"/>
        <v>0</v>
      </c>
      <c r="CV95">
        <f t="shared" si="119"/>
        <v>0</v>
      </c>
      <c r="CW95">
        <f t="shared" si="120"/>
        <v>0</v>
      </c>
      <c r="CX95">
        <f t="shared" si="121"/>
        <v>0</v>
      </c>
      <c r="CY95">
        <f t="shared" si="122"/>
        <v>0</v>
      </c>
      <c r="CZ95">
        <f t="shared" si="123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35</v>
      </c>
      <c r="DW95" t="s">
        <v>35</v>
      </c>
      <c r="DX95">
        <v>1</v>
      </c>
      <c r="EE95">
        <v>27029049</v>
      </c>
      <c r="EF95">
        <v>2</v>
      </c>
      <c r="EG95" t="s">
        <v>18</v>
      </c>
      <c r="EH95">
        <v>0</v>
      </c>
      <c r="EI95" t="s">
        <v>6</v>
      </c>
      <c r="EJ95">
        <v>1</v>
      </c>
      <c r="EK95">
        <v>15001</v>
      </c>
      <c r="EL95" t="s">
        <v>51</v>
      </c>
      <c r="EM95" t="s">
        <v>52</v>
      </c>
      <c r="EO95" t="s">
        <v>6</v>
      </c>
      <c r="EQ95">
        <v>0</v>
      </c>
      <c r="ER95">
        <v>85.71</v>
      </c>
      <c r="ES95">
        <v>85.71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4"/>
        <v>0</v>
      </c>
      <c r="FS95">
        <v>0</v>
      </c>
      <c r="FT95" t="s">
        <v>21</v>
      </c>
      <c r="FU95" t="s">
        <v>22</v>
      </c>
      <c r="FX95">
        <v>94.5</v>
      </c>
      <c r="FY95">
        <v>46.75</v>
      </c>
      <c r="GA95" t="s">
        <v>6</v>
      </c>
      <c r="GD95">
        <v>0</v>
      </c>
      <c r="GF95">
        <v>797365537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25"/>
        <v>0</v>
      </c>
      <c r="GM95">
        <f t="shared" si="126"/>
        <v>12285.72</v>
      </c>
      <c r="GN95">
        <f t="shared" si="127"/>
        <v>12285.72</v>
      </c>
      <c r="GO95">
        <f t="shared" si="128"/>
        <v>0</v>
      </c>
      <c r="GP95">
        <f t="shared" si="129"/>
        <v>0</v>
      </c>
      <c r="GR95">
        <v>0</v>
      </c>
      <c r="GS95">
        <v>3</v>
      </c>
      <c r="GT95">
        <v>0</v>
      </c>
      <c r="GU95" t="s">
        <v>6</v>
      </c>
      <c r="GV95">
        <f t="shared" si="130"/>
        <v>0</v>
      </c>
      <c r="GW95">
        <v>1</v>
      </c>
      <c r="GX95">
        <f t="shared" si="131"/>
        <v>0</v>
      </c>
      <c r="HA95">
        <v>0</v>
      </c>
      <c r="HB95">
        <v>0</v>
      </c>
      <c r="HC95">
        <f t="shared" si="132"/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244</v>
      </c>
      <c r="D96" s="2"/>
      <c r="E96" s="2" t="s">
        <v>193</v>
      </c>
      <c r="F96" s="2" t="s">
        <v>194</v>
      </c>
      <c r="G96" s="2" t="s">
        <v>195</v>
      </c>
      <c r="H96" s="2" t="s">
        <v>65</v>
      </c>
      <c r="I96" s="2">
        <f>I90*J96</f>
        <v>8.7974999999999998E-2</v>
      </c>
      <c r="J96" s="2">
        <v>0.375</v>
      </c>
      <c r="K96" s="2"/>
      <c r="L96" s="2"/>
      <c r="M96" s="2"/>
      <c r="N96" s="2"/>
      <c r="O96" s="2">
        <f t="shared" si="99"/>
        <v>256.83999999999997</v>
      </c>
      <c r="P96" s="2">
        <f t="shared" si="100"/>
        <v>256.83999999999997</v>
      </c>
      <c r="Q96" s="2">
        <f t="shared" si="101"/>
        <v>0</v>
      </c>
      <c r="R96" s="2">
        <f t="shared" si="102"/>
        <v>0</v>
      </c>
      <c r="S96" s="2">
        <f t="shared" si="103"/>
        <v>0</v>
      </c>
      <c r="T96" s="2">
        <f t="shared" si="104"/>
        <v>0</v>
      </c>
      <c r="U96" s="2">
        <f t="shared" si="105"/>
        <v>0</v>
      </c>
      <c r="V96" s="2">
        <f t="shared" si="106"/>
        <v>0</v>
      </c>
      <c r="W96" s="2">
        <f t="shared" si="107"/>
        <v>0</v>
      </c>
      <c r="X96" s="2">
        <f t="shared" si="108"/>
        <v>0</v>
      </c>
      <c r="Y96" s="2">
        <f t="shared" si="109"/>
        <v>0</v>
      </c>
      <c r="Z96" s="2"/>
      <c r="AA96" s="2">
        <v>27935367</v>
      </c>
      <c r="AB96" s="2">
        <f t="shared" si="110"/>
        <v>2919.43</v>
      </c>
      <c r="AC96" s="2">
        <f t="shared" si="95"/>
        <v>2919.43</v>
      </c>
      <c r="AD96" s="2">
        <f t="shared" si="133"/>
        <v>0</v>
      </c>
      <c r="AE96" s="2">
        <f t="shared" si="134"/>
        <v>0</v>
      </c>
      <c r="AF96" s="2">
        <f t="shared" si="135"/>
        <v>0</v>
      </c>
      <c r="AG96" s="2">
        <f t="shared" si="111"/>
        <v>0</v>
      </c>
      <c r="AH96" s="2">
        <f t="shared" si="136"/>
        <v>0</v>
      </c>
      <c r="AI96" s="2">
        <f t="shared" si="137"/>
        <v>0</v>
      </c>
      <c r="AJ96" s="2">
        <f t="shared" si="112"/>
        <v>0</v>
      </c>
      <c r="AK96" s="2">
        <v>2919.43</v>
      </c>
      <c r="AL96" s="2">
        <v>2919.43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196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13"/>
        <v>256.83999999999997</v>
      </c>
      <c r="CQ96" s="2">
        <f t="shared" si="114"/>
        <v>2919.43</v>
      </c>
      <c r="CR96" s="2">
        <f t="shared" si="115"/>
        <v>0</v>
      </c>
      <c r="CS96" s="2">
        <f t="shared" si="116"/>
        <v>0</v>
      </c>
      <c r="CT96" s="2">
        <f t="shared" si="117"/>
        <v>0</v>
      </c>
      <c r="CU96" s="2">
        <f t="shared" si="118"/>
        <v>0</v>
      </c>
      <c r="CV96" s="2">
        <f t="shared" si="119"/>
        <v>0</v>
      </c>
      <c r="CW96" s="2">
        <f t="shared" si="120"/>
        <v>0</v>
      </c>
      <c r="CX96" s="2">
        <f t="shared" si="121"/>
        <v>0</v>
      </c>
      <c r="CY96" s="2">
        <f t="shared" si="122"/>
        <v>0</v>
      </c>
      <c r="CZ96" s="2">
        <f t="shared" si="123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65</v>
      </c>
      <c r="DW96" s="2" t="s">
        <v>65</v>
      </c>
      <c r="DX96" s="2">
        <v>1000</v>
      </c>
      <c r="DY96" s="2"/>
      <c r="DZ96" s="2"/>
      <c r="EA96" s="2"/>
      <c r="EB96" s="2"/>
      <c r="EC96" s="2"/>
      <c r="ED96" s="2"/>
      <c r="EE96" s="2">
        <v>27029049</v>
      </c>
      <c r="EF96" s="2">
        <v>2</v>
      </c>
      <c r="EG96" s="2" t="s">
        <v>18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51</v>
      </c>
      <c r="EM96" s="2" t="s">
        <v>52</v>
      </c>
      <c r="EN96" s="2"/>
      <c r="EO96" s="2" t="s">
        <v>6</v>
      </c>
      <c r="EP96" s="2"/>
      <c r="EQ96" s="2">
        <v>0</v>
      </c>
      <c r="ER96" s="2">
        <v>2919.43</v>
      </c>
      <c r="ES96" s="2">
        <v>2919.43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4"/>
        <v>0</v>
      </c>
      <c r="FS96" s="2">
        <v>0</v>
      </c>
      <c r="FT96" s="2" t="s">
        <v>21</v>
      </c>
      <c r="FU96" s="2" t="s">
        <v>22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824424713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25"/>
        <v>0</v>
      </c>
      <c r="GM96" s="2">
        <f t="shared" si="126"/>
        <v>256.83999999999997</v>
      </c>
      <c r="GN96" s="2">
        <f t="shared" si="127"/>
        <v>256.83999999999997</v>
      </c>
      <c r="GO96" s="2">
        <f t="shared" si="128"/>
        <v>0</v>
      </c>
      <c r="GP96" s="2">
        <f t="shared" si="129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0"/>
        <v>0</v>
      </c>
      <c r="GW96" s="2">
        <v>1</v>
      </c>
      <c r="GX96" s="2">
        <f t="shared" si="131"/>
        <v>0</v>
      </c>
      <c r="GY96" s="2"/>
      <c r="GZ96" s="2"/>
      <c r="HA96" s="2">
        <v>0</v>
      </c>
      <c r="HB96" s="2">
        <v>0</v>
      </c>
      <c r="HC96" s="2">
        <f t="shared" si="132"/>
        <v>0</v>
      </c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254</v>
      </c>
      <c r="E97" t="s">
        <v>193</v>
      </c>
      <c r="F97" t="s">
        <v>194</v>
      </c>
      <c r="G97" t="s">
        <v>195</v>
      </c>
      <c r="H97" t="s">
        <v>65</v>
      </c>
      <c r="I97">
        <f>I91*J97</f>
        <v>8.7974999999999998E-2</v>
      </c>
      <c r="J97">
        <v>0.375</v>
      </c>
      <c r="O97">
        <f t="shared" si="99"/>
        <v>1569.27</v>
      </c>
      <c r="P97">
        <f t="shared" si="100"/>
        <v>1569.27</v>
      </c>
      <c r="Q97">
        <f t="shared" si="101"/>
        <v>0</v>
      </c>
      <c r="R97">
        <f t="shared" si="102"/>
        <v>0</v>
      </c>
      <c r="S97">
        <f t="shared" si="103"/>
        <v>0</v>
      </c>
      <c r="T97">
        <f t="shared" si="104"/>
        <v>0</v>
      </c>
      <c r="U97">
        <f t="shared" si="105"/>
        <v>0</v>
      </c>
      <c r="V97">
        <f t="shared" si="106"/>
        <v>0</v>
      </c>
      <c r="W97">
        <f t="shared" si="107"/>
        <v>0</v>
      </c>
      <c r="X97">
        <f t="shared" si="108"/>
        <v>0</v>
      </c>
      <c r="Y97">
        <f t="shared" si="109"/>
        <v>0</v>
      </c>
      <c r="AA97">
        <v>27935368</v>
      </c>
      <c r="AB97">
        <f t="shared" si="110"/>
        <v>2919.43</v>
      </c>
      <c r="AC97">
        <f t="shared" si="95"/>
        <v>2919.43</v>
      </c>
      <c r="AD97">
        <f t="shared" si="133"/>
        <v>0</v>
      </c>
      <c r="AE97">
        <f t="shared" si="134"/>
        <v>0</v>
      </c>
      <c r="AF97">
        <f t="shared" si="135"/>
        <v>0</v>
      </c>
      <c r="AG97">
        <f t="shared" si="111"/>
        <v>0</v>
      </c>
      <c r="AH97">
        <f t="shared" si="136"/>
        <v>0</v>
      </c>
      <c r="AI97">
        <f t="shared" si="137"/>
        <v>0</v>
      </c>
      <c r="AJ97">
        <f t="shared" si="112"/>
        <v>0</v>
      </c>
      <c r="AK97">
        <v>2919.43</v>
      </c>
      <c r="AL97">
        <v>2919.43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6.11</v>
      </c>
      <c r="BA97">
        <v>1</v>
      </c>
      <c r="BB97">
        <v>1</v>
      </c>
      <c r="BC97">
        <v>6.11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196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13"/>
        <v>1569.27</v>
      </c>
      <c r="CQ97">
        <f t="shared" si="114"/>
        <v>17837.7173</v>
      </c>
      <c r="CR97">
        <f t="shared" si="115"/>
        <v>0</v>
      </c>
      <c r="CS97">
        <f t="shared" si="116"/>
        <v>0</v>
      </c>
      <c r="CT97">
        <f t="shared" si="117"/>
        <v>0</v>
      </c>
      <c r="CU97">
        <f t="shared" si="118"/>
        <v>0</v>
      </c>
      <c r="CV97">
        <f t="shared" si="119"/>
        <v>0</v>
      </c>
      <c r="CW97">
        <f t="shared" si="120"/>
        <v>0</v>
      </c>
      <c r="CX97">
        <f t="shared" si="121"/>
        <v>0</v>
      </c>
      <c r="CY97">
        <f t="shared" si="122"/>
        <v>0</v>
      </c>
      <c r="CZ97">
        <f t="shared" si="123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65</v>
      </c>
      <c r="DW97" t="s">
        <v>65</v>
      </c>
      <c r="DX97">
        <v>1000</v>
      </c>
      <c r="EE97">
        <v>27029049</v>
      </c>
      <c r="EF97">
        <v>2</v>
      </c>
      <c r="EG97" t="s">
        <v>18</v>
      </c>
      <c r="EH97">
        <v>0</v>
      </c>
      <c r="EI97" t="s">
        <v>6</v>
      </c>
      <c r="EJ97">
        <v>1</v>
      </c>
      <c r="EK97">
        <v>15001</v>
      </c>
      <c r="EL97" t="s">
        <v>51</v>
      </c>
      <c r="EM97" t="s">
        <v>52</v>
      </c>
      <c r="EO97" t="s">
        <v>6</v>
      </c>
      <c r="EQ97">
        <v>0</v>
      </c>
      <c r="ER97">
        <v>2919.43</v>
      </c>
      <c r="ES97">
        <v>2919.43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24"/>
        <v>0</v>
      </c>
      <c r="FS97">
        <v>0</v>
      </c>
      <c r="FT97" t="s">
        <v>21</v>
      </c>
      <c r="FU97" t="s">
        <v>22</v>
      </c>
      <c r="FX97">
        <v>94.5</v>
      </c>
      <c r="FY97">
        <v>46.75</v>
      </c>
      <c r="GA97" t="s">
        <v>6</v>
      </c>
      <c r="GD97">
        <v>0</v>
      </c>
      <c r="GF97">
        <v>824424713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25"/>
        <v>0</v>
      </c>
      <c r="GM97">
        <f t="shared" si="126"/>
        <v>1569.27</v>
      </c>
      <c r="GN97">
        <f t="shared" si="127"/>
        <v>1569.27</v>
      </c>
      <c r="GO97">
        <f t="shared" si="128"/>
        <v>0</v>
      </c>
      <c r="GP97">
        <f t="shared" si="129"/>
        <v>0</v>
      </c>
      <c r="GR97">
        <v>0</v>
      </c>
      <c r="GS97">
        <v>3</v>
      </c>
      <c r="GT97">
        <v>0</v>
      </c>
      <c r="GU97" t="s">
        <v>6</v>
      </c>
      <c r="GV97">
        <f t="shared" si="130"/>
        <v>0</v>
      </c>
      <c r="GW97">
        <v>1</v>
      </c>
      <c r="GX97">
        <f t="shared" si="131"/>
        <v>0</v>
      </c>
      <c r="HA97">
        <v>0</v>
      </c>
      <c r="HB97">
        <v>0</v>
      </c>
      <c r="HC97">
        <f t="shared" si="132"/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ROW(SmtRes!A259)</f>
        <v>259</v>
      </c>
      <c r="D98" s="2">
        <f>ROW(EtalonRes!A266)</f>
        <v>266</v>
      </c>
      <c r="E98" s="2" t="s">
        <v>197</v>
      </c>
      <c r="F98" s="2" t="s">
        <v>198</v>
      </c>
      <c r="G98" s="2" t="s">
        <v>199</v>
      </c>
      <c r="H98" s="2" t="s">
        <v>16</v>
      </c>
      <c r="I98" s="2">
        <f>ROUND(2.1/100,9)</f>
        <v>2.1000000000000001E-2</v>
      </c>
      <c r="J98" s="2">
        <v>0</v>
      </c>
      <c r="K98" s="2"/>
      <c r="L98" s="2"/>
      <c r="M98" s="2"/>
      <c r="N98" s="2"/>
      <c r="O98" s="2">
        <f t="shared" si="99"/>
        <v>51.22</v>
      </c>
      <c r="P98" s="2">
        <f t="shared" si="100"/>
        <v>23.6</v>
      </c>
      <c r="Q98" s="2">
        <f t="shared" si="101"/>
        <v>0.44</v>
      </c>
      <c r="R98" s="2">
        <f t="shared" si="102"/>
        <v>0.19</v>
      </c>
      <c r="S98" s="2">
        <f t="shared" si="103"/>
        <v>27.18</v>
      </c>
      <c r="T98" s="2">
        <f t="shared" si="104"/>
        <v>0</v>
      </c>
      <c r="U98" s="2">
        <f t="shared" si="105"/>
        <v>3.0674700000000001</v>
      </c>
      <c r="V98" s="2">
        <f t="shared" si="106"/>
        <v>1.4070000000000001E-2</v>
      </c>
      <c r="W98" s="2">
        <f t="shared" si="107"/>
        <v>0</v>
      </c>
      <c r="X98" s="2">
        <f t="shared" si="108"/>
        <v>21.62</v>
      </c>
      <c r="Y98" s="2">
        <f t="shared" si="109"/>
        <v>13.69</v>
      </c>
      <c r="Z98" s="2"/>
      <c r="AA98" s="2">
        <v>27935367</v>
      </c>
      <c r="AB98" s="2">
        <f t="shared" si="110"/>
        <v>2438.85</v>
      </c>
      <c r="AC98" s="2">
        <f t="shared" si="95"/>
        <v>1123.73</v>
      </c>
      <c r="AD98" s="2">
        <f t="shared" si="133"/>
        <v>20.94</v>
      </c>
      <c r="AE98" s="2">
        <f t="shared" si="134"/>
        <v>9.0500000000000007</v>
      </c>
      <c r="AF98" s="2">
        <f t="shared" si="135"/>
        <v>1294.18</v>
      </c>
      <c r="AG98" s="2">
        <f t="shared" si="111"/>
        <v>0</v>
      </c>
      <c r="AH98" s="2">
        <f t="shared" si="136"/>
        <v>146.07</v>
      </c>
      <c r="AI98" s="2">
        <f t="shared" si="137"/>
        <v>0.67</v>
      </c>
      <c r="AJ98" s="2">
        <f t="shared" si="112"/>
        <v>0</v>
      </c>
      <c r="AK98" s="2">
        <v>2438.85</v>
      </c>
      <c r="AL98" s="2">
        <v>1123.73</v>
      </c>
      <c r="AM98" s="2">
        <v>20.94</v>
      </c>
      <c r="AN98" s="2">
        <v>9.0500000000000007</v>
      </c>
      <c r="AO98" s="2">
        <v>1294.18</v>
      </c>
      <c r="AP98" s="2">
        <v>0</v>
      </c>
      <c r="AQ98" s="2">
        <v>146.07</v>
      </c>
      <c r="AR98" s="2">
        <v>0.67</v>
      </c>
      <c r="AS98" s="2">
        <v>0</v>
      </c>
      <c r="AT98" s="2">
        <v>79</v>
      </c>
      <c r="AU98" s="2">
        <v>50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200</v>
      </c>
      <c r="BK98" s="2"/>
      <c r="BL98" s="2"/>
      <c r="BM98" s="2">
        <v>61001</v>
      </c>
      <c r="BN98" s="2">
        <v>0</v>
      </c>
      <c r="BO98" s="2" t="s">
        <v>6</v>
      </c>
      <c r="BP98" s="2">
        <v>0</v>
      </c>
      <c r="BQ98" s="2">
        <v>6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79</v>
      </c>
      <c r="CA98" s="2">
        <v>50</v>
      </c>
      <c r="CB98" s="2"/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13"/>
        <v>51.22</v>
      </c>
      <c r="CQ98" s="2">
        <f t="shared" si="114"/>
        <v>1123.73</v>
      </c>
      <c r="CR98" s="2">
        <f t="shared" si="115"/>
        <v>20.94</v>
      </c>
      <c r="CS98" s="2">
        <f t="shared" si="116"/>
        <v>9.0500000000000007</v>
      </c>
      <c r="CT98" s="2">
        <f t="shared" si="117"/>
        <v>1294.18</v>
      </c>
      <c r="CU98" s="2">
        <f t="shared" si="118"/>
        <v>0</v>
      </c>
      <c r="CV98" s="2">
        <f t="shared" si="119"/>
        <v>146.07</v>
      </c>
      <c r="CW98" s="2">
        <f t="shared" si="120"/>
        <v>0.67</v>
      </c>
      <c r="CX98" s="2">
        <f t="shared" si="121"/>
        <v>0</v>
      </c>
      <c r="CY98" s="2">
        <f t="shared" si="122"/>
        <v>21.622299999999999</v>
      </c>
      <c r="CZ98" s="2">
        <f t="shared" si="123"/>
        <v>13.685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16</v>
      </c>
      <c r="DW98" s="2" t="s">
        <v>16</v>
      </c>
      <c r="DX98" s="2">
        <v>100</v>
      </c>
      <c r="DY98" s="2"/>
      <c r="DZ98" s="2"/>
      <c r="EA98" s="2"/>
      <c r="EB98" s="2"/>
      <c r="EC98" s="2"/>
      <c r="ED98" s="2"/>
      <c r="EE98" s="2">
        <v>27029106</v>
      </c>
      <c r="EF98" s="2">
        <v>6</v>
      </c>
      <c r="EG98" s="2" t="s">
        <v>90</v>
      </c>
      <c r="EH98" s="2">
        <v>0</v>
      </c>
      <c r="EI98" s="2" t="s">
        <v>6</v>
      </c>
      <c r="EJ98" s="2">
        <v>1</v>
      </c>
      <c r="EK98" s="2">
        <v>61001</v>
      </c>
      <c r="EL98" s="2" t="s">
        <v>201</v>
      </c>
      <c r="EM98" s="2" t="s">
        <v>202</v>
      </c>
      <c r="EN98" s="2"/>
      <c r="EO98" s="2" t="s">
        <v>6</v>
      </c>
      <c r="EP98" s="2"/>
      <c r="EQ98" s="2">
        <v>131072</v>
      </c>
      <c r="ER98" s="2">
        <v>2438.85</v>
      </c>
      <c r="ES98" s="2">
        <v>1123.73</v>
      </c>
      <c r="ET98" s="2">
        <v>20.94</v>
      </c>
      <c r="EU98" s="2">
        <v>9.0500000000000007</v>
      </c>
      <c r="EV98" s="2">
        <v>1294.18</v>
      </c>
      <c r="EW98" s="2">
        <v>146.07</v>
      </c>
      <c r="EX98" s="2">
        <v>0.67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4"/>
        <v>0</v>
      </c>
      <c r="FS98" s="2">
        <v>0</v>
      </c>
      <c r="FT98" s="2"/>
      <c r="FU98" s="2"/>
      <c r="FV98" s="2"/>
      <c r="FW98" s="2"/>
      <c r="FX98" s="2">
        <v>79</v>
      </c>
      <c r="FY98" s="2">
        <v>50</v>
      </c>
      <c r="FZ98" s="2"/>
      <c r="GA98" s="2" t="s">
        <v>6</v>
      </c>
      <c r="GB98" s="2"/>
      <c r="GC98" s="2"/>
      <c r="GD98" s="2">
        <v>0</v>
      </c>
      <c r="GE98" s="2"/>
      <c r="GF98" s="2">
        <v>-1946768305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25"/>
        <v>0</v>
      </c>
      <c r="GM98" s="2">
        <f t="shared" si="126"/>
        <v>86.53</v>
      </c>
      <c r="GN98" s="2">
        <f t="shared" si="127"/>
        <v>86.53</v>
      </c>
      <c r="GO98" s="2">
        <f t="shared" si="128"/>
        <v>0</v>
      </c>
      <c r="GP98" s="2">
        <f t="shared" si="129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0"/>
        <v>0</v>
      </c>
      <c r="GW98" s="2">
        <v>1</v>
      </c>
      <c r="GX98" s="2">
        <f t="shared" si="131"/>
        <v>0</v>
      </c>
      <c r="GY98" s="2"/>
      <c r="GZ98" s="2"/>
      <c r="HA98" s="2">
        <v>0</v>
      </c>
      <c r="HB98" s="2">
        <v>0</v>
      </c>
      <c r="HC98" s="2">
        <f t="shared" si="132"/>
        <v>0</v>
      </c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ROW(SmtRes!A264)</f>
        <v>264</v>
      </c>
      <c r="D99">
        <f>ROW(EtalonRes!A272)</f>
        <v>272</v>
      </c>
      <c r="E99" t="s">
        <v>197</v>
      </c>
      <c r="F99" t="s">
        <v>198</v>
      </c>
      <c r="G99" t="s">
        <v>199</v>
      </c>
      <c r="H99" t="s">
        <v>16</v>
      </c>
      <c r="I99">
        <f>ROUND(2.1/100,9)</f>
        <v>2.1000000000000001E-2</v>
      </c>
      <c r="J99">
        <v>0</v>
      </c>
      <c r="O99">
        <f t="shared" si="99"/>
        <v>312.94</v>
      </c>
      <c r="P99">
        <f t="shared" si="100"/>
        <v>144.19</v>
      </c>
      <c r="Q99">
        <f t="shared" si="101"/>
        <v>2.69</v>
      </c>
      <c r="R99">
        <f t="shared" si="102"/>
        <v>1.1599999999999999</v>
      </c>
      <c r="S99">
        <f t="shared" si="103"/>
        <v>166.06</v>
      </c>
      <c r="T99">
        <f t="shared" si="104"/>
        <v>0</v>
      </c>
      <c r="U99">
        <f t="shared" si="105"/>
        <v>3.0674700000000001</v>
      </c>
      <c r="V99">
        <f t="shared" si="106"/>
        <v>1.4070000000000001E-2</v>
      </c>
      <c r="W99">
        <f t="shared" si="107"/>
        <v>0</v>
      </c>
      <c r="X99">
        <f t="shared" si="108"/>
        <v>132.1</v>
      </c>
      <c r="Y99">
        <f t="shared" si="109"/>
        <v>83.61</v>
      </c>
      <c r="AA99">
        <v>27935368</v>
      </c>
      <c r="AB99">
        <f t="shared" si="110"/>
        <v>2438.85</v>
      </c>
      <c r="AC99">
        <f t="shared" si="95"/>
        <v>1123.73</v>
      </c>
      <c r="AD99">
        <f t="shared" si="133"/>
        <v>20.94</v>
      </c>
      <c r="AE99">
        <f t="shared" si="134"/>
        <v>9.0500000000000007</v>
      </c>
      <c r="AF99">
        <f t="shared" si="135"/>
        <v>1294.18</v>
      </c>
      <c r="AG99">
        <f t="shared" si="111"/>
        <v>0</v>
      </c>
      <c r="AH99">
        <f t="shared" si="136"/>
        <v>146.07</v>
      </c>
      <c r="AI99">
        <f t="shared" si="137"/>
        <v>0.67</v>
      </c>
      <c r="AJ99">
        <f t="shared" si="112"/>
        <v>0</v>
      </c>
      <c r="AK99">
        <v>2438.85</v>
      </c>
      <c r="AL99">
        <v>1123.73</v>
      </c>
      <c r="AM99">
        <v>20.94</v>
      </c>
      <c r="AN99">
        <v>9.0500000000000007</v>
      </c>
      <c r="AO99">
        <v>1294.18</v>
      </c>
      <c r="AP99">
        <v>0</v>
      </c>
      <c r="AQ99">
        <v>146.07</v>
      </c>
      <c r="AR99">
        <v>0.67</v>
      </c>
      <c r="AS99">
        <v>0</v>
      </c>
      <c r="AT99">
        <v>79</v>
      </c>
      <c r="AU99">
        <v>50</v>
      </c>
      <c r="AV99">
        <v>1</v>
      </c>
      <c r="AW99">
        <v>1</v>
      </c>
      <c r="AZ99">
        <v>6.11</v>
      </c>
      <c r="BA99">
        <v>6.11</v>
      </c>
      <c r="BB99">
        <v>6.11</v>
      </c>
      <c r="BC99">
        <v>6.11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200</v>
      </c>
      <c r="BM99">
        <v>61001</v>
      </c>
      <c r="BN99">
        <v>0</v>
      </c>
      <c r="BO99" t="s">
        <v>6</v>
      </c>
      <c r="BP99">
        <v>0</v>
      </c>
      <c r="BQ99">
        <v>6</v>
      </c>
      <c r="BR99">
        <v>0</v>
      </c>
      <c r="BS99">
        <v>6.11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79</v>
      </c>
      <c r="CA99">
        <v>50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13"/>
        <v>312.94</v>
      </c>
      <c r="CQ99">
        <f t="shared" si="114"/>
        <v>6865.9903000000004</v>
      </c>
      <c r="CR99">
        <f t="shared" si="115"/>
        <v>127.94340000000001</v>
      </c>
      <c r="CS99">
        <f t="shared" si="116"/>
        <v>55.295500000000004</v>
      </c>
      <c r="CT99">
        <f t="shared" si="117"/>
        <v>7907.439800000001</v>
      </c>
      <c r="CU99">
        <f t="shared" si="118"/>
        <v>0</v>
      </c>
      <c r="CV99">
        <f t="shared" si="119"/>
        <v>146.07</v>
      </c>
      <c r="CW99">
        <f t="shared" si="120"/>
        <v>0.67</v>
      </c>
      <c r="CX99">
        <f t="shared" si="121"/>
        <v>0</v>
      </c>
      <c r="CY99">
        <f t="shared" si="122"/>
        <v>132.10379999999998</v>
      </c>
      <c r="CZ99">
        <f t="shared" si="123"/>
        <v>83.61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16</v>
      </c>
      <c r="DW99" t="s">
        <v>16</v>
      </c>
      <c r="DX99">
        <v>100</v>
      </c>
      <c r="EE99">
        <v>27029106</v>
      </c>
      <c r="EF99">
        <v>6</v>
      </c>
      <c r="EG99" t="s">
        <v>90</v>
      </c>
      <c r="EH99">
        <v>0</v>
      </c>
      <c r="EI99" t="s">
        <v>6</v>
      </c>
      <c r="EJ99">
        <v>1</v>
      </c>
      <c r="EK99">
        <v>61001</v>
      </c>
      <c r="EL99" t="s">
        <v>201</v>
      </c>
      <c r="EM99" t="s">
        <v>202</v>
      </c>
      <c r="EO99" t="s">
        <v>6</v>
      </c>
      <c r="EQ99">
        <v>131072</v>
      </c>
      <c r="ER99">
        <v>2438.85</v>
      </c>
      <c r="ES99">
        <v>1123.73</v>
      </c>
      <c r="ET99">
        <v>20.94</v>
      </c>
      <c r="EU99">
        <v>9.0500000000000007</v>
      </c>
      <c r="EV99">
        <v>1294.18</v>
      </c>
      <c r="EW99">
        <v>146.07</v>
      </c>
      <c r="EX99">
        <v>0.67</v>
      </c>
      <c r="EY99">
        <v>0</v>
      </c>
      <c r="FQ99">
        <v>0</v>
      </c>
      <c r="FR99">
        <f t="shared" si="124"/>
        <v>0</v>
      </c>
      <c r="FS99">
        <v>0</v>
      </c>
      <c r="FX99">
        <v>79</v>
      </c>
      <c r="FY99">
        <v>50</v>
      </c>
      <c r="GA99" t="s">
        <v>6</v>
      </c>
      <c r="GD99">
        <v>0</v>
      </c>
      <c r="GF99">
        <v>-1946768305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25"/>
        <v>0</v>
      </c>
      <c r="GM99">
        <f t="shared" si="126"/>
        <v>528.65</v>
      </c>
      <c r="GN99">
        <f t="shared" si="127"/>
        <v>528.65</v>
      </c>
      <c r="GO99">
        <f t="shared" si="128"/>
        <v>0</v>
      </c>
      <c r="GP99">
        <f t="shared" si="129"/>
        <v>0</v>
      </c>
      <c r="GR99">
        <v>0</v>
      </c>
      <c r="GS99">
        <v>3</v>
      </c>
      <c r="GT99">
        <v>0</v>
      </c>
      <c r="GU99" t="s">
        <v>6</v>
      </c>
      <c r="GV99">
        <f t="shared" si="130"/>
        <v>0</v>
      </c>
      <c r="GW99">
        <v>1</v>
      </c>
      <c r="GX99">
        <f t="shared" si="131"/>
        <v>0</v>
      </c>
      <c r="HA99">
        <v>0</v>
      </c>
      <c r="HB99">
        <v>0</v>
      </c>
      <c r="HC99">
        <f t="shared" si="132"/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ROW(SmtRes!A270)</f>
        <v>270</v>
      </c>
      <c r="D100" s="2">
        <f>ROW(EtalonRes!A278)</f>
        <v>278</v>
      </c>
      <c r="E100" s="2" t="s">
        <v>203</v>
      </c>
      <c r="F100" s="2" t="s">
        <v>204</v>
      </c>
      <c r="G100" s="2" t="s">
        <v>205</v>
      </c>
      <c r="H100" s="2" t="s">
        <v>16</v>
      </c>
      <c r="I100" s="2">
        <f>ROUND(6.2/100,9)</f>
        <v>6.2E-2</v>
      </c>
      <c r="J100" s="2">
        <v>0</v>
      </c>
      <c r="K100" s="2"/>
      <c r="L100" s="2"/>
      <c r="M100" s="2"/>
      <c r="N100" s="2"/>
      <c r="O100" s="2">
        <f t="shared" si="99"/>
        <v>45.24</v>
      </c>
      <c r="P100" s="2">
        <f t="shared" si="100"/>
        <v>9.4700000000000006</v>
      </c>
      <c r="Q100" s="2">
        <f t="shared" si="101"/>
        <v>0.04</v>
      </c>
      <c r="R100" s="2">
        <f t="shared" si="102"/>
        <v>0.01</v>
      </c>
      <c r="S100" s="2">
        <f t="shared" si="103"/>
        <v>35.729999999999997</v>
      </c>
      <c r="T100" s="2">
        <f t="shared" si="104"/>
        <v>0</v>
      </c>
      <c r="U100" s="2">
        <f t="shared" si="105"/>
        <v>4.0882800000000001</v>
      </c>
      <c r="V100" s="2">
        <f t="shared" si="106"/>
        <v>6.2E-4</v>
      </c>
      <c r="W100" s="2">
        <f t="shared" si="107"/>
        <v>0</v>
      </c>
      <c r="X100" s="2">
        <f t="shared" si="108"/>
        <v>28.59</v>
      </c>
      <c r="Y100" s="2">
        <f t="shared" si="109"/>
        <v>17.87</v>
      </c>
      <c r="Z100" s="2"/>
      <c r="AA100" s="2">
        <v>27935367</v>
      </c>
      <c r="AB100" s="2">
        <f t="shared" si="110"/>
        <v>729.71</v>
      </c>
      <c r="AC100" s="2">
        <f t="shared" si="95"/>
        <v>152.72999999999999</v>
      </c>
      <c r="AD100" s="2">
        <f t="shared" si="133"/>
        <v>0.66</v>
      </c>
      <c r="AE100" s="2">
        <f t="shared" si="134"/>
        <v>0.12</v>
      </c>
      <c r="AF100" s="2">
        <f t="shared" si="135"/>
        <v>576.32000000000005</v>
      </c>
      <c r="AG100" s="2">
        <f t="shared" si="111"/>
        <v>0</v>
      </c>
      <c r="AH100" s="2">
        <f t="shared" si="136"/>
        <v>65.94</v>
      </c>
      <c r="AI100" s="2">
        <f t="shared" si="137"/>
        <v>0.01</v>
      </c>
      <c r="AJ100" s="2">
        <f t="shared" si="112"/>
        <v>0</v>
      </c>
      <c r="AK100" s="2">
        <v>729.71</v>
      </c>
      <c r="AL100" s="2">
        <v>152.72999999999999</v>
      </c>
      <c r="AM100" s="2">
        <v>0.66</v>
      </c>
      <c r="AN100" s="2">
        <v>0.12</v>
      </c>
      <c r="AO100" s="2">
        <v>576.32000000000005</v>
      </c>
      <c r="AP100" s="2">
        <v>0</v>
      </c>
      <c r="AQ100" s="2">
        <v>65.94</v>
      </c>
      <c r="AR100" s="2">
        <v>0.01</v>
      </c>
      <c r="AS100" s="2">
        <v>0</v>
      </c>
      <c r="AT100" s="2">
        <v>80</v>
      </c>
      <c r="AU100" s="2">
        <v>50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206</v>
      </c>
      <c r="BK100" s="2"/>
      <c r="BL100" s="2"/>
      <c r="BM100" s="2">
        <v>62001</v>
      </c>
      <c r="BN100" s="2">
        <v>0</v>
      </c>
      <c r="BO100" s="2" t="s">
        <v>6</v>
      </c>
      <c r="BP100" s="2">
        <v>0</v>
      </c>
      <c r="BQ100" s="2">
        <v>6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80</v>
      </c>
      <c r="CA100" s="2">
        <v>50</v>
      </c>
      <c r="CB100" s="2"/>
      <c r="CC100" s="2"/>
      <c r="CD100" s="2"/>
      <c r="CE100" s="2">
        <v>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13"/>
        <v>45.239999999999995</v>
      </c>
      <c r="CQ100" s="2">
        <f t="shared" si="114"/>
        <v>152.72999999999999</v>
      </c>
      <c r="CR100" s="2">
        <f t="shared" si="115"/>
        <v>0.66</v>
      </c>
      <c r="CS100" s="2">
        <f t="shared" si="116"/>
        <v>0.12</v>
      </c>
      <c r="CT100" s="2">
        <f t="shared" si="117"/>
        <v>576.32000000000005</v>
      </c>
      <c r="CU100" s="2">
        <f t="shared" si="118"/>
        <v>0</v>
      </c>
      <c r="CV100" s="2">
        <f t="shared" si="119"/>
        <v>65.94</v>
      </c>
      <c r="CW100" s="2">
        <f t="shared" si="120"/>
        <v>0.01</v>
      </c>
      <c r="CX100" s="2">
        <f t="shared" si="121"/>
        <v>0</v>
      </c>
      <c r="CY100" s="2">
        <f t="shared" si="122"/>
        <v>28.591999999999999</v>
      </c>
      <c r="CZ100" s="2">
        <f t="shared" si="123"/>
        <v>17.869999999999997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16</v>
      </c>
      <c r="DW100" s="2" t="s">
        <v>16</v>
      </c>
      <c r="DX100" s="2">
        <v>100</v>
      </c>
      <c r="DY100" s="2"/>
      <c r="DZ100" s="2"/>
      <c r="EA100" s="2"/>
      <c r="EB100" s="2"/>
      <c r="EC100" s="2"/>
      <c r="ED100" s="2"/>
      <c r="EE100" s="2">
        <v>27029107</v>
      </c>
      <c r="EF100" s="2">
        <v>6</v>
      </c>
      <c r="EG100" s="2" t="s">
        <v>90</v>
      </c>
      <c r="EH100" s="2">
        <v>0</v>
      </c>
      <c r="EI100" s="2" t="s">
        <v>6</v>
      </c>
      <c r="EJ100" s="2">
        <v>1</v>
      </c>
      <c r="EK100" s="2">
        <v>62001</v>
      </c>
      <c r="EL100" s="2" t="s">
        <v>171</v>
      </c>
      <c r="EM100" s="2" t="s">
        <v>172</v>
      </c>
      <c r="EN100" s="2"/>
      <c r="EO100" s="2" t="s">
        <v>6</v>
      </c>
      <c r="EP100" s="2"/>
      <c r="EQ100" s="2">
        <v>131072</v>
      </c>
      <c r="ER100" s="2">
        <v>729.71</v>
      </c>
      <c r="ES100" s="2">
        <v>152.72999999999999</v>
      </c>
      <c r="ET100" s="2">
        <v>0.66</v>
      </c>
      <c r="EU100" s="2">
        <v>0.12</v>
      </c>
      <c r="EV100" s="2">
        <v>576.32000000000005</v>
      </c>
      <c r="EW100" s="2">
        <v>65.94</v>
      </c>
      <c r="EX100" s="2">
        <v>0.01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4"/>
        <v>0</v>
      </c>
      <c r="FS100" s="2">
        <v>0</v>
      </c>
      <c r="FT100" s="2"/>
      <c r="FU100" s="2"/>
      <c r="FV100" s="2"/>
      <c r="FW100" s="2"/>
      <c r="FX100" s="2">
        <v>80</v>
      </c>
      <c r="FY100" s="2">
        <v>50</v>
      </c>
      <c r="FZ100" s="2"/>
      <c r="GA100" s="2" t="s">
        <v>6</v>
      </c>
      <c r="GB100" s="2"/>
      <c r="GC100" s="2"/>
      <c r="GD100" s="2">
        <v>0</v>
      </c>
      <c r="GE100" s="2"/>
      <c r="GF100" s="2">
        <v>1165047729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25"/>
        <v>0</v>
      </c>
      <c r="GM100" s="2">
        <f t="shared" si="126"/>
        <v>91.7</v>
      </c>
      <c r="GN100" s="2">
        <f t="shared" si="127"/>
        <v>91.7</v>
      </c>
      <c r="GO100" s="2">
        <f t="shared" si="128"/>
        <v>0</v>
      </c>
      <c r="GP100" s="2">
        <f t="shared" si="129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0"/>
        <v>0</v>
      </c>
      <c r="GW100" s="2">
        <v>1</v>
      </c>
      <c r="GX100" s="2">
        <f t="shared" si="131"/>
        <v>0</v>
      </c>
      <c r="GY100" s="2"/>
      <c r="GZ100" s="2"/>
      <c r="HA100" s="2">
        <v>0</v>
      </c>
      <c r="HB100" s="2">
        <v>0</v>
      </c>
      <c r="HC100" s="2">
        <f t="shared" si="132"/>
        <v>0</v>
      </c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ROW(SmtRes!A276)</f>
        <v>276</v>
      </c>
      <c r="D101">
        <f>ROW(EtalonRes!A284)</f>
        <v>284</v>
      </c>
      <c r="E101" t="s">
        <v>203</v>
      </c>
      <c r="F101" t="s">
        <v>204</v>
      </c>
      <c r="G101" t="s">
        <v>205</v>
      </c>
      <c r="H101" t="s">
        <v>16</v>
      </c>
      <c r="I101">
        <f>ROUND(6.2/100,9)</f>
        <v>6.2E-2</v>
      </c>
      <c r="J101">
        <v>0</v>
      </c>
      <c r="O101">
        <f t="shared" si="99"/>
        <v>276.43</v>
      </c>
      <c r="P101">
        <f t="shared" si="100"/>
        <v>57.86</v>
      </c>
      <c r="Q101">
        <f t="shared" si="101"/>
        <v>0.25</v>
      </c>
      <c r="R101">
        <f t="shared" si="102"/>
        <v>0.05</v>
      </c>
      <c r="S101">
        <f t="shared" si="103"/>
        <v>218.32</v>
      </c>
      <c r="T101">
        <f t="shared" si="104"/>
        <v>0</v>
      </c>
      <c r="U101">
        <f t="shared" si="105"/>
        <v>4.0882800000000001</v>
      </c>
      <c r="V101">
        <f t="shared" si="106"/>
        <v>6.2E-4</v>
      </c>
      <c r="W101">
        <f t="shared" si="107"/>
        <v>0</v>
      </c>
      <c r="X101">
        <f t="shared" si="108"/>
        <v>174.7</v>
      </c>
      <c r="Y101">
        <f t="shared" si="109"/>
        <v>109.19</v>
      </c>
      <c r="AA101">
        <v>27935368</v>
      </c>
      <c r="AB101">
        <f t="shared" si="110"/>
        <v>729.71</v>
      </c>
      <c r="AC101">
        <f t="shared" si="95"/>
        <v>152.72999999999999</v>
      </c>
      <c r="AD101">
        <f t="shared" si="133"/>
        <v>0.66</v>
      </c>
      <c r="AE101">
        <f t="shared" si="134"/>
        <v>0.12</v>
      </c>
      <c r="AF101">
        <f t="shared" si="135"/>
        <v>576.32000000000005</v>
      </c>
      <c r="AG101">
        <f t="shared" si="111"/>
        <v>0</v>
      </c>
      <c r="AH101">
        <f t="shared" si="136"/>
        <v>65.94</v>
      </c>
      <c r="AI101">
        <f t="shared" si="137"/>
        <v>0.01</v>
      </c>
      <c r="AJ101">
        <f t="shared" si="112"/>
        <v>0</v>
      </c>
      <c r="AK101">
        <v>729.71</v>
      </c>
      <c r="AL101">
        <v>152.72999999999999</v>
      </c>
      <c r="AM101">
        <v>0.66</v>
      </c>
      <c r="AN101">
        <v>0.12</v>
      </c>
      <c r="AO101">
        <v>576.32000000000005</v>
      </c>
      <c r="AP101">
        <v>0</v>
      </c>
      <c r="AQ101">
        <v>65.94</v>
      </c>
      <c r="AR101">
        <v>0.01</v>
      </c>
      <c r="AS101">
        <v>0</v>
      </c>
      <c r="AT101">
        <v>80</v>
      </c>
      <c r="AU101">
        <v>50</v>
      </c>
      <c r="AV101">
        <v>1</v>
      </c>
      <c r="AW101">
        <v>1</v>
      </c>
      <c r="AZ101">
        <v>6.11</v>
      </c>
      <c r="BA101">
        <v>6.11</v>
      </c>
      <c r="BB101">
        <v>6.11</v>
      </c>
      <c r="BC101">
        <v>6.11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206</v>
      </c>
      <c r="BM101">
        <v>62001</v>
      </c>
      <c r="BN101">
        <v>0</v>
      </c>
      <c r="BO101" t="s">
        <v>6</v>
      </c>
      <c r="BP101">
        <v>0</v>
      </c>
      <c r="BQ101">
        <v>6</v>
      </c>
      <c r="BR101">
        <v>0</v>
      </c>
      <c r="BS101">
        <v>6.11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80</v>
      </c>
      <c r="CA101">
        <v>50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13"/>
        <v>276.43</v>
      </c>
      <c r="CQ101">
        <f t="shared" si="114"/>
        <v>933.18029999999999</v>
      </c>
      <c r="CR101">
        <f t="shared" si="115"/>
        <v>4.0326000000000004</v>
      </c>
      <c r="CS101">
        <f t="shared" si="116"/>
        <v>0.73319999999999996</v>
      </c>
      <c r="CT101">
        <f t="shared" si="117"/>
        <v>3521.3152000000005</v>
      </c>
      <c r="CU101">
        <f t="shared" si="118"/>
        <v>0</v>
      </c>
      <c r="CV101">
        <f t="shared" si="119"/>
        <v>65.94</v>
      </c>
      <c r="CW101">
        <f t="shared" si="120"/>
        <v>0.01</v>
      </c>
      <c r="CX101">
        <f t="shared" si="121"/>
        <v>0</v>
      </c>
      <c r="CY101">
        <f t="shared" si="122"/>
        <v>174.696</v>
      </c>
      <c r="CZ101">
        <f t="shared" si="123"/>
        <v>109.185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16</v>
      </c>
      <c r="DW101" t="s">
        <v>16</v>
      </c>
      <c r="DX101">
        <v>100</v>
      </c>
      <c r="EE101">
        <v>27029107</v>
      </c>
      <c r="EF101">
        <v>6</v>
      </c>
      <c r="EG101" t="s">
        <v>90</v>
      </c>
      <c r="EH101">
        <v>0</v>
      </c>
      <c r="EI101" t="s">
        <v>6</v>
      </c>
      <c r="EJ101">
        <v>1</v>
      </c>
      <c r="EK101">
        <v>62001</v>
      </c>
      <c r="EL101" t="s">
        <v>171</v>
      </c>
      <c r="EM101" t="s">
        <v>172</v>
      </c>
      <c r="EO101" t="s">
        <v>6</v>
      </c>
      <c r="EQ101">
        <v>131072</v>
      </c>
      <c r="ER101">
        <v>729.71</v>
      </c>
      <c r="ES101">
        <v>152.72999999999999</v>
      </c>
      <c r="ET101">
        <v>0.66</v>
      </c>
      <c r="EU101">
        <v>0.12</v>
      </c>
      <c r="EV101">
        <v>576.32000000000005</v>
      </c>
      <c r="EW101">
        <v>65.94</v>
      </c>
      <c r="EX101">
        <v>0.01</v>
      </c>
      <c r="EY101">
        <v>0</v>
      </c>
      <c r="FQ101">
        <v>0</v>
      </c>
      <c r="FR101">
        <f t="shared" si="124"/>
        <v>0</v>
      </c>
      <c r="FS101">
        <v>0</v>
      </c>
      <c r="FX101">
        <v>80</v>
      </c>
      <c r="FY101">
        <v>50</v>
      </c>
      <c r="GA101" t="s">
        <v>6</v>
      </c>
      <c r="GD101">
        <v>0</v>
      </c>
      <c r="GF101">
        <v>1165047729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25"/>
        <v>0</v>
      </c>
      <c r="GM101">
        <f t="shared" si="126"/>
        <v>560.32000000000005</v>
      </c>
      <c r="GN101">
        <f t="shared" si="127"/>
        <v>560.32000000000005</v>
      </c>
      <c r="GO101">
        <f t="shared" si="128"/>
        <v>0</v>
      </c>
      <c r="GP101">
        <f t="shared" si="129"/>
        <v>0</v>
      </c>
      <c r="GR101">
        <v>0</v>
      </c>
      <c r="GS101">
        <v>3</v>
      </c>
      <c r="GT101">
        <v>0</v>
      </c>
      <c r="GU101" t="s">
        <v>6</v>
      </c>
      <c r="GV101">
        <f t="shared" si="130"/>
        <v>0</v>
      </c>
      <c r="GW101">
        <v>1</v>
      </c>
      <c r="GX101">
        <f t="shared" si="131"/>
        <v>0</v>
      </c>
      <c r="HA101">
        <v>0</v>
      </c>
      <c r="HB101">
        <v>0</v>
      </c>
      <c r="HC101">
        <f t="shared" si="132"/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269</v>
      </c>
      <c r="D102" s="2"/>
      <c r="E102" s="2" t="s">
        <v>207</v>
      </c>
      <c r="F102" s="2" t="s">
        <v>208</v>
      </c>
      <c r="G102" s="2" t="s">
        <v>209</v>
      </c>
      <c r="H102" s="2" t="s">
        <v>65</v>
      </c>
      <c r="I102" s="2">
        <f>I100*J102</f>
        <v>9.9799999999999997E-4</v>
      </c>
      <c r="J102" s="2">
        <v>1.6096774193548387E-2</v>
      </c>
      <c r="K102" s="2"/>
      <c r="L102" s="2"/>
      <c r="M102" s="2"/>
      <c r="N102" s="2"/>
      <c r="O102" s="2">
        <f t="shared" si="99"/>
        <v>21.02</v>
      </c>
      <c r="P102" s="2">
        <f t="shared" si="100"/>
        <v>21.02</v>
      </c>
      <c r="Q102" s="2">
        <f t="shared" si="101"/>
        <v>0</v>
      </c>
      <c r="R102" s="2">
        <f t="shared" si="102"/>
        <v>0</v>
      </c>
      <c r="S102" s="2">
        <f t="shared" si="103"/>
        <v>0</v>
      </c>
      <c r="T102" s="2">
        <f t="shared" si="104"/>
        <v>0</v>
      </c>
      <c r="U102" s="2">
        <f t="shared" si="105"/>
        <v>0</v>
      </c>
      <c r="V102" s="2">
        <f t="shared" si="106"/>
        <v>0</v>
      </c>
      <c r="W102" s="2">
        <f t="shared" si="107"/>
        <v>0</v>
      </c>
      <c r="X102" s="2">
        <f t="shared" si="108"/>
        <v>0</v>
      </c>
      <c r="Y102" s="2">
        <f t="shared" si="109"/>
        <v>0</v>
      </c>
      <c r="Z102" s="2"/>
      <c r="AA102" s="2">
        <v>27935367</v>
      </c>
      <c r="AB102" s="2">
        <f t="shared" si="110"/>
        <v>21058.67</v>
      </c>
      <c r="AC102" s="2">
        <f t="shared" si="95"/>
        <v>21058.67</v>
      </c>
      <c r="AD102" s="2">
        <f t="shared" si="133"/>
        <v>0</v>
      </c>
      <c r="AE102" s="2">
        <f t="shared" si="134"/>
        <v>0</v>
      </c>
      <c r="AF102" s="2">
        <f t="shared" si="135"/>
        <v>0</v>
      </c>
      <c r="AG102" s="2">
        <f t="shared" si="111"/>
        <v>0</v>
      </c>
      <c r="AH102" s="2">
        <f t="shared" si="136"/>
        <v>0</v>
      </c>
      <c r="AI102" s="2">
        <f t="shared" si="137"/>
        <v>0</v>
      </c>
      <c r="AJ102" s="2">
        <f t="shared" si="112"/>
        <v>0</v>
      </c>
      <c r="AK102" s="2">
        <v>21058.67</v>
      </c>
      <c r="AL102" s="2">
        <v>21058.67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80</v>
      </c>
      <c r="AU102" s="2">
        <v>50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210</v>
      </c>
      <c r="BK102" s="2"/>
      <c r="BL102" s="2"/>
      <c r="BM102" s="2">
        <v>62001</v>
      </c>
      <c r="BN102" s="2">
        <v>0</v>
      </c>
      <c r="BO102" s="2" t="s">
        <v>6</v>
      </c>
      <c r="BP102" s="2">
        <v>0</v>
      </c>
      <c r="BQ102" s="2">
        <v>6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80</v>
      </c>
      <c r="CA102" s="2">
        <v>50</v>
      </c>
      <c r="CB102" s="2"/>
      <c r="CC102" s="2"/>
      <c r="CD102" s="2"/>
      <c r="CE102" s="2">
        <v>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13"/>
        <v>21.02</v>
      </c>
      <c r="CQ102" s="2">
        <f t="shared" si="114"/>
        <v>21058.67</v>
      </c>
      <c r="CR102" s="2">
        <f t="shared" si="115"/>
        <v>0</v>
      </c>
      <c r="CS102" s="2">
        <f t="shared" si="116"/>
        <v>0</v>
      </c>
      <c r="CT102" s="2">
        <f t="shared" si="117"/>
        <v>0</v>
      </c>
      <c r="CU102" s="2">
        <f t="shared" si="118"/>
        <v>0</v>
      </c>
      <c r="CV102" s="2">
        <f t="shared" si="119"/>
        <v>0</v>
      </c>
      <c r="CW102" s="2">
        <f t="shared" si="120"/>
        <v>0</v>
      </c>
      <c r="CX102" s="2">
        <f t="shared" si="121"/>
        <v>0</v>
      </c>
      <c r="CY102" s="2">
        <f t="shared" si="122"/>
        <v>0</v>
      </c>
      <c r="CZ102" s="2">
        <f t="shared" si="123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65</v>
      </c>
      <c r="DW102" s="2" t="s">
        <v>65</v>
      </c>
      <c r="DX102" s="2">
        <v>1000</v>
      </c>
      <c r="DY102" s="2"/>
      <c r="DZ102" s="2"/>
      <c r="EA102" s="2"/>
      <c r="EB102" s="2"/>
      <c r="EC102" s="2"/>
      <c r="ED102" s="2"/>
      <c r="EE102" s="2">
        <v>27029107</v>
      </c>
      <c r="EF102" s="2">
        <v>6</v>
      </c>
      <c r="EG102" s="2" t="s">
        <v>90</v>
      </c>
      <c r="EH102" s="2">
        <v>0</v>
      </c>
      <c r="EI102" s="2" t="s">
        <v>6</v>
      </c>
      <c r="EJ102" s="2">
        <v>1</v>
      </c>
      <c r="EK102" s="2">
        <v>62001</v>
      </c>
      <c r="EL102" s="2" t="s">
        <v>171</v>
      </c>
      <c r="EM102" s="2" t="s">
        <v>172</v>
      </c>
      <c r="EN102" s="2"/>
      <c r="EO102" s="2" t="s">
        <v>6</v>
      </c>
      <c r="EP102" s="2"/>
      <c r="EQ102" s="2">
        <v>0</v>
      </c>
      <c r="ER102" s="2">
        <v>21058.67</v>
      </c>
      <c r="ES102" s="2">
        <v>21058.67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4"/>
        <v>0</v>
      </c>
      <c r="FS102" s="2">
        <v>0</v>
      </c>
      <c r="FT102" s="2"/>
      <c r="FU102" s="2"/>
      <c r="FV102" s="2"/>
      <c r="FW102" s="2"/>
      <c r="FX102" s="2">
        <v>80</v>
      </c>
      <c r="FY102" s="2">
        <v>50</v>
      </c>
      <c r="FZ102" s="2"/>
      <c r="GA102" s="2" t="s">
        <v>6</v>
      </c>
      <c r="GB102" s="2"/>
      <c r="GC102" s="2"/>
      <c r="GD102" s="2">
        <v>0</v>
      </c>
      <c r="GE102" s="2"/>
      <c r="GF102" s="2">
        <v>1129880761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25"/>
        <v>0</v>
      </c>
      <c r="GM102" s="2">
        <f t="shared" si="126"/>
        <v>21.02</v>
      </c>
      <c r="GN102" s="2">
        <f t="shared" si="127"/>
        <v>21.02</v>
      </c>
      <c r="GO102" s="2">
        <f t="shared" si="128"/>
        <v>0</v>
      </c>
      <c r="GP102" s="2">
        <f t="shared" si="129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0"/>
        <v>0</v>
      </c>
      <c r="GW102" s="2">
        <v>1</v>
      </c>
      <c r="GX102" s="2">
        <f t="shared" si="131"/>
        <v>0</v>
      </c>
      <c r="GY102" s="2"/>
      <c r="GZ102" s="2"/>
      <c r="HA102" s="2">
        <v>0</v>
      </c>
      <c r="HB102" s="2">
        <v>0</v>
      </c>
      <c r="HC102" s="2">
        <f t="shared" si="132"/>
        <v>0</v>
      </c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275</v>
      </c>
      <c r="E103" t="s">
        <v>207</v>
      </c>
      <c r="F103" t="s">
        <v>208</v>
      </c>
      <c r="G103" t="s">
        <v>209</v>
      </c>
      <c r="H103" t="s">
        <v>65</v>
      </c>
      <c r="I103">
        <f>I101*J103</f>
        <v>9.9799999999999997E-4</v>
      </c>
      <c r="J103">
        <v>1.6096774193548387E-2</v>
      </c>
      <c r="O103">
        <f t="shared" si="99"/>
        <v>128.41</v>
      </c>
      <c r="P103">
        <f t="shared" si="100"/>
        <v>128.41</v>
      </c>
      <c r="Q103">
        <f t="shared" si="101"/>
        <v>0</v>
      </c>
      <c r="R103">
        <f t="shared" si="102"/>
        <v>0</v>
      </c>
      <c r="S103">
        <f t="shared" si="103"/>
        <v>0</v>
      </c>
      <c r="T103">
        <f t="shared" si="104"/>
        <v>0</v>
      </c>
      <c r="U103">
        <f t="shared" si="105"/>
        <v>0</v>
      </c>
      <c r="V103">
        <f t="shared" si="106"/>
        <v>0</v>
      </c>
      <c r="W103">
        <f t="shared" si="107"/>
        <v>0</v>
      </c>
      <c r="X103">
        <f t="shared" si="108"/>
        <v>0</v>
      </c>
      <c r="Y103">
        <f t="shared" si="109"/>
        <v>0</v>
      </c>
      <c r="AA103">
        <v>27935368</v>
      </c>
      <c r="AB103">
        <f t="shared" si="110"/>
        <v>21058.67</v>
      </c>
      <c r="AC103">
        <f t="shared" si="95"/>
        <v>21058.67</v>
      </c>
      <c r="AD103">
        <f t="shared" si="133"/>
        <v>0</v>
      </c>
      <c r="AE103">
        <f t="shared" si="134"/>
        <v>0</v>
      </c>
      <c r="AF103">
        <f t="shared" si="135"/>
        <v>0</v>
      </c>
      <c r="AG103">
        <f t="shared" si="111"/>
        <v>0</v>
      </c>
      <c r="AH103">
        <f t="shared" si="136"/>
        <v>0</v>
      </c>
      <c r="AI103">
        <f t="shared" si="137"/>
        <v>0</v>
      </c>
      <c r="AJ103">
        <f t="shared" si="112"/>
        <v>0</v>
      </c>
      <c r="AK103">
        <v>21058.67</v>
      </c>
      <c r="AL103">
        <v>21058.67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80</v>
      </c>
      <c r="AU103">
        <v>50</v>
      </c>
      <c r="AV103">
        <v>1</v>
      </c>
      <c r="AW103">
        <v>1</v>
      </c>
      <c r="AZ103">
        <v>6.11</v>
      </c>
      <c r="BA103">
        <v>1</v>
      </c>
      <c r="BB103">
        <v>1</v>
      </c>
      <c r="BC103">
        <v>6.11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210</v>
      </c>
      <c r="BM103">
        <v>62001</v>
      </c>
      <c r="BN103">
        <v>0</v>
      </c>
      <c r="BO103" t="s">
        <v>6</v>
      </c>
      <c r="BP103">
        <v>0</v>
      </c>
      <c r="BQ103">
        <v>6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80</v>
      </c>
      <c r="CA103">
        <v>50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13"/>
        <v>128.41</v>
      </c>
      <c r="CQ103">
        <f t="shared" si="114"/>
        <v>128668.4737</v>
      </c>
      <c r="CR103">
        <f t="shared" si="115"/>
        <v>0</v>
      </c>
      <c r="CS103">
        <f t="shared" si="116"/>
        <v>0</v>
      </c>
      <c r="CT103">
        <f t="shared" si="117"/>
        <v>0</v>
      </c>
      <c r="CU103">
        <f t="shared" si="118"/>
        <v>0</v>
      </c>
      <c r="CV103">
        <f t="shared" si="119"/>
        <v>0</v>
      </c>
      <c r="CW103">
        <f t="shared" si="120"/>
        <v>0</v>
      </c>
      <c r="CX103">
        <f t="shared" si="121"/>
        <v>0</v>
      </c>
      <c r="CY103">
        <f t="shared" si="122"/>
        <v>0</v>
      </c>
      <c r="CZ103">
        <f t="shared" si="123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65</v>
      </c>
      <c r="DW103" t="s">
        <v>65</v>
      </c>
      <c r="DX103">
        <v>1000</v>
      </c>
      <c r="EE103">
        <v>27029107</v>
      </c>
      <c r="EF103">
        <v>6</v>
      </c>
      <c r="EG103" t="s">
        <v>90</v>
      </c>
      <c r="EH103">
        <v>0</v>
      </c>
      <c r="EI103" t="s">
        <v>6</v>
      </c>
      <c r="EJ103">
        <v>1</v>
      </c>
      <c r="EK103">
        <v>62001</v>
      </c>
      <c r="EL103" t="s">
        <v>171</v>
      </c>
      <c r="EM103" t="s">
        <v>172</v>
      </c>
      <c r="EO103" t="s">
        <v>6</v>
      </c>
      <c r="EQ103">
        <v>0</v>
      </c>
      <c r="ER103">
        <v>21058.67</v>
      </c>
      <c r="ES103">
        <v>21058.67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24"/>
        <v>0</v>
      </c>
      <c r="FS103">
        <v>0</v>
      </c>
      <c r="FX103">
        <v>80</v>
      </c>
      <c r="FY103">
        <v>50</v>
      </c>
      <c r="GA103" t="s">
        <v>6</v>
      </c>
      <c r="GD103">
        <v>0</v>
      </c>
      <c r="GF103">
        <v>1129880761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25"/>
        <v>0</v>
      </c>
      <c r="GM103">
        <f t="shared" si="126"/>
        <v>128.41</v>
      </c>
      <c r="GN103">
        <f t="shared" si="127"/>
        <v>128.41</v>
      </c>
      <c r="GO103">
        <f t="shared" si="128"/>
        <v>0</v>
      </c>
      <c r="GP103">
        <f t="shared" si="129"/>
        <v>0</v>
      </c>
      <c r="GR103">
        <v>0</v>
      </c>
      <c r="GS103">
        <v>3</v>
      </c>
      <c r="GT103">
        <v>0</v>
      </c>
      <c r="GU103" t="s">
        <v>6</v>
      </c>
      <c r="GV103">
        <f t="shared" si="130"/>
        <v>0</v>
      </c>
      <c r="GW103">
        <v>1</v>
      </c>
      <c r="GX103">
        <f t="shared" si="131"/>
        <v>0</v>
      </c>
      <c r="HA103">
        <v>0</v>
      </c>
      <c r="HB103">
        <v>0</v>
      </c>
      <c r="HC103">
        <f t="shared" si="132"/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ROW(SmtRes!A280)</f>
        <v>280</v>
      </c>
      <c r="D104" s="2">
        <f>ROW(EtalonRes!A288)</f>
        <v>288</v>
      </c>
      <c r="E104" s="2" t="s">
        <v>211</v>
      </c>
      <c r="F104" s="2" t="s">
        <v>212</v>
      </c>
      <c r="G104" s="2" t="s">
        <v>213</v>
      </c>
      <c r="H104" s="2" t="s">
        <v>16</v>
      </c>
      <c r="I104" s="2">
        <f>ROUND(4.4/100,9)</f>
        <v>4.3999999999999997E-2</v>
      </c>
      <c r="J104" s="2">
        <v>0</v>
      </c>
      <c r="K104" s="2"/>
      <c r="L104" s="2"/>
      <c r="M104" s="2"/>
      <c r="N104" s="2"/>
      <c r="O104" s="2">
        <f t="shared" si="99"/>
        <v>63.51</v>
      </c>
      <c r="P104" s="2">
        <f t="shared" si="100"/>
        <v>0</v>
      </c>
      <c r="Q104" s="2">
        <f t="shared" si="101"/>
        <v>10.51</v>
      </c>
      <c r="R104" s="2">
        <f t="shared" si="102"/>
        <v>0</v>
      </c>
      <c r="S104" s="2">
        <f t="shared" si="103"/>
        <v>53</v>
      </c>
      <c r="T104" s="2">
        <f t="shared" si="104"/>
        <v>0</v>
      </c>
      <c r="U104" s="2">
        <f t="shared" si="105"/>
        <v>6.2127999999999988</v>
      </c>
      <c r="V104" s="2">
        <f t="shared" si="106"/>
        <v>0</v>
      </c>
      <c r="W104" s="2">
        <f t="shared" si="107"/>
        <v>0</v>
      </c>
      <c r="X104" s="2">
        <f t="shared" si="108"/>
        <v>47.17</v>
      </c>
      <c r="Y104" s="2">
        <f t="shared" si="109"/>
        <v>34.450000000000003</v>
      </c>
      <c r="Z104" s="2"/>
      <c r="AA104" s="2">
        <v>27935367</v>
      </c>
      <c r="AB104" s="2">
        <f t="shared" si="110"/>
        <v>1443.4</v>
      </c>
      <c r="AC104" s="2">
        <f t="shared" si="95"/>
        <v>0</v>
      </c>
      <c r="AD104" s="2">
        <f t="shared" si="133"/>
        <v>238.96</v>
      </c>
      <c r="AE104" s="2">
        <f t="shared" si="134"/>
        <v>0</v>
      </c>
      <c r="AF104" s="2">
        <f t="shared" si="135"/>
        <v>1204.44</v>
      </c>
      <c r="AG104" s="2">
        <f t="shared" si="111"/>
        <v>0</v>
      </c>
      <c r="AH104" s="2">
        <f t="shared" si="136"/>
        <v>141.19999999999999</v>
      </c>
      <c r="AI104" s="2">
        <f t="shared" si="137"/>
        <v>0</v>
      </c>
      <c r="AJ104" s="2">
        <f t="shared" si="112"/>
        <v>0</v>
      </c>
      <c r="AK104" s="2">
        <v>1443.4</v>
      </c>
      <c r="AL104" s="2">
        <v>0</v>
      </c>
      <c r="AM104" s="2">
        <v>238.96</v>
      </c>
      <c r="AN104" s="2">
        <v>0</v>
      </c>
      <c r="AO104" s="2">
        <v>1204.44</v>
      </c>
      <c r="AP104" s="2">
        <v>0</v>
      </c>
      <c r="AQ104" s="2">
        <v>141.19999999999999</v>
      </c>
      <c r="AR104" s="2">
        <v>0</v>
      </c>
      <c r="AS104" s="2">
        <v>0</v>
      </c>
      <c r="AT104" s="2">
        <v>89</v>
      </c>
      <c r="AU104" s="2">
        <v>65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214</v>
      </c>
      <c r="BK104" s="2"/>
      <c r="BL104" s="2"/>
      <c r="BM104" s="2">
        <v>55001</v>
      </c>
      <c r="BN104" s="2">
        <v>0</v>
      </c>
      <c r="BO104" s="2" t="s">
        <v>6</v>
      </c>
      <c r="BP104" s="2">
        <v>0</v>
      </c>
      <c r="BQ104" s="2">
        <v>6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89</v>
      </c>
      <c r="CA104" s="2">
        <v>65</v>
      </c>
      <c r="CB104" s="2"/>
      <c r="CC104" s="2"/>
      <c r="CD104" s="2"/>
      <c r="CE104" s="2">
        <v>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13"/>
        <v>63.51</v>
      </c>
      <c r="CQ104" s="2">
        <f t="shared" si="114"/>
        <v>0</v>
      </c>
      <c r="CR104" s="2">
        <f t="shared" si="115"/>
        <v>238.96</v>
      </c>
      <c r="CS104" s="2">
        <f t="shared" si="116"/>
        <v>0</v>
      </c>
      <c r="CT104" s="2">
        <f t="shared" si="117"/>
        <v>1204.44</v>
      </c>
      <c r="CU104" s="2">
        <f t="shared" si="118"/>
        <v>0</v>
      </c>
      <c r="CV104" s="2">
        <f t="shared" si="119"/>
        <v>141.19999999999999</v>
      </c>
      <c r="CW104" s="2">
        <f t="shared" si="120"/>
        <v>0</v>
      </c>
      <c r="CX104" s="2">
        <f t="shared" si="121"/>
        <v>0</v>
      </c>
      <c r="CY104" s="2">
        <f t="shared" si="122"/>
        <v>47.17</v>
      </c>
      <c r="CZ104" s="2">
        <f t="shared" si="123"/>
        <v>34.450000000000003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16</v>
      </c>
      <c r="DW104" s="2" t="s">
        <v>16</v>
      </c>
      <c r="DX104" s="2">
        <v>100</v>
      </c>
      <c r="DY104" s="2"/>
      <c r="DZ104" s="2"/>
      <c r="EA104" s="2"/>
      <c r="EB104" s="2"/>
      <c r="EC104" s="2"/>
      <c r="ED104" s="2"/>
      <c r="EE104" s="2">
        <v>27029100</v>
      </c>
      <c r="EF104" s="2">
        <v>6</v>
      </c>
      <c r="EG104" s="2" t="s">
        <v>90</v>
      </c>
      <c r="EH104" s="2">
        <v>0</v>
      </c>
      <c r="EI104" s="2" t="s">
        <v>6</v>
      </c>
      <c r="EJ104" s="2">
        <v>1</v>
      </c>
      <c r="EK104" s="2">
        <v>55001</v>
      </c>
      <c r="EL104" s="2" t="s">
        <v>215</v>
      </c>
      <c r="EM104" s="2" t="s">
        <v>216</v>
      </c>
      <c r="EN104" s="2"/>
      <c r="EO104" s="2" t="s">
        <v>6</v>
      </c>
      <c r="EP104" s="2"/>
      <c r="EQ104" s="2">
        <v>131072</v>
      </c>
      <c r="ER104" s="2">
        <v>1443.4</v>
      </c>
      <c r="ES104" s="2">
        <v>0</v>
      </c>
      <c r="ET104" s="2">
        <v>238.96</v>
      </c>
      <c r="EU104" s="2">
        <v>0</v>
      </c>
      <c r="EV104" s="2">
        <v>1204.44</v>
      </c>
      <c r="EW104" s="2">
        <v>141.19999999999999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4"/>
        <v>0</v>
      </c>
      <c r="FS104" s="2">
        <v>0</v>
      </c>
      <c r="FT104" s="2"/>
      <c r="FU104" s="2"/>
      <c r="FV104" s="2"/>
      <c r="FW104" s="2"/>
      <c r="FX104" s="2">
        <v>89</v>
      </c>
      <c r="FY104" s="2">
        <v>65</v>
      </c>
      <c r="FZ104" s="2"/>
      <c r="GA104" s="2" t="s">
        <v>6</v>
      </c>
      <c r="GB104" s="2"/>
      <c r="GC104" s="2"/>
      <c r="GD104" s="2">
        <v>0</v>
      </c>
      <c r="GE104" s="2"/>
      <c r="GF104" s="2">
        <v>-1515074980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25"/>
        <v>0</v>
      </c>
      <c r="GM104" s="2">
        <f t="shared" si="126"/>
        <v>145.13</v>
      </c>
      <c r="GN104" s="2">
        <f t="shared" si="127"/>
        <v>145.13</v>
      </c>
      <c r="GO104" s="2">
        <f t="shared" si="128"/>
        <v>0</v>
      </c>
      <c r="GP104" s="2">
        <f t="shared" si="129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0"/>
        <v>0</v>
      </c>
      <c r="GW104" s="2">
        <v>1</v>
      </c>
      <c r="GX104" s="2">
        <f t="shared" si="131"/>
        <v>0</v>
      </c>
      <c r="GY104" s="2"/>
      <c r="GZ104" s="2"/>
      <c r="HA104" s="2">
        <v>0</v>
      </c>
      <c r="HB104" s="2">
        <v>0</v>
      </c>
      <c r="HC104" s="2">
        <f t="shared" si="132"/>
        <v>0</v>
      </c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ROW(SmtRes!A284)</f>
        <v>284</v>
      </c>
      <c r="D105">
        <f>ROW(EtalonRes!A292)</f>
        <v>292</v>
      </c>
      <c r="E105" t="s">
        <v>211</v>
      </c>
      <c r="F105" t="s">
        <v>212</v>
      </c>
      <c r="G105" t="s">
        <v>213</v>
      </c>
      <c r="H105" t="s">
        <v>16</v>
      </c>
      <c r="I105">
        <f>ROUND(4.4/100,9)</f>
        <v>4.3999999999999997E-2</v>
      </c>
      <c r="J105">
        <v>0</v>
      </c>
      <c r="O105">
        <f t="shared" si="99"/>
        <v>388.04</v>
      </c>
      <c r="P105">
        <f t="shared" si="100"/>
        <v>0</v>
      </c>
      <c r="Q105">
        <f t="shared" si="101"/>
        <v>64.239999999999995</v>
      </c>
      <c r="R105">
        <f t="shared" si="102"/>
        <v>0</v>
      </c>
      <c r="S105">
        <f t="shared" si="103"/>
        <v>323.8</v>
      </c>
      <c r="T105">
        <f t="shared" si="104"/>
        <v>0</v>
      </c>
      <c r="U105">
        <f t="shared" si="105"/>
        <v>6.2127999999999988</v>
      </c>
      <c r="V105">
        <f t="shared" si="106"/>
        <v>0</v>
      </c>
      <c r="W105">
        <f t="shared" si="107"/>
        <v>0</v>
      </c>
      <c r="X105">
        <f t="shared" si="108"/>
        <v>288.18</v>
      </c>
      <c r="Y105">
        <f t="shared" si="109"/>
        <v>210.47</v>
      </c>
      <c r="AA105">
        <v>27935368</v>
      </c>
      <c r="AB105">
        <f t="shared" si="110"/>
        <v>1443.4</v>
      </c>
      <c r="AC105">
        <f t="shared" si="95"/>
        <v>0</v>
      </c>
      <c r="AD105">
        <f t="shared" si="133"/>
        <v>238.96</v>
      </c>
      <c r="AE105">
        <f t="shared" si="134"/>
        <v>0</v>
      </c>
      <c r="AF105">
        <f t="shared" si="135"/>
        <v>1204.44</v>
      </c>
      <c r="AG105">
        <f t="shared" si="111"/>
        <v>0</v>
      </c>
      <c r="AH105">
        <f t="shared" si="136"/>
        <v>141.19999999999999</v>
      </c>
      <c r="AI105">
        <f t="shared" si="137"/>
        <v>0</v>
      </c>
      <c r="AJ105">
        <f t="shared" si="112"/>
        <v>0</v>
      </c>
      <c r="AK105">
        <v>1443.4</v>
      </c>
      <c r="AL105">
        <v>0</v>
      </c>
      <c r="AM105">
        <v>238.96</v>
      </c>
      <c r="AN105">
        <v>0</v>
      </c>
      <c r="AO105">
        <v>1204.44</v>
      </c>
      <c r="AP105">
        <v>0</v>
      </c>
      <c r="AQ105">
        <v>141.19999999999999</v>
      </c>
      <c r="AR105">
        <v>0</v>
      </c>
      <c r="AS105">
        <v>0</v>
      </c>
      <c r="AT105">
        <v>89</v>
      </c>
      <c r="AU105">
        <v>65</v>
      </c>
      <c r="AV105">
        <v>1</v>
      </c>
      <c r="AW105">
        <v>1</v>
      </c>
      <c r="AZ105">
        <v>6.11</v>
      </c>
      <c r="BA105">
        <v>6.11</v>
      </c>
      <c r="BB105">
        <v>6.11</v>
      </c>
      <c r="BC105">
        <v>6.11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214</v>
      </c>
      <c r="BM105">
        <v>55001</v>
      </c>
      <c r="BN105">
        <v>0</v>
      </c>
      <c r="BO105" t="s">
        <v>6</v>
      </c>
      <c r="BP105">
        <v>0</v>
      </c>
      <c r="BQ105">
        <v>6</v>
      </c>
      <c r="BR105">
        <v>0</v>
      </c>
      <c r="BS105">
        <v>6.11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89</v>
      </c>
      <c r="CA105">
        <v>65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13"/>
        <v>388.04</v>
      </c>
      <c r="CQ105">
        <f t="shared" si="114"/>
        <v>0</v>
      </c>
      <c r="CR105">
        <f t="shared" si="115"/>
        <v>1460.0456000000001</v>
      </c>
      <c r="CS105">
        <f t="shared" si="116"/>
        <v>0</v>
      </c>
      <c r="CT105">
        <f t="shared" si="117"/>
        <v>7359.1284000000005</v>
      </c>
      <c r="CU105">
        <f t="shared" si="118"/>
        <v>0</v>
      </c>
      <c r="CV105">
        <f t="shared" si="119"/>
        <v>141.19999999999999</v>
      </c>
      <c r="CW105">
        <f t="shared" si="120"/>
        <v>0</v>
      </c>
      <c r="CX105">
        <f t="shared" si="121"/>
        <v>0</v>
      </c>
      <c r="CY105">
        <f t="shared" si="122"/>
        <v>288.18200000000002</v>
      </c>
      <c r="CZ105">
        <f t="shared" si="123"/>
        <v>210.47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16</v>
      </c>
      <c r="DW105" t="s">
        <v>16</v>
      </c>
      <c r="DX105">
        <v>100</v>
      </c>
      <c r="EE105">
        <v>27029100</v>
      </c>
      <c r="EF105">
        <v>6</v>
      </c>
      <c r="EG105" t="s">
        <v>90</v>
      </c>
      <c r="EH105">
        <v>0</v>
      </c>
      <c r="EI105" t="s">
        <v>6</v>
      </c>
      <c r="EJ105">
        <v>1</v>
      </c>
      <c r="EK105">
        <v>55001</v>
      </c>
      <c r="EL105" t="s">
        <v>215</v>
      </c>
      <c r="EM105" t="s">
        <v>216</v>
      </c>
      <c r="EO105" t="s">
        <v>6</v>
      </c>
      <c r="EQ105">
        <v>131072</v>
      </c>
      <c r="ER105">
        <v>1443.4</v>
      </c>
      <c r="ES105">
        <v>0</v>
      </c>
      <c r="ET105">
        <v>238.96</v>
      </c>
      <c r="EU105">
        <v>0</v>
      </c>
      <c r="EV105">
        <v>1204.44</v>
      </c>
      <c r="EW105">
        <v>141.19999999999999</v>
      </c>
      <c r="EX105">
        <v>0</v>
      </c>
      <c r="EY105">
        <v>0</v>
      </c>
      <c r="FQ105">
        <v>0</v>
      </c>
      <c r="FR105">
        <f t="shared" si="124"/>
        <v>0</v>
      </c>
      <c r="FS105">
        <v>0</v>
      </c>
      <c r="FX105">
        <v>89</v>
      </c>
      <c r="FY105">
        <v>65</v>
      </c>
      <c r="GA105" t="s">
        <v>6</v>
      </c>
      <c r="GD105">
        <v>0</v>
      </c>
      <c r="GF105">
        <v>-1515074980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25"/>
        <v>0</v>
      </c>
      <c r="GM105">
        <f t="shared" si="126"/>
        <v>886.69</v>
      </c>
      <c r="GN105">
        <f t="shared" si="127"/>
        <v>886.69</v>
      </c>
      <c r="GO105">
        <f t="shared" si="128"/>
        <v>0</v>
      </c>
      <c r="GP105">
        <f t="shared" si="129"/>
        <v>0</v>
      </c>
      <c r="GR105">
        <v>0</v>
      </c>
      <c r="GS105">
        <v>3</v>
      </c>
      <c r="GT105">
        <v>0</v>
      </c>
      <c r="GU105" t="s">
        <v>6</v>
      </c>
      <c r="GV105">
        <f t="shared" si="130"/>
        <v>0</v>
      </c>
      <c r="GW105">
        <v>1</v>
      </c>
      <c r="GX105">
        <f t="shared" si="131"/>
        <v>0</v>
      </c>
      <c r="HA105">
        <v>0</v>
      </c>
      <c r="HB105">
        <v>0</v>
      </c>
      <c r="HC105">
        <f t="shared" si="132"/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280</v>
      </c>
      <c r="D106" s="2"/>
      <c r="E106" s="2" t="s">
        <v>217</v>
      </c>
      <c r="F106" s="2" t="s">
        <v>218</v>
      </c>
      <c r="G106" s="2" t="s">
        <v>219</v>
      </c>
      <c r="H106" s="2" t="s">
        <v>65</v>
      </c>
      <c r="I106" s="2">
        <f>I104*J106</f>
        <v>0.85360000000000003</v>
      </c>
      <c r="J106" s="2">
        <v>19.400000000000002</v>
      </c>
      <c r="K106" s="2"/>
      <c r="L106" s="2"/>
      <c r="M106" s="2"/>
      <c r="N106" s="2"/>
      <c r="O106" s="2">
        <f t="shared" si="99"/>
        <v>0</v>
      </c>
      <c r="P106" s="2">
        <f t="shared" si="100"/>
        <v>0</v>
      </c>
      <c r="Q106" s="2">
        <f t="shared" si="101"/>
        <v>0</v>
      </c>
      <c r="R106" s="2">
        <f t="shared" si="102"/>
        <v>0</v>
      </c>
      <c r="S106" s="2">
        <f t="shared" si="103"/>
        <v>0</v>
      </c>
      <c r="T106" s="2">
        <f t="shared" si="104"/>
        <v>0</v>
      </c>
      <c r="U106" s="2">
        <f t="shared" si="105"/>
        <v>0</v>
      </c>
      <c r="V106" s="2">
        <f t="shared" si="106"/>
        <v>0</v>
      </c>
      <c r="W106" s="2">
        <f t="shared" si="107"/>
        <v>0</v>
      </c>
      <c r="X106" s="2">
        <f t="shared" si="108"/>
        <v>0</v>
      </c>
      <c r="Y106" s="2">
        <f t="shared" si="109"/>
        <v>0</v>
      </c>
      <c r="Z106" s="2"/>
      <c r="AA106" s="2">
        <v>27935367</v>
      </c>
      <c r="AB106" s="2">
        <f t="shared" si="110"/>
        <v>0</v>
      </c>
      <c r="AC106" s="2">
        <f t="shared" si="95"/>
        <v>0</v>
      </c>
      <c r="AD106" s="2">
        <f t="shared" si="133"/>
        <v>0</v>
      </c>
      <c r="AE106" s="2">
        <f t="shared" si="134"/>
        <v>0</v>
      </c>
      <c r="AF106" s="2">
        <f t="shared" si="135"/>
        <v>0</v>
      </c>
      <c r="AG106" s="2">
        <f t="shared" si="111"/>
        <v>0</v>
      </c>
      <c r="AH106" s="2">
        <f t="shared" si="136"/>
        <v>0</v>
      </c>
      <c r="AI106" s="2">
        <f t="shared" si="137"/>
        <v>0</v>
      </c>
      <c r="AJ106" s="2">
        <f t="shared" si="112"/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89</v>
      </c>
      <c r="AU106" s="2">
        <v>65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6</v>
      </c>
      <c r="BK106" s="2"/>
      <c r="BL106" s="2"/>
      <c r="BM106" s="2">
        <v>55001</v>
      </c>
      <c r="BN106" s="2">
        <v>0</v>
      </c>
      <c r="BO106" s="2" t="s">
        <v>6</v>
      </c>
      <c r="BP106" s="2">
        <v>0</v>
      </c>
      <c r="BQ106" s="2">
        <v>6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89</v>
      </c>
      <c r="CA106" s="2">
        <v>65</v>
      </c>
      <c r="CB106" s="2"/>
      <c r="CC106" s="2"/>
      <c r="CD106" s="2"/>
      <c r="CE106" s="2">
        <v>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13"/>
        <v>0</v>
      </c>
      <c r="CQ106" s="2">
        <f t="shared" si="114"/>
        <v>0</v>
      </c>
      <c r="CR106" s="2">
        <f t="shared" si="115"/>
        <v>0</v>
      </c>
      <c r="CS106" s="2">
        <f t="shared" si="116"/>
        <v>0</v>
      </c>
      <c r="CT106" s="2">
        <f t="shared" si="117"/>
        <v>0</v>
      </c>
      <c r="CU106" s="2">
        <f t="shared" si="118"/>
        <v>0</v>
      </c>
      <c r="CV106" s="2">
        <f t="shared" si="119"/>
        <v>0</v>
      </c>
      <c r="CW106" s="2">
        <f t="shared" si="120"/>
        <v>0</v>
      </c>
      <c r="CX106" s="2">
        <f t="shared" si="121"/>
        <v>0</v>
      </c>
      <c r="CY106" s="2">
        <f t="shared" si="122"/>
        <v>0</v>
      </c>
      <c r="CZ106" s="2">
        <f t="shared" si="123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1009</v>
      </c>
      <c r="DV106" s="2" t="s">
        <v>65</v>
      </c>
      <c r="DW106" s="2" t="s">
        <v>65</v>
      </c>
      <c r="DX106" s="2">
        <v>1000</v>
      </c>
      <c r="DY106" s="2"/>
      <c r="DZ106" s="2"/>
      <c r="EA106" s="2"/>
      <c r="EB106" s="2"/>
      <c r="EC106" s="2"/>
      <c r="ED106" s="2"/>
      <c r="EE106" s="2">
        <v>27029100</v>
      </c>
      <c r="EF106" s="2">
        <v>6</v>
      </c>
      <c r="EG106" s="2" t="s">
        <v>90</v>
      </c>
      <c r="EH106" s="2">
        <v>0</v>
      </c>
      <c r="EI106" s="2" t="s">
        <v>6</v>
      </c>
      <c r="EJ106" s="2">
        <v>1</v>
      </c>
      <c r="EK106" s="2">
        <v>55001</v>
      </c>
      <c r="EL106" s="2" t="s">
        <v>215</v>
      </c>
      <c r="EM106" s="2" t="s">
        <v>216</v>
      </c>
      <c r="EN106" s="2"/>
      <c r="EO106" s="2" t="s">
        <v>6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4"/>
        <v>0</v>
      </c>
      <c r="FS106" s="2">
        <v>0</v>
      </c>
      <c r="FT106" s="2"/>
      <c r="FU106" s="2"/>
      <c r="FV106" s="2"/>
      <c r="FW106" s="2"/>
      <c r="FX106" s="2">
        <v>89</v>
      </c>
      <c r="FY106" s="2">
        <v>65</v>
      </c>
      <c r="FZ106" s="2"/>
      <c r="GA106" s="2" t="s">
        <v>6</v>
      </c>
      <c r="GB106" s="2"/>
      <c r="GC106" s="2"/>
      <c r="GD106" s="2">
        <v>0</v>
      </c>
      <c r="GE106" s="2"/>
      <c r="GF106" s="2">
        <v>-66286256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25"/>
        <v>0</v>
      </c>
      <c r="GM106" s="2">
        <f t="shared" si="126"/>
        <v>0</v>
      </c>
      <c r="GN106" s="2">
        <f t="shared" si="127"/>
        <v>0</v>
      </c>
      <c r="GO106" s="2">
        <f t="shared" si="128"/>
        <v>0</v>
      </c>
      <c r="GP106" s="2">
        <f t="shared" si="129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0"/>
        <v>0</v>
      </c>
      <c r="GW106" s="2">
        <v>1</v>
      </c>
      <c r="GX106" s="2">
        <f t="shared" si="131"/>
        <v>0</v>
      </c>
      <c r="GY106" s="2"/>
      <c r="GZ106" s="2"/>
      <c r="HA106" s="2">
        <v>0</v>
      </c>
      <c r="HB106" s="2">
        <v>0</v>
      </c>
      <c r="HC106" s="2">
        <f t="shared" si="132"/>
        <v>0</v>
      </c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284</v>
      </c>
      <c r="E107" t="s">
        <v>217</v>
      </c>
      <c r="F107" t="s">
        <v>218</v>
      </c>
      <c r="G107" t="s">
        <v>219</v>
      </c>
      <c r="H107" t="s">
        <v>65</v>
      </c>
      <c r="I107">
        <f>I105*J107</f>
        <v>0.85360000000000003</v>
      </c>
      <c r="J107">
        <v>19.400000000000002</v>
      </c>
      <c r="O107">
        <f t="shared" si="99"/>
        <v>0</v>
      </c>
      <c r="P107">
        <f t="shared" si="100"/>
        <v>0</v>
      </c>
      <c r="Q107">
        <f t="shared" si="101"/>
        <v>0</v>
      </c>
      <c r="R107">
        <f t="shared" si="102"/>
        <v>0</v>
      </c>
      <c r="S107">
        <f t="shared" si="103"/>
        <v>0</v>
      </c>
      <c r="T107">
        <f t="shared" si="104"/>
        <v>0</v>
      </c>
      <c r="U107">
        <f t="shared" si="105"/>
        <v>0</v>
      </c>
      <c r="V107">
        <f t="shared" si="106"/>
        <v>0</v>
      </c>
      <c r="W107">
        <f t="shared" si="107"/>
        <v>0</v>
      </c>
      <c r="X107">
        <f t="shared" si="108"/>
        <v>0</v>
      </c>
      <c r="Y107">
        <f t="shared" si="109"/>
        <v>0</v>
      </c>
      <c r="AA107">
        <v>27935368</v>
      </c>
      <c r="AB107">
        <f t="shared" si="110"/>
        <v>0</v>
      </c>
      <c r="AC107">
        <f t="shared" si="95"/>
        <v>0</v>
      </c>
      <c r="AD107">
        <f t="shared" si="133"/>
        <v>0</v>
      </c>
      <c r="AE107">
        <f t="shared" si="134"/>
        <v>0</v>
      </c>
      <c r="AF107">
        <f t="shared" si="135"/>
        <v>0</v>
      </c>
      <c r="AG107">
        <f t="shared" si="111"/>
        <v>0</v>
      </c>
      <c r="AH107">
        <f t="shared" si="136"/>
        <v>0</v>
      </c>
      <c r="AI107">
        <f t="shared" si="137"/>
        <v>0</v>
      </c>
      <c r="AJ107">
        <f t="shared" si="112"/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89</v>
      </c>
      <c r="AU107">
        <v>65</v>
      </c>
      <c r="AV107">
        <v>1</v>
      </c>
      <c r="AW107">
        <v>1</v>
      </c>
      <c r="AZ107">
        <v>6.11</v>
      </c>
      <c r="BA107">
        <v>1</v>
      </c>
      <c r="BB107">
        <v>1</v>
      </c>
      <c r="BC107">
        <v>6.11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6</v>
      </c>
      <c r="BM107">
        <v>55001</v>
      </c>
      <c r="BN107">
        <v>0</v>
      </c>
      <c r="BO107" t="s">
        <v>6</v>
      </c>
      <c r="BP107">
        <v>0</v>
      </c>
      <c r="BQ107">
        <v>6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89</v>
      </c>
      <c r="CA107">
        <v>65</v>
      </c>
      <c r="CE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13"/>
        <v>0</v>
      </c>
      <c r="CQ107">
        <f t="shared" si="114"/>
        <v>0</v>
      </c>
      <c r="CR107">
        <f t="shared" si="115"/>
        <v>0</v>
      </c>
      <c r="CS107">
        <f t="shared" si="116"/>
        <v>0</v>
      </c>
      <c r="CT107">
        <f t="shared" si="117"/>
        <v>0</v>
      </c>
      <c r="CU107">
        <f t="shared" si="118"/>
        <v>0</v>
      </c>
      <c r="CV107">
        <f t="shared" si="119"/>
        <v>0</v>
      </c>
      <c r="CW107">
        <f t="shared" si="120"/>
        <v>0</v>
      </c>
      <c r="CX107">
        <f t="shared" si="121"/>
        <v>0</v>
      </c>
      <c r="CY107">
        <f t="shared" si="122"/>
        <v>0</v>
      </c>
      <c r="CZ107">
        <f t="shared" si="123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1009</v>
      </c>
      <c r="DV107" t="s">
        <v>65</v>
      </c>
      <c r="DW107" t="s">
        <v>65</v>
      </c>
      <c r="DX107">
        <v>1000</v>
      </c>
      <c r="EE107">
        <v>27029100</v>
      </c>
      <c r="EF107">
        <v>6</v>
      </c>
      <c r="EG107" t="s">
        <v>90</v>
      </c>
      <c r="EH107">
        <v>0</v>
      </c>
      <c r="EI107" t="s">
        <v>6</v>
      </c>
      <c r="EJ107">
        <v>1</v>
      </c>
      <c r="EK107">
        <v>55001</v>
      </c>
      <c r="EL107" t="s">
        <v>215</v>
      </c>
      <c r="EM107" t="s">
        <v>216</v>
      </c>
      <c r="EO107" t="s">
        <v>6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24"/>
        <v>0</v>
      </c>
      <c r="FS107">
        <v>0</v>
      </c>
      <c r="FX107">
        <v>89</v>
      </c>
      <c r="FY107">
        <v>65</v>
      </c>
      <c r="GA107" t="s">
        <v>6</v>
      </c>
      <c r="GD107">
        <v>0</v>
      </c>
      <c r="GF107">
        <v>-66286256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25"/>
        <v>0</v>
      </c>
      <c r="GM107">
        <f t="shared" si="126"/>
        <v>0</v>
      </c>
      <c r="GN107">
        <f t="shared" si="127"/>
        <v>0</v>
      </c>
      <c r="GO107">
        <f t="shared" si="128"/>
        <v>0</v>
      </c>
      <c r="GP107">
        <f t="shared" si="129"/>
        <v>0</v>
      </c>
      <c r="GR107">
        <v>0</v>
      </c>
      <c r="GS107">
        <v>3</v>
      </c>
      <c r="GT107">
        <v>0</v>
      </c>
      <c r="GU107" t="s">
        <v>6</v>
      </c>
      <c r="GV107">
        <f t="shared" si="130"/>
        <v>0</v>
      </c>
      <c r="GW107">
        <v>1</v>
      </c>
      <c r="GX107">
        <f t="shared" si="131"/>
        <v>0</v>
      </c>
      <c r="HA107">
        <v>0</v>
      </c>
      <c r="HB107">
        <v>0</v>
      </c>
      <c r="HC107">
        <f t="shared" si="132"/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ROW(SmtRes!A288)</f>
        <v>288</v>
      </c>
      <c r="D108" s="2">
        <f>ROW(EtalonRes!A294)</f>
        <v>294</v>
      </c>
      <c r="E108" s="2" t="s">
        <v>220</v>
      </c>
      <c r="F108" s="2" t="s">
        <v>221</v>
      </c>
      <c r="G108" s="2" t="s">
        <v>222</v>
      </c>
      <c r="H108" s="2" t="s">
        <v>16</v>
      </c>
      <c r="I108" s="2">
        <f>ROUND(10.3/100,9)</f>
        <v>0.10299999999999999</v>
      </c>
      <c r="J108" s="2">
        <v>0</v>
      </c>
      <c r="K108" s="2"/>
      <c r="L108" s="2"/>
      <c r="M108" s="2"/>
      <c r="N108" s="2"/>
      <c r="O108" s="2">
        <f t="shared" si="99"/>
        <v>7258.41</v>
      </c>
      <c r="P108" s="2">
        <f t="shared" si="100"/>
        <v>7223.49</v>
      </c>
      <c r="Q108" s="2">
        <f t="shared" si="101"/>
        <v>0</v>
      </c>
      <c r="R108" s="2">
        <f t="shared" si="102"/>
        <v>0</v>
      </c>
      <c r="S108" s="2">
        <f t="shared" si="103"/>
        <v>34.92</v>
      </c>
      <c r="T108" s="2">
        <f t="shared" si="104"/>
        <v>0</v>
      </c>
      <c r="U108" s="2">
        <f t="shared" si="105"/>
        <v>4.0936319999999995</v>
      </c>
      <c r="V108" s="2">
        <f t="shared" si="106"/>
        <v>0</v>
      </c>
      <c r="W108" s="2">
        <f t="shared" si="107"/>
        <v>0</v>
      </c>
      <c r="X108" s="2">
        <f t="shared" si="108"/>
        <v>37.020000000000003</v>
      </c>
      <c r="Y108" s="2">
        <f t="shared" si="109"/>
        <v>18.86</v>
      </c>
      <c r="Z108" s="2"/>
      <c r="AA108" s="2">
        <v>27935367</v>
      </c>
      <c r="AB108" s="2">
        <f t="shared" si="110"/>
        <v>70470.02</v>
      </c>
      <c r="AC108" s="2">
        <f t="shared" si="95"/>
        <v>70131</v>
      </c>
      <c r="AD108" s="2">
        <f>ROUND(((((ET108*1.25))-((EU108*1.25)))+AE108),2)</f>
        <v>0</v>
      </c>
      <c r="AE108" s="2">
        <f>ROUND(((EU108*1.25)),2)</f>
        <v>0</v>
      </c>
      <c r="AF108" s="2">
        <f>ROUND(((EV108*1.15)),2)</f>
        <v>339.02</v>
      </c>
      <c r="AG108" s="2">
        <f t="shared" si="111"/>
        <v>0</v>
      </c>
      <c r="AH108" s="2">
        <f>((EW108*1.15))</f>
        <v>39.744</v>
      </c>
      <c r="AI108" s="2">
        <f>((EX108*1.25))</f>
        <v>0</v>
      </c>
      <c r="AJ108" s="2">
        <f t="shared" si="112"/>
        <v>0</v>
      </c>
      <c r="AK108" s="2">
        <v>70425.8</v>
      </c>
      <c r="AL108" s="2">
        <v>70131</v>
      </c>
      <c r="AM108" s="2">
        <v>0</v>
      </c>
      <c r="AN108" s="2">
        <v>0</v>
      </c>
      <c r="AO108" s="2">
        <v>294.8</v>
      </c>
      <c r="AP108" s="2">
        <v>0</v>
      </c>
      <c r="AQ108" s="2">
        <v>34.56</v>
      </c>
      <c r="AR108" s="2">
        <v>0</v>
      </c>
      <c r="AS108" s="2">
        <v>0</v>
      </c>
      <c r="AT108" s="2">
        <v>106</v>
      </c>
      <c r="AU108" s="2">
        <v>54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223</v>
      </c>
      <c r="BK108" s="2"/>
      <c r="BL108" s="2"/>
      <c r="BM108" s="2">
        <v>10001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118</v>
      </c>
      <c r="CA108" s="2">
        <v>63</v>
      </c>
      <c r="CB108" s="2"/>
      <c r="CC108" s="2"/>
      <c r="CD108" s="2"/>
      <c r="CE108" s="2">
        <v>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766</v>
      </c>
      <c r="CO108" s="2">
        <v>0</v>
      </c>
      <c r="CP108" s="2">
        <f t="shared" si="113"/>
        <v>7258.41</v>
      </c>
      <c r="CQ108" s="2">
        <f t="shared" si="114"/>
        <v>70131</v>
      </c>
      <c r="CR108" s="2">
        <f t="shared" si="115"/>
        <v>0</v>
      </c>
      <c r="CS108" s="2">
        <f t="shared" si="116"/>
        <v>0</v>
      </c>
      <c r="CT108" s="2">
        <f t="shared" si="117"/>
        <v>339.02</v>
      </c>
      <c r="CU108" s="2">
        <f t="shared" si="118"/>
        <v>0</v>
      </c>
      <c r="CV108" s="2">
        <f t="shared" si="119"/>
        <v>39.744</v>
      </c>
      <c r="CW108" s="2">
        <f t="shared" si="120"/>
        <v>0</v>
      </c>
      <c r="CX108" s="2">
        <f t="shared" si="121"/>
        <v>0</v>
      </c>
      <c r="CY108" s="2">
        <f t="shared" si="122"/>
        <v>37.0152</v>
      </c>
      <c r="CZ108" s="2">
        <f t="shared" si="123"/>
        <v>18.8568</v>
      </c>
      <c r="DA108" s="2"/>
      <c r="DB108" s="2"/>
      <c r="DC108" s="2" t="s">
        <v>6</v>
      </c>
      <c r="DD108" s="2" t="s">
        <v>6</v>
      </c>
      <c r="DE108" s="2" t="s">
        <v>27</v>
      </c>
      <c r="DF108" s="2" t="s">
        <v>27</v>
      </c>
      <c r="DG108" s="2" t="s">
        <v>28</v>
      </c>
      <c r="DH108" s="2" t="s">
        <v>6</v>
      </c>
      <c r="DI108" s="2" t="s">
        <v>28</v>
      </c>
      <c r="DJ108" s="2" t="s">
        <v>27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16</v>
      </c>
      <c r="DW108" s="2" t="s">
        <v>16</v>
      </c>
      <c r="DX108" s="2">
        <v>100</v>
      </c>
      <c r="DY108" s="2"/>
      <c r="DZ108" s="2"/>
      <c r="EA108" s="2"/>
      <c r="EB108" s="2"/>
      <c r="EC108" s="2"/>
      <c r="ED108" s="2"/>
      <c r="EE108" s="2">
        <v>27029023</v>
      </c>
      <c r="EF108" s="2">
        <v>2</v>
      </c>
      <c r="EG108" s="2" t="s">
        <v>18</v>
      </c>
      <c r="EH108" s="2">
        <v>0</v>
      </c>
      <c r="EI108" s="2" t="s">
        <v>6</v>
      </c>
      <c r="EJ108" s="2">
        <v>1</v>
      </c>
      <c r="EK108" s="2">
        <v>10001</v>
      </c>
      <c r="EL108" s="2" t="s">
        <v>29</v>
      </c>
      <c r="EM108" s="2" t="s">
        <v>30</v>
      </c>
      <c r="EN108" s="2"/>
      <c r="EO108" s="2" t="s">
        <v>31</v>
      </c>
      <c r="EP108" s="2"/>
      <c r="EQ108" s="2">
        <v>131072</v>
      </c>
      <c r="ER108" s="2">
        <v>70425.8</v>
      </c>
      <c r="ES108" s="2">
        <v>70131</v>
      </c>
      <c r="ET108" s="2">
        <v>0</v>
      </c>
      <c r="EU108" s="2">
        <v>0</v>
      </c>
      <c r="EV108" s="2">
        <v>294.8</v>
      </c>
      <c r="EW108" s="2">
        <v>34.56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4"/>
        <v>0</v>
      </c>
      <c r="FS108" s="2">
        <v>0</v>
      </c>
      <c r="FT108" s="2" t="s">
        <v>21</v>
      </c>
      <c r="FU108" s="2" t="s">
        <v>22</v>
      </c>
      <c r="FV108" s="2"/>
      <c r="FW108" s="2"/>
      <c r="FX108" s="2">
        <v>106.2</v>
      </c>
      <c r="FY108" s="2">
        <v>53.55</v>
      </c>
      <c r="FZ108" s="2"/>
      <c r="GA108" s="2" t="s">
        <v>6</v>
      </c>
      <c r="GB108" s="2"/>
      <c r="GC108" s="2"/>
      <c r="GD108" s="2">
        <v>0</v>
      </c>
      <c r="GE108" s="2"/>
      <c r="GF108" s="2">
        <v>92801605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25"/>
        <v>0</v>
      </c>
      <c r="GM108" s="2">
        <f t="shared" si="126"/>
        <v>7314.29</v>
      </c>
      <c r="GN108" s="2">
        <f t="shared" si="127"/>
        <v>7314.29</v>
      </c>
      <c r="GO108" s="2">
        <f t="shared" si="128"/>
        <v>0</v>
      </c>
      <c r="GP108" s="2">
        <f t="shared" si="129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0"/>
        <v>0</v>
      </c>
      <c r="GW108" s="2">
        <v>1</v>
      </c>
      <c r="GX108" s="2">
        <f t="shared" si="131"/>
        <v>0</v>
      </c>
      <c r="GY108" s="2"/>
      <c r="GZ108" s="2"/>
      <c r="HA108" s="2">
        <v>0</v>
      </c>
      <c r="HB108" s="2">
        <v>0</v>
      </c>
      <c r="HC108" s="2">
        <f t="shared" si="132"/>
        <v>0</v>
      </c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ROW(SmtRes!A292)</f>
        <v>292</v>
      </c>
      <c r="D109">
        <f>ROW(EtalonRes!A296)</f>
        <v>296</v>
      </c>
      <c r="E109" t="s">
        <v>220</v>
      </c>
      <c r="F109" t="s">
        <v>221</v>
      </c>
      <c r="G109" t="s">
        <v>222</v>
      </c>
      <c r="H109" t="s">
        <v>16</v>
      </c>
      <c r="I109">
        <f>ROUND(10.3/100,9)</f>
        <v>0.10299999999999999</v>
      </c>
      <c r="J109">
        <v>0</v>
      </c>
      <c r="O109">
        <f t="shared" si="99"/>
        <v>44348.9</v>
      </c>
      <c r="P109">
        <f t="shared" si="100"/>
        <v>44135.54</v>
      </c>
      <c r="Q109">
        <f t="shared" si="101"/>
        <v>0</v>
      </c>
      <c r="R109">
        <f t="shared" si="102"/>
        <v>0</v>
      </c>
      <c r="S109">
        <f t="shared" si="103"/>
        <v>213.36</v>
      </c>
      <c r="T109">
        <f t="shared" si="104"/>
        <v>0</v>
      </c>
      <c r="U109">
        <f t="shared" si="105"/>
        <v>4.0936319999999995</v>
      </c>
      <c r="V109">
        <f t="shared" si="106"/>
        <v>0</v>
      </c>
      <c r="W109">
        <f t="shared" si="107"/>
        <v>0</v>
      </c>
      <c r="X109">
        <f t="shared" si="108"/>
        <v>226.16</v>
      </c>
      <c r="Y109">
        <f t="shared" si="109"/>
        <v>115.21</v>
      </c>
      <c r="AA109">
        <v>27935368</v>
      </c>
      <c r="AB109">
        <f t="shared" si="110"/>
        <v>70470.02</v>
      </c>
      <c r="AC109">
        <f t="shared" si="95"/>
        <v>70131</v>
      </c>
      <c r="AD109">
        <f>ROUND(((((ET109*1.25))-((EU109*1.25)))+AE109),2)</f>
        <v>0</v>
      </c>
      <c r="AE109">
        <f>ROUND(((EU109*1.25)),2)</f>
        <v>0</v>
      </c>
      <c r="AF109">
        <f>ROUND(((EV109*1.15)),2)</f>
        <v>339.02</v>
      </c>
      <c r="AG109">
        <f t="shared" si="111"/>
        <v>0</v>
      </c>
      <c r="AH109">
        <f>((EW109*1.15))</f>
        <v>39.744</v>
      </c>
      <c r="AI109">
        <f>((EX109*1.25))</f>
        <v>0</v>
      </c>
      <c r="AJ109">
        <f t="shared" si="112"/>
        <v>0</v>
      </c>
      <c r="AK109">
        <v>70425.8</v>
      </c>
      <c r="AL109">
        <v>70131</v>
      </c>
      <c r="AM109">
        <v>0</v>
      </c>
      <c r="AN109">
        <v>0</v>
      </c>
      <c r="AO109">
        <v>294.8</v>
      </c>
      <c r="AP109">
        <v>0</v>
      </c>
      <c r="AQ109">
        <v>34.56</v>
      </c>
      <c r="AR109">
        <v>0</v>
      </c>
      <c r="AS109">
        <v>0</v>
      </c>
      <c r="AT109">
        <v>106</v>
      </c>
      <c r="AU109">
        <v>54</v>
      </c>
      <c r="AV109">
        <v>1</v>
      </c>
      <c r="AW109">
        <v>1</v>
      </c>
      <c r="AZ109">
        <v>6.11</v>
      </c>
      <c r="BA109">
        <v>6.11</v>
      </c>
      <c r="BB109">
        <v>6.11</v>
      </c>
      <c r="BC109">
        <v>6.11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223</v>
      </c>
      <c r="BM109">
        <v>10001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6.11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118</v>
      </c>
      <c r="CA109">
        <v>63</v>
      </c>
      <c r="CE109">
        <v>0</v>
      </c>
      <c r="CF109">
        <v>0</v>
      </c>
      <c r="CG109">
        <v>0</v>
      </c>
      <c r="CM109">
        <v>0</v>
      </c>
      <c r="CN109" t="s">
        <v>766</v>
      </c>
      <c r="CO109">
        <v>0</v>
      </c>
      <c r="CP109">
        <f t="shared" si="113"/>
        <v>44348.9</v>
      </c>
      <c r="CQ109">
        <f t="shared" si="114"/>
        <v>428500.41000000003</v>
      </c>
      <c r="CR109">
        <f t="shared" si="115"/>
        <v>0</v>
      </c>
      <c r="CS109">
        <f t="shared" si="116"/>
        <v>0</v>
      </c>
      <c r="CT109">
        <f t="shared" si="117"/>
        <v>2071.4122000000002</v>
      </c>
      <c r="CU109">
        <f t="shared" si="118"/>
        <v>0</v>
      </c>
      <c r="CV109">
        <f t="shared" si="119"/>
        <v>39.744</v>
      </c>
      <c r="CW109">
        <f t="shared" si="120"/>
        <v>0</v>
      </c>
      <c r="CX109">
        <f t="shared" si="121"/>
        <v>0</v>
      </c>
      <c r="CY109">
        <f t="shared" si="122"/>
        <v>226.16159999999999</v>
      </c>
      <c r="CZ109">
        <f t="shared" si="123"/>
        <v>115.21440000000001</v>
      </c>
      <c r="DC109" t="s">
        <v>6</v>
      </c>
      <c r="DD109" t="s">
        <v>6</v>
      </c>
      <c r="DE109" t="s">
        <v>27</v>
      </c>
      <c r="DF109" t="s">
        <v>27</v>
      </c>
      <c r="DG109" t="s">
        <v>28</v>
      </c>
      <c r="DH109" t="s">
        <v>6</v>
      </c>
      <c r="DI109" t="s">
        <v>28</v>
      </c>
      <c r="DJ109" t="s">
        <v>27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16</v>
      </c>
      <c r="DW109" t="s">
        <v>16</v>
      </c>
      <c r="DX109">
        <v>100</v>
      </c>
      <c r="EE109">
        <v>27029023</v>
      </c>
      <c r="EF109">
        <v>2</v>
      </c>
      <c r="EG109" t="s">
        <v>18</v>
      </c>
      <c r="EH109">
        <v>0</v>
      </c>
      <c r="EI109" t="s">
        <v>6</v>
      </c>
      <c r="EJ109">
        <v>1</v>
      </c>
      <c r="EK109">
        <v>10001</v>
      </c>
      <c r="EL109" t="s">
        <v>29</v>
      </c>
      <c r="EM109" t="s">
        <v>30</v>
      </c>
      <c r="EO109" t="s">
        <v>31</v>
      </c>
      <c r="EQ109">
        <v>131072</v>
      </c>
      <c r="ER109">
        <v>70425.8</v>
      </c>
      <c r="ES109">
        <v>70131</v>
      </c>
      <c r="ET109">
        <v>0</v>
      </c>
      <c r="EU109">
        <v>0</v>
      </c>
      <c r="EV109">
        <v>294.8</v>
      </c>
      <c r="EW109">
        <v>34.56</v>
      </c>
      <c r="EX109">
        <v>0</v>
      </c>
      <c r="EY109">
        <v>0</v>
      </c>
      <c r="FQ109">
        <v>0</v>
      </c>
      <c r="FR109">
        <f t="shared" si="124"/>
        <v>0</v>
      </c>
      <c r="FS109">
        <v>0</v>
      </c>
      <c r="FT109" t="s">
        <v>21</v>
      </c>
      <c r="FU109" t="s">
        <v>22</v>
      </c>
      <c r="FX109">
        <v>106.2</v>
      </c>
      <c r="FY109">
        <v>53.55</v>
      </c>
      <c r="GA109" t="s">
        <v>6</v>
      </c>
      <c r="GD109">
        <v>0</v>
      </c>
      <c r="GF109">
        <v>92801605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25"/>
        <v>0</v>
      </c>
      <c r="GM109">
        <f t="shared" si="126"/>
        <v>44690.27</v>
      </c>
      <c r="GN109">
        <f t="shared" si="127"/>
        <v>44690.27</v>
      </c>
      <c r="GO109">
        <f t="shared" si="128"/>
        <v>0</v>
      </c>
      <c r="GP109">
        <f t="shared" si="129"/>
        <v>0</v>
      </c>
      <c r="GR109">
        <v>0</v>
      </c>
      <c r="GS109">
        <v>3</v>
      </c>
      <c r="GT109">
        <v>0</v>
      </c>
      <c r="GU109" t="s">
        <v>6</v>
      </c>
      <c r="GV109">
        <f t="shared" si="130"/>
        <v>0</v>
      </c>
      <c r="GW109">
        <v>1</v>
      </c>
      <c r="GX109">
        <f t="shared" si="131"/>
        <v>0</v>
      </c>
      <c r="HA109">
        <v>0</v>
      </c>
      <c r="HB109">
        <v>0</v>
      </c>
      <c r="HC109">
        <f t="shared" si="132"/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288</v>
      </c>
      <c r="D110" s="2"/>
      <c r="E110" s="2" t="s">
        <v>224</v>
      </c>
      <c r="F110" s="2" t="s">
        <v>225</v>
      </c>
      <c r="G110" s="2" t="s">
        <v>226</v>
      </c>
      <c r="H110" s="2" t="s">
        <v>35</v>
      </c>
      <c r="I110" s="2">
        <f>I108*J110</f>
        <v>3.6000000000000005</v>
      </c>
      <c r="J110" s="2">
        <v>34.951456310679617</v>
      </c>
      <c r="K110" s="2"/>
      <c r="L110" s="2"/>
      <c r="M110" s="2"/>
      <c r="N110" s="2"/>
      <c r="O110" s="2">
        <f t="shared" si="99"/>
        <v>967.97</v>
      </c>
      <c r="P110" s="2">
        <f t="shared" si="100"/>
        <v>967.97</v>
      </c>
      <c r="Q110" s="2">
        <f t="shared" si="101"/>
        <v>0</v>
      </c>
      <c r="R110" s="2">
        <f t="shared" si="102"/>
        <v>0</v>
      </c>
      <c r="S110" s="2">
        <f t="shared" si="103"/>
        <v>0</v>
      </c>
      <c r="T110" s="2">
        <f t="shared" si="104"/>
        <v>0</v>
      </c>
      <c r="U110" s="2">
        <f t="shared" si="105"/>
        <v>0</v>
      </c>
      <c r="V110" s="2">
        <f t="shared" si="106"/>
        <v>0</v>
      </c>
      <c r="W110" s="2">
        <f t="shared" si="107"/>
        <v>0</v>
      </c>
      <c r="X110" s="2">
        <f t="shared" si="108"/>
        <v>0</v>
      </c>
      <c r="Y110" s="2">
        <f t="shared" si="109"/>
        <v>0</v>
      </c>
      <c r="Z110" s="2"/>
      <c r="AA110" s="2">
        <v>27935367</v>
      </c>
      <c r="AB110" s="2">
        <f t="shared" si="110"/>
        <v>268.88</v>
      </c>
      <c r="AC110" s="2">
        <f t="shared" si="95"/>
        <v>268.88</v>
      </c>
      <c r="AD110" s="2">
        <f>ROUND((((ET110)-(EU110))+AE110),2)</f>
        <v>0</v>
      </c>
      <c r="AE110" s="2">
        <f t="shared" ref="AE110:AF113" si="138">ROUND((EU110),2)</f>
        <v>0</v>
      </c>
      <c r="AF110" s="2">
        <f t="shared" si="138"/>
        <v>0</v>
      </c>
      <c r="AG110" s="2">
        <f t="shared" si="111"/>
        <v>0</v>
      </c>
      <c r="AH110" s="2">
        <f t="shared" ref="AH110:AI113" si="139">(EW110)</f>
        <v>0</v>
      </c>
      <c r="AI110" s="2">
        <f t="shared" si="139"/>
        <v>0</v>
      </c>
      <c r="AJ110" s="2">
        <f t="shared" si="112"/>
        <v>0</v>
      </c>
      <c r="AK110" s="2">
        <v>268.88</v>
      </c>
      <c r="AL110" s="2">
        <v>268.88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106</v>
      </c>
      <c r="AU110" s="2">
        <v>54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227</v>
      </c>
      <c r="BK110" s="2"/>
      <c r="BL110" s="2"/>
      <c r="BM110" s="2">
        <v>10001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118</v>
      </c>
      <c r="CA110" s="2">
        <v>63</v>
      </c>
      <c r="CB110" s="2"/>
      <c r="CC110" s="2"/>
      <c r="CD110" s="2"/>
      <c r="CE110" s="2">
        <v>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13"/>
        <v>967.97</v>
      </c>
      <c r="CQ110" s="2">
        <f t="shared" si="114"/>
        <v>268.88</v>
      </c>
      <c r="CR110" s="2">
        <f t="shared" si="115"/>
        <v>0</v>
      </c>
      <c r="CS110" s="2">
        <f t="shared" si="116"/>
        <v>0</v>
      </c>
      <c r="CT110" s="2">
        <f t="shared" si="117"/>
        <v>0</v>
      </c>
      <c r="CU110" s="2">
        <f t="shared" si="118"/>
        <v>0</v>
      </c>
      <c r="CV110" s="2">
        <f t="shared" si="119"/>
        <v>0</v>
      </c>
      <c r="CW110" s="2">
        <f t="shared" si="120"/>
        <v>0</v>
      </c>
      <c r="CX110" s="2">
        <f t="shared" si="121"/>
        <v>0</v>
      </c>
      <c r="CY110" s="2">
        <f t="shared" si="122"/>
        <v>0</v>
      </c>
      <c r="CZ110" s="2">
        <f t="shared" si="123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35</v>
      </c>
      <c r="DW110" s="2" t="s">
        <v>35</v>
      </c>
      <c r="DX110" s="2">
        <v>1</v>
      </c>
      <c r="DY110" s="2"/>
      <c r="DZ110" s="2"/>
      <c r="EA110" s="2"/>
      <c r="EB110" s="2"/>
      <c r="EC110" s="2"/>
      <c r="ED110" s="2"/>
      <c r="EE110" s="2">
        <v>27029023</v>
      </c>
      <c r="EF110" s="2">
        <v>2</v>
      </c>
      <c r="EG110" s="2" t="s">
        <v>18</v>
      </c>
      <c r="EH110" s="2">
        <v>0</v>
      </c>
      <c r="EI110" s="2" t="s">
        <v>6</v>
      </c>
      <c r="EJ110" s="2">
        <v>1</v>
      </c>
      <c r="EK110" s="2">
        <v>10001</v>
      </c>
      <c r="EL110" s="2" t="s">
        <v>29</v>
      </c>
      <c r="EM110" s="2" t="s">
        <v>30</v>
      </c>
      <c r="EN110" s="2"/>
      <c r="EO110" s="2" t="s">
        <v>6</v>
      </c>
      <c r="EP110" s="2"/>
      <c r="EQ110" s="2">
        <v>0</v>
      </c>
      <c r="ER110" s="2">
        <v>268.88</v>
      </c>
      <c r="ES110" s="2">
        <v>268.88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4"/>
        <v>0</v>
      </c>
      <c r="FS110" s="2">
        <v>0</v>
      </c>
      <c r="FT110" s="2" t="s">
        <v>21</v>
      </c>
      <c r="FU110" s="2" t="s">
        <v>22</v>
      </c>
      <c r="FV110" s="2"/>
      <c r="FW110" s="2"/>
      <c r="FX110" s="2">
        <v>106.2</v>
      </c>
      <c r="FY110" s="2">
        <v>53.55</v>
      </c>
      <c r="FZ110" s="2"/>
      <c r="GA110" s="2" t="s">
        <v>6</v>
      </c>
      <c r="GB110" s="2"/>
      <c r="GC110" s="2"/>
      <c r="GD110" s="2">
        <v>0</v>
      </c>
      <c r="GE110" s="2"/>
      <c r="GF110" s="2">
        <v>893131269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25"/>
        <v>0</v>
      </c>
      <c r="GM110" s="2">
        <f t="shared" si="126"/>
        <v>967.97</v>
      </c>
      <c r="GN110" s="2">
        <f t="shared" si="127"/>
        <v>967.97</v>
      </c>
      <c r="GO110" s="2">
        <f t="shared" si="128"/>
        <v>0</v>
      </c>
      <c r="GP110" s="2">
        <f t="shared" si="129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0"/>
        <v>0</v>
      </c>
      <c r="GW110" s="2">
        <v>1</v>
      </c>
      <c r="GX110" s="2">
        <f t="shared" si="131"/>
        <v>0</v>
      </c>
      <c r="GY110" s="2"/>
      <c r="GZ110" s="2"/>
      <c r="HA110" s="2">
        <v>0</v>
      </c>
      <c r="HB110" s="2">
        <v>0</v>
      </c>
      <c r="HC110" s="2">
        <f t="shared" si="132"/>
        <v>0</v>
      </c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292</v>
      </c>
      <c r="E111" t="s">
        <v>224</v>
      </c>
      <c r="F111" t="s">
        <v>225</v>
      </c>
      <c r="G111" t="s">
        <v>226</v>
      </c>
      <c r="H111" t="s">
        <v>35</v>
      </c>
      <c r="I111">
        <f>I109*J111</f>
        <v>3.6000000000000005</v>
      </c>
      <c r="J111">
        <v>34.951456310679617</v>
      </c>
      <c r="O111">
        <f t="shared" si="99"/>
        <v>5914.28</v>
      </c>
      <c r="P111">
        <f t="shared" si="100"/>
        <v>5914.28</v>
      </c>
      <c r="Q111">
        <f t="shared" si="101"/>
        <v>0</v>
      </c>
      <c r="R111">
        <f t="shared" si="102"/>
        <v>0</v>
      </c>
      <c r="S111">
        <f t="shared" si="103"/>
        <v>0</v>
      </c>
      <c r="T111">
        <f t="shared" si="104"/>
        <v>0</v>
      </c>
      <c r="U111">
        <f t="shared" si="105"/>
        <v>0</v>
      </c>
      <c r="V111">
        <f t="shared" si="106"/>
        <v>0</v>
      </c>
      <c r="W111">
        <f t="shared" si="107"/>
        <v>0</v>
      </c>
      <c r="X111">
        <f t="shared" si="108"/>
        <v>0</v>
      </c>
      <c r="Y111">
        <f t="shared" si="109"/>
        <v>0</v>
      </c>
      <c r="AA111">
        <v>27935368</v>
      </c>
      <c r="AB111">
        <f t="shared" si="110"/>
        <v>268.88</v>
      </c>
      <c r="AC111">
        <f t="shared" si="95"/>
        <v>268.88</v>
      </c>
      <c r="AD111">
        <f>ROUND((((ET111)-(EU111))+AE111),2)</f>
        <v>0</v>
      </c>
      <c r="AE111">
        <f t="shared" si="138"/>
        <v>0</v>
      </c>
      <c r="AF111">
        <f t="shared" si="138"/>
        <v>0</v>
      </c>
      <c r="AG111">
        <f t="shared" si="111"/>
        <v>0</v>
      </c>
      <c r="AH111">
        <f t="shared" si="139"/>
        <v>0</v>
      </c>
      <c r="AI111">
        <f t="shared" si="139"/>
        <v>0</v>
      </c>
      <c r="AJ111">
        <f t="shared" si="112"/>
        <v>0</v>
      </c>
      <c r="AK111">
        <v>268.88</v>
      </c>
      <c r="AL111">
        <v>268.88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106</v>
      </c>
      <c r="AU111">
        <v>54</v>
      </c>
      <c r="AV111">
        <v>1</v>
      </c>
      <c r="AW111">
        <v>1</v>
      </c>
      <c r="AZ111">
        <v>6.11</v>
      </c>
      <c r="BA111">
        <v>1</v>
      </c>
      <c r="BB111">
        <v>1</v>
      </c>
      <c r="BC111">
        <v>6.11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227</v>
      </c>
      <c r="BM111">
        <v>10001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118</v>
      </c>
      <c r="CA111">
        <v>63</v>
      </c>
      <c r="CE111">
        <v>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13"/>
        <v>5914.28</v>
      </c>
      <c r="CQ111">
        <f t="shared" si="114"/>
        <v>1642.8568</v>
      </c>
      <c r="CR111">
        <f t="shared" si="115"/>
        <v>0</v>
      </c>
      <c r="CS111">
        <f t="shared" si="116"/>
        <v>0</v>
      </c>
      <c r="CT111">
        <f t="shared" si="117"/>
        <v>0</v>
      </c>
      <c r="CU111">
        <f t="shared" si="118"/>
        <v>0</v>
      </c>
      <c r="CV111">
        <f t="shared" si="119"/>
        <v>0</v>
      </c>
      <c r="CW111">
        <f t="shared" si="120"/>
        <v>0</v>
      </c>
      <c r="CX111">
        <f t="shared" si="121"/>
        <v>0</v>
      </c>
      <c r="CY111">
        <f t="shared" si="122"/>
        <v>0</v>
      </c>
      <c r="CZ111">
        <f t="shared" si="123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35</v>
      </c>
      <c r="DW111" t="s">
        <v>35</v>
      </c>
      <c r="DX111">
        <v>1</v>
      </c>
      <c r="EE111">
        <v>27029023</v>
      </c>
      <c r="EF111">
        <v>2</v>
      </c>
      <c r="EG111" t="s">
        <v>18</v>
      </c>
      <c r="EH111">
        <v>0</v>
      </c>
      <c r="EI111" t="s">
        <v>6</v>
      </c>
      <c r="EJ111">
        <v>1</v>
      </c>
      <c r="EK111">
        <v>10001</v>
      </c>
      <c r="EL111" t="s">
        <v>29</v>
      </c>
      <c r="EM111" t="s">
        <v>30</v>
      </c>
      <c r="EO111" t="s">
        <v>6</v>
      </c>
      <c r="EQ111">
        <v>0</v>
      </c>
      <c r="ER111">
        <v>268.88</v>
      </c>
      <c r="ES111">
        <v>268.88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24"/>
        <v>0</v>
      </c>
      <c r="FS111">
        <v>0</v>
      </c>
      <c r="FT111" t="s">
        <v>21</v>
      </c>
      <c r="FU111" t="s">
        <v>22</v>
      </c>
      <c r="FX111">
        <v>106.2</v>
      </c>
      <c r="FY111">
        <v>53.55</v>
      </c>
      <c r="GA111" t="s">
        <v>6</v>
      </c>
      <c r="GD111">
        <v>0</v>
      </c>
      <c r="GF111">
        <v>893131269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25"/>
        <v>0</v>
      </c>
      <c r="GM111">
        <f t="shared" si="126"/>
        <v>5914.28</v>
      </c>
      <c r="GN111">
        <f t="shared" si="127"/>
        <v>5914.28</v>
      </c>
      <c r="GO111">
        <f t="shared" si="128"/>
        <v>0</v>
      </c>
      <c r="GP111">
        <f t="shared" si="129"/>
        <v>0</v>
      </c>
      <c r="GR111">
        <v>0</v>
      </c>
      <c r="GS111">
        <v>3</v>
      </c>
      <c r="GT111">
        <v>0</v>
      </c>
      <c r="GU111" t="s">
        <v>6</v>
      </c>
      <c r="GV111">
        <f t="shared" si="130"/>
        <v>0</v>
      </c>
      <c r="GW111">
        <v>1</v>
      </c>
      <c r="GX111">
        <f t="shared" si="131"/>
        <v>0</v>
      </c>
      <c r="HA111">
        <v>0</v>
      </c>
      <c r="HB111">
        <v>0</v>
      </c>
      <c r="HC111">
        <f t="shared" si="132"/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286</v>
      </c>
      <c r="D112" s="2"/>
      <c r="E112" s="2" t="s">
        <v>228</v>
      </c>
      <c r="F112" s="2" t="s">
        <v>229</v>
      </c>
      <c r="G112" s="2" t="s">
        <v>230</v>
      </c>
      <c r="H112" s="2" t="s">
        <v>231</v>
      </c>
      <c r="I112" s="2">
        <f>I108*J112</f>
        <v>3</v>
      </c>
      <c r="J112" s="2">
        <v>29.126213592233011</v>
      </c>
      <c r="K112" s="2"/>
      <c r="L112" s="2"/>
      <c r="M112" s="2"/>
      <c r="N112" s="2"/>
      <c r="O112" s="2">
        <f t="shared" si="99"/>
        <v>218.31</v>
      </c>
      <c r="P112" s="2">
        <f t="shared" si="100"/>
        <v>218.31</v>
      </c>
      <c r="Q112" s="2">
        <f t="shared" si="101"/>
        <v>0</v>
      </c>
      <c r="R112" s="2">
        <f t="shared" si="102"/>
        <v>0</v>
      </c>
      <c r="S112" s="2">
        <f t="shared" si="103"/>
        <v>0</v>
      </c>
      <c r="T112" s="2">
        <f t="shared" si="104"/>
        <v>0</v>
      </c>
      <c r="U112" s="2">
        <f t="shared" si="105"/>
        <v>0</v>
      </c>
      <c r="V112" s="2">
        <f t="shared" si="106"/>
        <v>0</v>
      </c>
      <c r="W112" s="2">
        <f t="shared" si="107"/>
        <v>0</v>
      </c>
      <c r="X112" s="2">
        <f t="shared" si="108"/>
        <v>0</v>
      </c>
      <c r="Y112" s="2">
        <f t="shared" si="109"/>
        <v>0</v>
      </c>
      <c r="Z112" s="2"/>
      <c r="AA112" s="2">
        <v>27935367</v>
      </c>
      <c r="AB112" s="2">
        <f t="shared" si="110"/>
        <v>72.77</v>
      </c>
      <c r="AC112" s="2">
        <f t="shared" ref="AC112:AC117" si="140">ROUND((ES112),2)</f>
        <v>72.77</v>
      </c>
      <c r="AD112" s="2">
        <f>ROUND((((ET112)-(EU112))+AE112),2)</f>
        <v>0</v>
      </c>
      <c r="AE112" s="2">
        <f t="shared" si="138"/>
        <v>0</v>
      </c>
      <c r="AF112" s="2">
        <f t="shared" si="138"/>
        <v>0</v>
      </c>
      <c r="AG112" s="2">
        <f t="shared" si="111"/>
        <v>0</v>
      </c>
      <c r="AH112" s="2">
        <f t="shared" si="139"/>
        <v>0</v>
      </c>
      <c r="AI112" s="2">
        <f t="shared" si="139"/>
        <v>0</v>
      </c>
      <c r="AJ112" s="2">
        <f t="shared" si="112"/>
        <v>0</v>
      </c>
      <c r="AK112" s="2">
        <v>72.77</v>
      </c>
      <c r="AL112" s="2">
        <v>72.77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106</v>
      </c>
      <c r="AU112" s="2">
        <v>54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232</v>
      </c>
      <c r="BK112" s="2"/>
      <c r="BL112" s="2"/>
      <c r="BM112" s="2">
        <v>10001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118</v>
      </c>
      <c r="CA112" s="2">
        <v>63</v>
      </c>
      <c r="CB112" s="2"/>
      <c r="CC112" s="2"/>
      <c r="CD112" s="2"/>
      <c r="CE112" s="2">
        <v>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13"/>
        <v>218.31</v>
      </c>
      <c r="CQ112" s="2">
        <f t="shared" si="114"/>
        <v>72.77</v>
      </c>
      <c r="CR112" s="2">
        <f t="shared" si="115"/>
        <v>0</v>
      </c>
      <c r="CS112" s="2">
        <f t="shared" si="116"/>
        <v>0</v>
      </c>
      <c r="CT112" s="2">
        <f t="shared" si="117"/>
        <v>0</v>
      </c>
      <c r="CU112" s="2">
        <f t="shared" si="118"/>
        <v>0</v>
      </c>
      <c r="CV112" s="2">
        <f t="shared" si="119"/>
        <v>0</v>
      </c>
      <c r="CW112" s="2">
        <f t="shared" si="120"/>
        <v>0</v>
      </c>
      <c r="CX112" s="2">
        <f t="shared" si="121"/>
        <v>0</v>
      </c>
      <c r="CY112" s="2">
        <f t="shared" si="122"/>
        <v>0</v>
      </c>
      <c r="CZ112" s="2">
        <f t="shared" si="123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1013</v>
      </c>
      <c r="DV112" s="2" t="s">
        <v>231</v>
      </c>
      <c r="DW112" s="2" t="s">
        <v>231</v>
      </c>
      <c r="DX112" s="2">
        <v>1</v>
      </c>
      <c r="DY112" s="2"/>
      <c r="DZ112" s="2"/>
      <c r="EA112" s="2"/>
      <c r="EB112" s="2"/>
      <c r="EC112" s="2"/>
      <c r="ED112" s="2"/>
      <c r="EE112" s="2">
        <v>27029023</v>
      </c>
      <c r="EF112" s="2">
        <v>2</v>
      </c>
      <c r="EG112" s="2" t="s">
        <v>18</v>
      </c>
      <c r="EH112" s="2">
        <v>0</v>
      </c>
      <c r="EI112" s="2" t="s">
        <v>6</v>
      </c>
      <c r="EJ112" s="2">
        <v>1</v>
      </c>
      <c r="EK112" s="2">
        <v>10001</v>
      </c>
      <c r="EL112" s="2" t="s">
        <v>29</v>
      </c>
      <c r="EM112" s="2" t="s">
        <v>30</v>
      </c>
      <c r="EN112" s="2"/>
      <c r="EO112" s="2" t="s">
        <v>6</v>
      </c>
      <c r="EP112" s="2"/>
      <c r="EQ112" s="2">
        <v>0</v>
      </c>
      <c r="ER112" s="2">
        <v>72.77</v>
      </c>
      <c r="ES112" s="2">
        <v>72.77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4"/>
        <v>0</v>
      </c>
      <c r="FS112" s="2">
        <v>0</v>
      </c>
      <c r="FT112" s="2" t="s">
        <v>21</v>
      </c>
      <c r="FU112" s="2" t="s">
        <v>22</v>
      </c>
      <c r="FV112" s="2"/>
      <c r="FW112" s="2"/>
      <c r="FX112" s="2">
        <v>106.2</v>
      </c>
      <c r="FY112" s="2">
        <v>53.55</v>
      </c>
      <c r="FZ112" s="2"/>
      <c r="GA112" s="2" t="s">
        <v>6</v>
      </c>
      <c r="GB112" s="2"/>
      <c r="GC112" s="2"/>
      <c r="GD112" s="2">
        <v>0</v>
      </c>
      <c r="GE112" s="2"/>
      <c r="GF112" s="2">
        <v>178640745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25"/>
        <v>0</v>
      </c>
      <c r="GM112" s="2">
        <f t="shared" si="126"/>
        <v>218.31</v>
      </c>
      <c r="GN112" s="2">
        <f t="shared" si="127"/>
        <v>218.31</v>
      </c>
      <c r="GO112" s="2">
        <f t="shared" si="128"/>
        <v>0</v>
      </c>
      <c r="GP112" s="2">
        <f t="shared" si="129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0"/>
        <v>0</v>
      </c>
      <c r="GW112" s="2">
        <v>1</v>
      </c>
      <c r="GX112" s="2">
        <f t="shared" si="131"/>
        <v>0</v>
      </c>
      <c r="GY112" s="2"/>
      <c r="GZ112" s="2"/>
      <c r="HA112" s="2">
        <v>0</v>
      </c>
      <c r="HB112" s="2">
        <v>0</v>
      </c>
      <c r="HC112" s="2">
        <f t="shared" si="132"/>
        <v>0</v>
      </c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290</v>
      </c>
      <c r="E113" t="s">
        <v>228</v>
      </c>
      <c r="F113" t="s">
        <v>229</v>
      </c>
      <c r="G113" t="s">
        <v>230</v>
      </c>
      <c r="H113" t="s">
        <v>231</v>
      </c>
      <c r="I113">
        <f>I109*J113</f>
        <v>3</v>
      </c>
      <c r="J113">
        <v>29.126213592233011</v>
      </c>
      <c r="O113">
        <f t="shared" si="99"/>
        <v>1333.87</v>
      </c>
      <c r="P113">
        <f t="shared" si="100"/>
        <v>1333.87</v>
      </c>
      <c r="Q113">
        <f t="shared" si="101"/>
        <v>0</v>
      </c>
      <c r="R113">
        <f t="shared" si="102"/>
        <v>0</v>
      </c>
      <c r="S113">
        <f t="shared" si="103"/>
        <v>0</v>
      </c>
      <c r="T113">
        <f t="shared" si="104"/>
        <v>0</v>
      </c>
      <c r="U113">
        <f t="shared" si="105"/>
        <v>0</v>
      </c>
      <c r="V113">
        <f t="shared" si="106"/>
        <v>0</v>
      </c>
      <c r="W113">
        <f t="shared" si="107"/>
        <v>0</v>
      </c>
      <c r="X113">
        <f t="shared" si="108"/>
        <v>0</v>
      </c>
      <c r="Y113">
        <f t="shared" si="109"/>
        <v>0</v>
      </c>
      <c r="AA113">
        <v>27935368</v>
      </c>
      <c r="AB113">
        <f t="shared" si="110"/>
        <v>72.77</v>
      </c>
      <c r="AC113">
        <f t="shared" si="140"/>
        <v>72.77</v>
      </c>
      <c r="AD113">
        <f>ROUND((((ET113)-(EU113))+AE113),2)</f>
        <v>0</v>
      </c>
      <c r="AE113">
        <f t="shared" si="138"/>
        <v>0</v>
      </c>
      <c r="AF113">
        <f t="shared" si="138"/>
        <v>0</v>
      </c>
      <c r="AG113">
        <f t="shared" si="111"/>
        <v>0</v>
      </c>
      <c r="AH113">
        <f t="shared" si="139"/>
        <v>0</v>
      </c>
      <c r="AI113">
        <f t="shared" si="139"/>
        <v>0</v>
      </c>
      <c r="AJ113">
        <f t="shared" si="112"/>
        <v>0</v>
      </c>
      <c r="AK113">
        <v>72.77</v>
      </c>
      <c r="AL113">
        <v>72.77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106</v>
      </c>
      <c r="AU113">
        <v>54</v>
      </c>
      <c r="AV113">
        <v>1</v>
      </c>
      <c r="AW113">
        <v>1</v>
      </c>
      <c r="AZ113">
        <v>6.11</v>
      </c>
      <c r="BA113">
        <v>1</v>
      </c>
      <c r="BB113">
        <v>1</v>
      </c>
      <c r="BC113">
        <v>6.11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232</v>
      </c>
      <c r="BM113">
        <v>10001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118</v>
      </c>
      <c r="CA113">
        <v>63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13"/>
        <v>1333.87</v>
      </c>
      <c r="CQ113">
        <f t="shared" si="114"/>
        <v>444.62470000000002</v>
      </c>
      <c r="CR113">
        <f t="shared" si="115"/>
        <v>0</v>
      </c>
      <c r="CS113">
        <f t="shared" si="116"/>
        <v>0</v>
      </c>
      <c r="CT113">
        <f t="shared" si="117"/>
        <v>0</v>
      </c>
      <c r="CU113">
        <f t="shared" si="118"/>
        <v>0</v>
      </c>
      <c r="CV113">
        <f t="shared" si="119"/>
        <v>0</v>
      </c>
      <c r="CW113">
        <f t="shared" si="120"/>
        <v>0</v>
      </c>
      <c r="CX113">
        <f t="shared" si="121"/>
        <v>0</v>
      </c>
      <c r="CY113">
        <f t="shared" si="122"/>
        <v>0</v>
      </c>
      <c r="CZ113">
        <f t="shared" si="123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1013</v>
      </c>
      <c r="DV113" t="s">
        <v>231</v>
      </c>
      <c r="DW113" t="s">
        <v>231</v>
      </c>
      <c r="DX113">
        <v>1</v>
      </c>
      <c r="EE113">
        <v>27029023</v>
      </c>
      <c r="EF113">
        <v>2</v>
      </c>
      <c r="EG113" t="s">
        <v>18</v>
      </c>
      <c r="EH113">
        <v>0</v>
      </c>
      <c r="EI113" t="s">
        <v>6</v>
      </c>
      <c r="EJ113">
        <v>1</v>
      </c>
      <c r="EK113">
        <v>10001</v>
      </c>
      <c r="EL113" t="s">
        <v>29</v>
      </c>
      <c r="EM113" t="s">
        <v>30</v>
      </c>
      <c r="EO113" t="s">
        <v>6</v>
      </c>
      <c r="EQ113">
        <v>0</v>
      </c>
      <c r="ER113">
        <v>72.77</v>
      </c>
      <c r="ES113">
        <v>72.77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24"/>
        <v>0</v>
      </c>
      <c r="FS113">
        <v>0</v>
      </c>
      <c r="FT113" t="s">
        <v>21</v>
      </c>
      <c r="FU113" t="s">
        <v>22</v>
      </c>
      <c r="FX113">
        <v>106.2</v>
      </c>
      <c r="FY113">
        <v>53.55</v>
      </c>
      <c r="GA113" t="s">
        <v>6</v>
      </c>
      <c r="GD113">
        <v>0</v>
      </c>
      <c r="GF113">
        <v>178640745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25"/>
        <v>0</v>
      </c>
      <c r="GM113">
        <f t="shared" si="126"/>
        <v>1333.87</v>
      </c>
      <c r="GN113">
        <f t="shared" si="127"/>
        <v>1333.87</v>
      </c>
      <c r="GO113">
        <f t="shared" si="128"/>
        <v>0</v>
      </c>
      <c r="GP113">
        <f t="shared" si="129"/>
        <v>0</v>
      </c>
      <c r="GR113">
        <v>0</v>
      </c>
      <c r="GS113">
        <v>3</v>
      </c>
      <c r="GT113">
        <v>0</v>
      </c>
      <c r="GU113" t="s">
        <v>6</v>
      </c>
      <c r="GV113">
        <f t="shared" si="130"/>
        <v>0</v>
      </c>
      <c r="GW113">
        <v>1</v>
      </c>
      <c r="GX113">
        <f t="shared" si="131"/>
        <v>0</v>
      </c>
      <c r="HA113">
        <v>0</v>
      </c>
      <c r="HB113">
        <v>0</v>
      </c>
      <c r="HC113">
        <f t="shared" si="132"/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ROW(SmtRes!A297)</f>
        <v>297</v>
      </c>
      <c r="D114" s="2">
        <f>ROW(EtalonRes!A302)</f>
        <v>302</v>
      </c>
      <c r="E114" s="2" t="s">
        <v>233</v>
      </c>
      <c r="F114" s="2" t="s">
        <v>234</v>
      </c>
      <c r="G114" s="2" t="s">
        <v>235</v>
      </c>
      <c r="H114" s="2" t="s">
        <v>65</v>
      </c>
      <c r="I114" s="2">
        <v>6.0000000000000001E-3</v>
      </c>
      <c r="J114" s="2">
        <v>0</v>
      </c>
      <c r="K114" s="2"/>
      <c r="L114" s="2"/>
      <c r="M114" s="2"/>
      <c r="N114" s="2"/>
      <c r="O114" s="2">
        <f t="shared" si="99"/>
        <v>80.25</v>
      </c>
      <c r="P114" s="2">
        <f t="shared" si="100"/>
        <v>60.6</v>
      </c>
      <c r="Q114" s="2">
        <f t="shared" si="101"/>
        <v>0.39</v>
      </c>
      <c r="R114" s="2">
        <f t="shared" si="102"/>
        <v>0.06</v>
      </c>
      <c r="S114" s="2">
        <f t="shared" si="103"/>
        <v>19.260000000000002</v>
      </c>
      <c r="T114" s="2">
        <f t="shared" si="104"/>
        <v>0</v>
      </c>
      <c r="U114" s="2">
        <f t="shared" si="105"/>
        <v>2.1735689999999996</v>
      </c>
      <c r="V114" s="2">
        <f t="shared" si="106"/>
        <v>4.6500000000000005E-3</v>
      </c>
      <c r="W114" s="2">
        <f t="shared" si="107"/>
        <v>0</v>
      </c>
      <c r="X114" s="2">
        <f t="shared" si="108"/>
        <v>18.350000000000001</v>
      </c>
      <c r="Y114" s="2">
        <f t="shared" si="109"/>
        <v>10.63</v>
      </c>
      <c r="Z114" s="2"/>
      <c r="AA114" s="2">
        <v>27935367</v>
      </c>
      <c r="AB114" s="2">
        <f t="shared" si="110"/>
        <v>13375.03</v>
      </c>
      <c r="AC114" s="2">
        <f t="shared" si="140"/>
        <v>10100</v>
      </c>
      <c r="AD114" s="2">
        <f>ROUND(((((ET114*1.25))-((EU114*1.25)))+AE114),2)</f>
        <v>65.39</v>
      </c>
      <c r="AE114" s="2">
        <f>ROUND(((EU114*1.25)),2)</f>
        <v>9.59</v>
      </c>
      <c r="AF114" s="2">
        <f>ROUND(((EV114*1.15)),2)</f>
        <v>3209.64</v>
      </c>
      <c r="AG114" s="2">
        <f t="shared" si="111"/>
        <v>0</v>
      </c>
      <c r="AH114" s="2">
        <f>((EW114*1.15))</f>
        <v>362.26149999999996</v>
      </c>
      <c r="AI114" s="2">
        <f>((EX114*1.25))</f>
        <v>0.77500000000000002</v>
      </c>
      <c r="AJ114" s="2">
        <f t="shared" si="112"/>
        <v>0</v>
      </c>
      <c r="AK114" s="2">
        <v>12943.3</v>
      </c>
      <c r="AL114" s="2">
        <v>10100</v>
      </c>
      <c r="AM114" s="2">
        <v>52.31</v>
      </c>
      <c r="AN114" s="2">
        <v>7.67</v>
      </c>
      <c r="AO114" s="2">
        <v>2790.99</v>
      </c>
      <c r="AP114" s="2">
        <v>0</v>
      </c>
      <c r="AQ114" s="2">
        <v>315.01</v>
      </c>
      <c r="AR114" s="2">
        <v>0.62</v>
      </c>
      <c r="AS114" s="2">
        <v>0</v>
      </c>
      <c r="AT114" s="2">
        <v>95</v>
      </c>
      <c r="AU114" s="2">
        <v>55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236</v>
      </c>
      <c r="BK114" s="2"/>
      <c r="BL114" s="2"/>
      <c r="BM114" s="2">
        <v>6001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105</v>
      </c>
      <c r="CA114" s="2">
        <v>65</v>
      </c>
      <c r="CB114" s="2"/>
      <c r="CC114" s="2"/>
      <c r="CD114" s="2"/>
      <c r="CE114" s="2">
        <v>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766</v>
      </c>
      <c r="CO114" s="2">
        <v>0</v>
      </c>
      <c r="CP114" s="2">
        <f t="shared" si="113"/>
        <v>80.25</v>
      </c>
      <c r="CQ114" s="2">
        <f t="shared" si="114"/>
        <v>10100</v>
      </c>
      <c r="CR114" s="2">
        <f t="shared" si="115"/>
        <v>65.39</v>
      </c>
      <c r="CS114" s="2">
        <f t="shared" si="116"/>
        <v>9.59</v>
      </c>
      <c r="CT114" s="2">
        <f t="shared" si="117"/>
        <v>3209.64</v>
      </c>
      <c r="CU114" s="2">
        <f t="shared" si="118"/>
        <v>0</v>
      </c>
      <c r="CV114" s="2">
        <f t="shared" si="119"/>
        <v>362.26149999999996</v>
      </c>
      <c r="CW114" s="2">
        <f t="shared" si="120"/>
        <v>0.77500000000000002</v>
      </c>
      <c r="CX114" s="2">
        <f t="shared" si="121"/>
        <v>0</v>
      </c>
      <c r="CY114" s="2">
        <f t="shared" si="122"/>
        <v>18.353999999999999</v>
      </c>
      <c r="CZ114" s="2">
        <f t="shared" si="123"/>
        <v>10.625999999999999</v>
      </c>
      <c r="DA114" s="2"/>
      <c r="DB114" s="2"/>
      <c r="DC114" s="2" t="s">
        <v>6</v>
      </c>
      <c r="DD114" s="2" t="s">
        <v>6</v>
      </c>
      <c r="DE114" s="2" t="s">
        <v>27</v>
      </c>
      <c r="DF114" s="2" t="s">
        <v>27</v>
      </c>
      <c r="DG114" s="2" t="s">
        <v>28</v>
      </c>
      <c r="DH114" s="2" t="s">
        <v>6</v>
      </c>
      <c r="DI114" s="2" t="s">
        <v>28</v>
      </c>
      <c r="DJ114" s="2" t="s">
        <v>27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1009</v>
      </c>
      <c r="DV114" s="2" t="s">
        <v>65</v>
      </c>
      <c r="DW114" s="2" t="s">
        <v>65</v>
      </c>
      <c r="DX114" s="2">
        <v>1000</v>
      </c>
      <c r="DY114" s="2"/>
      <c r="DZ114" s="2"/>
      <c r="EA114" s="2"/>
      <c r="EB114" s="2"/>
      <c r="EC114" s="2"/>
      <c r="ED114" s="2"/>
      <c r="EE114" s="2">
        <v>27029010</v>
      </c>
      <c r="EF114" s="2">
        <v>2</v>
      </c>
      <c r="EG114" s="2" t="s">
        <v>18</v>
      </c>
      <c r="EH114" s="2">
        <v>0</v>
      </c>
      <c r="EI114" s="2" t="s">
        <v>6</v>
      </c>
      <c r="EJ114" s="2">
        <v>1</v>
      </c>
      <c r="EK114" s="2">
        <v>6001</v>
      </c>
      <c r="EL114" s="2" t="s">
        <v>237</v>
      </c>
      <c r="EM114" s="2" t="s">
        <v>238</v>
      </c>
      <c r="EN114" s="2"/>
      <c r="EO114" s="2" t="s">
        <v>31</v>
      </c>
      <c r="EP114" s="2"/>
      <c r="EQ114" s="2">
        <v>131072</v>
      </c>
      <c r="ER114" s="2">
        <v>12943.3</v>
      </c>
      <c r="ES114" s="2">
        <v>10100</v>
      </c>
      <c r="ET114" s="2">
        <v>52.31</v>
      </c>
      <c r="EU114" s="2">
        <v>7.67</v>
      </c>
      <c r="EV114" s="2">
        <v>2790.99</v>
      </c>
      <c r="EW114" s="2">
        <v>315.01</v>
      </c>
      <c r="EX114" s="2">
        <v>0.62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4"/>
        <v>0</v>
      </c>
      <c r="FS114" s="2">
        <v>0</v>
      </c>
      <c r="FT114" s="2" t="s">
        <v>21</v>
      </c>
      <c r="FU114" s="2" t="s">
        <v>22</v>
      </c>
      <c r="FV114" s="2"/>
      <c r="FW114" s="2"/>
      <c r="FX114" s="2">
        <v>94.5</v>
      </c>
      <c r="FY114" s="2">
        <v>55.25</v>
      </c>
      <c r="FZ114" s="2"/>
      <c r="GA114" s="2" t="s">
        <v>6</v>
      </c>
      <c r="GB114" s="2"/>
      <c r="GC114" s="2"/>
      <c r="GD114" s="2">
        <v>0</v>
      </c>
      <c r="GE114" s="2"/>
      <c r="GF114" s="2">
        <v>-78296918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25"/>
        <v>0</v>
      </c>
      <c r="GM114" s="2">
        <f t="shared" si="126"/>
        <v>109.23</v>
      </c>
      <c r="GN114" s="2">
        <f t="shared" si="127"/>
        <v>109.23</v>
      </c>
      <c r="GO114" s="2">
        <f t="shared" si="128"/>
        <v>0</v>
      </c>
      <c r="GP114" s="2">
        <f t="shared" si="129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0"/>
        <v>0</v>
      </c>
      <c r="GW114" s="2">
        <v>1</v>
      </c>
      <c r="GX114" s="2">
        <f t="shared" si="131"/>
        <v>0</v>
      </c>
      <c r="GY114" s="2"/>
      <c r="GZ114" s="2"/>
      <c r="HA114" s="2">
        <v>0</v>
      </c>
      <c r="HB114" s="2">
        <v>0</v>
      </c>
      <c r="HC114" s="2">
        <f t="shared" si="132"/>
        <v>0</v>
      </c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ROW(SmtRes!A302)</f>
        <v>302</v>
      </c>
      <c r="D115">
        <f>ROW(EtalonRes!A308)</f>
        <v>308</v>
      </c>
      <c r="E115" t="s">
        <v>233</v>
      </c>
      <c r="F115" t="s">
        <v>234</v>
      </c>
      <c r="G115" t="s">
        <v>235</v>
      </c>
      <c r="H115" t="s">
        <v>65</v>
      </c>
      <c r="I115">
        <v>6.0000000000000001E-3</v>
      </c>
      <c r="J115">
        <v>0</v>
      </c>
      <c r="O115">
        <f t="shared" si="99"/>
        <v>490.34</v>
      </c>
      <c r="P115">
        <f t="shared" si="100"/>
        <v>370.27</v>
      </c>
      <c r="Q115">
        <f t="shared" si="101"/>
        <v>2.4</v>
      </c>
      <c r="R115">
        <f t="shared" si="102"/>
        <v>0.35</v>
      </c>
      <c r="S115">
        <f t="shared" si="103"/>
        <v>117.67</v>
      </c>
      <c r="T115">
        <f t="shared" si="104"/>
        <v>0</v>
      </c>
      <c r="U115">
        <f t="shared" si="105"/>
        <v>2.1735689999999996</v>
      </c>
      <c r="V115">
        <f t="shared" si="106"/>
        <v>4.6500000000000005E-3</v>
      </c>
      <c r="W115">
        <f t="shared" si="107"/>
        <v>0</v>
      </c>
      <c r="X115">
        <f t="shared" si="108"/>
        <v>112.12</v>
      </c>
      <c r="Y115">
        <f t="shared" si="109"/>
        <v>64.91</v>
      </c>
      <c r="AA115">
        <v>27935368</v>
      </c>
      <c r="AB115">
        <f t="shared" si="110"/>
        <v>13375.03</v>
      </c>
      <c r="AC115">
        <f t="shared" si="140"/>
        <v>10100</v>
      </c>
      <c r="AD115">
        <f>ROUND(((((ET115*1.25))-((EU115*1.25)))+AE115),2)</f>
        <v>65.39</v>
      </c>
      <c r="AE115">
        <f>ROUND(((EU115*1.25)),2)</f>
        <v>9.59</v>
      </c>
      <c r="AF115">
        <f>ROUND(((EV115*1.15)),2)</f>
        <v>3209.64</v>
      </c>
      <c r="AG115">
        <f t="shared" si="111"/>
        <v>0</v>
      </c>
      <c r="AH115">
        <f>((EW115*1.15))</f>
        <v>362.26149999999996</v>
      </c>
      <c r="AI115">
        <f>((EX115*1.25))</f>
        <v>0.77500000000000002</v>
      </c>
      <c r="AJ115">
        <f t="shared" si="112"/>
        <v>0</v>
      </c>
      <c r="AK115">
        <v>12943.3</v>
      </c>
      <c r="AL115">
        <v>10100</v>
      </c>
      <c r="AM115">
        <v>52.31</v>
      </c>
      <c r="AN115">
        <v>7.67</v>
      </c>
      <c r="AO115">
        <v>2790.99</v>
      </c>
      <c r="AP115">
        <v>0</v>
      </c>
      <c r="AQ115">
        <v>315.01</v>
      </c>
      <c r="AR115">
        <v>0.62</v>
      </c>
      <c r="AS115">
        <v>0</v>
      </c>
      <c r="AT115">
        <v>95</v>
      </c>
      <c r="AU115">
        <v>55</v>
      </c>
      <c r="AV115">
        <v>1</v>
      </c>
      <c r="AW115">
        <v>1</v>
      </c>
      <c r="AZ115">
        <v>6.11</v>
      </c>
      <c r="BA115">
        <v>6.11</v>
      </c>
      <c r="BB115">
        <v>6.11</v>
      </c>
      <c r="BC115">
        <v>6.11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236</v>
      </c>
      <c r="BM115">
        <v>6001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6.11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65</v>
      </c>
      <c r="CE115">
        <v>0</v>
      </c>
      <c r="CF115">
        <v>0</v>
      </c>
      <c r="CG115">
        <v>0</v>
      </c>
      <c r="CM115">
        <v>0</v>
      </c>
      <c r="CN115" t="s">
        <v>766</v>
      </c>
      <c r="CO115">
        <v>0</v>
      </c>
      <c r="CP115">
        <f t="shared" si="113"/>
        <v>490.34</v>
      </c>
      <c r="CQ115">
        <f t="shared" si="114"/>
        <v>61711</v>
      </c>
      <c r="CR115">
        <f t="shared" si="115"/>
        <v>399.53290000000004</v>
      </c>
      <c r="CS115">
        <f t="shared" si="116"/>
        <v>58.594900000000003</v>
      </c>
      <c r="CT115">
        <f t="shared" si="117"/>
        <v>19610.900399999999</v>
      </c>
      <c r="CU115">
        <f t="shared" si="118"/>
        <v>0</v>
      </c>
      <c r="CV115">
        <f t="shared" si="119"/>
        <v>362.26149999999996</v>
      </c>
      <c r="CW115">
        <f t="shared" si="120"/>
        <v>0.77500000000000002</v>
      </c>
      <c r="CX115">
        <f t="shared" si="121"/>
        <v>0</v>
      </c>
      <c r="CY115">
        <f t="shared" si="122"/>
        <v>112.119</v>
      </c>
      <c r="CZ115">
        <f t="shared" si="123"/>
        <v>64.911000000000001</v>
      </c>
      <c r="DC115" t="s">
        <v>6</v>
      </c>
      <c r="DD115" t="s">
        <v>6</v>
      </c>
      <c r="DE115" t="s">
        <v>27</v>
      </c>
      <c r="DF115" t="s">
        <v>27</v>
      </c>
      <c r="DG115" t="s">
        <v>28</v>
      </c>
      <c r="DH115" t="s">
        <v>6</v>
      </c>
      <c r="DI115" t="s">
        <v>28</v>
      </c>
      <c r="DJ115" t="s">
        <v>27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65</v>
      </c>
      <c r="DW115" t="s">
        <v>65</v>
      </c>
      <c r="DX115">
        <v>1000</v>
      </c>
      <c r="EE115">
        <v>27029010</v>
      </c>
      <c r="EF115">
        <v>2</v>
      </c>
      <c r="EG115" t="s">
        <v>18</v>
      </c>
      <c r="EH115">
        <v>0</v>
      </c>
      <c r="EI115" t="s">
        <v>6</v>
      </c>
      <c r="EJ115">
        <v>1</v>
      </c>
      <c r="EK115">
        <v>6001</v>
      </c>
      <c r="EL115" t="s">
        <v>237</v>
      </c>
      <c r="EM115" t="s">
        <v>238</v>
      </c>
      <c r="EO115" t="s">
        <v>31</v>
      </c>
      <c r="EQ115">
        <v>131072</v>
      </c>
      <c r="ER115">
        <v>12943.3</v>
      </c>
      <c r="ES115">
        <v>10100</v>
      </c>
      <c r="ET115">
        <v>52.31</v>
      </c>
      <c r="EU115">
        <v>7.67</v>
      </c>
      <c r="EV115">
        <v>2790.99</v>
      </c>
      <c r="EW115">
        <v>315.01</v>
      </c>
      <c r="EX115">
        <v>0.62</v>
      </c>
      <c r="EY115">
        <v>0</v>
      </c>
      <c r="FQ115">
        <v>0</v>
      </c>
      <c r="FR115">
        <f t="shared" si="124"/>
        <v>0</v>
      </c>
      <c r="FS115">
        <v>0</v>
      </c>
      <c r="FT115" t="s">
        <v>21</v>
      </c>
      <c r="FU115" t="s">
        <v>22</v>
      </c>
      <c r="FX115">
        <v>94.5</v>
      </c>
      <c r="FY115">
        <v>55.25</v>
      </c>
      <c r="GA115" t="s">
        <v>6</v>
      </c>
      <c r="GD115">
        <v>0</v>
      </c>
      <c r="GF115">
        <v>-78296918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25"/>
        <v>0</v>
      </c>
      <c r="GM115">
        <f t="shared" si="126"/>
        <v>667.37</v>
      </c>
      <c r="GN115">
        <f t="shared" si="127"/>
        <v>667.37</v>
      </c>
      <c r="GO115">
        <f t="shared" si="128"/>
        <v>0</v>
      </c>
      <c r="GP115">
        <f t="shared" si="129"/>
        <v>0</v>
      </c>
      <c r="GR115">
        <v>0</v>
      </c>
      <c r="GS115">
        <v>3</v>
      </c>
      <c r="GT115">
        <v>0</v>
      </c>
      <c r="GU115" t="s">
        <v>6</v>
      </c>
      <c r="GV115">
        <f t="shared" si="130"/>
        <v>0</v>
      </c>
      <c r="GW115">
        <v>1</v>
      </c>
      <c r="GX115">
        <f t="shared" si="131"/>
        <v>0</v>
      </c>
      <c r="HA115">
        <v>0</v>
      </c>
      <c r="HB115">
        <v>0</v>
      </c>
      <c r="HC115">
        <f t="shared" si="132"/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ROW(SmtRes!A308)</f>
        <v>308</v>
      </c>
      <c r="D116" s="2">
        <f>ROW(EtalonRes!A314)</f>
        <v>314</v>
      </c>
      <c r="E116" s="2" t="s">
        <v>239</v>
      </c>
      <c r="F116" s="2" t="s">
        <v>240</v>
      </c>
      <c r="G116" s="2" t="s">
        <v>241</v>
      </c>
      <c r="H116" s="2" t="s">
        <v>242</v>
      </c>
      <c r="I116" s="2">
        <f>ROUND(1/100,9)</f>
        <v>0.01</v>
      </c>
      <c r="J116" s="2">
        <v>0</v>
      </c>
      <c r="K116" s="2"/>
      <c r="L116" s="2"/>
      <c r="M116" s="2"/>
      <c r="N116" s="2"/>
      <c r="O116" s="2">
        <f t="shared" si="99"/>
        <v>73.91</v>
      </c>
      <c r="P116" s="2">
        <f t="shared" si="100"/>
        <v>61.65</v>
      </c>
      <c r="Q116" s="2">
        <f t="shared" si="101"/>
        <v>9.7200000000000006</v>
      </c>
      <c r="R116" s="2">
        <f t="shared" si="102"/>
        <v>3.07</v>
      </c>
      <c r="S116" s="2">
        <f t="shared" si="103"/>
        <v>2.54</v>
      </c>
      <c r="T116" s="2">
        <f t="shared" si="104"/>
        <v>0</v>
      </c>
      <c r="U116" s="2">
        <f t="shared" si="105"/>
        <v>0.26400000000000001</v>
      </c>
      <c r="V116" s="2">
        <f t="shared" si="106"/>
        <v>0.26500000000000001</v>
      </c>
      <c r="W116" s="2">
        <f t="shared" si="107"/>
        <v>0</v>
      </c>
      <c r="X116" s="2">
        <f t="shared" si="108"/>
        <v>5.55</v>
      </c>
      <c r="Y116" s="2">
        <f t="shared" si="109"/>
        <v>3.37</v>
      </c>
      <c r="Z116" s="2"/>
      <c r="AA116" s="2">
        <v>27935367</v>
      </c>
      <c r="AB116" s="2">
        <f t="shared" si="110"/>
        <v>7390.4</v>
      </c>
      <c r="AC116" s="2">
        <f t="shared" si="140"/>
        <v>6164.76</v>
      </c>
      <c r="AD116" s="2">
        <f>ROUND((((ET116)-(EU116))+AE116),2)</f>
        <v>971.67</v>
      </c>
      <c r="AE116" s="2">
        <f>ROUND((EU116),2)</f>
        <v>307.39999999999998</v>
      </c>
      <c r="AF116" s="2">
        <f>ROUND((EV116),2)</f>
        <v>253.97</v>
      </c>
      <c r="AG116" s="2">
        <f t="shared" si="111"/>
        <v>0</v>
      </c>
      <c r="AH116" s="2">
        <f>(EW116)</f>
        <v>26.4</v>
      </c>
      <c r="AI116" s="2">
        <f>(EX116)</f>
        <v>26.5</v>
      </c>
      <c r="AJ116" s="2">
        <f t="shared" si="112"/>
        <v>0</v>
      </c>
      <c r="AK116" s="2">
        <v>7390.4</v>
      </c>
      <c r="AL116" s="2">
        <v>6164.76</v>
      </c>
      <c r="AM116" s="2">
        <v>971.67</v>
      </c>
      <c r="AN116" s="2">
        <v>307.39999999999998</v>
      </c>
      <c r="AO116" s="2">
        <v>253.97</v>
      </c>
      <c r="AP116" s="2">
        <v>0</v>
      </c>
      <c r="AQ116" s="2">
        <v>26.4</v>
      </c>
      <c r="AR116" s="2">
        <v>26.5</v>
      </c>
      <c r="AS116" s="2">
        <v>0</v>
      </c>
      <c r="AT116" s="2">
        <v>99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0</v>
      </c>
      <c r="BI116" s="2">
        <v>1</v>
      </c>
      <c r="BJ116" s="2" t="s">
        <v>243</v>
      </c>
      <c r="BK116" s="2"/>
      <c r="BL116" s="2"/>
      <c r="BM116" s="2">
        <v>46001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110</v>
      </c>
      <c r="CA116" s="2">
        <v>70</v>
      </c>
      <c r="CB116" s="2"/>
      <c r="CC116" s="2"/>
      <c r="CD116" s="2"/>
      <c r="CE116" s="2">
        <v>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13"/>
        <v>73.910000000000011</v>
      </c>
      <c r="CQ116" s="2">
        <f t="shared" si="114"/>
        <v>6164.76</v>
      </c>
      <c r="CR116" s="2">
        <f t="shared" si="115"/>
        <v>971.67</v>
      </c>
      <c r="CS116" s="2">
        <f t="shared" si="116"/>
        <v>307.39999999999998</v>
      </c>
      <c r="CT116" s="2">
        <f t="shared" si="117"/>
        <v>253.97</v>
      </c>
      <c r="CU116" s="2">
        <f t="shared" si="118"/>
        <v>0</v>
      </c>
      <c r="CV116" s="2">
        <f t="shared" si="119"/>
        <v>26.4</v>
      </c>
      <c r="CW116" s="2">
        <f t="shared" si="120"/>
        <v>26.5</v>
      </c>
      <c r="CX116" s="2">
        <f t="shared" si="121"/>
        <v>0</v>
      </c>
      <c r="CY116" s="2">
        <f t="shared" si="122"/>
        <v>5.5538999999999996</v>
      </c>
      <c r="CZ116" s="2">
        <f t="shared" si="123"/>
        <v>3.3659999999999997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242</v>
      </c>
      <c r="DW116" s="2" t="s">
        <v>242</v>
      </c>
      <c r="DX116" s="2">
        <v>1</v>
      </c>
      <c r="DY116" s="2"/>
      <c r="DZ116" s="2"/>
      <c r="EA116" s="2"/>
      <c r="EB116" s="2"/>
      <c r="EC116" s="2"/>
      <c r="ED116" s="2"/>
      <c r="EE116" s="2">
        <v>27029091</v>
      </c>
      <c r="EF116" s="2">
        <v>2</v>
      </c>
      <c r="EG116" s="2" t="s">
        <v>18</v>
      </c>
      <c r="EH116" s="2">
        <v>0</v>
      </c>
      <c r="EI116" s="2" t="s">
        <v>6</v>
      </c>
      <c r="EJ116" s="2">
        <v>1</v>
      </c>
      <c r="EK116" s="2">
        <v>46001</v>
      </c>
      <c r="EL116" s="2" t="s">
        <v>19</v>
      </c>
      <c r="EM116" s="2" t="s">
        <v>20</v>
      </c>
      <c r="EN116" s="2"/>
      <c r="EO116" s="2" t="s">
        <v>6</v>
      </c>
      <c r="EP116" s="2"/>
      <c r="EQ116" s="2">
        <v>131072</v>
      </c>
      <c r="ER116" s="2">
        <v>7390.4</v>
      </c>
      <c r="ES116" s="2">
        <v>6164.76</v>
      </c>
      <c r="ET116" s="2">
        <v>971.67</v>
      </c>
      <c r="EU116" s="2">
        <v>307.39999999999998</v>
      </c>
      <c r="EV116" s="2">
        <v>253.97</v>
      </c>
      <c r="EW116" s="2">
        <v>26.4</v>
      </c>
      <c r="EX116" s="2">
        <v>26.5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4"/>
        <v>0</v>
      </c>
      <c r="FS116" s="2">
        <v>0</v>
      </c>
      <c r="FT116" s="2" t="s">
        <v>21</v>
      </c>
      <c r="FU116" s="2" t="s">
        <v>22</v>
      </c>
      <c r="FV116" s="2"/>
      <c r="FW116" s="2"/>
      <c r="FX116" s="2">
        <v>99</v>
      </c>
      <c r="FY116" s="2">
        <v>59.5</v>
      </c>
      <c r="FZ116" s="2"/>
      <c r="GA116" s="2" t="s">
        <v>6</v>
      </c>
      <c r="GB116" s="2"/>
      <c r="GC116" s="2"/>
      <c r="GD116" s="2">
        <v>0</v>
      </c>
      <c r="GE116" s="2"/>
      <c r="GF116" s="2">
        <v>1182717789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25"/>
        <v>0</v>
      </c>
      <c r="GM116" s="2">
        <f t="shared" si="126"/>
        <v>82.83</v>
      </c>
      <c r="GN116" s="2">
        <f t="shared" si="127"/>
        <v>82.83</v>
      </c>
      <c r="GO116" s="2">
        <f t="shared" si="128"/>
        <v>0</v>
      </c>
      <c r="GP116" s="2">
        <f t="shared" si="129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30"/>
        <v>0</v>
      </c>
      <c r="GW116" s="2">
        <v>1</v>
      </c>
      <c r="GX116" s="2">
        <f t="shared" si="131"/>
        <v>0</v>
      </c>
      <c r="GY116" s="2"/>
      <c r="GZ116" s="2"/>
      <c r="HA116" s="2">
        <v>0</v>
      </c>
      <c r="HB116" s="2">
        <v>0</v>
      </c>
      <c r="HC116" s="2">
        <f t="shared" si="132"/>
        <v>0</v>
      </c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ROW(SmtRes!A314)</f>
        <v>314</v>
      </c>
      <c r="D117">
        <f>ROW(EtalonRes!A320)</f>
        <v>320</v>
      </c>
      <c r="E117" t="s">
        <v>239</v>
      </c>
      <c r="F117" t="s">
        <v>240</v>
      </c>
      <c r="G117" t="s">
        <v>241</v>
      </c>
      <c r="H117" t="s">
        <v>242</v>
      </c>
      <c r="I117">
        <f>ROUND(1/100,9)</f>
        <v>0.01</v>
      </c>
      <c r="J117">
        <v>0</v>
      </c>
      <c r="O117">
        <f t="shared" si="99"/>
        <v>451.56</v>
      </c>
      <c r="P117">
        <f t="shared" si="100"/>
        <v>376.67</v>
      </c>
      <c r="Q117">
        <f t="shared" si="101"/>
        <v>59.37</v>
      </c>
      <c r="R117">
        <f t="shared" si="102"/>
        <v>18.78</v>
      </c>
      <c r="S117">
        <f t="shared" si="103"/>
        <v>15.52</v>
      </c>
      <c r="T117">
        <f t="shared" si="104"/>
        <v>0</v>
      </c>
      <c r="U117">
        <f t="shared" si="105"/>
        <v>0.26400000000000001</v>
      </c>
      <c r="V117">
        <f t="shared" si="106"/>
        <v>0.26500000000000001</v>
      </c>
      <c r="W117">
        <f t="shared" si="107"/>
        <v>0</v>
      </c>
      <c r="X117">
        <f t="shared" si="108"/>
        <v>33.96</v>
      </c>
      <c r="Y117">
        <f t="shared" si="109"/>
        <v>20.58</v>
      </c>
      <c r="AA117">
        <v>27935368</v>
      </c>
      <c r="AB117">
        <f t="shared" si="110"/>
        <v>7390.4</v>
      </c>
      <c r="AC117">
        <f t="shared" si="140"/>
        <v>6164.76</v>
      </c>
      <c r="AD117">
        <f>ROUND((((ET117)-(EU117))+AE117),2)</f>
        <v>971.67</v>
      </c>
      <c r="AE117">
        <f>ROUND((EU117),2)</f>
        <v>307.39999999999998</v>
      </c>
      <c r="AF117">
        <f>ROUND((EV117),2)</f>
        <v>253.97</v>
      </c>
      <c r="AG117">
        <f t="shared" si="111"/>
        <v>0</v>
      </c>
      <c r="AH117">
        <f>(EW117)</f>
        <v>26.4</v>
      </c>
      <c r="AI117">
        <f>(EX117)</f>
        <v>26.5</v>
      </c>
      <c r="AJ117">
        <f t="shared" si="112"/>
        <v>0</v>
      </c>
      <c r="AK117">
        <v>7390.4</v>
      </c>
      <c r="AL117">
        <v>6164.76</v>
      </c>
      <c r="AM117">
        <v>971.67</v>
      </c>
      <c r="AN117">
        <v>307.39999999999998</v>
      </c>
      <c r="AO117">
        <v>253.97</v>
      </c>
      <c r="AP117">
        <v>0</v>
      </c>
      <c r="AQ117">
        <v>26.4</v>
      </c>
      <c r="AR117">
        <v>26.5</v>
      </c>
      <c r="AS117">
        <v>0</v>
      </c>
      <c r="AT117">
        <v>99</v>
      </c>
      <c r="AU117">
        <v>60</v>
      </c>
      <c r="AV117">
        <v>1</v>
      </c>
      <c r="AW117">
        <v>1</v>
      </c>
      <c r="AZ117">
        <v>6.11</v>
      </c>
      <c r="BA117">
        <v>6.11</v>
      </c>
      <c r="BB117">
        <v>6.11</v>
      </c>
      <c r="BC117">
        <v>6.11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243</v>
      </c>
      <c r="BM117">
        <v>46001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6.11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110</v>
      </c>
      <c r="CA117">
        <v>70</v>
      </c>
      <c r="CE117">
        <v>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13"/>
        <v>451.56</v>
      </c>
      <c r="CQ117">
        <f t="shared" si="114"/>
        <v>37666.683600000004</v>
      </c>
      <c r="CR117">
        <f t="shared" si="115"/>
        <v>5936.9036999999998</v>
      </c>
      <c r="CS117">
        <f t="shared" si="116"/>
        <v>1878.2139999999999</v>
      </c>
      <c r="CT117">
        <f t="shared" si="117"/>
        <v>1551.7567000000001</v>
      </c>
      <c r="CU117">
        <f t="shared" si="118"/>
        <v>0</v>
      </c>
      <c r="CV117">
        <f t="shared" si="119"/>
        <v>26.4</v>
      </c>
      <c r="CW117">
        <f t="shared" si="120"/>
        <v>26.5</v>
      </c>
      <c r="CX117">
        <f t="shared" si="121"/>
        <v>0</v>
      </c>
      <c r="CY117">
        <f t="shared" si="122"/>
        <v>33.957000000000001</v>
      </c>
      <c r="CZ117">
        <f t="shared" si="123"/>
        <v>20.58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242</v>
      </c>
      <c r="DW117" t="s">
        <v>242</v>
      </c>
      <c r="DX117">
        <v>1</v>
      </c>
      <c r="EE117">
        <v>27029091</v>
      </c>
      <c r="EF117">
        <v>2</v>
      </c>
      <c r="EG117" t="s">
        <v>18</v>
      </c>
      <c r="EH117">
        <v>0</v>
      </c>
      <c r="EI117" t="s">
        <v>6</v>
      </c>
      <c r="EJ117">
        <v>1</v>
      </c>
      <c r="EK117">
        <v>46001</v>
      </c>
      <c r="EL117" t="s">
        <v>19</v>
      </c>
      <c r="EM117" t="s">
        <v>20</v>
      </c>
      <c r="EO117" t="s">
        <v>6</v>
      </c>
      <c r="EQ117">
        <v>131072</v>
      </c>
      <c r="ER117">
        <v>7390.4</v>
      </c>
      <c r="ES117">
        <v>6164.76</v>
      </c>
      <c r="ET117">
        <v>971.67</v>
      </c>
      <c r="EU117">
        <v>307.39999999999998</v>
      </c>
      <c r="EV117">
        <v>253.97</v>
      </c>
      <c r="EW117">
        <v>26.4</v>
      </c>
      <c r="EX117">
        <v>26.5</v>
      </c>
      <c r="EY117">
        <v>0</v>
      </c>
      <c r="FQ117">
        <v>0</v>
      </c>
      <c r="FR117">
        <f t="shared" si="124"/>
        <v>0</v>
      </c>
      <c r="FS117">
        <v>0</v>
      </c>
      <c r="FT117" t="s">
        <v>21</v>
      </c>
      <c r="FU117" t="s">
        <v>22</v>
      </c>
      <c r="FX117">
        <v>99</v>
      </c>
      <c r="FY117">
        <v>59.5</v>
      </c>
      <c r="GA117" t="s">
        <v>6</v>
      </c>
      <c r="GD117">
        <v>0</v>
      </c>
      <c r="GF117">
        <v>1182717789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25"/>
        <v>0</v>
      </c>
      <c r="GM117">
        <f t="shared" si="126"/>
        <v>506.1</v>
      </c>
      <c r="GN117">
        <f t="shared" si="127"/>
        <v>506.1</v>
      </c>
      <c r="GO117">
        <f t="shared" si="128"/>
        <v>0</v>
      </c>
      <c r="GP117">
        <f t="shared" si="129"/>
        <v>0</v>
      </c>
      <c r="GR117">
        <v>0</v>
      </c>
      <c r="GS117">
        <v>3</v>
      </c>
      <c r="GT117">
        <v>0</v>
      </c>
      <c r="GU117" t="s">
        <v>6</v>
      </c>
      <c r="GV117">
        <f t="shared" si="130"/>
        <v>0</v>
      </c>
      <c r="GW117">
        <v>1</v>
      </c>
      <c r="GX117">
        <f t="shared" si="131"/>
        <v>0</v>
      </c>
      <c r="HA117">
        <v>0</v>
      </c>
      <c r="HB117">
        <v>0</v>
      </c>
      <c r="HC117">
        <f t="shared" si="132"/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ROW(SmtRes!A319)</f>
        <v>319</v>
      </c>
      <c r="D118" s="2">
        <f>ROW(EtalonRes!A325)</f>
        <v>325</v>
      </c>
      <c r="E118" s="2" t="s">
        <v>244</v>
      </c>
      <c r="F118" s="2" t="s">
        <v>245</v>
      </c>
      <c r="G118" s="2" t="s">
        <v>246</v>
      </c>
      <c r="H118" s="2" t="s">
        <v>242</v>
      </c>
      <c r="I118" s="2">
        <f>ROUND(1/100,9)</f>
        <v>0.01</v>
      </c>
      <c r="J118" s="2">
        <v>0</v>
      </c>
      <c r="K118" s="2"/>
      <c r="L118" s="2"/>
      <c r="M118" s="2"/>
      <c r="N118" s="2"/>
      <c r="O118" s="2">
        <f t="shared" si="99"/>
        <v>55.7</v>
      </c>
      <c r="P118" s="2">
        <f t="shared" si="100"/>
        <v>46.24</v>
      </c>
      <c r="Q118" s="2">
        <f t="shared" si="101"/>
        <v>6.43</v>
      </c>
      <c r="R118" s="2">
        <f t="shared" si="102"/>
        <v>2.16</v>
      </c>
      <c r="S118" s="2">
        <f t="shared" si="103"/>
        <v>3.03</v>
      </c>
      <c r="T118" s="2">
        <f t="shared" si="104"/>
        <v>0</v>
      </c>
      <c r="U118" s="2">
        <f t="shared" si="105"/>
        <v>0.315</v>
      </c>
      <c r="V118" s="2">
        <f t="shared" si="106"/>
        <v>0.18600000000000003</v>
      </c>
      <c r="W118" s="2">
        <f t="shared" si="107"/>
        <v>0</v>
      </c>
      <c r="X118" s="2">
        <f t="shared" si="108"/>
        <v>5.14</v>
      </c>
      <c r="Y118" s="2">
        <f t="shared" si="109"/>
        <v>3.11</v>
      </c>
      <c r="Z118" s="2"/>
      <c r="AA118" s="2">
        <v>27935367</v>
      </c>
      <c r="AB118" s="2">
        <f t="shared" si="110"/>
        <v>5569.2</v>
      </c>
      <c r="AC118" s="2">
        <f>ROUND(((ES118*15)),2)</f>
        <v>4623.6000000000004</v>
      </c>
      <c r="AD118" s="2">
        <f>ROUND(((((ET118*15))-((EU118*15)))+AE118),2)</f>
        <v>642.6</v>
      </c>
      <c r="AE118" s="2">
        <f>ROUND(((EU118*15)),2)</f>
        <v>215.7</v>
      </c>
      <c r="AF118" s="2">
        <f>ROUND(((EV118*15)),2)</f>
        <v>303</v>
      </c>
      <c r="AG118" s="2">
        <f t="shared" si="111"/>
        <v>0</v>
      </c>
      <c r="AH118" s="2">
        <f>((EW118*15))</f>
        <v>31.5</v>
      </c>
      <c r="AI118" s="2">
        <f>((EX118*15))</f>
        <v>18.600000000000001</v>
      </c>
      <c r="AJ118" s="2">
        <f t="shared" si="112"/>
        <v>0</v>
      </c>
      <c r="AK118" s="2">
        <v>371.28</v>
      </c>
      <c r="AL118" s="2">
        <v>308.24</v>
      </c>
      <c r="AM118" s="2">
        <v>42.84</v>
      </c>
      <c r="AN118" s="2">
        <v>14.38</v>
      </c>
      <c r="AO118" s="2">
        <v>20.2</v>
      </c>
      <c r="AP118" s="2">
        <v>0</v>
      </c>
      <c r="AQ118" s="2">
        <v>2.1</v>
      </c>
      <c r="AR118" s="2">
        <v>1.24</v>
      </c>
      <c r="AS118" s="2">
        <v>0</v>
      </c>
      <c r="AT118" s="2">
        <v>99</v>
      </c>
      <c r="AU118" s="2">
        <v>60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0</v>
      </c>
      <c r="BI118" s="2">
        <v>1</v>
      </c>
      <c r="BJ118" s="2" t="s">
        <v>247</v>
      </c>
      <c r="BK118" s="2"/>
      <c r="BL118" s="2"/>
      <c r="BM118" s="2">
        <v>46001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110</v>
      </c>
      <c r="CA118" s="2">
        <v>70</v>
      </c>
      <c r="CB118" s="2"/>
      <c r="CC118" s="2"/>
      <c r="CD118" s="2"/>
      <c r="CE118" s="2">
        <v>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13"/>
        <v>55.7</v>
      </c>
      <c r="CQ118" s="2">
        <f t="shared" si="114"/>
        <v>4623.6000000000004</v>
      </c>
      <c r="CR118" s="2">
        <f t="shared" si="115"/>
        <v>642.6</v>
      </c>
      <c r="CS118" s="2">
        <f t="shared" si="116"/>
        <v>215.7</v>
      </c>
      <c r="CT118" s="2">
        <f t="shared" si="117"/>
        <v>303</v>
      </c>
      <c r="CU118" s="2">
        <f t="shared" si="118"/>
        <v>0</v>
      </c>
      <c r="CV118" s="2">
        <f t="shared" si="119"/>
        <v>31.5</v>
      </c>
      <c r="CW118" s="2">
        <f t="shared" si="120"/>
        <v>18.600000000000001</v>
      </c>
      <c r="CX118" s="2">
        <f t="shared" si="121"/>
        <v>0</v>
      </c>
      <c r="CY118" s="2">
        <f t="shared" si="122"/>
        <v>5.1380999999999997</v>
      </c>
      <c r="CZ118" s="2">
        <f t="shared" si="123"/>
        <v>3.1139999999999999</v>
      </c>
      <c r="DA118" s="2"/>
      <c r="DB118" s="2"/>
      <c r="DC118" s="2" t="s">
        <v>6</v>
      </c>
      <c r="DD118" s="2" t="s">
        <v>248</v>
      </c>
      <c r="DE118" s="2" t="s">
        <v>248</v>
      </c>
      <c r="DF118" s="2" t="s">
        <v>248</v>
      </c>
      <c r="DG118" s="2" t="s">
        <v>248</v>
      </c>
      <c r="DH118" s="2" t="s">
        <v>6</v>
      </c>
      <c r="DI118" s="2" t="s">
        <v>248</v>
      </c>
      <c r="DJ118" s="2" t="s">
        <v>248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242</v>
      </c>
      <c r="DW118" s="2" t="s">
        <v>242</v>
      </c>
      <c r="DX118" s="2">
        <v>1</v>
      </c>
      <c r="DY118" s="2"/>
      <c r="DZ118" s="2"/>
      <c r="EA118" s="2"/>
      <c r="EB118" s="2"/>
      <c r="EC118" s="2"/>
      <c r="ED118" s="2"/>
      <c r="EE118" s="2">
        <v>27029091</v>
      </c>
      <c r="EF118" s="2">
        <v>2</v>
      </c>
      <c r="EG118" s="2" t="s">
        <v>18</v>
      </c>
      <c r="EH118" s="2">
        <v>0</v>
      </c>
      <c r="EI118" s="2" t="s">
        <v>6</v>
      </c>
      <c r="EJ118" s="2">
        <v>1</v>
      </c>
      <c r="EK118" s="2">
        <v>46001</v>
      </c>
      <c r="EL118" s="2" t="s">
        <v>19</v>
      </c>
      <c r="EM118" s="2" t="s">
        <v>20</v>
      </c>
      <c r="EN118" s="2"/>
      <c r="EO118" s="2" t="s">
        <v>6</v>
      </c>
      <c r="EP118" s="2"/>
      <c r="EQ118" s="2">
        <v>131072</v>
      </c>
      <c r="ER118" s="2">
        <v>371.28</v>
      </c>
      <c r="ES118" s="2">
        <v>308.24</v>
      </c>
      <c r="ET118" s="2">
        <v>42.84</v>
      </c>
      <c r="EU118" s="2">
        <v>14.38</v>
      </c>
      <c r="EV118" s="2">
        <v>20.2</v>
      </c>
      <c r="EW118" s="2">
        <v>2.1</v>
      </c>
      <c r="EX118" s="2">
        <v>1.24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4"/>
        <v>0</v>
      </c>
      <c r="FS118" s="2">
        <v>0</v>
      </c>
      <c r="FT118" s="2" t="s">
        <v>21</v>
      </c>
      <c r="FU118" s="2" t="s">
        <v>22</v>
      </c>
      <c r="FV118" s="2"/>
      <c r="FW118" s="2"/>
      <c r="FX118" s="2">
        <v>99</v>
      </c>
      <c r="FY118" s="2">
        <v>59.5</v>
      </c>
      <c r="FZ118" s="2"/>
      <c r="GA118" s="2" t="s">
        <v>6</v>
      </c>
      <c r="GB118" s="2"/>
      <c r="GC118" s="2"/>
      <c r="GD118" s="2">
        <v>0</v>
      </c>
      <c r="GE118" s="2"/>
      <c r="GF118" s="2">
        <v>486251178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25"/>
        <v>0</v>
      </c>
      <c r="GM118" s="2">
        <f t="shared" si="126"/>
        <v>63.95</v>
      </c>
      <c r="GN118" s="2">
        <f t="shared" si="127"/>
        <v>63.95</v>
      </c>
      <c r="GO118" s="2">
        <f t="shared" si="128"/>
        <v>0</v>
      </c>
      <c r="GP118" s="2">
        <f t="shared" si="129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0"/>
        <v>0</v>
      </c>
      <c r="GW118" s="2">
        <v>1</v>
      </c>
      <c r="GX118" s="2">
        <f t="shared" si="131"/>
        <v>0</v>
      </c>
      <c r="GY118" s="2"/>
      <c r="GZ118" s="2"/>
      <c r="HA118" s="2">
        <v>0</v>
      </c>
      <c r="HB118" s="2">
        <v>0</v>
      </c>
      <c r="HC118" s="2">
        <f t="shared" si="132"/>
        <v>0</v>
      </c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ROW(SmtRes!A324)</f>
        <v>324</v>
      </c>
      <c r="D119">
        <f>ROW(EtalonRes!A330)</f>
        <v>330</v>
      </c>
      <c r="E119" t="s">
        <v>244</v>
      </c>
      <c r="F119" t="s">
        <v>245</v>
      </c>
      <c r="G119" t="s">
        <v>246</v>
      </c>
      <c r="H119" t="s">
        <v>242</v>
      </c>
      <c r="I119">
        <f>ROUND(1/100,9)</f>
        <v>0.01</v>
      </c>
      <c r="J119">
        <v>0</v>
      </c>
      <c r="O119">
        <f t="shared" si="99"/>
        <v>340.27</v>
      </c>
      <c r="P119">
        <f t="shared" si="100"/>
        <v>282.5</v>
      </c>
      <c r="Q119">
        <f t="shared" si="101"/>
        <v>39.26</v>
      </c>
      <c r="R119">
        <f t="shared" si="102"/>
        <v>13.18</v>
      </c>
      <c r="S119">
        <f t="shared" si="103"/>
        <v>18.510000000000002</v>
      </c>
      <c r="T119">
        <f t="shared" si="104"/>
        <v>0</v>
      </c>
      <c r="U119">
        <f t="shared" si="105"/>
        <v>0.315</v>
      </c>
      <c r="V119">
        <f t="shared" si="106"/>
        <v>0.18600000000000003</v>
      </c>
      <c r="W119">
        <f t="shared" si="107"/>
        <v>0</v>
      </c>
      <c r="X119">
        <f t="shared" si="108"/>
        <v>31.37</v>
      </c>
      <c r="Y119">
        <f t="shared" si="109"/>
        <v>19.010000000000002</v>
      </c>
      <c r="AA119">
        <v>27935368</v>
      </c>
      <c r="AB119">
        <f t="shared" si="110"/>
        <v>5569.2</v>
      </c>
      <c r="AC119">
        <f>ROUND(((ES119*15)),2)</f>
        <v>4623.6000000000004</v>
      </c>
      <c r="AD119">
        <f>ROUND(((((ET119*15))-((EU119*15)))+AE119),2)</f>
        <v>642.6</v>
      </c>
      <c r="AE119">
        <f>ROUND(((EU119*15)),2)</f>
        <v>215.7</v>
      </c>
      <c r="AF119">
        <f>ROUND(((EV119*15)),2)</f>
        <v>303</v>
      </c>
      <c r="AG119">
        <f t="shared" si="111"/>
        <v>0</v>
      </c>
      <c r="AH119">
        <f>((EW119*15))</f>
        <v>31.5</v>
      </c>
      <c r="AI119">
        <f>((EX119*15))</f>
        <v>18.600000000000001</v>
      </c>
      <c r="AJ119">
        <f t="shared" si="112"/>
        <v>0</v>
      </c>
      <c r="AK119">
        <v>371.28</v>
      </c>
      <c r="AL119">
        <v>308.24</v>
      </c>
      <c r="AM119">
        <v>42.84</v>
      </c>
      <c r="AN119">
        <v>14.38</v>
      </c>
      <c r="AO119">
        <v>20.2</v>
      </c>
      <c r="AP119">
        <v>0</v>
      </c>
      <c r="AQ119">
        <v>2.1</v>
      </c>
      <c r="AR119">
        <v>1.24</v>
      </c>
      <c r="AS119">
        <v>0</v>
      </c>
      <c r="AT119">
        <v>99</v>
      </c>
      <c r="AU119">
        <v>60</v>
      </c>
      <c r="AV119">
        <v>1</v>
      </c>
      <c r="AW119">
        <v>1</v>
      </c>
      <c r="AZ119">
        <v>6.11</v>
      </c>
      <c r="BA119">
        <v>6.11</v>
      </c>
      <c r="BB119">
        <v>6.11</v>
      </c>
      <c r="BC119">
        <v>6.11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247</v>
      </c>
      <c r="BM119">
        <v>46001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6.11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110</v>
      </c>
      <c r="CA119">
        <v>70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13"/>
        <v>340.27</v>
      </c>
      <c r="CQ119">
        <f t="shared" si="114"/>
        <v>28250.196000000004</v>
      </c>
      <c r="CR119">
        <f t="shared" si="115"/>
        <v>3926.2860000000005</v>
      </c>
      <c r="CS119">
        <f t="shared" si="116"/>
        <v>1317.9269999999999</v>
      </c>
      <c r="CT119">
        <f t="shared" si="117"/>
        <v>1851.3300000000002</v>
      </c>
      <c r="CU119">
        <f t="shared" si="118"/>
        <v>0</v>
      </c>
      <c r="CV119">
        <f t="shared" si="119"/>
        <v>31.5</v>
      </c>
      <c r="CW119">
        <f t="shared" si="120"/>
        <v>18.600000000000001</v>
      </c>
      <c r="CX119">
        <f t="shared" si="121"/>
        <v>0</v>
      </c>
      <c r="CY119">
        <f t="shared" si="122"/>
        <v>31.373100000000001</v>
      </c>
      <c r="CZ119">
        <f t="shared" si="123"/>
        <v>19.013999999999999</v>
      </c>
      <c r="DC119" t="s">
        <v>6</v>
      </c>
      <c r="DD119" t="s">
        <v>248</v>
      </c>
      <c r="DE119" t="s">
        <v>248</v>
      </c>
      <c r="DF119" t="s">
        <v>248</v>
      </c>
      <c r="DG119" t="s">
        <v>248</v>
      </c>
      <c r="DH119" t="s">
        <v>6</v>
      </c>
      <c r="DI119" t="s">
        <v>248</v>
      </c>
      <c r="DJ119" t="s">
        <v>248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242</v>
      </c>
      <c r="DW119" t="s">
        <v>242</v>
      </c>
      <c r="DX119">
        <v>1</v>
      </c>
      <c r="EE119">
        <v>27029091</v>
      </c>
      <c r="EF119">
        <v>2</v>
      </c>
      <c r="EG119" t="s">
        <v>18</v>
      </c>
      <c r="EH119">
        <v>0</v>
      </c>
      <c r="EI119" t="s">
        <v>6</v>
      </c>
      <c r="EJ119">
        <v>1</v>
      </c>
      <c r="EK119">
        <v>46001</v>
      </c>
      <c r="EL119" t="s">
        <v>19</v>
      </c>
      <c r="EM119" t="s">
        <v>20</v>
      </c>
      <c r="EO119" t="s">
        <v>6</v>
      </c>
      <c r="EQ119">
        <v>131072</v>
      </c>
      <c r="ER119">
        <v>371.28</v>
      </c>
      <c r="ES119">
        <v>308.24</v>
      </c>
      <c r="ET119">
        <v>42.84</v>
      </c>
      <c r="EU119">
        <v>14.38</v>
      </c>
      <c r="EV119">
        <v>20.2</v>
      </c>
      <c r="EW119">
        <v>2.1</v>
      </c>
      <c r="EX119">
        <v>1.24</v>
      </c>
      <c r="EY119">
        <v>0</v>
      </c>
      <c r="FQ119">
        <v>0</v>
      </c>
      <c r="FR119">
        <f t="shared" si="124"/>
        <v>0</v>
      </c>
      <c r="FS119">
        <v>0</v>
      </c>
      <c r="FT119" t="s">
        <v>21</v>
      </c>
      <c r="FU119" t="s">
        <v>22</v>
      </c>
      <c r="FX119">
        <v>99</v>
      </c>
      <c r="FY119">
        <v>59.5</v>
      </c>
      <c r="GA119" t="s">
        <v>6</v>
      </c>
      <c r="GD119">
        <v>0</v>
      </c>
      <c r="GF119">
        <v>486251178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25"/>
        <v>0</v>
      </c>
      <c r="GM119">
        <f t="shared" si="126"/>
        <v>390.65</v>
      </c>
      <c r="GN119">
        <f t="shared" si="127"/>
        <v>390.65</v>
      </c>
      <c r="GO119">
        <f t="shared" si="128"/>
        <v>0</v>
      </c>
      <c r="GP119">
        <f t="shared" si="129"/>
        <v>0</v>
      </c>
      <c r="GR119">
        <v>0</v>
      </c>
      <c r="GS119">
        <v>3</v>
      </c>
      <c r="GT119">
        <v>0</v>
      </c>
      <c r="GU119" t="s">
        <v>6</v>
      </c>
      <c r="GV119">
        <f t="shared" si="130"/>
        <v>0</v>
      </c>
      <c r="GW119">
        <v>1</v>
      </c>
      <c r="GX119">
        <f t="shared" si="131"/>
        <v>0</v>
      </c>
      <c r="HA119">
        <v>0</v>
      </c>
      <c r="HB119">
        <v>0</v>
      </c>
      <c r="HC119">
        <f t="shared" si="132"/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ROW(SmtRes!A335)</f>
        <v>335</v>
      </c>
      <c r="D120" s="2">
        <f>ROW(EtalonRes!A341)</f>
        <v>341</v>
      </c>
      <c r="E120" s="2" t="s">
        <v>249</v>
      </c>
      <c r="F120" s="2" t="s">
        <v>250</v>
      </c>
      <c r="G120" s="2" t="s">
        <v>251</v>
      </c>
      <c r="H120" s="2" t="s">
        <v>133</v>
      </c>
      <c r="I120" s="2">
        <v>3.0000000000000001E-3</v>
      </c>
      <c r="J120" s="2">
        <v>0</v>
      </c>
      <c r="K120" s="2"/>
      <c r="L120" s="2"/>
      <c r="M120" s="2"/>
      <c r="N120" s="2"/>
      <c r="O120" s="2">
        <f t="shared" si="99"/>
        <v>3.69</v>
      </c>
      <c r="P120" s="2">
        <f t="shared" si="100"/>
        <v>1.78</v>
      </c>
      <c r="Q120" s="2">
        <f t="shared" si="101"/>
        <v>0.08</v>
      </c>
      <c r="R120" s="2">
        <f t="shared" si="102"/>
        <v>0.01</v>
      </c>
      <c r="S120" s="2">
        <f t="shared" si="103"/>
        <v>1.83</v>
      </c>
      <c r="T120" s="2">
        <f t="shared" si="104"/>
        <v>0</v>
      </c>
      <c r="U120" s="2">
        <f t="shared" si="105"/>
        <v>0.22566</v>
      </c>
      <c r="V120" s="2">
        <f t="shared" si="106"/>
        <v>1.2000000000000001E-3</v>
      </c>
      <c r="W120" s="2">
        <f t="shared" si="107"/>
        <v>0</v>
      </c>
      <c r="X120" s="2">
        <f t="shared" si="108"/>
        <v>1.82</v>
      </c>
      <c r="Y120" s="2">
        <f t="shared" si="109"/>
        <v>1.1000000000000001</v>
      </c>
      <c r="Z120" s="2"/>
      <c r="AA120" s="2">
        <v>27935367</v>
      </c>
      <c r="AB120" s="2">
        <f t="shared" ref="AB120:AB123" si="141">ROUND((AC120+AD120+AF120),2)</f>
        <v>1229.96</v>
      </c>
      <c r="AC120" s="2">
        <f>ROUND((ES120),2)</f>
        <v>594.79</v>
      </c>
      <c r="AD120" s="2">
        <f>ROUND((((ET120)-(EU120))+AE120),2)</f>
        <v>26.64</v>
      </c>
      <c r="AE120" s="2">
        <f t="shared" ref="AE120:AF123" si="142">ROUND((EU120),2)</f>
        <v>4.6399999999999997</v>
      </c>
      <c r="AF120" s="2">
        <f t="shared" si="142"/>
        <v>608.53</v>
      </c>
      <c r="AG120" s="2">
        <f t="shared" si="111"/>
        <v>0</v>
      </c>
      <c r="AH120" s="2">
        <f t="shared" ref="AH120:AI123" si="143">(EW120)</f>
        <v>75.22</v>
      </c>
      <c r="AI120" s="2">
        <f t="shared" si="143"/>
        <v>0.4</v>
      </c>
      <c r="AJ120" s="2">
        <f t="shared" si="112"/>
        <v>0</v>
      </c>
      <c r="AK120" s="2">
        <v>1229.96</v>
      </c>
      <c r="AL120" s="2">
        <v>594.79</v>
      </c>
      <c r="AM120" s="2">
        <v>26.64</v>
      </c>
      <c r="AN120" s="2">
        <v>4.6399999999999997</v>
      </c>
      <c r="AO120" s="2">
        <v>608.53</v>
      </c>
      <c r="AP120" s="2">
        <v>0</v>
      </c>
      <c r="AQ120" s="2">
        <v>75.22</v>
      </c>
      <c r="AR120" s="2">
        <v>0.4</v>
      </c>
      <c r="AS120" s="2">
        <v>0</v>
      </c>
      <c r="AT120" s="2">
        <v>99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252</v>
      </c>
      <c r="BK120" s="2"/>
      <c r="BL120" s="2"/>
      <c r="BM120" s="2">
        <v>46001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110</v>
      </c>
      <c r="CA120" s="2">
        <v>70</v>
      </c>
      <c r="CB120" s="2"/>
      <c r="CC120" s="2"/>
      <c r="CD120" s="2"/>
      <c r="CE120" s="2">
        <v>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113"/>
        <v>3.6900000000000004</v>
      </c>
      <c r="CQ120" s="2">
        <f t="shared" si="114"/>
        <v>594.79</v>
      </c>
      <c r="CR120" s="2">
        <f t="shared" si="115"/>
        <v>26.64</v>
      </c>
      <c r="CS120" s="2">
        <f t="shared" si="116"/>
        <v>4.6399999999999997</v>
      </c>
      <c r="CT120" s="2">
        <f t="shared" si="117"/>
        <v>608.53</v>
      </c>
      <c r="CU120" s="2">
        <f t="shared" si="118"/>
        <v>0</v>
      </c>
      <c r="CV120" s="2">
        <f t="shared" si="119"/>
        <v>75.22</v>
      </c>
      <c r="CW120" s="2">
        <f t="shared" si="120"/>
        <v>0.4</v>
      </c>
      <c r="CX120" s="2">
        <f t="shared" si="121"/>
        <v>0</v>
      </c>
      <c r="CY120" s="2">
        <f t="shared" si="122"/>
        <v>1.8215999999999999</v>
      </c>
      <c r="CZ120" s="2">
        <f t="shared" si="123"/>
        <v>1.1040000000000001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1007</v>
      </c>
      <c r="DV120" s="2" t="s">
        <v>133</v>
      </c>
      <c r="DW120" s="2" t="s">
        <v>133</v>
      </c>
      <c r="DX120" s="2">
        <v>1</v>
      </c>
      <c r="DY120" s="2"/>
      <c r="DZ120" s="2"/>
      <c r="EA120" s="2"/>
      <c r="EB120" s="2"/>
      <c r="EC120" s="2"/>
      <c r="ED120" s="2"/>
      <c r="EE120" s="2">
        <v>27029091</v>
      </c>
      <c r="EF120" s="2">
        <v>2</v>
      </c>
      <c r="EG120" s="2" t="s">
        <v>18</v>
      </c>
      <c r="EH120" s="2">
        <v>0</v>
      </c>
      <c r="EI120" s="2" t="s">
        <v>6</v>
      </c>
      <c r="EJ120" s="2">
        <v>1</v>
      </c>
      <c r="EK120" s="2">
        <v>46001</v>
      </c>
      <c r="EL120" s="2" t="s">
        <v>19</v>
      </c>
      <c r="EM120" s="2" t="s">
        <v>20</v>
      </c>
      <c r="EN120" s="2"/>
      <c r="EO120" s="2" t="s">
        <v>6</v>
      </c>
      <c r="EP120" s="2"/>
      <c r="EQ120" s="2">
        <v>131072</v>
      </c>
      <c r="ER120" s="2">
        <v>1229.96</v>
      </c>
      <c r="ES120" s="2">
        <v>594.79</v>
      </c>
      <c r="ET120" s="2">
        <v>26.64</v>
      </c>
      <c r="EU120" s="2">
        <v>4.6399999999999997</v>
      </c>
      <c r="EV120" s="2">
        <v>608.53</v>
      </c>
      <c r="EW120" s="2">
        <v>75.22</v>
      </c>
      <c r="EX120" s="2">
        <v>0.4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ref="FR120:FR155" si="144">ROUND(IF(AND(BH120=3,BI120=3),P120,0),2)</f>
        <v>0</v>
      </c>
      <c r="FS120" s="2">
        <v>0</v>
      </c>
      <c r="FT120" s="2" t="s">
        <v>21</v>
      </c>
      <c r="FU120" s="2" t="s">
        <v>22</v>
      </c>
      <c r="FV120" s="2"/>
      <c r="FW120" s="2"/>
      <c r="FX120" s="2">
        <v>99</v>
      </c>
      <c r="FY120" s="2">
        <v>59.5</v>
      </c>
      <c r="FZ120" s="2"/>
      <c r="GA120" s="2" t="s">
        <v>6</v>
      </c>
      <c r="GB120" s="2"/>
      <c r="GC120" s="2"/>
      <c r="GD120" s="2">
        <v>0</v>
      </c>
      <c r="GE120" s="2"/>
      <c r="GF120" s="2">
        <v>490078010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ref="GL120:GL155" si="145">ROUND(IF(AND(BH120=3,BI120=3,FS120&lt;&gt;0),P120,0),2)</f>
        <v>0</v>
      </c>
      <c r="GM120" s="2">
        <f t="shared" si="126"/>
        <v>6.61</v>
      </c>
      <c r="GN120" s="2">
        <f t="shared" si="127"/>
        <v>6.61</v>
      </c>
      <c r="GO120" s="2">
        <f t="shared" si="128"/>
        <v>0</v>
      </c>
      <c r="GP120" s="2">
        <f t="shared" si="129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0"/>
        <v>0</v>
      </c>
      <c r="GW120" s="2">
        <v>1</v>
      </c>
      <c r="GX120" s="2">
        <f t="shared" si="131"/>
        <v>0</v>
      </c>
      <c r="GY120" s="2"/>
      <c r="GZ120" s="2"/>
      <c r="HA120" s="2">
        <v>0</v>
      </c>
      <c r="HB120" s="2">
        <v>0</v>
      </c>
      <c r="HC120" s="2">
        <f t="shared" si="132"/>
        <v>0</v>
      </c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ROW(SmtRes!A346)</f>
        <v>346</v>
      </c>
      <c r="D121">
        <f>ROW(EtalonRes!A352)</f>
        <v>352</v>
      </c>
      <c r="E121" t="s">
        <v>249</v>
      </c>
      <c r="F121" t="s">
        <v>250</v>
      </c>
      <c r="G121" t="s">
        <v>251</v>
      </c>
      <c r="H121" t="s">
        <v>133</v>
      </c>
      <c r="I121">
        <v>3.0000000000000001E-3</v>
      </c>
      <c r="J121">
        <v>0</v>
      </c>
      <c r="O121">
        <f t="shared" si="99"/>
        <v>22.54</v>
      </c>
      <c r="P121">
        <f t="shared" si="100"/>
        <v>10.9</v>
      </c>
      <c r="Q121">
        <f t="shared" si="101"/>
        <v>0.49</v>
      </c>
      <c r="R121">
        <f t="shared" si="102"/>
        <v>0.09</v>
      </c>
      <c r="S121">
        <f t="shared" si="103"/>
        <v>11.15</v>
      </c>
      <c r="T121">
        <f t="shared" si="104"/>
        <v>0</v>
      </c>
      <c r="U121">
        <f t="shared" si="105"/>
        <v>0.22566</v>
      </c>
      <c r="V121">
        <f t="shared" si="106"/>
        <v>1.2000000000000001E-3</v>
      </c>
      <c r="W121">
        <f t="shared" si="107"/>
        <v>0</v>
      </c>
      <c r="X121">
        <f t="shared" si="108"/>
        <v>11.13</v>
      </c>
      <c r="Y121">
        <f t="shared" si="109"/>
        <v>6.74</v>
      </c>
      <c r="AA121">
        <v>27935368</v>
      </c>
      <c r="AB121">
        <f t="shared" si="141"/>
        <v>1229.96</v>
      </c>
      <c r="AC121">
        <f>ROUND((ES121),2)</f>
        <v>594.79</v>
      </c>
      <c r="AD121">
        <f>ROUND((((ET121)-(EU121))+AE121),2)</f>
        <v>26.64</v>
      </c>
      <c r="AE121">
        <f t="shared" si="142"/>
        <v>4.6399999999999997</v>
      </c>
      <c r="AF121">
        <f t="shared" si="142"/>
        <v>608.53</v>
      </c>
      <c r="AG121">
        <f t="shared" si="111"/>
        <v>0</v>
      </c>
      <c r="AH121">
        <f t="shared" si="143"/>
        <v>75.22</v>
      </c>
      <c r="AI121">
        <f t="shared" si="143"/>
        <v>0.4</v>
      </c>
      <c r="AJ121">
        <f t="shared" si="112"/>
        <v>0</v>
      </c>
      <c r="AK121">
        <v>1229.96</v>
      </c>
      <c r="AL121">
        <v>594.79</v>
      </c>
      <c r="AM121">
        <v>26.64</v>
      </c>
      <c r="AN121">
        <v>4.6399999999999997</v>
      </c>
      <c r="AO121">
        <v>608.53</v>
      </c>
      <c r="AP121">
        <v>0</v>
      </c>
      <c r="AQ121">
        <v>75.22</v>
      </c>
      <c r="AR121">
        <v>0.4</v>
      </c>
      <c r="AS121">
        <v>0</v>
      </c>
      <c r="AT121">
        <v>99</v>
      </c>
      <c r="AU121">
        <v>60</v>
      </c>
      <c r="AV121">
        <v>1</v>
      </c>
      <c r="AW121">
        <v>1</v>
      </c>
      <c r="AZ121">
        <v>6.11</v>
      </c>
      <c r="BA121">
        <v>6.11</v>
      </c>
      <c r="BB121">
        <v>6.11</v>
      </c>
      <c r="BC121">
        <v>6.11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252</v>
      </c>
      <c r="BM121">
        <v>46001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6.11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110</v>
      </c>
      <c r="CA121">
        <v>70</v>
      </c>
      <c r="CE121">
        <v>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13"/>
        <v>22.54</v>
      </c>
      <c r="CQ121">
        <f t="shared" si="114"/>
        <v>3634.1669000000002</v>
      </c>
      <c r="CR121">
        <f t="shared" si="115"/>
        <v>162.77040000000002</v>
      </c>
      <c r="CS121">
        <f t="shared" si="116"/>
        <v>28.3504</v>
      </c>
      <c r="CT121">
        <f t="shared" si="117"/>
        <v>3718.1183000000001</v>
      </c>
      <c r="CU121">
        <f t="shared" si="118"/>
        <v>0</v>
      </c>
      <c r="CV121">
        <f t="shared" si="119"/>
        <v>75.22</v>
      </c>
      <c r="CW121">
        <f t="shared" si="120"/>
        <v>0.4</v>
      </c>
      <c r="CX121">
        <f t="shared" si="121"/>
        <v>0</v>
      </c>
      <c r="CY121">
        <f t="shared" si="122"/>
        <v>11.127599999999999</v>
      </c>
      <c r="CZ121">
        <f t="shared" si="123"/>
        <v>6.7439999999999998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133</v>
      </c>
      <c r="DW121" t="s">
        <v>133</v>
      </c>
      <c r="DX121">
        <v>1</v>
      </c>
      <c r="EE121">
        <v>27029091</v>
      </c>
      <c r="EF121">
        <v>2</v>
      </c>
      <c r="EG121" t="s">
        <v>18</v>
      </c>
      <c r="EH121">
        <v>0</v>
      </c>
      <c r="EI121" t="s">
        <v>6</v>
      </c>
      <c r="EJ121">
        <v>1</v>
      </c>
      <c r="EK121">
        <v>46001</v>
      </c>
      <c r="EL121" t="s">
        <v>19</v>
      </c>
      <c r="EM121" t="s">
        <v>20</v>
      </c>
      <c r="EO121" t="s">
        <v>6</v>
      </c>
      <c r="EQ121">
        <v>131072</v>
      </c>
      <c r="ER121">
        <v>1229.96</v>
      </c>
      <c r="ES121">
        <v>594.79</v>
      </c>
      <c r="ET121">
        <v>26.64</v>
      </c>
      <c r="EU121">
        <v>4.6399999999999997</v>
      </c>
      <c r="EV121">
        <v>608.53</v>
      </c>
      <c r="EW121">
        <v>75.22</v>
      </c>
      <c r="EX121">
        <v>0.4</v>
      </c>
      <c r="EY121">
        <v>0</v>
      </c>
      <c r="FQ121">
        <v>0</v>
      </c>
      <c r="FR121">
        <f t="shared" si="144"/>
        <v>0</v>
      </c>
      <c r="FS121">
        <v>0</v>
      </c>
      <c r="FT121" t="s">
        <v>21</v>
      </c>
      <c r="FU121" t="s">
        <v>22</v>
      </c>
      <c r="FX121">
        <v>99</v>
      </c>
      <c r="FY121">
        <v>59.5</v>
      </c>
      <c r="GA121" t="s">
        <v>6</v>
      </c>
      <c r="GD121">
        <v>0</v>
      </c>
      <c r="GF121">
        <v>490078010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45"/>
        <v>0</v>
      </c>
      <c r="GM121">
        <f t="shared" si="126"/>
        <v>40.409999999999997</v>
      </c>
      <c r="GN121">
        <f t="shared" si="127"/>
        <v>40.409999999999997</v>
      </c>
      <c r="GO121">
        <f t="shared" si="128"/>
        <v>0</v>
      </c>
      <c r="GP121">
        <f t="shared" si="129"/>
        <v>0</v>
      </c>
      <c r="GR121">
        <v>0</v>
      </c>
      <c r="GS121">
        <v>3</v>
      </c>
      <c r="GT121">
        <v>0</v>
      </c>
      <c r="GU121" t="s">
        <v>6</v>
      </c>
      <c r="GV121">
        <f t="shared" si="130"/>
        <v>0</v>
      </c>
      <c r="GW121">
        <v>1</v>
      </c>
      <c r="GX121">
        <f t="shared" si="131"/>
        <v>0</v>
      </c>
      <c r="HA121">
        <v>0</v>
      </c>
      <c r="HB121">
        <v>0</v>
      </c>
      <c r="HC121">
        <f t="shared" si="132"/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332</v>
      </c>
      <c r="D122" s="2"/>
      <c r="E122" s="2" t="s">
        <v>253</v>
      </c>
      <c r="F122" s="2" t="s">
        <v>254</v>
      </c>
      <c r="G122" s="2" t="s">
        <v>255</v>
      </c>
      <c r="H122" s="2" t="s">
        <v>133</v>
      </c>
      <c r="I122" s="2">
        <f>I120*J122</f>
        <v>3.1200000000000004E-3</v>
      </c>
      <c r="J122" s="2">
        <v>1.04</v>
      </c>
      <c r="K122" s="2"/>
      <c r="L122" s="2"/>
      <c r="M122" s="2"/>
      <c r="N122" s="2"/>
      <c r="O122" s="2">
        <f t="shared" si="99"/>
        <v>1.62</v>
      </c>
      <c r="P122" s="2">
        <f t="shared" si="100"/>
        <v>1.62</v>
      </c>
      <c r="Q122" s="2">
        <f t="shared" si="101"/>
        <v>0</v>
      </c>
      <c r="R122" s="2">
        <f t="shared" si="102"/>
        <v>0</v>
      </c>
      <c r="S122" s="2">
        <f t="shared" si="103"/>
        <v>0</v>
      </c>
      <c r="T122" s="2">
        <f t="shared" si="104"/>
        <v>0</v>
      </c>
      <c r="U122" s="2">
        <f t="shared" si="105"/>
        <v>0</v>
      </c>
      <c r="V122" s="2">
        <f t="shared" si="106"/>
        <v>0</v>
      </c>
      <c r="W122" s="2">
        <f t="shared" si="107"/>
        <v>0</v>
      </c>
      <c r="X122" s="2">
        <f t="shared" si="108"/>
        <v>0</v>
      </c>
      <c r="Y122" s="2">
        <f t="shared" si="109"/>
        <v>0</v>
      </c>
      <c r="Z122" s="2"/>
      <c r="AA122" s="2">
        <v>27935367</v>
      </c>
      <c r="AB122" s="2">
        <f t="shared" si="141"/>
        <v>519.79999999999995</v>
      </c>
      <c r="AC122" s="2">
        <f>ROUND((ES122),2)</f>
        <v>519.79999999999995</v>
      </c>
      <c r="AD122" s="2">
        <f>ROUND((((ET122)-(EU122))+AE122),2)</f>
        <v>0</v>
      </c>
      <c r="AE122" s="2">
        <f t="shared" si="142"/>
        <v>0</v>
      </c>
      <c r="AF122" s="2">
        <f t="shared" si="142"/>
        <v>0</v>
      </c>
      <c r="AG122" s="2">
        <f t="shared" si="111"/>
        <v>0</v>
      </c>
      <c r="AH122" s="2">
        <f t="shared" si="143"/>
        <v>0</v>
      </c>
      <c r="AI122" s="2">
        <f t="shared" si="143"/>
        <v>0</v>
      </c>
      <c r="AJ122" s="2">
        <f t="shared" si="112"/>
        <v>0</v>
      </c>
      <c r="AK122" s="2">
        <v>519.79999999999995</v>
      </c>
      <c r="AL122" s="2">
        <v>519.79999999999995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99</v>
      </c>
      <c r="AU122" s="2">
        <v>60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3</v>
      </c>
      <c r="BI122" s="2">
        <v>1</v>
      </c>
      <c r="BJ122" s="2" t="s">
        <v>256</v>
      </c>
      <c r="BK122" s="2"/>
      <c r="BL122" s="2"/>
      <c r="BM122" s="2">
        <v>46001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110</v>
      </c>
      <c r="CA122" s="2">
        <v>70</v>
      </c>
      <c r="CB122" s="2"/>
      <c r="CC122" s="2"/>
      <c r="CD122" s="2"/>
      <c r="CE122" s="2">
        <v>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13"/>
        <v>1.62</v>
      </c>
      <c r="CQ122" s="2">
        <f t="shared" si="114"/>
        <v>519.79999999999995</v>
      </c>
      <c r="CR122" s="2">
        <f t="shared" si="115"/>
        <v>0</v>
      </c>
      <c r="CS122" s="2">
        <f t="shared" si="116"/>
        <v>0</v>
      </c>
      <c r="CT122" s="2">
        <f t="shared" si="117"/>
        <v>0</v>
      </c>
      <c r="CU122" s="2">
        <f t="shared" si="118"/>
        <v>0</v>
      </c>
      <c r="CV122" s="2">
        <f t="shared" si="119"/>
        <v>0</v>
      </c>
      <c r="CW122" s="2">
        <f t="shared" si="120"/>
        <v>0</v>
      </c>
      <c r="CX122" s="2">
        <f t="shared" si="121"/>
        <v>0</v>
      </c>
      <c r="CY122" s="2">
        <f t="shared" si="122"/>
        <v>0</v>
      </c>
      <c r="CZ122" s="2">
        <f t="shared" si="123"/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1007</v>
      </c>
      <c r="DV122" s="2" t="s">
        <v>133</v>
      </c>
      <c r="DW122" s="2" t="s">
        <v>133</v>
      </c>
      <c r="DX122" s="2">
        <v>1</v>
      </c>
      <c r="DY122" s="2"/>
      <c r="DZ122" s="2"/>
      <c r="EA122" s="2"/>
      <c r="EB122" s="2"/>
      <c r="EC122" s="2"/>
      <c r="ED122" s="2"/>
      <c r="EE122" s="2">
        <v>27029091</v>
      </c>
      <c r="EF122" s="2">
        <v>2</v>
      </c>
      <c r="EG122" s="2" t="s">
        <v>18</v>
      </c>
      <c r="EH122" s="2">
        <v>0</v>
      </c>
      <c r="EI122" s="2" t="s">
        <v>6</v>
      </c>
      <c r="EJ122" s="2">
        <v>1</v>
      </c>
      <c r="EK122" s="2">
        <v>46001</v>
      </c>
      <c r="EL122" s="2" t="s">
        <v>19</v>
      </c>
      <c r="EM122" s="2" t="s">
        <v>20</v>
      </c>
      <c r="EN122" s="2"/>
      <c r="EO122" s="2" t="s">
        <v>6</v>
      </c>
      <c r="EP122" s="2"/>
      <c r="EQ122" s="2">
        <v>0</v>
      </c>
      <c r="ER122" s="2">
        <v>519.79999999999995</v>
      </c>
      <c r="ES122" s="2">
        <v>519.79999999999995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44"/>
        <v>0</v>
      </c>
      <c r="FS122" s="2">
        <v>0</v>
      </c>
      <c r="FT122" s="2" t="s">
        <v>21</v>
      </c>
      <c r="FU122" s="2" t="s">
        <v>22</v>
      </c>
      <c r="FV122" s="2"/>
      <c r="FW122" s="2"/>
      <c r="FX122" s="2">
        <v>99</v>
      </c>
      <c r="FY122" s="2">
        <v>59.5</v>
      </c>
      <c r="FZ122" s="2"/>
      <c r="GA122" s="2" t="s">
        <v>6</v>
      </c>
      <c r="GB122" s="2"/>
      <c r="GC122" s="2"/>
      <c r="GD122" s="2">
        <v>0</v>
      </c>
      <c r="GE122" s="2"/>
      <c r="GF122" s="2">
        <v>1059503882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45"/>
        <v>0</v>
      </c>
      <c r="GM122" s="2">
        <f t="shared" si="126"/>
        <v>1.62</v>
      </c>
      <c r="GN122" s="2">
        <f t="shared" si="127"/>
        <v>1.62</v>
      </c>
      <c r="GO122" s="2">
        <f t="shared" si="128"/>
        <v>0</v>
      </c>
      <c r="GP122" s="2">
        <f t="shared" si="129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30"/>
        <v>0</v>
      </c>
      <c r="GW122" s="2">
        <v>1</v>
      </c>
      <c r="GX122" s="2">
        <f t="shared" si="131"/>
        <v>0</v>
      </c>
      <c r="GY122" s="2"/>
      <c r="GZ122" s="2"/>
      <c r="HA122" s="2">
        <v>0</v>
      </c>
      <c r="HB122" s="2">
        <v>0</v>
      </c>
      <c r="HC122" s="2">
        <f t="shared" si="132"/>
        <v>0</v>
      </c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343</v>
      </c>
      <c r="E123" t="s">
        <v>253</v>
      </c>
      <c r="F123" t="s">
        <v>254</v>
      </c>
      <c r="G123" t="s">
        <v>255</v>
      </c>
      <c r="H123" t="s">
        <v>133</v>
      </c>
      <c r="I123">
        <f>I121*J123</f>
        <v>3.1200000000000004E-3</v>
      </c>
      <c r="J123">
        <v>1.04</v>
      </c>
      <c r="O123">
        <f t="shared" si="99"/>
        <v>9.91</v>
      </c>
      <c r="P123">
        <f t="shared" si="100"/>
        <v>9.91</v>
      </c>
      <c r="Q123">
        <f t="shared" si="101"/>
        <v>0</v>
      </c>
      <c r="R123">
        <f t="shared" si="102"/>
        <v>0</v>
      </c>
      <c r="S123">
        <f t="shared" si="103"/>
        <v>0</v>
      </c>
      <c r="T123">
        <f t="shared" si="104"/>
        <v>0</v>
      </c>
      <c r="U123">
        <f t="shared" si="105"/>
        <v>0</v>
      </c>
      <c r="V123">
        <f t="shared" si="106"/>
        <v>0</v>
      </c>
      <c r="W123">
        <f t="shared" si="107"/>
        <v>0</v>
      </c>
      <c r="X123">
        <f t="shared" si="108"/>
        <v>0</v>
      </c>
      <c r="Y123">
        <f t="shared" si="109"/>
        <v>0</v>
      </c>
      <c r="AA123">
        <v>27935368</v>
      </c>
      <c r="AB123">
        <f t="shared" si="141"/>
        <v>519.79999999999995</v>
      </c>
      <c r="AC123">
        <f>ROUND((ES123),2)</f>
        <v>519.79999999999995</v>
      </c>
      <c r="AD123">
        <f>ROUND((((ET123)-(EU123))+AE123),2)</f>
        <v>0</v>
      </c>
      <c r="AE123">
        <f t="shared" si="142"/>
        <v>0</v>
      </c>
      <c r="AF123">
        <f t="shared" si="142"/>
        <v>0</v>
      </c>
      <c r="AG123">
        <f t="shared" si="111"/>
        <v>0</v>
      </c>
      <c r="AH123">
        <f t="shared" si="143"/>
        <v>0</v>
      </c>
      <c r="AI123">
        <f t="shared" si="143"/>
        <v>0</v>
      </c>
      <c r="AJ123">
        <f t="shared" si="112"/>
        <v>0</v>
      </c>
      <c r="AK123">
        <v>519.79999999999995</v>
      </c>
      <c r="AL123">
        <v>519.79999999999995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99</v>
      </c>
      <c r="AU123">
        <v>60</v>
      </c>
      <c r="AV123">
        <v>1</v>
      </c>
      <c r="AW123">
        <v>1</v>
      </c>
      <c r="AZ123">
        <v>6.11</v>
      </c>
      <c r="BA123">
        <v>1</v>
      </c>
      <c r="BB123">
        <v>1</v>
      </c>
      <c r="BC123">
        <v>6.11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256</v>
      </c>
      <c r="BM123">
        <v>46001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110</v>
      </c>
      <c r="CA123">
        <v>70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13"/>
        <v>9.91</v>
      </c>
      <c r="CQ123">
        <f t="shared" si="114"/>
        <v>3175.9780000000001</v>
      </c>
      <c r="CR123">
        <f t="shared" si="115"/>
        <v>0</v>
      </c>
      <c r="CS123">
        <f t="shared" si="116"/>
        <v>0</v>
      </c>
      <c r="CT123">
        <f t="shared" si="117"/>
        <v>0</v>
      </c>
      <c r="CU123">
        <f t="shared" si="118"/>
        <v>0</v>
      </c>
      <c r="CV123">
        <f t="shared" si="119"/>
        <v>0</v>
      </c>
      <c r="CW123">
        <f t="shared" si="120"/>
        <v>0</v>
      </c>
      <c r="CX123">
        <f t="shared" si="121"/>
        <v>0</v>
      </c>
      <c r="CY123">
        <f t="shared" si="122"/>
        <v>0</v>
      </c>
      <c r="CZ123">
        <f t="shared" si="123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1007</v>
      </c>
      <c r="DV123" t="s">
        <v>133</v>
      </c>
      <c r="DW123" t="s">
        <v>133</v>
      </c>
      <c r="DX123">
        <v>1</v>
      </c>
      <c r="EE123">
        <v>27029091</v>
      </c>
      <c r="EF123">
        <v>2</v>
      </c>
      <c r="EG123" t="s">
        <v>18</v>
      </c>
      <c r="EH123">
        <v>0</v>
      </c>
      <c r="EI123" t="s">
        <v>6</v>
      </c>
      <c r="EJ123">
        <v>1</v>
      </c>
      <c r="EK123">
        <v>46001</v>
      </c>
      <c r="EL123" t="s">
        <v>19</v>
      </c>
      <c r="EM123" t="s">
        <v>20</v>
      </c>
      <c r="EO123" t="s">
        <v>6</v>
      </c>
      <c r="EQ123">
        <v>0</v>
      </c>
      <c r="ER123">
        <v>519.79999999999995</v>
      </c>
      <c r="ES123">
        <v>519.79999999999995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44"/>
        <v>0</v>
      </c>
      <c r="FS123">
        <v>0</v>
      </c>
      <c r="FT123" t="s">
        <v>21</v>
      </c>
      <c r="FU123" t="s">
        <v>22</v>
      </c>
      <c r="FX123">
        <v>99</v>
      </c>
      <c r="FY123">
        <v>59.5</v>
      </c>
      <c r="GA123" t="s">
        <v>6</v>
      </c>
      <c r="GD123">
        <v>0</v>
      </c>
      <c r="GF123">
        <v>1059503882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45"/>
        <v>0</v>
      </c>
      <c r="GM123">
        <f t="shared" si="126"/>
        <v>9.91</v>
      </c>
      <c r="GN123">
        <f t="shared" si="127"/>
        <v>9.91</v>
      </c>
      <c r="GO123">
        <f t="shared" si="128"/>
        <v>0</v>
      </c>
      <c r="GP123">
        <f t="shared" si="129"/>
        <v>0</v>
      </c>
      <c r="GR123">
        <v>0</v>
      </c>
      <c r="GS123">
        <v>3</v>
      </c>
      <c r="GT123">
        <v>0</v>
      </c>
      <c r="GU123" t="s">
        <v>6</v>
      </c>
      <c r="GV123">
        <f t="shared" si="130"/>
        <v>0</v>
      </c>
      <c r="GW123">
        <v>1</v>
      </c>
      <c r="GX123">
        <f t="shared" si="131"/>
        <v>0</v>
      </c>
      <c r="HA123">
        <v>0</v>
      </c>
      <c r="HB123">
        <v>0</v>
      </c>
      <c r="HC123">
        <f t="shared" si="132"/>
        <v>0</v>
      </c>
      <c r="IK123">
        <v>0</v>
      </c>
    </row>
    <row r="124" spans="1:255" x14ac:dyDescent="0.2">
      <c r="A124" s="2">
        <v>17</v>
      </c>
      <c r="B124" s="2">
        <v>1</v>
      </c>
      <c r="C124" s="2"/>
      <c r="D124" s="2"/>
      <c r="E124" s="2" t="s">
        <v>257</v>
      </c>
      <c r="F124" s="2" t="s">
        <v>258</v>
      </c>
      <c r="G124" s="2" t="s">
        <v>259</v>
      </c>
      <c r="H124" s="2" t="s">
        <v>260</v>
      </c>
      <c r="I124" s="2">
        <v>3.88</v>
      </c>
      <c r="J124" s="2">
        <v>0</v>
      </c>
      <c r="K124" s="2"/>
      <c r="L124" s="2"/>
      <c r="M124" s="2"/>
      <c r="N124" s="2"/>
      <c r="O124" s="2">
        <f>0</f>
        <v>0</v>
      </c>
      <c r="P124" s="2">
        <f>0</f>
        <v>0</v>
      </c>
      <c r="Q124" s="2">
        <f>0</f>
        <v>0</v>
      </c>
      <c r="R124" s="2">
        <f>0</f>
        <v>0</v>
      </c>
      <c r="S124" s="2">
        <f>0</f>
        <v>0</v>
      </c>
      <c r="T124" s="2">
        <f>0</f>
        <v>0</v>
      </c>
      <c r="U124" s="2">
        <f>0</f>
        <v>0</v>
      </c>
      <c r="V124" s="2">
        <f>0</f>
        <v>0</v>
      </c>
      <c r="W124" s="2">
        <f>0</f>
        <v>0</v>
      </c>
      <c r="X124" s="2">
        <f>0</f>
        <v>0</v>
      </c>
      <c r="Y124" s="2">
        <f>0</f>
        <v>0</v>
      </c>
      <c r="Z124" s="2"/>
      <c r="AA124" s="2">
        <v>27935367</v>
      </c>
      <c r="AB124" s="2">
        <f>ROUND((AK124),2)</f>
        <v>42.98</v>
      </c>
      <c r="AC124" s="2">
        <f>0</f>
        <v>0</v>
      </c>
      <c r="AD124" s="2">
        <f>0</f>
        <v>0</v>
      </c>
      <c r="AE124" s="2">
        <f>0</f>
        <v>0</v>
      </c>
      <c r="AF124" s="2">
        <f>0</f>
        <v>0</v>
      </c>
      <c r="AG124" s="2">
        <f>0</f>
        <v>0</v>
      </c>
      <c r="AH124" s="2">
        <f>0</f>
        <v>0</v>
      </c>
      <c r="AI124" s="2">
        <f>0</f>
        <v>0</v>
      </c>
      <c r="AJ124" s="2">
        <f>0</f>
        <v>0</v>
      </c>
      <c r="AK124" s="2">
        <v>42.98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0</v>
      </c>
      <c r="BI124" s="2">
        <v>1</v>
      </c>
      <c r="BJ124" s="2" t="s">
        <v>261</v>
      </c>
      <c r="BK124" s="2"/>
      <c r="BL124" s="2"/>
      <c r="BM124" s="2">
        <v>700004</v>
      </c>
      <c r="BN124" s="2">
        <v>0</v>
      </c>
      <c r="BO124" s="2" t="s">
        <v>6</v>
      </c>
      <c r="BP124" s="2">
        <v>0</v>
      </c>
      <c r="BQ124" s="2">
        <v>19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0</v>
      </c>
      <c r="CA124" s="2">
        <v>0</v>
      </c>
      <c r="CB124" s="2"/>
      <c r="CC124" s="2"/>
      <c r="CD124" s="2"/>
      <c r="CE124" s="2">
        <v>0</v>
      </c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>AB124*AZ124</f>
        <v>42.98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1013</v>
      </c>
      <c r="DV124" s="2" t="s">
        <v>260</v>
      </c>
      <c r="DW124" s="2" t="s">
        <v>260</v>
      </c>
      <c r="DX124" s="2">
        <v>1</v>
      </c>
      <c r="DY124" s="2"/>
      <c r="DZ124" s="2"/>
      <c r="EA124" s="2"/>
      <c r="EB124" s="2"/>
      <c r="EC124" s="2"/>
      <c r="ED124" s="2"/>
      <c r="EE124" s="2">
        <v>27029211</v>
      </c>
      <c r="EF124" s="2">
        <v>19</v>
      </c>
      <c r="EG124" s="2" t="s">
        <v>262</v>
      </c>
      <c r="EH124" s="2">
        <v>0</v>
      </c>
      <c r="EI124" s="2" t="s">
        <v>6</v>
      </c>
      <c r="EJ124" s="2">
        <v>1</v>
      </c>
      <c r="EK124" s="2">
        <v>700004</v>
      </c>
      <c r="EL124" s="2" t="s">
        <v>263</v>
      </c>
      <c r="EM124" s="2" t="s">
        <v>264</v>
      </c>
      <c r="EN124" s="2"/>
      <c r="EO124" s="2" t="s">
        <v>6</v>
      </c>
      <c r="EP124" s="2"/>
      <c r="EQ124" s="2">
        <v>131072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44"/>
        <v>0</v>
      </c>
      <c r="FS124" s="2">
        <v>0</v>
      </c>
      <c r="FT124" s="2"/>
      <c r="FU124" s="2"/>
      <c r="FV124" s="2"/>
      <c r="FW124" s="2"/>
      <c r="FX124" s="2">
        <v>0</v>
      </c>
      <c r="FY124" s="2">
        <v>0</v>
      </c>
      <c r="FZ124" s="2"/>
      <c r="GA124" s="2" t="s">
        <v>6</v>
      </c>
      <c r="GB124" s="2"/>
      <c r="GC124" s="2"/>
      <c r="GD124" s="2">
        <v>0</v>
      </c>
      <c r="GE124" s="2"/>
      <c r="GF124" s="2">
        <v>68385352</v>
      </c>
      <c r="GG124" s="2">
        <v>2</v>
      </c>
      <c r="GH124" s="2">
        <v>1</v>
      </c>
      <c r="GI124" s="2">
        <v>-2</v>
      </c>
      <c r="GJ124" s="2">
        <v>2</v>
      </c>
      <c r="GK124" s="2">
        <f>ROUND(R124*(R12)/100,2)</f>
        <v>0</v>
      </c>
      <c r="GL124" s="2">
        <f t="shared" si="145"/>
        <v>0</v>
      </c>
      <c r="GM124" s="2">
        <f>ROUND(CP124*I124,2)</f>
        <v>166.76</v>
      </c>
      <c r="GN124" s="2">
        <f>IF(OR(BI124=0,BI124=1),ROUND(CP124*I124,2),0)</f>
        <v>166.76</v>
      </c>
      <c r="GO124" s="2">
        <f>IF(BI124=2,ROUND(CP124*I124,2),0)</f>
        <v>0</v>
      </c>
      <c r="GP124" s="2">
        <f>IF(BI124=4,ROUND(CP124*I124,2)+GX124,0)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>0</f>
        <v>0</v>
      </c>
      <c r="GW124" s="2">
        <v>1</v>
      </c>
      <c r="GX124" s="2">
        <f>0</f>
        <v>0</v>
      </c>
      <c r="GY124" s="2"/>
      <c r="GZ124" s="2"/>
      <c r="HA124" s="2">
        <v>0</v>
      </c>
      <c r="HB124" s="2">
        <v>0</v>
      </c>
      <c r="HC124" s="2">
        <v>0</v>
      </c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E125" t="s">
        <v>257</v>
      </c>
      <c r="F125" t="s">
        <v>258</v>
      </c>
      <c r="G125" t="s">
        <v>259</v>
      </c>
      <c r="H125" t="s">
        <v>260</v>
      </c>
      <c r="I125">
        <v>3.88</v>
      </c>
      <c r="J125">
        <v>0</v>
      </c>
      <c r="O125">
        <f>0</f>
        <v>0</v>
      </c>
      <c r="P125">
        <f>0</f>
        <v>0</v>
      </c>
      <c r="Q125">
        <f>0</f>
        <v>0</v>
      </c>
      <c r="R125">
        <f>0</f>
        <v>0</v>
      </c>
      <c r="S125">
        <f>0</f>
        <v>0</v>
      </c>
      <c r="T125">
        <f>0</f>
        <v>0</v>
      </c>
      <c r="U125">
        <f>0</f>
        <v>0</v>
      </c>
      <c r="V125">
        <f>0</f>
        <v>0</v>
      </c>
      <c r="W125">
        <f>0</f>
        <v>0</v>
      </c>
      <c r="X125">
        <f>0</f>
        <v>0</v>
      </c>
      <c r="Y125">
        <f>0</f>
        <v>0</v>
      </c>
      <c r="AA125">
        <v>27935368</v>
      </c>
      <c r="AB125">
        <f>ROUND((AK125),2)</f>
        <v>42.98</v>
      </c>
      <c r="AC125">
        <f>0</f>
        <v>0</v>
      </c>
      <c r="AD125">
        <f>0</f>
        <v>0</v>
      </c>
      <c r="AE125">
        <f>0</f>
        <v>0</v>
      </c>
      <c r="AF125">
        <f>0</f>
        <v>0</v>
      </c>
      <c r="AG125">
        <f>0</f>
        <v>0</v>
      </c>
      <c r="AH125">
        <f>0</f>
        <v>0</v>
      </c>
      <c r="AI125">
        <f>0</f>
        <v>0</v>
      </c>
      <c r="AJ125">
        <f>0</f>
        <v>0</v>
      </c>
      <c r="AK125">
        <v>42.98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Z125">
        <v>6.11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0</v>
      </c>
      <c r="BI125">
        <v>1</v>
      </c>
      <c r="BJ125" t="s">
        <v>261</v>
      </c>
      <c r="BM125">
        <v>700004</v>
      </c>
      <c r="BN125">
        <v>0</v>
      </c>
      <c r="BO125" t="s">
        <v>6</v>
      </c>
      <c r="BP125">
        <v>0</v>
      </c>
      <c r="BQ125">
        <v>19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0</v>
      </c>
      <c r="CA125">
        <v>0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>AB125*AZ125</f>
        <v>262.6078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260</v>
      </c>
      <c r="DW125" t="s">
        <v>260</v>
      </c>
      <c r="DX125">
        <v>1</v>
      </c>
      <c r="EE125">
        <v>27029211</v>
      </c>
      <c r="EF125">
        <v>19</v>
      </c>
      <c r="EG125" t="s">
        <v>262</v>
      </c>
      <c r="EH125">
        <v>0</v>
      </c>
      <c r="EI125" t="s">
        <v>6</v>
      </c>
      <c r="EJ125">
        <v>1</v>
      </c>
      <c r="EK125">
        <v>700004</v>
      </c>
      <c r="EL125" t="s">
        <v>263</v>
      </c>
      <c r="EM125" t="s">
        <v>264</v>
      </c>
      <c r="EO125" t="s">
        <v>6</v>
      </c>
      <c r="EQ125">
        <v>131072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FQ125">
        <v>0</v>
      </c>
      <c r="FR125">
        <f t="shared" si="144"/>
        <v>0</v>
      </c>
      <c r="FS125">
        <v>0</v>
      </c>
      <c r="FX125">
        <v>0</v>
      </c>
      <c r="FY125">
        <v>0</v>
      </c>
      <c r="GA125" t="s">
        <v>6</v>
      </c>
      <c r="GD125">
        <v>0</v>
      </c>
      <c r="GF125">
        <v>68385352</v>
      </c>
      <c r="GG125">
        <v>1</v>
      </c>
      <c r="GH125">
        <v>1</v>
      </c>
      <c r="GI125">
        <v>4</v>
      </c>
      <c r="GJ125">
        <v>2</v>
      </c>
      <c r="GK125">
        <f>ROUND(R125*(S12)/100,2)</f>
        <v>0</v>
      </c>
      <c r="GL125">
        <f t="shared" si="145"/>
        <v>0</v>
      </c>
      <c r="GM125">
        <f>ROUND(CP125*I125,2)</f>
        <v>1018.92</v>
      </c>
      <c r="GN125">
        <f>IF(OR(BI125=0,BI125=1),ROUND(CP125*I125,2),0)</f>
        <v>1018.92</v>
      </c>
      <c r="GO125">
        <f>IF(BI125=2,ROUND(CP125*I125,2),0)</f>
        <v>0</v>
      </c>
      <c r="GP125">
        <f>IF(BI125=4,ROUND(CP125*I125,2)+GX125,0)</f>
        <v>0</v>
      </c>
      <c r="GR125">
        <v>0</v>
      </c>
      <c r="GS125">
        <v>3</v>
      </c>
      <c r="GT125">
        <v>0</v>
      </c>
      <c r="GU125" t="s">
        <v>6</v>
      </c>
      <c r="GV125">
        <f>0</f>
        <v>0</v>
      </c>
      <c r="GW125">
        <v>1</v>
      </c>
      <c r="GX125">
        <f>0</f>
        <v>0</v>
      </c>
      <c r="HA125">
        <v>0</v>
      </c>
      <c r="HB125">
        <v>0</v>
      </c>
      <c r="HC125">
        <v>0</v>
      </c>
      <c r="IK125">
        <v>0</v>
      </c>
    </row>
    <row r="126" spans="1:255" x14ac:dyDescent="0.2">
      <c r="A126" s="2">
        <v>17</v>
      </c>
      <c r="B126" s="2">
        <v>1</v>
      </c>
      <c r="C126" s="2"/>
      <c r="D126" s="2"/>
      <c r="E126" s="2" t="s">
        <v>265</v>
      </c>
      <c r="F126" s="2" t="s">
        <v>266</v>
      </c>
      <c r="G126" s="2" t="s">
        <v>267</v>
      </c>
      <c r="H126" s="2" t="s">
        <v>260</v>
      </c>
      <c r="I126" s="2">
        <v>3.88</v>
      </c>
      <c r="J126" s="2">
        <v>0</v>
      </c>
      <c r="K126" s="2"/>
      <c r="L126" s="2"/>
      <c r="M126" s="2"/>
      <c r="N126" s="2"/>
      <c r="O126" s="2">
        <f>0</f>
        <v>0</v>
      </c>
      <c r="P126" s="2">
        <f>0</f>
        <v>0</v>
      </c>
      <c r="Q126" s="2">
        <f>0</f>
        <v>0</v>
      </c>
      <c r="R126" s="2">
        <f>0</f>
        <v>0</v>
      </c>
      <c r="S126" s="2">
        <f>0</f>
        <v>0</v>
      </c>
      <c r="T126" s="2">
        <f>0</f>
        <v>0</v>
      </c>
      <c r="U126" s="2">
        <f>0</f>
        <v>0</v>
      </c>
      <c r="V126" s="2">
        <f>0</f>
        <v>0</v>
      </c>
      <c r="W126" s="2">
        <f>0</f>
        <v>0</v>
      </c>
      <c r="X126" s="2">
        <f>0</f>
        <v>0</v>
      </c>
      <c r="Y126" s="2">
        <f>0</f>
        <v>0</v>
      </c>
      <c r="Z126" s="2"/>
      <c r="AA126" s="2">
        <v>27935367</v>
      </c>
      <c r="AB126" s="2">
        <f>ROUND((AK126),2)</f>
        <v>19.04</v>
      </c>
      <c r="AC126" s="2">
        <f>0</f>
        <v>0</v>
      </c>
      <c r="AD126" s="2">
        <f>0</f>
        <v>0</v>
      </c>
      <c r="AE126" s="2">
        <f>0</f>
        <v>0</v>
      </c>
      <c r="AF126" s="2">
        <f>0</f>
        <v>0</v>
      </c>
      <c r="AG126" s="2">
        <f>0</f>
        <v>0</v>
      </c>
      <c r="AH126" s="2">
        <f>0</f>
        <v>0</v>
      </c>
      <c r="AI126" s="2">
        <f>0</f>
        <v>0</v>
      </c>
      <c r="AJ126" s="2">
        <f>0</f>
        <v>0</v>
      </c>
      <c r="AK126" s="2">
        <v>19.04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1</v>
      </c>
      <c r="BJ126" s="2" t="s">
        <v>268</v>
      </c>
      <c r="BK126" s="2"/>
      <c r="BL126" s="2"/>
      <c r="BM126" s="2">
        <v>700005</v>
      </c>
      <c r="BN126" s="2">
        <v>0</v>
      </c>
      <c r="BO126" s="2" t="s">
        <v>6</v>
      </c>
      <c r="BP126" s="2">
        <v>0</v>
      </c>
      <c r="BQ126" s="2">
        <v>10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0</v>
      </c>
      <c r="CA126" s="2">
        <v>0</v>
      </c>
      <c r="CB126" s="2"/>
      <c r="CC126" s="2"/>
      <c r="CD126" s="2"/>
      <c r="CE126" s="2">
        <v>0</v>
      </c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>AB126*AZ126</f>
        <v>19.04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1013</v>
      </c>
      <c r="DV126" s="2" t="s">
        <v>260</v>
      </c>
      <c r="DW126" s="2" t="s">
        <v>260</v>
      </c>
      <c r="DX126" s="2">
        <v>1</v>
      </c>
      <c r="DY126" s="2"/>
      <c r="DZ126" s="2"/>
      <c r="EA126" s="2"/>
      <c r="EB126" s="2"/>
      <c r="EC126" s="2"/>
      <c r="ED126" s="2"/>
      <c r="EE126" s="2">
        <v>27029215</v>
      </c>
      <c r="EF126" s="2">
        <v>10</v>
      </c>
      <c r="EG126" s="2" t="s">
        <v>269</v>
      </c>
      <c r="EH126" s="2">
        <v>0</v>
      </c>
      <c r="EI126" s="2" t="s">
        <v>6</v>
      </c>
      <c r="EJ126" s="2">
        <v>1</v>
      </c>
      <c r="EK126" s="2">
        <v>700005</v>
      </c>
      <c r="EL126" s="2" t="s">
        <v>270</v>
      </c>
      <c r="EM126" s="2" t="s">
        <v>271</v>
      </c>
      <c r="EN126" s="2"/>
      <c r="EO126" s="2" t="s">
        <v>6</v>
      </c>
      <c r="EP126" s="2"/>
      <c r="EQ126" s="2">
        <v>131072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44"/>
        <v>0</v>
      </c>
      <c r="FS126" s="2">
        <v>0</v>
      </c>
      <c r="FT126" s="2"/>
      <c r="FU126" s="2"/>
      <c r="FV126" s="2"/>
      <c r="FW126" s="2"/>
      <c r="FX126" s="2">
        <v>0</v>
      </c>
      <c r="FY126" s="2">
        <v>0</v>
      </c>
      <c r="FZ126" s="2"/>
      <c r="GA126" s="2" t="s">
        <v>6</v>
      </c>
      <c r="GB126" s="2"/>
      <c r="GC126" s="2"/>
      <c r="GD126" s="2">
        <v>0</v>
      </c>
      <c r="GE126" s="2"/>
      <c r="GF126" s="2">
        <v>-1352948567</v>
      </c>
      <c r="GG126" s="2">
        <v>2</v>
      </c>
      <c r="GH126" s="2">
        <v>1</v>
      </c>
      <c r="GI126" s="2">
        <v>-2</v>
      </c>
      <c r="GJ126" s="2">
        <v>2</v>
      </c>
      <c r="GK126" s="2">
        <f>ROUND(R126*(R12)/100,2)</f>
        <v>0</v>
      </c>
      <c r="GL126" s="2">
        <f t="shared" si="145"/>
        <v>0</v>
      </c>
      <c r="GM126" s="2">
        <f>ROUND(CP126*I126,2)</f>
        <v>73.88</v>
      </c>
      <c r="GN126" s="2">
        <f>IF(OR(BI126=0,BI126=1),ROUND(CP126*I126,2),0)</f>
        <v>73.88</v>
      </c>
      <c r="GO126" s="2">
        <f>IF(BI126=2,ROUND(CP126*I126,2),0)</f>
        <v>0</v>
      </c>
      <c r="GP126" s="2">
        <f>IF(BI126=4,ROUND(CP126*I126,2)+GX126,0)</f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>0</f>
        <v>0</v>
      </c>
      <c r="GW126" s="2">
        <v>1</v>
      </c>
      <c r="GX126" s="2">
        <f>0</f>
        <v>0</v>
      </c>
      <c r="GY126" s="2"/>
      <c r="GZ126" s="2"/>
      <c r="HA126" s="2">
        <v>0</v>
      </c>
      <c r="HB126" s="2">
        <v>0</v>
      </c>
      <c r="HC126" s="2">
        <v>0</v>
      </c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E127" t="s">
        <v>265</v>
      </c>
      <c r="F127" t="s">
        <v>266</v>
      </c>
      <c r="G127" t="s">
        <v>267</v>
      </c>
      <c r="H127" t="s">
        <v>260</v>
      </c>
      <c r="I127">
        <v>3.88</v>
      </c>
      <c r="J127">
        <v>0</v>
      </c>
      <c r="O127">
        <f>0</f>
        <v>0</v>
      </c>
      <c r="P127">
        <f>0</f>
        <v>0</v>
      </c>
      <c r="Q127">
        <f>0</f>
        <v>0</v>
      </c>
      <c r="R127">
        <f>0</f>
        <v>0</v>
      </c>
      <c r="S127">
        <f>0</f>
        <v>0</v>
      </c>
      <c r="T127">
        <f>0</f>
        <v>0</v>
      </c>
      <c r="U127">
        <f>0</f>
        <v>0</v>
      </c>
      <c r="V127">
        <f>0</f>
        <v>0</v>
      </c>
      <c r="W127">
        <f>0</f>
        <v>0</v>
      </c>
      <c r="X127">
        <f>0</f>
        <v>0</v>
      </c>
      <c r="Y127">
        <f>0</f>
        <v>0</v>
      </c>
      <c r="AA127">
        <v>27935368</v>
      </c>
      <c r="AB127">
        <f>ROUND((AK127),2)</f>
        <v>19.04</v>
      </c>
      <c r="AC127">
        <f>0</f>
        <v>0</v>
      </c>
      <c r="AD127">
        <f>0</f>
        <v>0</v>
      </c>
      <c r="AE127">
        <f>0</f>
        <v>0</v>
      </c>
      <c r="AF127">
        <f>0</f>
        <v>0</v>
      </c>
      <c r="AG127">
        <f>0</f>
        <v>0</v>
      </c>
      <c r="AH127">
        <f>0</f>
        <v>0</v>
      </c>
      <c r="AI127">
        <f>0</f>
        <v>0</v>
      </c>
      <c r="AJ127">
        <f>0</f>
        <v>0</v>
      </c>
      <c r="AK127">
        <v>19.04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6.11</v>
      </c>
      <c r="BA127">
        <v>1</v>
      </c>
      <c r="BB127">
        <v>1</v>
      </c>
      <c r="BC127">
        <v>1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268</v>
      </c>
      <c r="BM127">
        <v>700005</v>
      </c>
      <c r="BN127">
        <v>0</v>
      </c>
      <c r="BO127" t="s">
        <v>6</v>
      </c>
      <c r="BP127">
        <v>0</v>
      </c>
      <c r="BQ127">
        <v>10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0</v>
      </c>
      <c r="CA127">
        <v>0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>AB127*AZ127</f>
        <v>116.3344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1013</v>
      </c>
      <c r="DV127" t="s">
        <v>260</v>
      </c>
      <c r="DW127" t="s">
        <v>260</v>
      </c>
      <c r="DX127">
        <v>1</v>
      </c>
      <c r="EE127">
        <v>27029215</v>
      </c>
      <c r="EF127">
        <v>10</v>
      </c>
      <c r="EG127" t="s">
        <v>269</v>
      </c>
      <c r="EH127">
        <v>0</v>
      </c>
      <c r="EI127" t="s">
        <v>6</v>
      </c>
      <c r="EJ127">
        <v>1</v>
      </c>
      <c r="EK127">
        <v>700005</v>
      </c>
      <c r="EL127" t="s">
        <v>270</v>
      </c>
      <c r="EM127" t="s">
        <v>271</v>
      </c>
      <c r="EO127" t="s">
        <v>6</v>
      </c>
      <c r="EQ127">
        <v>131072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FQ127">
        <v>0</v>
      </c>
      <c r="FR127">
        <f t="shared" si="144"/>
        <v>0</v>
      </c>
      <c r="FS127">
        <v>0</v>
      </c>
      <c r="FX127">
        <v>0</v>
      </c>
      <c r="FY127">
        <v>0</v>
      </c>
      <c r="GA127" t="s">
        <v>6</v>
      </c>
      <c r="GD127">
        <v>0</v>
      </c>
      <c r="GF127">
        <v>-1352948567</v>
      </c>
      <c r="GG127">
        <v>1</v>
      </c>
      <c r="GH127">
        <v>1</v>
      </c>
      <c r="GI127">
        <v>4</v>
      </c>
      <c r="GJ127">
        <v>2</v>
      </c>
      <c r="GK127">
        <f>ROUND(R127*(S12)/100,2)</f>
        <v>0</v>
      </c>
      <c r="GL127">
        <f t="shared" si="145"/>
        <v>0</v>
      </c>
      <c r="GM127">
        <f>ROUND(CP127*I127,2)</f>
        <v>451.38</v>
      </c>
      <c r="GN127">
        <f>IF(OR(BI127=0,BI127=1),ROUND(CP127*I127,2),0)</f>
        <v>451.38</v>
      </c>
      <c r="GO127">
        <f>IF(BI127=2,ROUND(CP127*I127,2),0)</f>
        <v>0</v>
      </c>
      <c r="GP127">
        <f>IF(BI127=4,ROUND(CP127*I127,2)+GX127,0)</f>
        <v>0</v>
      </c>
      <c r="GR127">
        <v>0</v>
      </c>
      <c r="GS127">
        <v>3</v>
      </c>
      <c r="GT127">
        <v>0</v>
      </c>
      <c r="GU127" t="s">
        <v>6</v>
      </c>
      <c r="GV127">
        <f>0</f>
        <v>0</v>
      </c>
      <c r="GW127">
        <v>1</v>
      </c>
      <c r="GX127">
        <f>0</f>
        <v>0</v>
      </c>
      <c r="HA127">
        <v>0</v>
      </c>
      <c r="HB127">
        <v>0</v>
      </c>
      <c r="HC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ROW(SmtRes!A359)</f>
        <v>359</v>
      </c>
      <c r="D128" s="2">
        <f>ROW(EtalonRes!A364)</f>
        <v>364</v>
      </c>
      <c r="E128" s="2" t="s">
        <v>272</v>
      </c>
      <c r="F128" s="2" t="s">
        <v>273</v>
      </c>
      <c r="G128" s="2" t="s">
        <v>274</v>
      </c>
      <c r="H128" s="2" t="s">
        <v>242</v>
      </c>
      <c r="I128" s="2">
        <f>ROUND(5/100,9)</f>
        <v>0.05</v>
      </c>
      <c r="J128" s="2">
        <v>0</v>
      </c>
      <c r="K128" s="2"/>
      <c r="L128" s="2"/>
      <c r="M128" s="2"/>
      <c r="N128" s="2"/>
      <c r="O128" s="2">
        <f t="shared" ref="O128:O155" si="146">ROUND(CP128,2)</f>
        <v>200</v>
      </c>
      <c r="P128" s="2">
        <f t="shared" ref="P128:P155" si="147">ROUND(CQ128*I128,2)</f>
        <v>51.59</v>
      </c>
      <c r="Q128" s="2">
        <f t="shared" ref="Q128:Q155" si="148">ROUND(CR128*I128,2)</f>
        <v>11.12</v>
      </c>
      <c r="R128" s="2">
        <f t="shared" ref="R128:R155" si="149">ROUND(CS128*I128,2)</f>
        <v>1.51</v>
      </c>
      <c r="S128" s="2">
        <f t="shared" ref="S128:S155" si="150">ROUND(CT128*I128,2)</f>
        <v>137.29</v>
      </c>
      <c r="T128" s="2">
        <f t="shared" ref="T128:T155" si="151">ROUND(CU128*I128,2)</f>
        <v>0</v>
      </c>
      <c r="U128" s="2">
        <f t="shared" ref="U128:U155" si="152">CV128*I128</f>
        <v>13.840000000000002</v>
      </c>
      <c r="V128" s="2">
        <f t="shared" ref="V128:V155" si="153">CW128*I128</f>
        <v>0.12</v>
      </c>
      <c r="W128" s="2">
        <f t="shared" ref="W128:W155" si="154">ROUND(CX128*I128,2)</f>
        <v>0</v>
      </c>
      <c r="X128" s="2">
        <f t="shared" ref="X128:X155" si="155">ROUND(CY128,2)</f>
        <v>131.86000000000001</v>
      </c>
      <c r="Y128" s="2">
        <f t="shared" ref="Y128:Y155" si="156">ROUND(CZ128,2)</f>
        <v>90.22</v>
      </c>
      <c r="Z128" s="2"/>
      <c r="AA128" s="2">
        <v>27935367</v>
      </c>
      <c r="AB128" s="2">
        <f t="shared" ref="AB128:AB155" si="157">ROUND((AC128+AD128+AF128),2)</f>
        <v>4000.04</v>
      </c>
      <c r="AC128" s="2">
        <f t="shared" ref="AC128:AC155" si="158">ROUND((ES128),2)</f>
        <v>1031.71</v>
      </c>
      <c r="AD128" s="2">
        <f t="shared" ref="AD128:AD135" si="159">ROUND((((ET128)-(EU128))+AE128),2)</f>
        <v>222.47</v>
      </c>
      <c r="AE128" s="2">
        <f t="shared" ref="AE128:AF135" si="160">ROUND((EU128),2)</f>
        <v>30.12</v>
      </c>
      <c r="AF128" s="2">
        <f t="shared" si="160"/>
        <v>2745.86</v>
      </c>
      <c r="AG128" s="2">
        <f t="shared" ref="AG128:AG155" si="161">ROUND((AP128),2)</f>
        <v>0</v>
      </c>
      <c r="AH128" s="2">
        <f t="shared" ref="AH128:AI135" si="162">(EW128)</f>
        <v>276.8</v>
      </c>
      <c r="AI128" s="2">
        <f t="shared" si="162"/>
        <v>2.4</v>
      </c>
      <c r="AJ128" s="2">
        <f t="shared" ref="AJ128:AJ155" si="163">(AS128)</f>
        <v>0</v>
      </c>
      <c r="AK128" s="2">
        <v>4000.04</v>
      </c>
      <c r="AL128" s="2">
        <v>1031.71</v>
      </c>
      <c r="AM128" s="2">
        <v>222.47</v>
      </c>
      <c r="AN128" s="2">
        <v>30.12</v>
      </c>
      <c r="AO128" s="2">
        <v>2745.86</v>
      </c>
      <c r="AP128" s="2">
        <v>0</v>
      </c>
      <c r="AQ128" s="2">
        <v>276.8</v>
      </c>
      <c r="AR128" s="2">
        <v>2.4</v>
      </c>
      <c r="AS128" s="2">
        <v>0</v>
      </c>
      <c r="AT128" s="2">
        <v>95</v>
      </c>
      <c r="AU128" s="2">
        <v>65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0</v>
      </c>
      <c r="BI128" s="2">
        <v>2</v>
      </c>
      <c r="BJ128" s="2" t="s">
        <v>275</v>
      </c>
      <c r="BK128" s="2"/>
      <c r="BL128" s="2"/>
      <c r="BM128" s="2">
        <v>108001</v>
      </c>
      <c r="BN128" s="2">
        <v>0</v>
      </c>
      <c r="BO128" s="2" t="s">
        <v>6</v>
      </c>
      <c r="BP128" s="2">
        <v>0</v>
      </c>
      <c r="BQ128" s="2">
        <v>3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95</v>
      </c>
      <c r="CA128" s="2">
        <v>65</v>
      </c>
      <c r="CB128" s="2"/>
      <c r="CC128" s="2"/>
      <c r="CD128" s="2"/>
      <c r="CE128" s="2">
        <v>0</v>
      </c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ref="CP128:CP155" si="164">(P128+Q128+S128)</f>
        <v>200</v>
      </c>
      <c r="CQ128" s="2">
        <f t="shared" ref="CQ128:CQ155" si="165">AC128*BC128</f>
        <v>1031.71</v>
      </c>
      <c r="CR128" s="2">
        <f t="shared" ref="CR128:CR155" si="166">AD128*BB128</f>
        <v>222.47</v>
      </c>
      <c r="CS128" s="2">
        <f t="shared" ref="CS128:CS155" si="167">AE128*BS128</f>
        <v>30.12</v>
      </c>
      <c r="CT128" s="2">
        <f t="shared" ref="CT128:CT155" si="168">AF128*BA128</f>
        <v>2745.86</v>
      </c>
      <c r="CU128" s="2">
        <f t="shared" ref="CU128:CU155" si="169">AG128</f>
        <v>0</v>
      </c>
      <c r="CV128" s="2">
        <f t="shared" ref="CV128:CV155" si="170">AH128</f>
        <v>276.8</v>
      </c>
      <c r="CW128" s="2">
        <f t="shared" ref="CW128:CW155" si="171">AI128</f>
        <v>2.4</v>
      </c>
      <c r="CX128" s="2">
        <f t="shared" ref="CX128:CX155" si="172">AJ128</f>
        <v>0</v>
      </c>
      <c r="CY128" s="2">
        <f t="shared" ref="CY128:CY155" si="173">(((S128+R128)*AT128)/100)</f>
        <v>131.85999999999999</v>
      </c>
      <c r="CZ128" s="2">
        <f t="shared" ref="CZ128:CZ155" si="174">(((S128+R128)*AU128)/100)</f>
        <v>90.219999999999985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1013</v>
      </c>
      <c r="DV128" s="2" t="s">
        <v>242</v>
      </c>
      <c r="DW128" s="2" t="s">
        <v>242</v>
      </c>
      <c r="DX128" s="2">
        <v>1</v>
      </c>
      <c r="DY128" s="2"/>
      <c r="DZ128" s="2"/>
      <c r="EA128" s="2"/>
      <c r="EB128" s="2"/>
      <c r="EC128" s="2"/>
      <c r="ED128" s="2"/>
      <c r="EE128" s="2">
        <v>27028906</v>
      </c>
      <c r="EF128" s="2">
        <v>3</v>
      </c>
      <c r="EG128" s="2" t="s">
        <v>276</v>
      </c>
      <c r="EH128" s="2">
        <v>0</v>
      </c>
      <c r="EI128" s="2" t="s">
        <v>6</v>
      </c>
      <c r="EJ128" s="2">
        <v>2</v>
      </c>
      <c r="EK128" s="2">
        <v>108001</v>
      </c>
      <c r="EL128" s="2" t="s">
        <v>277</v>
      </c>
      <c r="EM128" s="2" t="s">
        <v>278</v>
      </c>
      <c r="EN128" s="2"/>
      <c r="EO128" s="2" t="s">
        <v>6</v>
      </c>
      <c r="EP128" s="2"/>
      <c r="EQ128" s="2">
        <v>131072</v>
      </c>
      <c r="ER128" s="2">
        <v>4000.04</v>
      </c>
      <c r="ES128" s="2">
        <v>1031.71</v>
      </c>
      <c r="ET128" s="2">
        <v>222.47</v>
      </c>
      <c r="EU128" s="2">
        <v>30.12</v>
      </c>
      <c r="EV128" s="2">
        <v>2745.86</v>
      </c>
      <c r="EW128" s="2">
        <v>276.8</v>
      </c>
      <c r="EX128" s="2">
        <v>2.4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44"/>
        <v>0</v>
      </c>
      <c r="FS128" s="2">
        <v>0</v>
      </c>
      <c r="FT128" s="2"/>
      <c r="FU128" s="2"/>
      <c r="FV128" s="2"/>
      <c r="FW128" s="2"/>
      <c r="FX128" s="2">
        <v>95</v>
      </c>
      <c r="FY128" s="2">
        <v>65</v>
      </c>
      <c r="FZ128" s="2"/>
      <c r="GA128" s="2" t="s">
        <v>6</v>
      </c>
      <c r="GB128" s="2"/>
      <c r="GC128" s="2"/>
      <c r="GD128" s="2">
        <v>0</v>
      </c>
      <c r="GE128" s="2"/>
      <c r="GF128" s="2">
        <v>-932102563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45"/>
        <v>0</v>
      </c>
      <c r="GM128" s="2">
        <f t="shared" ref="GM128:GM155" si="175">ROUND(O128+X128+Y128+GK128,2)+GX128</f>
        <v>422.08</v>
      </c>
      <c r="GN128" s="2">
        <f t="shared" ref="GN128:GN155" si="176">IF(OR(BI128=0,BI128=1),ROUND(O128+X128+Y128+GK128,2),0)</f>
        <v>0</v>
      </c>
      <c r="GO128" s="2">
        <f t="shared" ref="GO128:GO155" si="177">IF(BI128=2,ROUND(O128+X128+Y128+GK128,2),0)</f>
        <v>422.08</v>
      </c>
      <c r="GP128" s="2">
        <f t="shared" ref="GP128:GP155" si="178">IF(BI128=4,ROUND(O128+X128+Y128+GK128,2)+GX128,0)</f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ref="GV128:GV155" si="179">ROUND((GT128),2)</f>
        <v>0</v>
      </c>
      <c r="GW128" s="2">
        <v>1</v>
      </c>
      <c r="GX128" s="2">
        <f t="shared" ref="GX128:GX155" si="180">ROUND(HC128*I128,2)</f>
        <v>0</v>
      </c>
      <c r="GY128" s="2"/>
      <c r="GZ128" s="2"/>
      <c r="HA128" s="2">
        <v>0</v>
      </c>
      <c r="HB128" s="2">
        <v>0</v>
      </c>
      <c r="HC128" s="2">
        <f t="shared" ref="HC128:HC155" si="181">GV128*GW128</f>
        <v>0</v>
      </c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ROW(SmtRes!A372)</f>
        <v>372</v>
      </c>
      <c r="D129">
        <f>ROW(EtalonRes!A376)</f>
        <v>376</v>
      </c>
      <c r="E129" t="s">
        <v>272</v>
      </c>
      <c r="F129" t="s">
        <v>273</v>
      </c>
      <c r="G129" t="s">
        <v>274</v>
      </c>
      <c r="H129" t="s">
        <v>242</v>
      </c>
      <c r="I129">
        <f>ROUND(5/100,9)</f>
        <v>0.05</v>
      </c>
      <c r="J129">
        <v>0</v>
      </c>
      <c r="O129">
        <f t="shared" si="146"/>
        <v>1222.01</v>
      </c>
      <c r="P129">
        <f t="shared" si="147"/>
        <v>315.19</v>
      </c>
      <c r="Q129">
        <f t="shared" si="148"/>
        <v>67.959999999999994</v>
      </c>
      <c r="R129">
        <f t="shared" si="149"/>
        <v>9.1999999999999993</v>
      </c>
      <c r="S129">
        <f t="shared" si="150"/>
        <v>838.86</v>
      </c>
      <c r="T129">
        <f t="shared" si="151"/>
        <v>0</v>
      </c>
      <c r="U129">
        <f t="shared" si="152"/>
        <v>13.840000000000002</v>
      </c>
      <c r="V129">
        <f t="shared" si="153"/>
        <v>0.12</v>
      </c>
      <c r="W129">
        <f t="shared" si="154"/>
        <v>0</v>
      </c>
      <c r="X129">
        <f t="shared" si="155"/>
        <v>805.66</v>
      </c>
      <c r="Y129">
        <f t="shared" si="156"/>
        <v>551.24</v>
      </c>
      <c r="AA129">
        <v>27935368</v>
      </c>
      <c r="AB129">
        <f t="shared" si="157"/>
        <v>4000.04</v>
      </c>
      <c r="AC129">
        <f t="shared" si="158"/>
        <v>1031.71</v>
      </c>
      <c r="AD129">
        <f t="shared" si="159"/>
        <v>222.47</v>
      </c>
      <c r="AE129">
        <f t="shared" si="160"/>
        <v>30.12</v>
      </c>
      <c r="AF129">
        <f t="shared" si="160"/>
        <v>2745.86</v>
      </c>
      <c r="AG129">
        <f t="shared" si="161"/>
        <v>0</v>
      </c>
      <c r="AH129">
        <f t="shared" si="162"/>
        <v>276.8</v>
      </c>
      <c r="AI129">
        <f t="shared" si="162"/>
        <v>2.4</v>
      </c>
      <c r="AJ129">
        <f t="shared" si="163"/>
        <v>0</v>
      </c>
      <c r="AK129">
        <v>4000.04</v>
      </c>
      <c r="AL129">
        <v>1031.71</v>
      </c>
      <c r="AM129">
        <v>222.47</v>
      </c>
      <c r="AN129">
        <v>30.12</v>
      </c>
      <c r="AO129">
        <v>2745.86</v>
      </c>
      <c r="AP129">
        <v>0</v>
      </c>
      <c r="AQ129">
        <v>276.8</v>
      </c>
      <c r="AR129">
        <v>2.4</v>
      </c>
      <c r="AS129">
        <v>0</v>
      </c>
      <c r="AT129">
        <v>95</v>
      </c>
      <c r="AU129">
        <v>65</v>
      </c>
      <c r="AV129">
        <v>1</v>
      </c>
      <c r="AW129">
        <v>1</v>
      </c>
      <c r="AZ129">
        <v>6.11</v>
      </c>
      <c r="BA129">
        <v>6.11</v>
      </c>
      <c r="BB129">
        <v>6.11</v>
      </c>
      <c r="BC129">
        <v>6.11</v>
      </c>
      <c r="BD129" t="s">
        <v>6</v>
      </c>
      <c r="BE129" t="s">
        <v>6</v>
      </c>
      <c r="BF129" t="s">
        <v>6</v>
      </c>
      <c r="BG129" t="s">
        <v>6</v>
      </c>
      <c r="BH129">
        <v>0</v>
      </c>
      <c r="BI129">
        <v>2</v>
      </c>
      <c r="BJ129" t="s">
        <v>275</v>
      </c>
      <c r="BM129">
        <v>108001</v>
      </c>
      <c r="BN129">
        <v>0</v>
      </c>
      <c r="BO129" t="s">
        <v>6</v>
      </c>
      <c r="BP129">
        <v>0</v>
      </c>
      <c r="BQ129">
        <v>3</v>
      </c>
      <c r="BR129">
        <v>0</v>
      </c>
      <c r="BS129">
        <v>6.11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95</v>
      </c>
      <c r="CA129">
        <v>65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4"/>
        <v>1222.01</v>
      </c>
      <c r="CQ129">
        <f t="shared" si="165"/>
        <v>6303.7481000000007</v>
      </c>
      <c r="CR129">
        <f t="shared" si="166"/>
        <v>1359.2917</v>
      </c>
      <c r="CS129">
        <f t="shared" si="167"/>
        <v>184.03320000000002</v>
      </c>
      <c r="CT129">
        <f t="shared" si="168"/>
        <v>16777.204600000001</v>
      </c>
      <c r="CU129">
        <f t="shared" si="169"/>
        <v>0</v>
      </c>
      <c r="CV129">
        <f t="shared" si="170"/>
        <v>276.8</v>
      </c>
      <c r="CW129">
        <f t="shared" si="171"/>
        <v>2.4</v>
      </c>
      <c r="CX129">
        <f t="shared" si="172"/>
        <v>0</v>
      </c>
      <c r="CY129">
        <f t="shared" si="173"/>
        <v>805.65700000000015</v>
      </c>
      <c r="CZ129">
        <f t="shared" si="174"/>
        <v>551.23900000000003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242</v>
      </c>
      <c r="DW129" t="s">
        <v>242</v>
      </c>
      <c r="DX129">
        <v>1</v>
      </c>
      <c r="EE129">
        <v>27028906</v>
      </c>
      <c r="EF129">
        <v>3</v>
      </c>
      <c r="EG129" t="s">
        <v>276</v>
      </c>
      <c r="EH129">
        <v>0</v>
      </c>
      <c r="EI129" t="s">
        <v>6</v>
      </c>
      <c r="EJ129">
        <v>2</v>
      </c>
      <c r="EK129">
        <v>108001</v>
      </c>
      <c r="EL129" t="s">
        <v>277</v>
      </c>
      <c r="EM129" t="s">
        <v>278</v>
      </c>
      <c r="EO129" t="s">
        <v>6</v>
      </c>
      <c r="EQ129">
        <v>131072</v>
      </c>
      <c r="ER129">
        <v>4000.04</v>
      </c>
      <c r="ES129">
        <v>1031.71</v>
      </c>
      <c r="ET129">
        <v>222.47</v>
      </c>
      <c r="EU129">
        <v>30.12</v>
      </c>
      <c r="EV129">
        <v>2745.86</v>
      </c>
      <c r="EW129">
        <v>276.8</v>
      </c>
      <c r="EX129">
        <v>2.4</v>
      </c>
      <c r="EY129">
        <v>0</v>
      </c>
      <c r="FQ129">
        <v>0</v>
      </c>
      <c r="FR129">
        <f t="shared" si="144"/>
        <v>0</v>
      </c>
      <c r="FS129">
        <v>0</v>
      </c>
      <c r="FX129">
        <v>95</v>
      </c>
      <c r="FY129">
        <v>65</v>
      </c>
      <c r="GA129" t="s">
        <v>6</v>
      </c>
      <c r="GD129">
        <v>0</v>
      </c>
      <c r="GF129">
        <v>-932102563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45"/>
        <v>0</v>
      </c>
      <c r="GM129">
        <f t="shared" si="175"/>
        <v>2578.91</v>
      </c>
      <c r="GN129">
        <f t="shared" si="176"/>
        <v>0</v>
      </c>
      <c r="GO129">
        <f t="shared" si="177"/>
        <v>2578.91</v>
      </c>
      <c r="GP129">
        <f t="shared" si="178"/>
        <v>0</v>
      </c>
      <c r="GR129">
        <v>0</v>
      </c>
      <c r="GS129">
        <v>3</v>
      </c>
      <c r="GT129">
        <v>0</v>
      </c>
      <c r="GU129" t="s">
        <v>6</v>
      </c>
      <c r="GV129">
        <f t="shared" si="179"/>
        <v>0</v>
      </c>
      <c r="GW129">
        <v>1</v>
      </c>
      <c r="GX129">
        <f t="shared" si="180"/>
        <v>0</v>
      </c>
      <c r="HA129">
        <v>0</v>
      </c>
      <c r="HB129">
        <v>0</v>
      </c>
      <c r="HC129">
        <f t="shared" si="181"/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358</v>
      </c>
      <c r="D130" s="2"/>
      <c r="E130" s="2" t="s">
        <v>279</v>
      </c>
      <c r="F130" s="2" t="s">
        <v>280</v>
      </c>
      <c r="G130" s="2" t="s">
        <v>281</v>
      </c>
      <c r="H130" s="2" t="s">
        <v>282</v>
      </c>
      <c r="I130" s="2">
        <f>I128*J130</f>
        <v>5</v>
      </c>
      <c r="J130" s="2">
        <v>100</v>
      </c>
      <c r="K130" s="2"/>
      <c r="L130" s="2"/>
      <c r="M130" s="2"/>
      <c r="N130" s="2"/>
      <c r="O130" s="2">
        <f t="shared" si="146"/>
        <v>777.2</v>
      </c>
      <c r="P130" s="2">
        <f t="shared" si="147"/>
        <v>777.2</v>
      </c>
      <c r="Q130" s="2">
        <f t="shared" si="148"/>
        <v>0</v>
      </c>
      <c r="R130" s="2">
        <f t="shared" si="149"/>
        <v>0</v>
      </c>
      <c r="S130" s="2">
        <f t="shared" si="150"/>
        <v>0</v>
      </c>
      <c r="T130" s="2">
        <f t="shared" si="151"/>
        <v>0</v>
      </c>
      <c r="U130" s="2">
        <f t="shared" si="152"/>
        <v>0</v>
      </c>
      <c r="V130" s="2">
        <f t="shared" si="153"/>
        <v>0</v>
      </c>
      <c r="W130" s="2">
        <f t="shared" si="154"/>
        <v>0</v>
      </c>
      <c r="X130" s="2">
        <f t="shared" si="155"/>
        <v>0</v>
      </c>
      <c r="Y130" s="2">
        <f t="shared" si="156"/>
        <v>0</v>
      </c>
      <c r="Z130" s="2"/>
      <c r="AA130" s="2">
        <v>27935367</v>
      </c>
      <c r="AB130" s="2">
        <f t="shared" si="157"/>
        <v>155.44</v>
      </c>
      <c r="AC130" s="2">
        <f t="shared" si="158"/>
        <v>155.44</v>
      </c>
      <c r="AD130" s="2">
        <f t="shared" si="159"/>
        <v>0</v>
      </c>
      <c r="AE130" s="2">
        <f t="shared" si="160"/>
        <v>0</v>
      </c>
      <c r="AF130" s="2">
        <f t="shared" si="160"/>
        <v>0</v>
      </c>
      <c r="AG130" s="2">
        <f t="shared" si="161"/>
        <v>0</v>
      </c>
      <c r="AH130" s="2">
        <f t="shared" si="162"/>
        <v>0</v>
      </c>
      <c r="AI130" s="2">
        <f t="shared" si="162"/>
        <v>0</v>
      </c>
      <c r="AJ130" s="2">
        <f t="shared" si="163"/>
        <v>0</v>
      </c>
      <c r="AK130" s="2">
        <v>155.44</v>
      </c>
      <c r="AL130" s="2">
        <v>155.44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95</v>
      </c>
      <c r="AU130" s="2">
        <v>65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3</v>
      </c>
      <c r="BI130" s="2">
        <v>2</v>
      </c>
      <c r="BJ130" s="2" t="s">
        <v>283</v>
      </c>
      <c r="BK130" s="2"/>
      <c r="BL130" s="2"/>
      <c r="BM130" s="2">
        <v>108001</v>
      </c>
      <c r="BN130" s="2">
        <v>0</v>
      </c>
      <c r="BO130" s="2" t="s">
        <v>6</v>
      </c>
      <c r="BP130" s="2">
        <v>0</v>
      </c>
      <c r="BQ130" s="2">
        <v>3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95</v>
      </c>
      <c r="CA130" s="2">
        <v>65</v>
      </c>
      <c r="CB130" s="2"/>
      <c r="CC130" s="2"/>
      <c r="CD130" s="2"/>
      <c r="CE130" s="2">
        <v>0</v>
      </c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164"/>
        <v>777.2</v>
      </c>
      <c r="CQ130" s="2">
        <f t="shared" si="165"/>
        <v>155.44</v>
      </c>
      <c r="CR130" s="2">
        <f t="shared" si="166"/>
        <v>0</v>
      </c>
      <c r="CS130" s="2">
        <f t="shared" si="167"/>
        <v>0</v>
      </c>
      <c r="CT130" s="2">
        <f t="shared" si="168"/>
        <v>0</v>
      </c>
      <c r="CU130" s="2">
        <f t="shared" si="169"/>
        <v>0</v>
      </c>
      <c r="CV130" s="2">
        <f t="shared" si="170"/>
        <v>0</v>
      </c>
      <c r="CW130" s="2">
        <f t="shared" si="171"/>
        <v>0</v>
      </c>
      <c r="CX130" s="2">
        <f t="shared" si="172"/>
        <v>0</v>
      </c>
      <c r="CY130" s="2">
        <f t="shared" si="173"/>
        <v>0</v>
      </c>
      <c r="CZ130" s="2">
        <f t="shared" si="174"/>
        <v>0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1010</v>
      </c>
      <c r="DV130" s="2" t="s">
        <v>282</v>
      </c>
      <c r="DW130" s="2" t="s">
        <v>282</v>
      </c>
      <c r="DX130" s="2">
        <v>1</v>
      </c>
      <c r="DY130" s="2"/>
      <c r="DZ130" s="2"/>
      <c r="EA130" s="2"/>
      <c r="EB130" s="2"/>
      <c r="EC130" s="2"/>
      <c r="ED130" s="2"/>
      <c r="EE130" s="2">
        <v>27028906</v>
      </c>
      <c r="EF130" s="2">
        <v>3</v>
      </c>
      <c r="EG130" s="2" t="s">
        <v>276</v>
      </c>
      <c r="EH130" s="2">
        <v>0</v>
      </c>
      <c r="EI130" s="2" t="s">
        <v>6</v>
      </c>
      <c r="EJ130" s="2">
        <v>2</v>
      </c>
      <c r="EK130" s="2">
        <v>108001</v>
      </c>
      <c r="EL130" s="2" t="s">
        <v>277</v>
      </c>
      <c r="EM130" s="2" t="s">
        <v>278</v>
      </c>
      <c r="EN130" s="2"/>
      <c r="EO130" s="2" t="s">
        <v>6</v>
      </c>
      <c r="EP130" s="2"/>
      <c r="EQ130" s="2">
        <v>0</v>
      </c>
      <c r="ER130" s="2">
        <v>155.44</v>
      </c>
      <c r="ES130" s="2">
        <v>155.44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44"/>
        <v>0</v>
      </c>
      <c r="FS130" s="2">
        <v>0</v>
      </c>
      <c r="FT130" s="2"/>
      <c r="FU130" s="2"/>
      <c r="FV130" s="2"/>
      <c r="FW130" s="2"/>
      <c r="FX130" s="2">
        <v>95</v>
      </c>
      <c r="FY130" s="2">
        <v>65</v>
      </c>
      <c r="FZ130" s="2"/>
      <c r="GA130" s="2" t="s">
        <v>6</v>
      </c>
      <c r="GB130" s="2"/>
      <c r="GC130" s="2"/>
      <c r="GD130" s="2">
        <v>0</v>
      </c>
      <c r="GE130" s="2"/>
      <c r="GF130" s="2">
        <v>248767468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45"/>
        <v>0</v>
      </c>
      <c r="GM130" s="2">
        <f t="shared" si="175"/>
        <v>777.2</v>
      </c>
      <c r="GN130" s="2">
        <f t="shared" si="176"/>
        <v>0</v>
      </c>
      <c r="GO130" s="2">
        <f t="shared" si="177"/>
        <v>777.2</v>
      </c>
      <c r="GP130" s="2">
        <f t="shared" si="178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79"/>
        <v>0</v>
      </c>
      <c r="GW130" s="2">
        <v>1</v>
      </c>
      <c r="GX130" s="2">
        <f t="shared" si="180"/>
        <v>0</v>
      </c>
      <c r="GY130" s="2"/>
      <c r="GZ130" s="2"/>
      <c r="HA130" s="2">
        <v>0</v>
      </c>
      <c r="HB130" s="2">
        <v>0</v>
      </c>
      <c r="HC130" s="2">
        <f t="shared" si="181"/>
        <v>0</v>
      </c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371</v>
      </c>
      <c r="E131" t="s">
        <v>279</v>
      </c>
      <c r="F131" t="s">
        <v>280</v>
      </c>
      <c r="G131" t="s">
        <v>281</v>
      </c>
      <c r="H131" t="s">
        <v>282</v>
      </c>
      <c r="I131">
        <f>I129*J131</f>
        <v>5</v>
      </c>
      <c r="J131">
        <v>100</v>
      </c>
      <c r="O131">
        <f t="shared" si="146"/>
        <v>4748.6899999999996</v>
      </c>
      <c r="P131">
        <f t="shared" si="147"/>
        <v>4748.6899999999996</v>
      </c>
      <c r="Q131">
        <f t="shared" si="148"/>
        <v>0</v>
      </c>
      <c r="R131">
        <f t="shared" si="149"/>
        <v>0</v>
      </c>
      <c r="S131">
        <f t="shared" si="150"/>
        <v>0</v>
      </c>
      <c r="T131">
        <f t="shared" si="151"/>
        <v>0</v>
      </c>
      <c r="U131">
        <f t="shared" si="152"/>
        <v>0</v>
      </c>
      <c r="V131">
        <f t="shared" si="153"/>
        <v>0</v>
      </c>
      <c r="W131">
        <f t="shared" si="154"/>
        <v>0</v>
      </c>
      <c r="X131">
        <f t="shared" si="155"/>
        <v>0</v>
      </c>
      <c r="Y131">
        <f t="shared" si="156"/>
        <v>0</v>
      </c>
      <c r="AA131">
        <v>27935368</v>
      </c>
      <c r="AB131">
        <f t="shared" si="157"/>
        <v>155.44</v>
      </c>
      <c r="AC131">
        <f t="shared" si="158"/>
        <v>155.44</v>
      </c>
      <c r="AD131">
        <f t="shared" si="159"/>
        <v>0</v>
      </c>
      <c r="AE131">
        <f t="shared" si="160"/>
        <v>0</v>
      </c>
      <c r="AF131">
        <f t="shared" si="160"/>
        <v>0</v>
      </c>
      <c r="AG131">
        <f t="shared" si="161"/>
        <v>0</v>
      </c>
      <c r="AH131">
        <f t="shared" si="162"/>
        <v>0</v>
      </c>
      <c r="AI131">
        <f t="shared" si="162"/>
        <v>0</v>
      </c>
      <c r="AJ131">
        <f t="shared" si="163"/>
        <v>0</v>
      </c>
      <c r="AK131">
        <v>155.44</v>
      </c>
      <c r="AL131">
        <v>155.44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95</v>
      </c>
      <c r="AU131">
        <v>65</v>
      </c>
      <c r="AV131">
        <v>1</v>
      </c>
      <c r="AW131">
        <v>1</v>
      </c>
      <c r="AZ131">
        <v>6.11</v>
      </c>
      <c r="BA131">
        <v>1</v>
      </c>
      <c r="BB131">
        <v>1</v>
      </c>
      <c r="BC131">
        <v>6.11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2</v>
      </c>
      <c r="BJ131" t="s">
        <v>283</v>
      </c>
      <c r="BM131">
        <v>108001</v>
      </c>
      <c r="BN131">
        <v>0</v>
      </c>
      <c r="BO131" t="s">
        <v>6</v>
      </c>
      <c r="BP131">
        <v>0</v>
      </c>
      <c r="BQ131">
        <v>3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95</v>
      </c>
      <c r="CA131">
        <v>65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4"/>
        <v>4748.6899999999996</v>
      </c>
      <c r="CQ131">
        <f t="shared" si="165"/>
        <v>949.73840000000007</v>
      </c>
      <c r="CR131">
        <f t="shared" si="166"/>
        <v>0</v>
      </c>
      <c r="CS131">
        <f t="shared" si="167"/>
        <v>0</v>
      </c>
      <c r="CT131">
        <f t="shared" si="168"/>
        <v>0</v>
      </c>
      <c r="CU131">
        <f t="shared" si="169"/>
        <v>0</v>
      </c>
      <c r="CV131">
        <f t="shared" si="170"/>
        <v>0</v>
      </c>
      <c r="CW131">
        <f t="shared" si="171"/>
        <v>0</v>
      </c>
      <c r="CX131">
        <f t="shared" si="172"/>
        <v>0</v>
      </c>
      <c r="CY131">
        <f t="shared" si="173"/>
        <v>0</v>
      </c>
      <c r="CZ131">
        <f t="shared" si="174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282</v>
      </c>
      <c r="DW131" t="s">
        <v>282</v>
      </c>
      <c r="DX131">
        <v>1</v>
      </c>
      <c r="EE131">
        <v>27028906</v>
      </c>
      <c r="EF131">
        <v>3</v>
      </c>
      <c r="EG131" t="s">
        <v>276</v>
      </c>
      <c r="EH131">
        <v>0</v>
      </c>
      <c r="EI131" t="s">
        <v>6</v>
      </c>
      <c r="EJ131">
        <v>2</v>
      </c>
      <c r="EK131">
        <v>108001</v>
      </c>
      <c r="EL131" t="s">
        <v>277</v>
      </c>
      <c r="EM131" t="s">
        <v>278</v>
      </c>
      <c r="EO131" t="s">
        <v>6</v>
      </c>
      <c r="EQ131">
        <v>0</v>
      </c>
      <c r="ER131">
        <v>155.44</v>
      </c>
      <c r="ES131">
        <v>155.44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44"/>
        <v>0</v>
      </c>
      <c r="FS131">
        <v>0</v>
      </c>
      <c r="FX131">
        <v>95</v>
      </c>
      <c r="FY131">
        <v>65</v>
      </c>
      <c r="GA131" t="s">
        <v>6</v>
      </c>
      <c r="GD131">
        <v>0</v>
      </c>
      <c r="GF131">
        <v>248767468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45"/>
        <v>0</v>
      </c>
      <c r="GM131">
        <f t="shared" si="175"/>
        <v>4748.6899999999996</v>
      </c>
      <c r="GN131">
        <f t="shared" si="176"/>
        <v>0</v>
      </c>
      <c r="GO131">
        <f t="shared" si="177"/>
        <v>4748.6899999999996</v>
      </c>
      <c r="GP131">
        <f t="shared" si="178"/>
        <v>0</v>
      </c>
      <c r="GR131">
        <v>0</v>
      </c>
      <c r="GS131">
        <v>3</v>
      </c>
      <c r="GT131">
        <v>0</v>
      </c>
      <c r="GU131" t="s">
        <v>6</v>
      </c>
      <c r="GV131">
        <f t="shared" si="179"/>
        <v>0</v>
      </c>
      <c r="GW131">
        <v>1</v>
      </c>
      <c r="GX131">
        <f t="shared" si="180"/>
        <v>0</v>
      </c>
      <c r="HA131">
        <v>0</v>
      </c>
      <c r="HB131">
        <v>0</v>
      </c>
      <c r="HC131">
        <f t="shared" si="181"/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ROW(SmtRes!A376)</f>
        <v>376</v>
      </c>
      <c r="D132" s="2">
        <f>ROW(EtalonRes!A380)</f>
        <v>380</v>
      </c>
      <c r="E132" s="2" t="s">
        <v>284</v>
      </c>
      <c r="F132" s="2" t="s">
        <v>285</v>
      </c>
      <c r="G132" s="2" t="s">
        <v>286</v>
      </c>
      <c r="H132" s="2" t="s">
        <v>40</v>
      </c>
      <c r="I132" s="2">
        <f>ROUND(12/100,9)</f>
        <v>0.12</v>
      </c>
      <c r="J132" s="2">
        <v>0</v>
      </c>
      <c r="K132" s="2"/>
      <c r="L132" s="2"/>
      <c r="M132" s="2"/>
      <c r="N132" s="2"/>
      <c r="O132" s="2">
        <f t="shared" si="146"/>
        <v>87.8</v>
      </c>
      <c r="P132" s="2">
        <f t="shared" si="147"/>
        <v>0</v>
      </c>
      <c r="Q132" s="2">
        <f t="shared" si="148"/>
        <v>1.2</v>
      </c>
      <c r="R132" s="2">
        <f t="shared" si="149"/>
        <v>0.52</v>
      </c>
      <c r="S132" s="2">
        <f t="shared" si="150"/>
        <v>86.6</v>
      </c>
      <c r="T132" s="2">
        <f t="shared" si="151"/>
        <v>0</v>
      </c>
      <c r="U132" s="2">
        <f t="shared" si="152"/>
        <v>10.235999999999999</v>
      </c>
      <c r="V132" s="2">
        <f t="shared" si="153"/>
        <v>3.8399999999999997E-2</v>
      </c>
      <c r="W132" s="2">
        <f t="shared" si="154"/>
        <v>0</v>
      </c>
      <c r="X132" s="2">
        <f t="shared" si="155"/>
        <v>64.47</v>
      </c>
      <c r="Y132" s="2">
        <f t="shared" si="156"/>
        <v>43.56</v>
      </c>
      <c r="Z132" s="2"/>
      <c r="AA132" s="2">
        <v>27935367</v>
      </c>
      <c r="AB132" s="2">
        <f t="shared" si="157"/>
        <v>731.64</v>
      </c>
      <c r="AC132" s="2">
        <f t="shared" si="158"/>
        <v>0</v>
      </c>
      <c r="AD132" s="2">
        <f t="shared" si="159"/>
        <v>10</v>
      </c>
      <c r="AE132" s="2">
        <f t="shared" si="160"/>
        <v>4.32</v>
      </c>
      <c r="AF132" s="2">
        <f t="shared" si="160"/>
        <v>721.64</v>
      </c>
      <c r="AG132" s="2">
        <f t="shared" si="161"/>
        <v>0</v>
      </c>
      <c r="AH132" s="2">
        <f t="shared" si="162"/>
        <v>85.3</v>
      </c>
      <c r="AI132" s="2">
        <f t="shared" si="162"/>
        <v>0.32</v>
      </c>
      <c r="AJ132" s="2">
        <f t="shared" si="163"/>
        <v>0</v>
      </c>
      <c r="AK132" s="2">
        <v>731.64</v>
      </c>
      <c r="AL132" s="2">
        <v>0</v>
      </c>
      <c r="AM132" s="2">
        <v>10</v>
      </c>
      <c r="AN132" s="2">
        <v>4.32</v>
      </c>
      <c r="AO132" s="2">
        <v>721.64</v>
      </c>
      <c r="AP132" s="2">
        <v>0</v>
      </c>
      <c r="AQ132" s="2">
        <v>85.3</v>
      </c>
      <c r="AR132" s="2">
        <v>0.32</v>
      </c>
      <c r="AS132" s="2">
        <v>0</v>
      </c>
      <c r="AT132" s="2">
        <v>74</v>
      </c>
      <c r="AU132" s="2">
        <v>50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0</v>
      </c>
      <c r="BI132" s="2">
        <v>1</v>
      </c>
      <c r="BJ132" s="2" t="s">
        <v>287</v>
      </c>
      <c r="BK132" s="2"/>
      <c r="BL132" s="2"/>
      <c r="BM132" s="2">
        <v>65001</v>
      </c>
      <c r="BN132" s="2">
        <v>0</v>
      </c>
      <c r="BO132" s="2" t="s">
        <v>6</v>
      </c>
      <c r="BP132" s="2">
        <v>0</v>
      </c>
      <c r="BQ132" s="2">
        <v>6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74</v>
      </c>
      <c r="CA132" s="2">
        <v>50</v>
      </c>
      <c r="CB132" s="2"/>
      <c r="CC132" s="2"/>
      <c r="CD132" s="2"/>
      <c r="CE132" s="2">
        <v>0</v>
      </c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4"/>
        <v>87.8</v>
      </c>
      <c r="CQ132" s="2">
        <f t="shared" si="165"/>
        <v>0</v>
      </c>
      <c r="CR132" s="2">
        <f t="shared" si="166"/>
        <v>10</v>
      </c>
      <c r="CS132" s="2">
        <f t="shared" si="167"/>
        <v>4.32</v>
      </c>
      <c r="CT132" s="2">
        <f t="shared" si="168"/>
        <v>721.64</v>
      </c>
      <c r="CU132" s="2">
        <f t="shared" si="169"/>
        <v>0</v>
      </c>
      <c r="CV132" s="2">
        <f t="shared" si="170"/>
        <v>85.3</v>
      </c>
      <c r="CW132" s="2">
        <f t="shared" si="171"/>
        <v>0.32</v>
      </c>
      <c r="CX132" s="2">
        <f t="shared" si="172"/>
        <v>0</v>
      </c>
      <c r="CY132" s="2">
        <f t="shared" si="173"/>
        <v>64.468799999999987</v>
      </c>
      <c r="CZ132" s="2">
        <f t="shared" si="174"/>
        <v>43.559999999999988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1003</v>
      </c>
      <c r="DV132" s="2" t="s">
        <v>40</v>
      </c>
      <c r="DW132" s="2" t="s">
        <v>40</v>
      </c>
      <c r="DX132" s="2">
        <v>100</v>
      </c>
      <c r="DY132" s="2"/>
      <c r="DZ132" s="2"/>
      <c r="EA132" s="2"/>
      <c r="EB132" s="2"/>
      <c r="EC132" s="2"/>
      <c r="ED132" s="2"/>
      <c r="EE132" s="2">
        <v>27029110</v>
      </c>
      <c r="EF132" s="2">
        <v>6</v>
      </c>
      <c r="EG132" s="2" t="s">
        <v>90</v>
      </c>
      <c r="EH132" s="2">
        <v>0</v>
      </c>
      <c r="EI132" s="2" t="s">
        <v>6</v>
      </c>
      <c r="EJ132" s="2">
        <v>1</v>
      </c>
      <c r="EK132" s="2">
        <v>65001</v>
      </c>
      <c r="EL132" s="2" t="s">
        <v>288</v>
      </c>
      <c r="EM132" s="2" t="s">
        <v>289</v>
      </c>
      <c r="EN132" s="2"/>
      <c r="EO132" s="2" t="s">
        <v>6</v>
      </c>
      <c r="EP132" s="2"/>
      <c r="EQ132" s="2">
        <v>131072</v>
      </c>
      <c r="ER132" s="2">
        <v>731.64</v>
      </c>
      <c r="ES132" s="2">
        <v>0</v>
      </c>
      <c r="ET132" s="2">
        <v>10</v>
      </c>
      <c r="EU132" s="2">
        <v>4.32</v>
      </c>
      <c r="EV132" s="2">
        <v>721.64</v>
      </c>
      <c r="EW132" s="2">
        <v>85.3</v>
      </c>
      <c r="EX132" s="2">
        <v>0.32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44"/>
        <v>0</v>
      </c>
      <c r="FS132" s="2">
        <v>0</v>
      </c>
      <c r="FT132" s="2"/>
      <c r="FU132" s="2"/>
      <c r="FV132" s="2"/>
      <c r="FW132" s="2"/>
      <c r="FX132" s="2">
        <v>74</v>
      </c>
      <c r="FY132" s="2">
        <v>50</v>
      </c>
      <c r="FZ132" s="2"/>
      <c r="GA132" s="2" t="s">
        <v>6</v>
      </c>
      <c r="GB132" s="2"/>
      <c r="GC132" s="2"/>
      <c r="GD132" s="2">
        <v>0</v>
      </c>
      <c r="GE132" s="2"/>
      <c r="GF132" s="2">
        <v>-607669651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45"/>
        <v>0</v>
      </c>
      <c r="GM132" s="2">
        <f t="shared" si="175"/>
        <v>195.83</v>
      </c>
      <c r="GN132" s="2">
        <f t="shared" si="176"/>
        <v>195.83</v>
      </c>
      <c r="GO132" s="2">
        <f t="shared" si="177"/>
        <v>0</v>
      </c>
      <c r="GP132" s="2">
        <f t="shared" si="178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79"/>
        <v>0</v>
      </c>
      <c r="GW132" s="2">
        <v>1</v>
      </c>
      <c r="GX132" s="2">
        <f t="shared" si="180"/>
        <v>0</v>
      </c>
      <c r="GY132" s="2"/>
      <c r="GZ132" s="2"/>
      <c r="HA132" s="2">
        <v>0</v>
      </c>
      <c r="HB132" s="2">
        <v>0</v>
      </c>
      <c r="HC132" s="2">
        <f t="shared" si="181"/>
        <v>0</v>
      </c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ROW(SmtRes!A380)</f>
        <v>380</v>
      </c>
      <c r="D133">
        <f>ROW(EtalonRes!A384)</f>
        <v>384</v>
      </c>
      <c r="E133" t="s">
        <v>284</v>
      </c>
      <c r="F133" t="s">
        <v>285</v>
      </c>
      <c r="G133" t="s">
        <v>286</v>
      </c>
      <c r="H133" t="s">
        <v>40</v>
      </c>
      <c r="I133">
        <f>ROUND(12/100,9)</f>
        <v>0.12</v>
      </c>
      <c r="J133">
        <v>0</v>
      </c>
      <c r="O133">
        <f t="shared" si="146"/>
        <v>536.44000000000005</v>
      </c>
      <c r="P133">
        <f t="shared" si="147"/>
        <v>0</v>
      </c>
      <c r="Q133">
        <f t="shared" si="148"/>
        <v>7.33</v>
      </c>
      <c r="R133">
        <f t="shared" si="149"/>
        <v>3.17</v>
      </c>
      <c r="S133">
        <f t="shared" si="150"/>
        <v>529.11</v>
      </c>
      <c r="T133">
        <f t="shared" si="151"/>
        <v>0</v>
      </c>
      <c r="U133">
        <f t="shared" si="152"/>
        <v>10.235999999999999</v>
      </c>
      <c r="V133">
        <f t="shared" si="153"/>
        <v>3.8399999999999997E-2</v>
      </c>
      <c r="W133">
        <f t="shared" si="154"/>
        <v>0</v>
      </c>
      <c r="X133">
        <f t="shared" si="155"/>
        <v>393.89</v>
      </c>
      <c r="Y133">
        <f t="shared" si="156"/>
        <v>266.14</v>
      </c>
      <c r="AA133">
        <v>27935368</v>
      </c>
      <c r="AB133">
        <f t="shared" si="157"/>
        <v>731.64</v>
      </c>
      <c r="AC133">
        <f t="shared" si="158"/>
        <v>0</v>
      </c>
      <c r="AD133">
        <f t="shared" si="159"/>
        <v>10</v>
      </c>
      <c r="AE133">
        <f t="shared" si="160"/>
        <v>4.32</v>
      </c>
      <c r="AF133">
        <f t="shared" si="160"/>
        <v>721.64</v>
      </c>
      <c r="AG133">
        <f t="shared" si="161"/>
        <v>0</v>
      </c>
      <c r="AH133">
        <f t="shared" si="162"/>
        <v>85.3</v>
      </c>
      <c r="AI133">
        <f t="shared" si="162"/>
        <v>0.32</v>
      </c>
      <c r="AJ133">
        <f t="shared" si="163"/>
        <v>0</v>
      </c>
      <c r="AK133">
        <v>731.64</v>
      </c>
      <c r="AL133">
        <v>0</v>
      </c>
      <c r="AM133">
        <v>10</v>
      </c>
      <c r="AN133">
        <v>4.32</v>
      </c>
      <c r="AO133">
        <v>721.64</v>
      </c>
      <c r="AP133">
        <v>0</v>
      </c>
      <c r="AQ133">
        <v>85.3</v>
      </c>
      <c r="AR133">
        <v>0.32</v>
      </c>
      <c r="AS133">
        <v>0</v>
      </c>
      <c r="AT133">
        <v>74</v>
      </c>
      <c r="AU133">
        <v>50</v>
      </c>
      <c r="AV133">
        <v>1</v>
      </c>
      <c r="AW133">
        <v>1</v>
      </c>
      <c r="AZ133">
        <v>6.11</v>
      </c>
      <c r="BA133">
        <v>6.11</v>
      </c>
      <c r="BB133">
        <v>6.11</v>
      </c>
      <c r="BC133">
        <v>6.11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287</v>
      </c>
      <c r="BM133">
        <v>65001</v>
      </c>
      <c r="BN133">
        <v>0</v>
      </c>
      <c r="BO133" t="s">
        <v>6</v>
      </c>
      <c r="BP133">
        <v>0</v>
      </c>
      <c r="BQ133">
        <v>6</v>
      </c>
      <c r="BR133">
        <v>0</v>
      </c>
      <c r="BS133">
        <v>6.11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74</v>
      </c>
      <c r="CA133">
        <v>50</v>
      </c>
      <c r="CE133">
        <v>0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4"/>
        <v>536.44000000000005</v>
      </c>
      <c r="CQ133">
        <f t="shared" si="165"/>
        <v>0</v>
      </c>
      <c r="CR133">
        <f t="shared" si="166"/>
        <v>61.1</v>
      </c>
      <c r="CS133">
        <f t="shared" si="167"/>
        <v>26.395200000000003</v>
      </c>
      <c r="CT133">
        <f t="shared" si="168"/>
        <v>4409.2204000000002</v>
      </c>
      <c r="CU133">
        <f t="shared" si="169"/>
        <v>0</v>
      </c>
      <c r="CV133">
        <f t="shared" si="170"/>
        <v>85.3</v>
      </c>
      <c r="CW133">
        <f t="shared" si="171"/>
        <v>0.32</v>
      </c>
      <c r="CX133">
        <f t="shared" si="172"/>
        <v>0</v>
      </c>
      <c r="CY133">
        <f t="shared" si="173"/>
        <v>393.88720000000001</v>
      </c>
      <c r="CZ133">
        <f t="shared" si="174"/>
        <v>266.14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40</v>
      </c>
      <c r="DW133" t="s">
        <v>40</v>
      </c>
      <c r="DX133">
        <v>100</v>
      </c>
      <c r="EE133">
        <v>27029110</v>
      </c>
      <c r="EF133">
        <v>6</v>
      </c>
      <c r="EG133" t="s">
        <v>90</v>
      </c>
      <c r="EH133">
        <v>0</v>
      </c>
      <c r="EI133" t="s">
        <v>6</v>
      </c>
      <c r="EJ133">
        <v>1</v>
      </c>
      <c r="EK133">
        <v>65001</v>
      </c>
      <c r="EL133" t="s">
        <v>288</v>
      </c>
      <c r="EM133" t="s">
        <v>289</v>
      </c>
      <c r="EO133" t="s">
        <v>6</v>
      </c>
      <c r="EQ133">
        <v>131072</v>
      </c>
      <c r="ER133">
        <v>731.64</v>
      </c>
      <c r="ES133">
        <v>0</v>
      </c>
      <c r="ET133">
        <v>10</v>
      </c>
      <c r="EU133">
        <v>4.32</v>
      </c>
      <c r="EV133">
        <v>721.64</v>
      </c>
      <c r="EW133">
        <v>85.3</v>
      </c>
      <c r="EX133">
        <v>0.32</v>
      </c>
      <c r="EY133">
        <v>0</v>
      </c>
      <c r="FQ133">
        <v>0</v>
      </c>
      <c r="FR133">
        <f t="shared" si="144"/>
        <v>0</v>
      </c>
      <c r="FS133">
        <v>0</v>
      </c>
      <c r="FX133">
        <v>74</v>
      </c>
      <c r="FY133">
        <v>50</v>
      </c>
      <c r="GA133" t="s">
        <v>6</v>
      </c>
      <c r="GD133">
        <v>0</v>
      </c>
      <c r="GF133">
        <v>-607669651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45"/>
        <v>0</v>
      </c>
      <c r="GM133">
        <f t="shared" si="175"/>
        <v>1196.47</v>
      </c>
      <c r="GN133">
        <f t="shared" si="176"/>
        <v>1196.47</v>
      </c>
      <c r="GO133">
        <f t="shared" si="177"/>
        <v>0</v>
      </c>
      <c r="GP133">
        <f t="shared" si="178"/>
        <v>0</v>
      </c>
      <c r="GR133">
        <v>0</v>
      </c>
      <c r="GS133">
        <v>3</v>
      </c>
      <c r="GT133">
        <v>0</v>
      </c>
      <c r="GU133" t="s">
        <v>6</v>
      </c>
      <c r="GV133">
        <f t="shared" si="179"/>
        <v>0</v>
      </c>
      <c r="GW133">
        <v>1</v>
      </c>
      <c r="GX133">
        <f t="shared" si="180"/>
        <v>0</v>
      </c>
      <c r="HA133">
        <v>0</v>
      </c>
      <c r="HB133">
        <v>0</v>
      </c>
      <c r="HC133">
        <f t="shared" si="181"/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376</v>
      </c>
      <c r="D134" s="2"/>
      <c r="E134" s="2" t="s">
        <v>290</v>
      </c>
      <c r="F134" s="2" t="s">
        <v>218</v>
      </c>
      <c r="G134" s="2" t="s">
        <v>219</v>
      </c>
      <c r="H134" s="2" t="s">
        <v>65</v>
      </c>
      <c r="I134" s="2">
        <f>I132*J134</f>
        <v>0.1608</v>
      </c>
      <c r="J134" s="2">
        <v>1.34</v>
      </c>
      <c r="K134" s="2"/>
      <c r="L134" s="2"/>
      <c r="M134" s="2"/>
      <c r="N134" s="2"/>
      <c r="O134" s="2">
        <f t="shared" si="146"/>
        <v>0</v>
      </c>
      <c r="P134" s="2">
        <f t="shared" si="147"/>
        <v>0</v>
      </c>
      <c r="Q134" s="2">
        <f t="shared" si="148"/>
        <v>0</v>
      </c>
      <c r="R134" s="2">
        <f t="shared" si="149"/>
        <v>0</v>
      </c>
      <c r="S134" s="2">
        <f t="shared" si="150"/>
        <v>0</v>
      </c>
      <c r="T134" s="2">
        <f t="shared" si="151"/>
        <v>0</v>
      </c>
      <c r="U134" s="2">
        <f t="shared" si="152"/>
        <v>0</v>
      </c>
      <c r="V134" s="2">
        <f t="shared" si="153"/>
        <v>0</v>
      </c>
      <c r="W134" s="2">
        <f t="shared" si="154"/>
        <v>0</v>
      </c>
      <c r="X134" s="2">
        <f t="shared" si="155"/>
        <v>0</v>
      </c>
      <c r="Y134" s="2">
        <f t="shared" si="156"/>
        <v>0</v>
      </c>
      <c r="Z134" s="2"/>
      <c r="AA134" s="2">
        <v>27935367</v>
      </c>
      <c r="AB134" s="2">
        <f t="shared" si="157"/>
        <v>0</v>
      </c>
      <c r="AC134" s="2">
        <f t="shared" si="158"/>
        <v>0</v>
      </c>
      <c r="AD134" s="2">
        <f t="shared" si="159"/>
        <v>0</v>
      </c>
      <c r="AE134" s="2">
        <f t="shared" si="160"/>
        <v>0</v>
      </c>
      <c r="AF134" s="2">
        <f t="shared" si="160"/>
        <v>0</v>
      </c>
      <c r="AG134" s="2">
        <f t="shared" si="161"/>
        <v>0</v>
      </c>
      <c r="AH134" s="2">
        <f t="shared" si="162"/>
        <v>0</v>
      </c>
      <c r="AI134" s="2">
        <f t="shared" si="162"/>
        <v>0</v>
      </c>
      <c r="AJ134" s="2">
        <f t="shared" si="163"/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74</v>
      </c>
      <c r="AU134" s="2">
        <v>50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3</v>
      </c>
      <c r="BI134" s="2">
        <v>1</v>
      </c>
      <c r="BJ134" s="2" t="s">
        <v>6</v>
      </c>
      <c r="BK134" s="2"/>
      <c r="BL134" s="2"/>
      <c r="BM134" s="2">
        <v>65001</v>
      </c>
      <c r="BN134" s="2">
        <v>0</v>
      </c>
      <c r="BO134" s="2" t="s">
        <v>6</v>
      </c>
      <c r="BP134" s="2">
        <v>0</v>
      </c>
      <c r="BQ134" s="2">
        <v>6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74</v>
      </c>
      <c r="CA134" s="2">
        <v>50</v>
      </c>
      <c r="CB134" s="2"/>
      <c r="CC134" s="2"/>
      <c r="CD134" s="2"/>
      <c r="CE134" s="2">
        <v>0</v>
      </c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164"/>
        <v>0</v>
      </c>
      <c r="CQ134" s="2">
        <f t="shared" si="165"/>
        <v>0</v>
      </c>
      <c r="CR134" s="2">
        <f t="shared" si="166"/>
        <v>0</v>
      </c>
      <c r="CS134" s="2">
        <f t="shared" si="167"/>
        <v>0</v>
      </c>
      <c r="CT134" s="2">
        <f t="shared" si="168"/>
        <v>0</v>
      </c>
      <c r="CU134" s="2">
        <f t="shared" si="169"/>
        <v>0</v>
      </c>
      <c r="CV134" s="2">
        <f t="shared" si="170"/>
        <v>0</v>
      </c>
      <c r="CW134" s="2">
        <f t="shared" si="171"/>
        <v>0</v>
      </c>
      <c r="CX134" s="2">
        <f t="shared" si="172"/>
        <v>0</v>
      </c>
      <c r="CY134" s="2">
        <f t="shared" si="173"/>
        <v>0</v>
      </c>
      <c r="CZ134" s="2">
        <f t="shared" si="174"/>
        <v>0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1009</v>
      </c>
      <c r="DV134" s="2" t="s">
        <v>65</v>
      </c>
      <c r="DW134" s="2" t="s">
        <v>65</v>
      </c>
      <c r="DX134" s="2">
        <v>1000</v>
      </c>
      <c r="DY134" s="2"/>
      <c r="DZ134" s="2"/>
      <c r="EA134" s="2"/>
      <c r="EB134" s="2"/>
      <c r="EC134" s="2"/>
      <c r="ED134" s="2"/>
      <c r="EE134" s="2">
        <v>27029110</v>
      </c>
      <c r="EF134" s="2">
        <v>6</v>
      </c>
      <c r="EG134" s="2" t="s">
        <v>90</v>
      </c>
      <c r="EH134" s="2">
        <v>0</v>
      </c>
      <c r="EI134" s="2" t="s">
        <v>6</v>
      </c>
      <c r="EJ134" s="2">
        <v>1</v>
      </c>
      <c r="EK134" s="2">
        <v>65001</v>
      </c>
      <c r="EL134" s="2" t="s">
        <v>288</v>
      </c>
      <c r="EM134" s="2" t="s">
        <v>289</v>
      </c>
      <c r="EN134" s="2"/>
      <c r="EO134" s="2" t="s">
        <v>6</v>
      </c>
      <c r="EP134" s="2"/>
      <c r="EQ134" s="2">
        <v>0</v>
      </c>
      <c r="ER134" s="2">
        <v>0</v>
      </c>
      <c r="ES134" s="2">
        <v>0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44"/>
        <v>0</v>
      </c>
      <c r="FS134" s="2">
        <v>0</v>
      </c>
      <c r="FT134" s="2"/>
      <c r="FU134" s="2"/>
      <c r="FV134" s="2"/>
      <c r="FW134" s="2"/>
      <c r="FX134" s="2">
        <v>74</v>
      </c>
      <c r="FY134" s="2">
        <v>50</v>
      </c>
      <c r="FZ134" s="2"/>
      <c r="GA134" s="2" t="s">
        <v>6</v>
      </c>
      <c r="GB134" s="2"/>
      <c r="GC134" s="2"/>
      <c r="GD134" s="2">
        <v>0</v>
      </c>
      <c r="GE134" s="2"/>
      <c r="GF134" s="2">
        <v>-66286256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45"/>
        <v>0</v>
      </c>
      <c r="GM134" s="2">
        <f t="shared" si="175"/>
        <v>0</v>
      </c>
      <c r="GN134" s="2">
        <f t="shared" si="176"/>
        <v>0</v>
      </c>
      <c r="GO134" s="2">
        <f t="shared" si="177"/>
        <v>0</v>
      </c>
      <c r="GP134" s="2">
        <f t="shared" si="178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79"/>
        <v>0</v>
      </c>
      <c r="GW134" s="2">
        <v>1</v>
      </c>
      <c r="GX134" s="2">
        <f t="shared" si="180"/>
        <v>0</v>
      </c>
      <c r="GY134" s="2"/>
      <c r="GZ134" s="2"/>
      <c r="HA134" s="2">
        <v>0</v>
      </c>
      <c r="HB134" s="2">
        <v>0</v>
      </c>
      <c r="HC134" s="2">
        <f t="shared" si="181"/>
        <v>0</v>
      </c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380</v>
      </c>
      <c r="E135" t="s">
        <v>290</v>
      </c>
      <c r="F135" t="s">
        <v>218</v>
      </c>
      <c r="G135" t="s">
        <v>219</v>
      </c>
      <c r="H135" t="s">
        <v>65</v>
      </c>
      <c r="I135">
        <f>I133*J135</f>
        <v>0.1608</v>
      </c>
      <c r="J135">
        <v>1.34</v>
      </c>
      <c r="O135">
        <f t="shared" si="146"/>
        <v>0</v>
      </c>
      <c r="P135">
        <f t="shared" si="147"/>
        <v>0</v>
      </c>
      <c r="Q135">
        <f t="shared" si="148"/>
        <v>0</v>
      </c>
      <c r="R135">
        <f t="shared" si="149"/>
        <v>0</v>
      </c>
      <c r="S135">
        <f t="shared" si="150"/>
        <v>0</v>
      </c>
      <c r="T135">
        <f t="shared" si="151"/>
        <v>0</v>
      </c>
      <c r="U135">
        <f t="shared" si="152"/>
        <v>0</v>
      </c>
      <c r="V135">
        <f t="shared" si="153"/>
        <v>0</v>
      </c>
      <c r="W135">
        <f t="shared" si="154"/>
        <v>0</v>
      </c>
      <c r="X135">
        <f t="shared" si="155"/>
        <v>0</v>
      </c>
      <c r="Y135">
        <f t="shared" si="156"/>
        <v>0</v>
      </c>
      <c r="AA135">
        <v>27935368</v>
      </c>
      <c r="AB135">
        <f t="shared" si="157"/>
        <v>0</v>
      </c>
      <c r="AC135">
        <f t="shared" si="158"/>
        <v>0</v>
      </c>
      <c r="AD135">
        <f t="shared" si="159"/>
        <v>0</v>
      </c>
      <c r="AE135">
        <f t="shared" si="160"/>
        <v>0</v>
      </c>
      <c r="AF135">
        <f t="shared" si="160"/>
        <v>0</v>
      </c>
      <c r="AG135">
        <f t="shared" si="161"/>
        <v>0</v>
      </c>
      <c r="AH135">
        <f t="shared" si="162"/>
        <v>0</v>
      </c>
      <c r="AI135">
        <f t="shared" si="162"/>
        <v>0</v>
      </c>
      <c r="AJ135">
        <f t="shared" si="163"/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74</v>
      </c>
      <c r="AU135">
        <v>50</v>
      </c>
      <c r="AV135">
        <v>1</v>
      </c>
      <c r="AW135">
        <v>1</v>
      </c>
      <c r="AZ135">
        <v>6.11</v>
      </c>
      <c r="BA135">
        <v>1</v>
      </c>
      <c r="BB135">
        <v>1</v>
      </c>
      <c r="BC135">
        <v>6.11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6</v>
      </c>
      <c r="BM135">
        <v>65001</v>
      </c>
      <c r="BN135">
        <v>0</v>
      </c>
      <c r="BO135" t="s">
        <v>6</v>
      </c>
      <c r="BP135">
        <v>0</v>
      </c>
      <c r="BQ135">
        <v>6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74</v>
      </c>
      <c r="CA135">
        <v>50</v>
      </c>
      <c r="CE135">
        <v>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64"/>
        <v>0</v>
      </c>
      <c r="CQ135">
        <f t="shared" si="165"/>
        <v>0</v>
      </c>
      <c r="CR135">
        <f t="shared" si="166"/>
        <v>0</v>
      </c>
      <c r="CS135">
        <f t="shared" si="167"/>
        <v>0</v>
      </c>
      <c r="CT135">
        <f t="shared" si="168"/>
        <v>0</v>
      </c>
      <c r="CU135">
        <f t="shared" si="169"/>
        <v>0</v>
      </c>
      <c r="CV135">
        <f t="shared" si="170"/>
        <v>0</v>
      </c>
      <c r="CW135">
        <f t="shared" si="171"/>
        <v>0</v>
      </c>
      <c r="CX135">
        <f t="shared" si="172"/>
        <v>0</v>
      </c>
      <c r="CY135">
        <f t="shared" si="173"/>
        <v>0</v>
      </c>
      <c r="CZ135">
        <f t="shared" si="174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1009</v>
      </c>
      <c r="DV135" t="s">
        <v>65</v>
      </c>
      <c r="DW135" t="s">
        <v>65</v>
      </c>
      <c r="DX135">
        <v>1000</v>
      </c>
      <c r="EE135">
        <v>27029110</v>
      </c>
      <c r="EF135">
        <v>6</v>
      </c>
      <c r="EG135" t="s">
        <v>90</v>
      </c>
      <c r="EH135">
        <v>0</v>
      </c>
      <c r="EI135" t="s">
        <v>6</v>
      </c>
      <c r="EJ135">
        <v>1</v>
      </c>
      <c r="EK135">
        <v>65001</v>
      </c>
      <c r="EL135" t="s">
        <v>288</v>
      </c>
      <c r="EM135" t="s">
        <v>289</v>
      </c>
      <c r="EO135" t="s">
        <v>6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44"/>
        <v>0</v>
      </c>
      <c r="FS135">
        <v>0</v>
      </c>
      <c r="FX135">
        <v>74</v>
      </c>
      <c r="FY135">
        <v>50</v>
      </c>
      <c r="GA135" t="s">
        <v>6</v>
      </c>
      <c r="GD135">
        <v>0</v>
      </c>
      <c r="GF135">
        <v>-66286256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45"/>
        <v>0</v>
      </c>
      <c r="GM135">
        <f t="shared" si="175"/>
        <v>0</v>
      </c>
      <c r="GN135">
        <f t="shared" si="176"/>
        <v>0</v>
      </c>
      <c r="GO135">
        <f t="shared" si="177"/>
        <v>0</v>
      </c>
      <c r="GP135">
        <f t="shared" si="178"/>
        <v>0</v>
      </c>
      <c r="GR135">
        <v>0</v>
      </c>
      <c r="GS135">
        <v>3</v>
      </c>
      <c r="GT135">
        <v>0</v>
      </c>
      <c r="GU135" t="s">
        <v>6</v>
      </c>
      <c r="GV135">
        <f t="shared" si="179"/>
        <v>0</v>
      </c>
      <c r="GW135">
        <v>1</v>
      </c>
      <c r="GX135">
        <f t="shared" si="180"/>
        <v>0</v>
      </c>
      <c r="HA135">
        <v>0</v>
      </c>
      <c r="HB135">
        <v>0</v>
      </c>
      <c r="HC135">
        <f t="shared" si="181"/>
        <v>0</v>
      </c>
      <c r="IK135">
        <v>0</v>
      </c>
    </row>
    <row r="136" spans="1:255" x14ac:dyDescent="0.2">
      <c r="A136" s="2">
        <v>17</v>
      </c>
      <c r="B136" s="2">
        <v>1</v>
      </c>
      <c r="C136" s="2">
        <f>ROW(SmtRes!A389)</f>
        <v>389</v>
      </c>
      <c r="D136" s="2">
        <f>ROW(EtalonRes!A395)</f>
        <v>395</v>
      </c>
      <c r="E136" s="2" t="s">
        <v>291</v>
      </c>
      <c r="F136" s="2" t="s">
        <v>292</v>
      </c>
      <c r="G136" s="2" t="s">
        <v>293</v>
      </c>
      <c r="H136" s="2" t="s">
        <v>40</v>
      </c>
      <c r="I136" s="2">
        <f>ROUND(12/100,9)</f>
        <v>0.12</v>
      </c>
      <c r="J136" s="2">
        <v>0</v>
      </c>
      <c r="K136" s="2"/>
      <c r="L136" s="2"/>
      <c r="M136" s="2"/>
      <c r="N136" s="2"/>
      <c r="O136" s="2">
        <f t="shared" si="146"/>
        <v>102.16</v>
      </c>
      <c r="P136" s="2">
        <f t="shared" si="147"/>
        <v>16.91</v>
      </c>
      <c r="Q136" s="2">
        <f t="shared" si="148"/>
        <v>0.92</v>
      </c>
      <c r="R136" s="2">
        <f t="shared" si="149"/>
        <v>0.14000000000000001</v>
      </c>
      <c r="S136" s="2">
        <f t="shared" si="150"/>
        <v>84.33</v>
      </c>
      <c r="T136" s="2">
        <f t="shared" si="151"/>
        <v>0</v>
      </c>
      <c r="U136" s="2">
        <f t="shared" si="152"/>
        <v>8.5007999999999981</v>
      </c>
      <c r="V136" s="2">
        <f t="shared" si="153"/>
        <v>1.0500000000000001E-2</v>
      </c>
      <c r="W136" s="2">
        <f t="shared" si="154"/>
        <v>0</v>
      </c>
      <c r="X136" s="2">
        <f t="shared" si="155"/>
        <v>97.14</v>
      </c>
      <c r="Y136" s="2">
        <f t="shared" si="156"/>
        <v>59.97</v>
      </c>
      <c r="Z136" s="2"/>
      <c r="AA136" s="2">
        <v>27935367</v>
      </c>
      <c r="AB136" s="2">
        <f t="shared" si="157"/>
        <v>851.33</v>
      </c>
      <c r="AC136" s="2">
        <f t="shared" si="158"/>
        <v>140.91999999999999</v>
      </c>
      <c r="AD136" s="2">
        <f>ROUND(((((ET136*1.25))-((EU136*1.25)))+AE136),2)</f>
        <v>7.68</v>
      </c>
      <c r="AE136" s="2">
        <f>ROUND(((EU136*1.25)),2)</f>
        <v>1.1399999999999999</v>
      </c>
      <c r="AF136" s="2">
        <f>ROUND(((EV136*1.15)),2)</f>
        <v>702.73</v>
      </c>
      <c r="AG136" s="2">
        <f t="shared" si="161"/>
        <v>0</v>
      </c>
      <c r="AH136" s="2">
        <f>((EW136*1.15))</f>
        <v>70.839999999999989</v>
      </c>
      <c r="AI136" s="2">
        <f>((EX136*1.25))</f>
        <v>8.7500000000000008E-2</v>
      </c>
      <c r="AJ136" s="2">
        <f t="shared" si="163"/>
        <v>0</v>
      </c>
      <c r="AK136" s="2">
        <v>758.13</v>
      </c>
      <c r="AL136" s="2">
        <v>140.91999999999999</v>
      </c>
      <c r="AM136" s="2">
        <v>6.14</v>
      </c>
      <c r="AN136" s="2">
        <v>0.91</v>
      </c>
      <c r="AO136" s="2">
        <v>611.07000000000005</v>
      </c>
      <c r="AP136" s="2">
        <v>0</v>
      </c>
      <c r="AQ136" s="2">
        <v>61.6</v>
      </c>
      <c r="AR136" s="2">
        <v>7.0000000000000007E-2</v>
      </c>
      <c r="AS136" s="2">
        <v>0</v>
      </c>
      <c r="AT136" s="2">
        <v>115</v>
      </c>
      <c r="AU136" s="2">
        <v>71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0</v>
      </c>
      <c r="BI136" s="2">
        <v>1</v>
      </c>
      <c r="BJ136" s="2" t="s">
        <v>294</v>
      </c>
      <c r="BK136" s="2"/>
      <c r="BL136" s="2"/>
      <c r="BM136" s="2">
        <v>16001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128</v>
      </c>
      <c r="CA136" s="2">
        <v>83</v>
      </c>
      <c r="CB136" s="2"/>
      <c r="CC136" s="2"/>
      <c r="CD136" s="2"/>
      <c r="CE136" s="2">
        <v>0</v>
      </c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766</v>
      </c>
      <c r="CO136" s="2">
        <v>0</v>
      </c>
      <c r="CP136" s="2">
        <f t="shared" si="164"/>
        <v>102.16</v>
      </c>
      <c r="CQ136" s="2">
        <f t="shared" si="165"/>
        <v>140.91999999999999</v>
      </c>
      <c r="CR136" s="2">
        <f t="shared" si="166"/>
        <v>7.68</v>
      </c>
      <c r="CS136" s="2">
        <f t="shared" si="167"/>
        <v>1.1399999999999999</v>
      </c>
      <c r="CT136" s="2">
        <f t="shared" si="168"/>
        <v>702.73</v>
      </c>
      <c r="CU136" s="2">
        <f t="shared" si="169"/>
        <v>0</v>
      </c>
      <c r="CV136" s="2">
        <f t="shared" si="170"/>
        <v>70.839999999999989</v>
      </c>
      <c r="CW136" s="2">
        <f t="shared" si="171"/>
        <v>8.7500000000000008E-2</v>
      </c>
      <c r="CX136" s="2">
        <f t="shared" si="172"/>
        <v>0</v>
      </c>
      <c r="CY136" s="2">
        <f t="shared" si="173"/>
        <v>97.140499999999989</v>
      </c>
      <c r="CZ136" s="2">
        <f t="shared" si="174"/>
        <v>59.973700000000001</v>
      </c>
      <c r="DA136" s="2"/>
      <c r="DB136" s="2"/>
      <c r="DC136" s="2" t="s">
        <v>6</v>
      </c>
      <c r="DD136" s="2" t="s">
        <v>6</v>
      </c>
      <c r="DE136" s="2" t="s">
        <v>27</v>
      </c>
      <c r="DF136" s="2" t="s">
        <v>27</v>
      </c>
      <c r="DG136" s="2" t="s">
        <v>28</v>
      </c>
      <c r="DH136" s="2" t="s">
        <v>6</v>
      </c>
      <c r="DI136" s="2" t="s">
        <v>28</v>
      </c>
      <c r="DJ136" s="2" t="s">
        <v>27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40</v>
      </c>
      <c r="DW136" s="2" t="s">
        <v>40</v>
      </c>
      <c r="DX136" s="2">
        <v>100</v>
      </c>
      <c r="DY136" s="2"/>
      <c r="DZ136" s="2"/>
      <c r="EA136" s="2"/>
      <c r="EB136" s="2"/>
      <c r="EC136" s="2"/>
      <c r="ED136" s="2"/>
      <c r="EE136" s="2">
        <v>27029050</v>
      </c>
      <c r="EF136" s="2">
        <v>2</v>
      </c>
      <c r="EG136" s="2" t="s">
        <v>18</v>
      </c>
      <c r="EH136" s="2">
        <v>0</v>
      </c>
      <c r="EI136" s="2" t="s">
        <v>6</v>
      </c>
      <c r="EJ136" s="2">
        <v>1</v>
      </c>
      <c r="EK136" s="2">
        <v>16001</v>
      </c>
      <c r="EL136" s="2" t="s">
        <v>295</v>
      </c>
      <c r="EM136" s="2" t="s">
        <v>296</v>
      </c>
      <c r="EN136" s="2"/>
      <c r="EO136" s="2" t="s">
        <v>31</v>
      </c>
      <c r="EP136" s="2"/>
      <c r="EQ136" s="2">
        <v>131072</v>
      </c>
      <c r="ER136" s="2">
        <v>758.13</v>
      </c>
      <c r="ES136" s="2">
        <v>140.91999999999999</v>
      </c>
      <c r="ET136" s="2">
        <v>6.14</v>
      </c>
      <c r="EU136" s="2">
        <v>0.91</v>
      </c>
      <c r="EV136" s="2">
        <v>611.07000000000005</v>
      </c>
      <c r="EW136" s="2">
        <v>61.6</v>
      </c>
      <c r="EX136" s="2">
        <v>7.0000000000000007E-2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44"/>
        <v>0</v>
      </c>
      <c r="FS136" s="2">
        <v>0</v>
      </c>
      <c r="FT136" s="2" t="s">
        <v>21</v>
      </c>
      <c r="FU136" s="2" t="s">
        <v>22</v>
      </c>
      <c r="FV136" s="2"/>
      <c r="FW136" s="2"/>
      <c r="FX136" s="2">
        <v>115.2</v>
      </c>
      <c r="FY136" s="2">
        <v>70.55</v>
      </c>
      <c r="FZ136" s="2"/>
      <c r="GA136" s="2" t="s">
        <v>6</v>
      </c>
      <c r="GB136" s="2"/>
      <c r="GC136" s="2"/>
      <c r="GD136" s="2">
        <v>0</v>
      </c>
      <c r="GE136" s="2"/>
      <c r="GF136" s="2">
        <v>1989847972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45"/>
        <v>0</v>
      </c>
      <c r="GM136" s="2">
        <f t="shared" si="175"/>
        <v>259.27</v>
      </c>
      <c r="GN136" s="2">
        <f t="shared" si="176"/>
        <v>259.27</v>
      </c>
      <c r="GO136" s="2">
        <f t="shared" si="177"/>
        <v>0</v>
      </c>
      <c r="GP136" s="2">
        <f t="shared" si="178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79"/>
        <v>0</v>
      </c>
      <c r="GW136" s="2">
        <v>1</v>
      </c>
      <c r="GX136" s="2">
        <f t="shared" si="180"/>
        <v>0</v>
      </c>
      <c r="GY136" s="2"/>
      <c r="GZ136" s="2"/>
      <c r="HA136" s="2">
        <v>0</v>
      </c>
      <c r="HB136" s="2">
        <v>0</v>
      </c>
      <c r="HC136" s="2">
        <f t="shared" si="181"/>
        <v>0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ROW(SmtRes!A398)</f>
        <v>398</v>
      </c>
      <c r="D137">
        <f>ROW(EtalonRes!A406)</f>
        <v>406</v>
      </c>
      <c r="E137" t="s">
        <v>291</v>
      </c>
      <c r="F137" t="s">
        <v>292</v>
      </c>
      <c r="G137" t="s">
        <v>293</v>
      </c>
      <c r="H137" t="s">
        <v>40</v>
      </c>
      <c r="I137">
        <f>ROUND(12/100,9)</f>
        <v>0.12</v>
      </c>
      <c r="J137">
        <v>0</v>
      </c>
      <c r="O137">
        <f t="shared" si="146"/>
        <v>624.19000000000005</v>
      </c>
      <c r="P137">
        <f t="shared" si="147"/>
        <v>103.32</v>
      </c>
      <c r="Q137">
        <f t="shared" si="148"/>
        <v>5.63</v>
      </c>
      <c r="R137">
        <f t="shared" si="149"/>
        <v>0.84</v>
      </c>
      <c r="S137">
        <f t="shared" si="150"/>
        <v>515.24</v>
      </c>
      <c r="T137">
        <f t="shared" si="151"/>
        <v>0</v>
      </c>
      <c r="U137">
        <f t="shared" si="152"/>
        <v>8.5007999999999981</v>
      </c>
      <c r="V137">
        <f t="shared" si="153"/>
        <v>1.0500000000000001E-2</v>
      </c>
      <c r="W137">
        <f t="shared" si="154"/>
        <v>0</v>
      </c>
      <c r="X137">
        <f t="shared" si="155"/>
        <v>593.49</v>
      </c>
      <c r="Y137">
        <f t="shared" si="156"/>
        <v>366.42</v>
      </c>
      <c r="AA137">
        <v>27935368</v>
      </c>
      <c r="AB137">
        <f t="shared" si="157"/>
        <v>851.33</v>
      </c>
      <c r="AC137">
        <f t="shared" si="158"/>
        <v>140.91999999999999</v>
      </c>
      <c r="AD137">
        <f>ROUND(((((ET137*1.25))-((EU137*1.25)))+AE137),2)</f>
        <v>7.68</v>
      </c>
      <c r="AE137">
        <f>ROUND(((EU137*1.25)),2)</f>
        <v>1.1399999999999999</v>
      </c>
      <c r="AF137">
        <f>ROUND(((EV137*1.15)),2)</f>
        <v>702.73</v>
      </c>
      <c r="AG137">
        <f t="shared" si="161"/>
        <v>0</v>
      </c>
      <c r="AH137">
        <f>((EW137*1.15))</f>
        <v>70.839999999999989</v>
      </c>
      <c r="AI137">
        <f>((EX137*1.25))</f>
        <v>8.7500000000000008E-2</v>
      </c>
      <c r="AJ137">
        <f t="shared" si="163"/>
        <v>0</v>
      </c>
      <c r="AK137">
        <v>758.13</v>
      </c>
      <c r="AL137">
        <v>140.91999999999999</v>
      </c>
      <c r="AM137">
        <v>6.14</v>
      </c>
      <c r="AN137">
        <v>0.91</v>
      </c>
      <c r="AO137">
        <v>611.07000000000005</v>
      </c>
      <c r="AP137">
        <v>0</v>
      </c>
      <c r="AQ137">
        <v>61.6</v>
      </c>
      <c r="AR137">
        <v>7.0000000000000007E-2</v>
      </c>
      <c r="AS137">
        <v>0</v>
      </c>
      <c r="AT137">
        <v>115</v>
      </c>
      <c r="AU137">
        <v>71</v>
      </c>
      <c r="AV137">
        <v>1</v>
      </c>
      <c r="AW137">
        <v>1</v>
      </c>
      <c r="AZ137">
        <v>6.11</v>
      </c>
      <c r="BA137">
        <v>6.11</v>
      </c>
      <c r="BB137">
        <v>6.11</v>
      </c>
      <c r="BC137">
        <v>6.11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294</v>
      </c>
      <c r="BM137">
        <v>16001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6.11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128</v>
      </c>
      <c r="CA137">
        <v>83</v>
      </c>
      <c r="CE137">
        <v>0</v>
      </c>
      <c r="CF137">
        <v>0</v>
      </c>
      <c r="CG137">
        <v>0</v>
      </c>
      <c r="CM137">
        <v>0</v>
      </c>
      <c r="CN137" t="s">
        <v>766</v>
      </c>
      <c r="CO137">
        <v>0</v>
      </c>
      <c r="CP137">
        <f t="shared" si="164"/>
        <v>624.19000000000005</v>
      </c>
      <c r="CQ137">
        <f t="shared" si="165"/>
        <v>861.02120000000002</v>
      </c>
      <c r="CR137">
        <f t="shared" si="166"/>
        <v>46.924799999999998</v>
      </c>
      <c r="CS137">
        <f t="shared" si="167"/>
        <v>6.9653999999999998</v>
      </c>
      <c r="CT137">
        <f t="shared" si="168"/>
        <v>4293.6803</v>
      </c>
      <c r="CU137">
        <f t="shared" si="169"/>
        <v>0</v>
      </c>
      <c r="CV137">
        <f t="shared" si="170"/>
        <v>70.839999999999989</v>
      </c>
      <c r="CW137">
        <f t="shared" si="171"/>
        <v>8.7500000000000008E-2</v>
      </c>
      <c r="CX137">
        <f t="shared" si="172"/>
        <v>0</v>
      </c>
      <c r="CY137">
        <f t="shared" si="173"/>
        <v>593.49200000000008</v>
      </c>
      <c r="CZ137">
        <f t="shared" si="174"/>
        <v>366.41680000000002</v>
      </c>
      <c r="DC137" t="s">
        <v>6</v>
      </c>
      <c r="DD137" t="s">
        <v>6</v>
      </c>
      <c r="DE137" t="s">
        <v>27</v>
      </c>
      <c r="DF137" t="s">
        <v>27</v>
      </c>
      <c r="DG137" t="s">
        <v>28</v>
      </c>
      <c r="DH137" t="s">
        <v>6</v>
      </c>
      <c r="DI137" t="s">
        <v>28</v>
      </c>
      <c r="DJ137" t="s">
        <v>27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40</v>
      </c>
      <c r="DW137" t="s">
        <v>40</v>
      </c>
      <c r="DX137">
        <v>100</v>
      </c>
      <c r="EE137">
        <v>27029050</v>
      </c>
      <c r="EF137">
        <v>2</v>
      </c>
      <c r="EG137" t="s">
        <v>18</v>
      </c>
      <c r="EH137">
        <v>0</v>
      </c>
      <c r="EI137" t="s">
        <v>6</v>
      </c>
      <c r="EJ137">
        <v>1</v>
      </c>
      <c r="EK137">
        <v>16001</v>
      </c>
      <c r="EL137" t="s">
        <v>295</v>
      </c>
      <c r="EM137" t="s">
        <v>296</v>
      </c>
      <c r="EO137" t="s">
        <v>31</v>
      </c>
      <c r="EQ137">
        <v>131072</v>
      </c>
      <c r="ER137">
        <v>758.13</v>
      </c>
      <c r="ES137">
        <v>140.91999999999999</v>
      </c>
      <c r="ET137">
        <v>6.14</v>
      </c>
      <c r="EU137">
        <v>0.91</v>
      </c>
      <c r="EV137">
        <v>611.07000000000005</v>
      </c>
      <c r="EW137">
        <v>61.6</v>
      </c>
      <c r="EX137">
        <v>7.0000000000000007E-2</v>
      </c>
      <c r="EY137">
        <v>0</v>
      </c>
      <c r="FQ137">
        <v>0</v>
      </c>
      <c r="FR137">
        <f t="shared" si="144"/>
        <v>0</v>
      </c>
      <c r="FS137">
        <v>0</v>
      </c>
      <c r="FT137" t="s">
        <v>21</v>
      </c>
      <c r="FU137" t="s">
        <v>22</v>
      </c>
      <c r="FX137">
        <v>115.2</v>
      </c>
      <c r="FY137">
        <v>70.55</v>
      </c>
      <c r="GA137" t="s">
        <v>6</v>
      </c>
      <c r="GD137">
        <v>0</v>
      </c>
      <c r="GF137">
        <v>1989847972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45"/>
        <v>0</v>
      </c>
      <c r="GM137">
        <f t="shared" si="175"/>
        <v>1584.1</v>
      </c>
      <c r="GN137">
        <f t="shared" si="176"/>
        <v>1584.1</v>
      </c>
      <c r="GO137">
        <f t="shared" si="177"/>
        <v>0</v>
      </c>
      <c r="GP137">
        <f t="shared" si="178"/>
        <v>0</v>
      </c>
      <c r="GR137">
        <v>0</v>
      </c>
      <c r="GS137">
        <v>3</v>
      </c>
      <c r="GT137">
        <v>0</v>
      </c>
      <c r="GU137" t="s">
        <v>6</v>
      </c>
      <c r="GV137">
        <f t="shared" si="179"/>
        <v>0</v>
      </c>
      <c r="GW137">
        <v>1</v>
      </c>
      <c r="GX137">
        <f t="shared" si="180"/>
        <v>0</v>
      </c>
      <c r="HA137">
        <v>0</v>
      </c>
      <c r="HB137">
        <v>0</v>
      </c>
      <c r="HC137">
        <f t="shared" si="181"/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389</v>
      </c>
      <c r="D138" s="2"/>
      <c r="E138" s="2" t="s">
        <v>297</v>
      </c>
      <c r="F138" s="2" t="s">
        <v>298</v>
      </c>
      <c r="G138" s="2" t="s">
        <v>299</v>
      </c>
      <c r="H138" s="2" t="s">
        <v>45</v>
      </c>
      <c r="I138" s="2">
        <f>I136*J138</f>
        <v>11.976000000000001</v>
      </c>
      <c r="J138" s="2">
        <v>99.800000000000011</v>
      </c>
      <c r="K138" s="2"/>
      <c r="L138" s="2"/>
      <c r="M138" s="2"/>
      <c r="N138" s="2"/>
      <c r="O138" s="2">
        <f t="shared" si="146"/>
        <v>843.11</v>
      </c>
      <c r="P138" s="2">
        <f t="shared" si="147"/>
        <v>843.11</v>
      </c>
      <c r="Q138" s="2">
        <f t="shared" si="148"/>
        <v>0</v>
      </c>
      <c r="R138" s="2">
        <f t="shared" si="149"/>
        <v>0</v>
      </c>
      <c r="S138" s="2">
        <f t="shared" si="150"/>
        <v>0</v>
      </c>
      <c r="T138" s="2">
        <f t="shared" si="151"/>
        <v>0</v>
      </c>
      <c r="U138" s="2">
        <f t="shared" si="152"/>
        <v>0</v>
      </c>
      <c r="V138" s="2">
        <f t="shared" si="153"/>
        <v>0</v>
      </c>
      <c r="W138" s="2">
        <f t="shared" si="154"/>
        <v>0</v>
      </c>
      <c r="X138" s="2">
        <f t="shared" si="155"/>
        <v>0</v>
      </c>
      <c r="Y138" s="2">
        <f t="shared" si="156"/>
        <v>0</v>
      </c>
      <c r="Z138" s="2"/>
      <c r="AA138" s="2">
        <v>27935367</v>
      </c>
      <c r="AB138" s="2">
        <f t="shared" si="157"/>
        <v>70.400000000000006</v>
      </c>
      <c r="AC138" s="2">
        <f t="shared" si="158"/>
        <v>70.400000000000006</v>
      </c>
      <c r="AD138" s="2">
        <f t="shared" ref="AD138:AD147" si="182">ROUND((((ET138)-(EU138))+AE138),2)</f>
        <v>0</v>
      </c>
      <c r="AE138" s="2">
        <f t="shared" ref="AE138:AE147" si="183">ROUND((EU138),2)</f>
        <v>0</v>
      </c>
      <c r="AF138" s="2">
        <f t="shared" ref="AF138:AF147" si="184">ROUND((EV138),2)</f>
        <v>0</v>
      </c>
      <c r="AG138" s="2">
        <f t="shared" si="161"/>
        <v>0</v>
      </c>
      <c r="AH138" s="2">
        <f t="shared" ref="AH138:AH147" si="185">(EW138)</f>
        <v>0</v>
      </c>
      <c r="AI138" s="2">
        <f t="shared" ref="AI138:AI147" si="186">(EX138)</f>
        <v>0</v>
      </c>
      <c r="AJ138" s="2">
        <f t="shared" si="163"/>
        <v>0</v>
      </c>
      <c r="AK138" s="2">
        <v>70.400000000000006</v>
      </c>
      <c r="AL138" s="2">
        <v>70.400000000000006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115</v>
      </c>
      <c r="AU138" s="2">
        <v>71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300</v>
      </c>
      <c r="BK138" s="2"/>
      <c r="BL138" s="2"/>
      <c r="BM138" s="2">
        <v>16001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128</v>
      </c>
      <c r="CA138" s="2">
        <v>83</v>
      </c>
      <c r="CB138" s="2"/>
      <c r="CC138" s="2"/>
      <c r="CD138" s="2"/>
      <c r="CE138" s="2">
        <v>0</v>
      </c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4"/>
        <v>843.11</v>
      </c>
      <c r="CQ138" s="2">
        <f t="shared" si="165"/>
        <v>70.400000000000006</v>
      </c>
      <c r="CR138" s="2">
        <f t="shared" si="166"/>
        <v>0</v>
      </c>
      <c r="CS138" s="2">
        <f t="shared" si="167"/>
        <v>0</v>
      </c>
      <c r="CT138" s="2">
        <f t="shared" si="168"/>
        <v>0</v>
      </c>
      <c r="CU138" s="2">
        <f t="shared" si="169"/>
        <v>0</v>
      </c>
      <c r="CV138" s="2">
        <f t="shared" si="170"/>
        <v>0</v>
      </c>
      <c r="CW138" s="2">
        <f t="shared" si="171"/>
        <v>0</v>
      </c>
      <c r="CX138" s="2">
        <f t="shared" si="172"/>
        <v>0</v>
      </c>
      <c r="CY138" s="2">
        <f t="shared" si="173"/>
        <v>0</v>
      </c>
      <c r="CZ138" s="2">
        <f t="shared" si="174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1003</v>
      </c>
      <c r="DV138" s="2" t="s">
        <v>45</v>
      </c>
      <c r="DW138" s="2" t="s">
        <v>45</v>
      </c>
      <c r="DX138" s="2">
        <v>1</v>
      </c>
      <c r="DY138" s="2"/>
      <c r="DZ138" s="2"/>
      <c r="EA138" s="2"/>
      <c r="EB138" s="2"/>
      <c r="EC138" s="2"/>
      <c r="ED138" s="2"/>
      <c r="EE138" s="2">
        <v>27029050</v>
      </c>
      <c r="EF138" s="2">
        <v>2</v>
      </c>
      <c r="EG138" s="2" t="s">
        <v>18</v>
      </c>
      <c r="EH138" s="2">
        <v>0</v>
      </c>
      <c r="EI138" s="2" t="s">
        <v>6</v>
      </c>
      <c r="EJ138" s="2">
        <v>1</v>
      </c>
      <c r="EK138" s="2">
        <v>16001</v>
      </c>
      <c r="EL138" s="2" t="s">
        <v>295</v>
      </c>
      <c r="EM138" s="2" t="s">
        <v>296</v>
      </c>
      <c r="EN138" s="2"/>
      <c r="EO138" s="2" t="s">
        <v>6</v>
      </c>
      <c r="EP138" s="2"/>
      <c r="EQ138" s="2">
        <v>0</v>
      </c>
      <c r="ER138" s="2">
        <v>70.400000000000006</v>
      </c>
      <c r="ES138" s="2">
        <v>70.400000000000006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44"/>
        <v>0</v>
      </c>
      <c r="FS138" s="2">
        <v>0</v>
      </c>
      <c r="FT138" s="2" t="s">
        <v>21</v>
      </c>
      <c r="FU138" s="2" t="s">
        <v>22</v>
      </c>
      <c r="FV138" s="2"/>
      <c r="FW138" s="2"/>
      <c r="FX138" s="2">
        <v>115.2</v>
      </c>
      <c r="FY138" s="2">
        <v>70.55</v>
      </c>
      <c r="FZ138" s="2"/>
      <c r="GA138" s="2" t="s">
        <v>6</v>
      </c>
      <c r="GB138" s="2"/>
      <c r="GC138" s="2"/>
      <c r="GD138" s="2">
        <v>0</v>
      </c>
      <c r="GE138" s="2"/>
      <c r="GF138" s="2">
        <v>2126135618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45"/>
        <v>0</v>
      </c>
      <c r="GM138" s="2">
        <f t="shared" si="175"/>
        <v>843.11</v>
      </c>
      <c r="GN138" s="2">
        <f t="shared" si="176"/>
        <v>843.11</v>
      </c>
      <c r="GO138" s="2">
        <f t="shared" si="177"/>
        <v>0</v>
      </c>
      <c r="GP138" s="2">
        <f t="shared" si="178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79"/>
        <v>0</v>
      </c>
      <c r="GW138" s="2">
        <v>1</v>
      </c>
      <c r="GX138" s="2">
        <f t="shared" si="180"/>
        <v>0</v>
      </c>
      <c r="GY138" s="2"/>
      <c r="GZ138" s="2"/>
      <c r="HA138" s="2">
        <v>0</v>
      </c>
      <c r="HB138" s="2">
        <v>0</v>
      </c>
      <c r="HC138" s="2">
        <f t="shared" si="181"/>
        <v>0</v>
      </c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398</v>
      </c>
      <c r="E139" t="s">
        <v>297</v>
      </c>
      <c r="F139" t="s">
        <v>298</v>
      </c>
      <c r="G139" t="s">
        <v>299</v>
      </c>
      <c r="H139" t="s">
        <v>45</v>
      </c>
      <c r="I139">
        <f>I137*J139</f>
        <v>11.976000000000001</v>
      </c>
      <c r="J139">
        <v>99.800000000000011</v>
      </c>
      <c r="O139">
        <f t="shared" si="146"/>
        <v>5151.3999999999996</v>
      </c>
      <c r="P139">
        <f t="shared" si="147"/>
        <v>5151.3999999999996</v>
      </c>
      <c r="Q139">
        <f t="shared" si="148"/>
        <v>0</v>
      </c>
      <c r="R139">
        <f t="shared" si="149"/>
        <v>0</v>
      </c>
      <c r="S139">
        <f t="shared" si="150"/>
        <v>0</v>
      </c>
      <c r="T139">
        <f t="shared" si="151"/>
        <v>0</v>
      </c>
      <c r="U139">
        <f t="shared" si="152"/>
        <v>0</v>
      </c>
      <c r="V139">
        <f t="shared" si="153"/>
        <v>0</v>
      </c>
      <c r="W139">
        <f t="shared" si="154"/>
        <v>0</v>
      </c>
      <c r="X139">
        <f t="shared" si="155"/>
        <v>0</v>
      </c>
      <c r="Y139">
        <f t="shared" si="156"/>
        <v>0</v>
      </c>
      <c r="AA139">
        <v>27935368</v>
      </c>
      <c r="AB139">
        <f t="shared" si="157"/>
        <v>70.400000000000006</v>
      </c>
      <c r="AC139">
        <f t="shared" si="158"/>
        <v>70.400000000000006</v>
      </c>
      <c r="AD139">
        <f t="shared" si="182"/>
        <v>0</v>
      </c>
      <c r="AE139">
        <f t="shared" si="183"/>
        <v>0</v>
      </c>
      <c r="AF139">
        <f t="shared" si="184"/>
        <v>0</v>
      </c>
      <c r="AG139">
        <f t="shared" si="161"/>
        <v>0</v>
      </c>
      <c r="AH139">
        <f t="shared" si="185"/>
        <v>0</v>
      </c>
      <c r="AI139">
        <f t="shared" si="186"/>
        <v>0</v>
      </c>
      <c r="AJ139">
        <f t="shared" si="163"/>
        <v>0</v>
      </c>
      <c r="AK139">
        <v>70.400000000000006</v>
      </c>
      <c r="AL139">
        <v>70.400000000000006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115</v>
      </c>
      <c r="AU139">
        <v>71</v>
      </c>
      <c r="AV139">
        <v>1</v>
      </c>
      <c r="AW139">
        <v>1</v>
      </c>
      <c r="AZ139">
        <v>6.11</v>
      </c>
      <c r="BA139">
        <v>1</v>
      </c>
      <c r="BB139">
        <v>1</v>
      </c>
      <c r="BC139">
        <v>6.11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300</v>
      </c>
      <c r="BM139">
        <v>16001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128</v>
      </c>
      <c r="CA139">
        <v>83</v>
      </c>
      <c r="CE139">
        <v>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4"/>
        <v>5151.3999999999996</v>
      </c>
      <c r="CQ139">
        <f t="shared" si="165"/>
        <v>430.14400000000006</v>
      </c>
      <c r="CR139">
        <f t="shared" si="166"/>
        <v>0</v>
      </c>
      <c r="CS139">
        <f t="shared" si="167"/>
        <v>0</v>
      </c>
      <c r="CT139">
        <f t="shared" si="168"/>
        <v>0</v>
      </c>
      <c r="CU139">
        <f t="shared" si="169"/>
        <v>0</v>
      </c>
      <c r="CV139">
        <f t="shared" si="170"/>
        <v>0</v>
      </c>
      <c r="CW139">
        <f t="shared" si="171"/>
        <v>0</v>
      </c>
      <c r="CX139">
        <f t="shared" si="172"/>
        <v>0</v>
      </c>
      <c r="CY139">
        <f t="shared" si="173"/>
        <v>0</v>
      </c>
      <c r="CZ139">
        <f t="shared" si="174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1003</v>
      </c>
      <c r="DV139" t="s">
        <v>45</v>
      </c>
      <c r="DW139" t="s">
        <v>45</v>
      </c>
      <c r="DX139">
        <v>1</v>
      </c>
      <c r="EE139">
        <v>27029050</v>
      </c>
      <c r="EF139">
        <v>2</v>
      </c>
      <c r="EG139" t="s">
        <v>18</v>
      </c>
      <c r="EH139">
        <v>0</v>
      </c>
      <c r="EI139" t="s">
        <v>6</v>
      </c>
      <c r="EJ139">
        <v>1</v>
      </c>
      <c r="EK139">
        <v>16001</v>
      </c>
      <c r="EL139" t="s">
        <v>295</v>
      </c>
      <c r="EM139" t="s">
        <v>296</v>
      </c>
      <c r="EO139" t="s">
        <v>6</v>
      </c>
      <c r="EQ139">
        <v>0</v>
      </c>
      <c r="ER139">
        <v>70.400000000000006</v>
      </c>
      <c r="ES139">
        <v>70.400000000000006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44"/>
        <v>0</v>
      </c>
      <c r="FS139">
        <v>0</v>
      </c>
      <c r="FT139" t="s">
        <v>21</v>
      </c>
      <c r="FU139" t="s">
        <v>22</v>
      </c>
      <c r="FX139">
        <v>115.2</v>
      </c>
      <c r="FY139">
        <v>70.55</v>
      </c>
      <c r="GA139" t="s">
        <v>6</v>
      </c>
      <c r="GD139">
        <v>0</v>
      </c>
      <c r="GF139">
        <v>2126135618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45"/>
        <v>0</v>
      </c>
      <c r="GM139">
        <f t="shared" si="175"/>
        <v>5151.3999999999996</v>
      </c>
      <c r="GN139">
        <f t="shared" si="176"/>
        <v>5151.3999999999996</v>
      </c>
      <c r="GO139">
        <f t="shared" si="177"/>
        <v>0</v>
      </c>
      <c r="GP139">
        <f t="shared" si="178"/>
        <v>0</v>
      </c>
      <c r="GR139">
        <v>0</v>
      </c>
      <c r="GS139">
        <v>3</v>
      </c>
      <c r="GT139">
        <v>0</v>
      </c>
      <c r="GU139" t="s">
        <v>6</v>
      </c>
      <c r="GV139">
        <f t="shared" si="179"/>
        <v>0</v>
      </c>
      <c r="GW139">
        <v>1</v>
      </c>
      <c r="GX139">
        <f t="shared" si="180"/>
        <v>0</v>
      </c>
      <c r="HA139">
        <v>0</v>
      </c>
      <c r="HB139">
        <v>0</v>
      </c>
      <c r="HC139">
        <f t="shared" si="181"/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ROW(SmtRes!A409)</f>
        <v>409</v>
      </c>
      <c r="D140" s="2">
        <f>ROW(EtalonRes!A415)</f>
        <v>415</v>
      </c>
      <c r="E140" s="2" t="s">
        <v>301</v>
      </c>
      <c r="F140" s="2" t="s">
        <v>302</v>
      </c>
      <c r="G140" s="2" t="s">
        <v>303</v>
      </c>
      <c r="H140" s="2" t="s">
        <v>242</v>
      </c>
      <c r="I140" s="2">
        <f>ROUND(2/100,9)</f>
        <v>0.02</v>
      </c>
      <c r="J140" s="2">
        <v>0</v>
      </c>
      <c r="K140" s="2"/>
      <c r="L140" s="2"/>
      <c r="M140" s="2"/>
      <c r="N140" s="2"/>
      <c r="O140" s="2">
        <f t="shared" si="146"/>
        <v>77.319999999999993</v>
      </c>
      <c r="P140" s="2">
        <f t="shared" si="147"/>
        <v>12.2</v>
      </c>
      <c r="Q140" s="2">
        <f t="shared" si="148"/>
        <v>0.78</v>
      </c>
      <c r="R140" s="2">
        <f t="shared" si="149"/>
        <v>0.2</v>
      </c>
      <c r="S140" s="2">
        <f t="shared" si="150"/>
        <v>64.34</v>
      </c>
      <c r="T140" s="2">
        <f t="shared" si="151"/>
        <v>0</v>
      </c>
      <c r="U140" s="2">
        <f t="shared" si="152"/>
        <v>7.0940000000000003</v>
      </c>
      <c r="V140" s="2">
        <f t="shared" si="153"/>
        <v>1.6E-2</v>
      </c>
      <c r="W140" s="2">
        <f t="shared" si="154"/>
        <v>0</v>
      </c>
      <c r="X140" s="2">
        <f t="shared" si="155"/>
        <v>66.48</v>
      </c>
      <c r="Y140" s="2">
        <f t="shared" si="156"/>
        <v>38.72</v>
      </c>
      <c r="Z140" s="2"/>
      <c r="AA140" s="2">
        <v>27935367</v>
      </c>
      <c r="AB140" s="2">
        <f t="shared" si="157"/>
        <v>3865.84</v>
      </c>
      <c r="AC140" s="2">
        <f t="shared" si="158"/>
        <v>609.92999999999995</v>
      </c>
      <c r="AD140" s="2">
        <f t="shared" si="182"/>
        <v>38.78</v>
      </c>
      <c r="AE140" s="2">
        <f t="shared" si="183"/>
        <v>10.039999999999999</v>
      </c>
      <c r="AF140" s="2">
        <f t="shared" si="184"/>
        <v>3217.13</v>
      </c>
      <c r="AG140" s="2">
        <f t="shared" si="161"/>
        <v>0</v>
      </c>
      <c r="AH140" s="2">
        <f t="shared" si="185"/>
        <v>354.7</v>
      </c>
      <c r="AI140" s="2">
        <f t="shared" si="186"/>
        <v>0.8</v>
      </c>
      <c r="AJ140" s="2">
        <f t="shared" si="163"/>
        <v>0</v>
      </c>
      <c r="AK140" s="2">
        <v>3865.84</v>
      </c>
      <c r="AL140" s="2">
        <v>609.92999999999995</v>
      </c>
      <c r="AM140" s="2">
        <v>38.78</v>
      </c>
      <c r="AN140" s="2">
        <v>10.039999999999999</v>
      </c>
      <c r="AO140" s="2">
        <v>3217.13</v>
      </c>
      <c r="AP140" s="2">
        <v>0</v>
      </c>
      <c r="AQ140" s="2">
        <v>354.7</v>
      </c>
      <c r="AR140" s="2">
        <v>0.8</v>
      </c>
      <c r="AS140" s="2">
        <v>0</v>
      </c>
      <c r="AT140" s="2">
        <v>103</v>
      </c>
      <c r="AU140" s="2">
        <v>60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1</v>
      </c>
      <c r="BJ140" s="2" t="s">
        <v>304</v>
      </c>
      <c r="BK140" s="2"/>
      <c r="BL140" s="2"/>
      <c r="BM140" s="2">
        <v>65007</v>
      </c>
      <c r="BN140" s="2">
        <v>0</v>
      </c>
      <c r="BO140" s="2" t="s">
        <v>6</v>
      </c>
      <c r="BP140" s="2">
        <v>0</v>
      </c>
      <c r="BQ140" s="2">
        <v>6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103</v>
      </c>
      <c r="CA140" s="2">
        <v>60</v>
      </c>
      <c r="CB140" s="2"/>
      <c r="CC140" s="2"/>
      <c r="CD140" s="2"/>
      <c r="CE140" s="2">
        <v>0</v>
      </c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64"/>
        <v>77.320000000000007</v>
      </c>
      <c r="CQ140" s="2">
        <f t="shared" si="165"/>
        <v>609.92999999999995</v>
      </c>
      <c r="CR140" s="2">
        <f t="shared" si="166"/>
        <v>38.78</v>
      </c>
      <c r="CS140" s="2">
        <f t="shared" si="167"/>
        <v>10.039999999999999</v>
      </c>
      <c r="CT140" s="2">
        <f t="shared" si="168"/>
        <v>3217.13</v>
      </c>
      <c r="CU140" s="2">
        <f t="shared" si="169"/>
        <v>0</v>
      </c>
      <c r="CV140" s="2">
        <f t="shared" si="170"/>
        <v>354.7</v>
      </c>
      <c r="CW140" s="2">
        <f t="shared" si="171"/>
        <v>0.8</v>
      </c>
      <c r="CX140" s="2">
        <f t="shared" si="172"/>
        <v>0</v>
      </c>
      <c r="CY140" s="2">
        <f t="shared" si="173"/>
        <v>66.476200000000006</v>
      </c>
      <c r="CZ140" s="2">
        <f t="shared" si="174"/>
        <v>38.724000000000004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1013</v>
      </c>
      <c r="DV140" s="2" t="s">
        <v>242</v>
      </c>
      <c r="DW140" s="2" t="s">
        <v>242</v>
      </c>
      <c r="DX140" s="2">
        <v>1</v>
      </c>
      <c r="DY140" s="2"/>
      <c r="DZ140" s="2"/>
      <c r="EA140" s="2"/>
      <c r="EB140" s="2"/>
      <c r="EC140" s="2"/>
      <c r="ED140" s="2"/>
      <c r="EE140" s="2">
        <v>27029122</v>
      </c>
      <c r="EF140" s="2">
        <v>6</v>
      </c>
      <c r="EG140" s="2" t="s">
        <v>90</v>
      </c>
      <c r="EH140" s="2">
        <v>0</v>
      </c>
      <c r="EI140" s="2" t="s">
        <v>6</v>
      </c>
      <c r="EJ140" s="2">
        <v>1</v>
      </c>
      <c r="EK140" s="2">
        <v>65007</v>
      </c>
      <c r="EL140" s="2" t="s">
        <v>305</v>
      </c>
      <c r="EM140" s="2" t="s">
        <v>289</v>
      </c>
      <c r="EN140" s="2"/>
      <c r="EO140" s="2" t="s">
        <v>6</v>
      </c>
      <c r="EP140" s="2"/>
      <c r="EQ140" s="2">
        <v>131072</v>
      </c>
      <c r="ER140" s="2">
        <v>3865.84</v>
      </c>
      <c r="ES140" s="2">
        <v>609.92999999999995</v>
      </c>
      <c r="ET140" s="2">
        <v>38.78</v>
      </c>
      <c r="EU140" s="2">
        <v>10.039999999999999</v>
      </c>
      <c r="EV140" s="2">
        <v>3217.13</v>
      </c>
      <c r="EW140" s="2">
        <v>354.7</v>
      </c>
      <c r="EX140" s="2">
        <v>0.8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44"/>
        <v>0</v>
      </c>
      <c r="FS140" s="2">
        <v>0</v>
      </c>
      <c r="FT140" s="2"/>
      <c r="FU140" s="2"/>
      <c r="FV140" s="2"/>
      <c r="FW140" s="2"/>
      <c r="FX140" s="2">
        <v>103</v>
      </c>
      <c r="FY140" s="2">
        <v>60</v>
      </c>
      <c r="FZ140" s="2"/>
      <c r="GA140" s="2" t="s">
        <v>6</v>
      </c>
      <c r="GB140" s="2"/>
      <c r="GC140" s="2"/>
      <c r="GD140" s="2">
        <v>0</v>
      </c>
      <c r="GE140" s="2"/>
      <c r="GF140" s="2">
        <v>-864861792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45"/>
        <v>0</v>
      </c>
      <c r="GM140" s="2">
        <f t="shared" si="175"/>
        <v>182.52</v>
      </c>
      <c r="GN140" s="2">
        <f t="shared" si="176"/>
        <v>182.52</v>
      </c>
      <c r="GO140" s="2">
        <f t="shared" si="177"/>
        <v>0</v>
      </c>
      <c r="GP140" s="2">
        <f t="shared" si="178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79"/>
        <v>0</v>
      </c>
      <c r="GW140" s="2">
        <v>1</v>
      </c>
      <c r="GX140" s="2">
        <f t="shared" si="180"/>
        <v>0</v>
      </c>
      <c r="GY140" s="2"/>
      <c r="GZ140" s="2"/>
      <c r="HA140" s="2">
        <v>0</v>
      </c>
      <c r="HB140" s="2">
        <v>0</v>
      </c>
      <c r="HC140" s="2">
        <f t="shared" si="181"/>
        <v>0</v>
      </c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ROW(SmtRes!A420)</f>
        <v>420</v>
      </c>
      <c r="D141">
        <f>ROW(EtalonRes!A424)</f>
        <v>424</v>
      </c>
      <c r="E141" t="s">
        <v>301</v>
      </c>
      <c r="F141" t="s">
        <v>302</v>
      </c>
      <c r="G141" t="s">
        <v>303</v>
      </c>
      <c r="H141" t="s">
        <v>242</v>
      </c>
      <c r="I141">
        <f>ROUND(2/100,9)</f>
        <v>0.02</v>
      </c>
      <c r="J141">
        <v>0</v>
      </c>
      <c r="O141">
        <f t="shared" si="146"/>
        <v>472.4</v>
      </c>
      <c r="P141">
        <f t="shared" si="147"/>
        <v>74.53</v>
      </c>
      <c r="Q141">
        <f t="shared" si="148"/>
        <v>4.74</v>
      </c>
      <c r="R141">
        <f t="shared" si="149"/>
        <v>1.23</v>
      </c>
      <c r="S141">
        <f t="shared" si="150"/>
        <v>393.13</v>
      </c>
      <c r="T141">
        <f t="shared" si="151"/>
        <v>0</v>
      </c>
      <c r="U141">
        <f t="shared" si="152"/>
        <v>7.0940000000000003</v>
      </c>
      <c r="V141">
        <f t="shared" si="153"/>
        <v>1.6E-2</v>
      </c>
      <c r="W141">
        <f t="shared" si="154"/>
        <v>0</v>
      </c>
      <c r="X141">
        <f t="shared" si="155"/>
        <v>406.19</v>
      </c>
      <c r="Y141">
        <f t="shared" si="156"/>
        <v>236.62</v>
      </c>
      <c r="AA141">
        <v>27935368</v>
      </c>
      <c r="AB141">
        <f t="shared" si="157"/>
        <v>3865.84</v>
      </c>
      <c r="AC141">
        <f t="shared" si="158"/>
        <v>609.92999999999995</v>
      </c>
      <c r="AD141">
        <f t="shared" si="182"/>
        <v>38.78</v>
      </c>
      <c r="AE141">
        <f t="shared" si="183"/>
        <v>10.039999999999999</v>
      </c>
      <c r="AF141">
        <f t="shared" si="184"/>
        <v>3217.13</v>
      </c>
      <c r="AG141">
        <f t="shared" si="161"/>
        <v>0</v>
      </c>
      <c r="AH141">
        <f t="shared" si="185"/>
        <v>354.7</v>
      </c>
      <c r="AI141">
        <f t="shared" si="186"/>
        <v>0.8</v>
      </c>
      <c r="AJ141">
        <f t="shared" si="163"/>
        <v>0</v>
      </c>
      <c r="AK141">
        <v>3865.84</v>
      </c>
      <c r="AL141">
        <v>609.92999999999995</v>
      </c>
      <c r="AM141">
        <v>38.78</v>
      </c>
      <c r="AN141">
        <v>10.039999999999999</v>
      </c>
      <c r="AO141">
        <v>3217.13</v>
      </c>
      <c r="AP141">
        <v>0</v>
      </c>
      <c r="AQ141">
        <v>354.7</v>
      </c>
      <c r="AR141">
        <v>0.8</v>
      </c>
      <c r="AS141">
        <v>0</v>
      </c>
      <c r="AT141">
        <v>103</v>
      </c>
      <c r="AU141">
        <v>60</v>
      </c>
      <c r="AV141">
        <v>1</v>
      </c>
      <c r="AW141">
        <v>1</v>
      </c>
      <c r="AZ141">
        <v>6.11</v>
      </c>
      <c r="BA141">
        <v>6.11</v>
      </c>
      <c r="BB141">
        <v>6.11</v>
      </c>
      <c r="BC141">
        <v>6.11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304</v>
      </c>
      <c r="BM141">
        <v>65007</v>
      </c>
      <c r="BN141">
        <v>0</v>
      </c>
      <c r="BO141" t="s">
        <v>6</v>
      </c>
      <c r="BP141">
        <v>0</v>
      </c>
      <c r="BQ141">
        <v>6</v>
      </c>
      <c r="BR141">
        <v>0</v>
      </c>
      <c r="BS141">
        <v>6.11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103</v>
      </c>
      <c r="CA141">
        <v>60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64"/>
        <v>472.4</v>
      </c>
      <c r="CQ141">
        <f t="shared" si="165"/>
        <v>3726.6722999999997</v>
      </c>
      <c r="CR141">
        <f t="shared" si="166"/>
        <v>236.94580000000002</v>
      </c>
      <c r="CS141">
        <f t="shared" si="167"/>
        <v>61.3444</v>
      </c>
      <c r="CT141">
        <f t="shared" si="168"/>
        <v>19656.6643</v>
      </c>
      <c r="CU141">
        <f t="shared" si="169"/>
        <v>0</v>
      </c>
      <c r="CV141">
        <f t="shared" si="170"/>
        <v>354.7</v>
      </c>
      <c r="CW141">
        <f t="shared" si="171"/>
        <v>0.8</v>
      </c>
      <c r="CX141">
        <f t="shared" si="172"/>
        <v>0</v>
      </c>
      <c r="CY141">
        <f t="shared" si="173"/>
        <v>406.19080000000002</v>
      </c>
      <c r="CZ141">
        <f t="shared" si="174"/>
        <v>236.61600000000001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242</v>
      </c>
      <c r="DW141" t="s">
        <v>242</v>
      </c>
      <c r="DX141">
        <v>1</v>
      </c>
      <c r="EE141">
        <v>27029122</v>
      </c>
      <c r="EF141">
        <v>6</v>
      </c>
      <c r="EG141" t="s">
        <v>90</v>
      </c>
      <c r="EH141">
        <v>0</v>
      </c>
      <c r="EI141" t="s">
        <v>6</v>
      </c>
      <c r="EJ141">
        <v>1</v>
      </c>
      <c r="EK141">
        <v>65007</v>
      </c>
      <c r="EL141" t="s">
        <v>305</v>
      </c>
      <c r="EM141" t="s">
        <v>289</v>
      </c>
      <c r="EO141" t="s">
        <v>6</v>
      </c>
      <c r="EQ141">
        <v>131072</v>
      </c>
      <c r="ER141">
        <v>3865.84</v>
      </c>
      <c r="ES141">
        <v>609.92999999999995</v>
      </c>
      <c r="ET141">
        <v>38.78</v>
      </c>
      <c r="EU141">
        <v>10.039999999999999</v>
      </c>
      <c r="EV141">
        <v>3217.13</v>
      </c>
      <c r="EW141">
        <v>354.7</v>
      </c>
      <c r="EX141">
        <v>0.8</v>
      </c>
      <c r="EY141">
        <v>0</v>
      </c>
      <c r="FQ141">
        <v>0</v>
      </c>
      <c r="FR141">
        <f t="shared" si="144"/>
        <v>0</v>
      </c>
      <c r="FS141">
        <v>0</v>
      </c>
      <c r="FX141">
        <v>103</v>
      </c>
      <c r="FY141">
        <v>60</v>
      </c>
      <c r="GA141" t="s">
        <v>6</v>
      </c>
      <c r="GD141">
        <v>0</v>
      </c>
      <c r="GF141">
        <v>-864861792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45"/>
        <v>0</v>
      </c>
      <c r="GM141">
        <f t="shared" si="175"/>
        <v>1115.21</v>
      </c>
      <c r="GN141">
        <f t="shared" si="176"/>
        <v>1115.21</v>
      </c>
      <c r="GO141">
        <f t="shared" si="177"/>
        <v>0</v>
      </c>
      <c r="GP141">
        <f t="shared" si="178"/>
        <v>0</v>
      </c>
      <c r="GR141">
        <v>0</v>
      </c>
      <c r="GS141">
        <v>3</v>
      </c>
      <c r="GT141">
        <v>0</v>
      </c>
      <c r="GU141" t="s">
        <v>6</v>
      </c>
      <c r="GV141">
        <f t="shared" si="179"/>
        <v>0</v>
      </c>
      <c r="GW141">
        <v>1</v>
      </c>
      <c r="GX141">
        <f t="shared" si="180"/>
        <v>0</v>
      </c>
      <c r="HA141">
        <v>0</v>
      </c>
      <c r="HB141">
        <v>0</v>
      </c>
      <c r="HC141">
        <f t="shared" si="181"/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407</v>
      </c>
      <c r="D142" s="2"/>
      <c r="E142" s="2" t="s">
        <v>306</v>
      </c>
      <c r="F142" s="2" t="s">
        <v>307</v>
      </c>
      <c r="G142" s="2" t="s">
        <v>308</v>
      </c>
      <c r="H142" s="2" t="s">
        <v>231</v>
      </c>
      <c r="I142" s="2">
        <f>I140*J142</f>
        <v>2</v>
      </c>
      <c r="J142" s="2">
        <v>100</v>
      </c>
      <c r="K142" s="2"/>
      <c r="L142" s="2"/>
      <c r="M142" s="2"/>
      <c r="N142" s="2"/>
      <c r="O142" s="2">
        <f t="shared" si="146"/>
        <v>810.98</v>
      </c>
      <c r="P142" s="2">
        <f t="shared" si="147"/>
        <v>810.98</v>
      </c>
      <c r="Q142" s="2">
        <f t="shared" si="148"/>
        <v>0</v>
      </c>
      <c r="R142" s="2">
        <f t="shared" si="149"/>
        <v>0</v>
      </c>
      <c r="S142" s="2">
        <f t="shared" si="150"/>
        <v>0</v>
      </c>
      <c r="T142" s="2">
        <f t="shared" si="151"/>
        <v>0</v>
      </c>
      <c r="U142" s="2">
        <f t="shared" si="152"/>
        <v>0</v>
      </c>
      <c r="V142" s="2">
        <f t="shared" si="153"/>
        <v>0</v>
      </c>
      <c r="W142" s="2">
        <f t="shared" si="154"/>
        <v>0</v>
      </c>
      <c r="X142" s="2">
        <f t="shared" si="155"/>
        <v>0</v>
      </c>
      <c r="Y142" s="2">
        <f t="shared" si="156"/>
        <v>0</v>
      </c>
      <c r="Z142" s="2"/>
      <c r="AA142" s="2">
        <v>27935367</v>
      </c>
      <c r="AB142" s="2">
        <f t="shared" si="157"/>
        <v>405.49</v>
      </c>
      <c r="AC142" s="2">
        <f t="shared" si="158"/>
        <v>405.49</v>
      </c>
      <c r="AD142" s="2">
        <f t="shared" si="182"/>
        <v>0</v>
      </c>
      <c r="AE142" s="2">
        <f t="shared" si="183"/>
        <v>0</v>
      </c>
      <c r="AF142" s="2">
        <f t="shared" si="184"/>
        <v>0</v>
      </c>
      <c r="AG142" s="2">
        <f t="shared" si="161"/>
        <v>0</v>
      </c>
      <c r="AH142" s="2">
        <f t="shared" si="185"/>
        <v>0</v>
      </c>
      <c r="AI142" s="2">
        <f t="shared" si="186"/>
        <v>0</v>
      </c>
      <c r="AJ142" s="2">
        <f t="shared" si="163"/>
        <v>0</v>
      </c>
      <c r="AK142" s="2">
        <v>405.49</v>
      </c>
      <c r="AL142" s="2">
        <v>405.49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103</v>
      </c>
      <c r="AU142" s="2">
        <v>60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309</v>
      </c>
      <c r="BK142" s="2"/>
      <c r="BL142" s="2"/>
      <c r="BM142" s="2">
        <v>65007</v>
      </c>
      <c r="BN142" s="2">
        <v>0</v>
      </c>
      <c r="BO142" s="2" t="s">
        <v>6</v>
      </c>
      <c r="BP142" s="2">
        <v>0</v>
      </c>
      <c r="BQ142" s="2">
        <v>6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103</v>
      </c>
      <c r="CA142" s="2">
        <v>60</v>
      </c>
      <c r="CB142" s="2"/>
      <c r="CC142" s="2"/>
      <c r="CD142" s="2"/>
      <c r="CE142" s="2">
        <v>0</v>
      </c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4"/>
        <v>810.98</v>
      </c>
      <c r="CQ142" s="2">
        <f t="shared" si="165"/>
        <v>405.49</v>
      </c>
      <c r="CR142" s="2">
        <f t="shared" si="166"/>
        <v>0</v>
      </c>
      <c r="CS142" s="2">
        <f t="shared" si="167"/>
        <v>0</v>
      </c>
      <c r="CT142" s="2">
        <f t="shared" si="168"/>
        <v>0</v>
      </c>
      <c r="CU142" s="2">
        <f t="shared" si="169"/>
        <v>0</v>
      </c>
      <c r="CV142" s="2">
        <f t="shared" si="170"/>
        <v>0</v>
      </c>
      <c r="CW142" s="2">
        <f t="shared" si="171"/>
        <v>0</v>
      </c>
      <c r="CX142" s="2">
        <f t="shared" si="172"/>
        <v>0</v>
      </c>
      <c r="CY142" s="2">
        <f t="shared" si="173"/>
        <v>0</v>
      </c>
      <c r="CZ142" s="2">
        <f t="shared" si="174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231</v>
      </c>
      <c r="DW142" s="2" t="s">
        <v>231</v>
      </c>
      <c r="DX142" s="2">
        <v>1</v>
      </c>
      <c r="DY142" s="2"/>
      <c r="DZ142" s="2"/>
      <c r="EA142" s="2"/>
      <c r="EB142" s="2"/>
      <c r="EC142" s="2"/>
      <c r="ED142" s="2"/>
      <c r="EE142" s="2">
        <v>27029122</v>
      </c>
      <c r="EF142" s="2">
        <v>6</v>
      </c>
      <c r="EG142" s="2" t="s">
        <v>90</v>
      </c>
      <c r="EH142" s="2">
        <v>0</v>
      </c>
      <c r="EI142" s="2" t="s">
        <v>6</v>
      </c>
      <c r="EJ142" s="2">
        <v>1</v>
      </c>
      <c r="EK142" s="2">
        <v>65007</v>
      </c>
      <c r="EL142" s="2" t="s">
        <v>305</v>
      </c>
      <c r="EM142" s="2" t="s">
        <v>289</v>
      </c>
      <c r="EN142" s="2"/>
      <c r="EO142" s="2" t="s">
        <v>6</v>
      </c>
      <c r="EP142" s="2"/>
      <c r="EQ142" s="2">
        <v>0</v>
      </c>
      <c r="ER142" s="2">
        <v>405.49</v>
      </c>
      <c r="ES142" s="2">
        <v>405.49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44"/>
        <v>0</v>
      </c>
      <c r="FS142" s="2">
        <v>0</v>
      </c>
      <c r="FT142" s="2"/>
      <c r="FU142" s="2"/>
      <c r="FV142" s="2"/>
      <c r="FW142" s="2"/>
      <c r="FX142" s="2">
        <v>103</v>
      </c>
      <c r="FY142" s="2">
        <v>60</v>
      </c>
      <c r="FZ142" s="2"/>
      <c r="GA142" s="2" t="s">
        <v>6</v>
      </c>
      <c r="GB142" s="2"/>
      <c r="GC142" s="2"/>
      <c r="GD142" s="2">
        <v>0</v>
      </c>
      <c r="GE142" s="2"/>
      <c r="GF142" s="2">
        <v>-1177463349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45"/>
        <v>0</v>
      </c>
      <c r="GM142" s="2">
        <f t="shared" si="175"/>
        <v>810.98</v>
      </c>
      <c r="GN142" s="2">
        <f t="shared" si="176"/>
        <v>810.98</v>
      </c>
      <c r="GO142" s="2">
        <f t="shared" si="177"/>
        <v>0</v>
      </c>
      <c r="GP142" s="2">
        <f t="shared" si="178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79"/>
        <v>0</v>
      </c>
      <c r="GW142" s="2">
        <v>1</v>
      </c>
      <c r="GX142" s="2">
        <f t="shared" si="180"/>
        <v>0</v>
      </c>
      <c r="GY142" s="2"/>
      <c r="GZ142" s="2"/>
      <c r="HA142" s="2">
        <v>0</v>
      </c>
      <c r="HB142" s="2">
        <v>0</v>
      </c>
      <c r="HC142" s="2">
        <f t="shared" si="181"/>
        <v>0</v>
      </c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418</v>
      </c>
      <c r="E143" t="s">
        <v>306</v>
      </c>
      <c r="F143" t="s">
        <v>307</v>
      </c>
      <c r="G143" t="s">
        <v>308</v>
      </c>
      <c r="H143" t="s">
        <v>231</v>
      </c>
      <c r="I143">
        <f>I141*J143</f>
        <v>2</v>
      </c>
      <c r="J143">
        <v>100</v>
      </c>
      <c r="O143">
        <f t="shared" si="146"/>
        <v>4955.09</v>
      </c>
      <c r="P143">
        <f t="shared" si="147"/>
        <v>4955.09</v>
      </c>
      <c r="Q143">
        <f t="shared" si="148"/>
        <v>0</v>
      </c>
      <c r="R143">
        <f t="shared" si="149"/>
        <v>0</v>
      </c>
      <c r="S143">
        <f t="shared" si="150"/>
        <v>0</v>
      </c>
      <c r="T143">
        <f t="shared" si="151"/>
        <v>0</v>
      </c>
      <c r="U143">
        <f t="shared" si="152"/>
        <v>0</v>
      </c>
      <c r="V143">
        <f t="shared" si="153"/>
        <v>0</v>
      </c>
      <c r="W143">
        <f t="shared" si="154"/>
        <v>0</v>
      </c>
      <c r="X143">
        <f t="shared" si="155"/>
        <v>0</v>
      </c>
      <c r="Y143">
        <f t="shared" si="156"/>
        <v>0</v>
      </c>
      <c r="AA143">
        <v>27935368</v>
      </c>
      <c r="AB143">
        <f t="shared" si="157"/>
        <v>405.49</v>
      </c>
      <c r="AC143">
        <f t="shared" si="158"/>
        <v>405.49</v>
      </c>
      <c r="AD143">
        <f t="shared" si="182"/>
        <v>0</v>
      </c>
      <c r="AE143">
        <f t="shared" si="183"/>
        <v>0</v>
      </c>
      <c r="AF143">
        <f t="shared" si="184"/>
        <v>0</v>
      </c>
      <c r="AG143">
        <f t="shared" si="161"/>
        <v>0</v>
      </c>
      <c r="AH143">
        <f t="shared" si="185"/>
        <v>0</v>
      </c>
      <c r="AI143">
        <f t="shared" si="186"/>
        <v>0</v>
      </c>
      <c r="AJ143">
        <f t="shared" si="163"/>
        <v>0</v>
      </c>
      <c r="AK143">
        <v>405.49</v>
      </c>
      <c r="AL143">
        <v>405.49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103</v>
      </c>
      <c r="AU143">
        <v>60</v>
      </c>
      <c r="AV143">
        <v>1</v>
      </c>
      <c r="AW143">
        <v>1</v>
      </c>
      <c r="AZ143">
        <v>6.11</v>
      </c>
      <c r="BA143">
        <v>1</v>
      </c>
      <c r="BB143">
        <v>1</v>
      </c>
      <c r="BC143">
        <v>6.11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309</v>
      </c>
      <c r="BM143">
        <v>65007</v>
      </c>
      <c r="BN143">
        <v>0</v>
      </c>
      <c r="BO143" t="s">
        <v>6</v>
      </c>
      <c r="BP143">
        <v>0</v>
      </c>
      <c r="BQ143">
        <v>6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103</v>
      </c>
      <c r="CA143">
        <v>60</v>
      </c>
      <c r="CE143">
        <v>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4"/>
        <v>4955.09</v>
      </c>
      <c r="CQ143">
        <f t="shared" si="165"/>
        <v>2477.5439000000001</v>
      </c>
      <c r="CR143">
        <f t="shared" si="166"/>
        <v>0</v>
      </c>
      <c r="CS143">
        <f t="shared" si="167"/>
        <v>0</v>
      </c>
      <c r="CT143">
        <f t="shared" si="168"/>
        <v>0</v>
      </c>
      <c r="CU143">
        <f t="shared" si="169"/>
        <v>0</v>
      </c>
      <c r="CV143">
        <f t="shared" si="170"/>
        <v>0</v>
      </c>
      <c r="CW143">
        <f t="shared" si="171"/>
        <v>0</v>
      </c>
      <c r="CX143">
        <f t="shared" si="172"/>
        <v>0</v>
      </c>
      <c r="CY143">
        <f t="shared" si="173"/>
        <v>0</v>
      </c>
      <c r="CZ143">
        <f t="shared" si="174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231</v>
      </c>
      <c r="DW143" t="s">
        <v>231</v>
      </c>
      <c r="DX143">
        <v>1</v>
      </c>
      <c r="EE143">
        <v>27029122</v>
      </c>
      <c r="EF143">
        <v>6</v>
      </c>
      <c r="EG143" t="s">
        <v>90</v>
      </c>
      <c r="EH143">
        <v>0</v>
      </c>
      <c r="EI143" t="s">
        <v>6</v>
      </c>
      <c r="EJ143">
        <v>1</v>
      </c>
      <c r="EK143">
        <v>65007</v>
      </c>
      <c r="EL143" t="s">
        <v>305</v>
      </c>
      <c r="EM143" t="s">
        <v>289</v>
      </c>
      <c r="EO143" t="s">
        <v>6</v>
      </c>
      <c r="EQ143">
        <v>0</v>
      </c>
      <c r="ER143">
        <v>405.49</v>
      </c>
      <c r="ES143">
        <v>405.49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44"/>
        <v>0</v>
      </c>
      <c r="FS143">
        <v>0</v>
      </c>
      <c r="FX143">
        <v>103</v>
      </c>
      <c r="FY143">
        <v>60</v>
      </c>
      <c r="GA143" t="s">
        <v>6</v>
      </c>
      <c r="GD143">
        <v>0</v>
      </c>
      <c r="GF143">
        <v>-1177463349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45"/>
        <v>0</v>
      </c>
      <c r="GM143">
        <f t="shared" si="175"/>
        <v>4955.09</v>
      </c>
      <c r="GN143">
        <f t="shared" si="176"/>
        <v>4955.09</v>
      </c>
      <c r="GO143">
        <f t="shared" si="177"/>
        <v>0</v>
      </c>
      <c r="GP143">
        <f t="shared" si="178"/>
        <v>0</v>
      </c>
      <c r="GR143">
        <v>0</v>
      </c>
      <c r="GS143">
        <v>3</v>
      </c>
      <c r="GT143">
        <v>0</v>
      </c>
      <c r="GU143" t="s">
        <v>6</v>
      </c>
      <c r="GV143">
        <f t="shared" si="179"/>
        <v>0</v>
      </c>
      <c r="GW143">
        <v>1</v>
      </c>
      <c r="GX143">
        <f t="shared" si="180"/>
        <v>0</v>
      </c>
      <c r="HA143">
        <v>0</v>
      </c>
      <c r="HB143">
        <v>0</v>
      </c>
      <c r="HC143">
        <f t="shared" si="181"/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408</v>
      </c>
      <c r="D144" s="2"/>
      <c r="E144" s="2" t="s">
        <v>310</v>
      </c>
      <c r="F144" s="2" t="s">
        <v>311</v>
      </c>
      <c r="G144" s="2" t="s">
        <v>312</v>
      </c>
      <c r="H144" s="2" t="s">
        <v>231</v>
      </c>
      <c r="I144" s="2">
        <f>I140*J144</f>
        <v>2</v>
      </c>
      <c r="J144" s="2">
        <v>100</v>
      </c>
      <c r="K144" s="2"/>
      <c r="L144" s="2"/>
      <c r="M144" s="2"/>
      <c r="N144" s="2"/>
      <c r="O144" s="2">
        <f t="shared" si="146"/>
        <v>396.6</v>
      </c>
      <c r="P144" s="2">
        <f t="shared" si="147"/>
        <v>396.6</v>
      </c>
      <c r="Q144" s="2">
        <f t="shared" si="148"/>
        <v>0</v>
      </c>
      <c r="R144" s="2">
        <f t="shared" si="149"/>
        <v>0</v>
      </c>
      <c r="S144" s="2">
        <f t="shared" si="150"/>
        <v>0</v>
      </c>
      <c r="T144" s="2">
        <f t="shared" si="151"/>
        <v>0</v>
      </c>
      <c r="U144" s="2">
        <f t="shared" si="152"/>
        <v>0</v>
      </c>
      <c r="V144" s="2">
        <f t="shared" si="153"/>
        <v>0</v>
      </c>
      <c r="W144" s="2">
        <f t="shared" si="154"/>
        <v>0</v>
      </c>
      <c r="X144" s="2">
        <f t="shared" si="155"/>
        <v>0</v>
      </c>
      <c r="Y144" s="2">
        <f t="shared" si="156"/>
        <v>0</v>
      </c>
      <c r="Z144" s="2"/>
      <c r="AA144" s="2">
        <v>27935367</v>
      </c>
      <c r="AB144" s="2">
        <f t="shared" si="157"/>
        <v>198.3</v>
      </c>
      <c r="AC144" s="2">
        <f t="shared" si="158"/>
        <v>198.3</v>
      </c>
      <c r="AD144" s="2">
        <f t="shared" si="182"/>
        <v>0</v>
      </c>
      <c r="AE144" s="2">
        <f t="shared" si="183"/>
        <v>0</v>
      </c>
      <c r="AF144" s="2">
        <f t="shared" si="184"/>
        <v>0</v>
      </c>
      <c r="AG144" s="2">
        <f t="shared" si="161"/>
        <v>0</v>
      </c>
      <c r="AH144" s="2">
        <f t="shared" si="185"/>
        <v>0</v>
      </c>
      <c r="AI144" s="2">
        <f t="shared" si="186"/>
        <v>0</v>
      </c>
      <c r="AJ144" s="2">
        <f t="shared" si="163"/>
        <v>0</v>
      </c>
      <c r="AK144" s="2">
        <v>198.3</v>
      </c>
      <c r="AL144" s="2">
        <v>198.3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103</v>
      </c>
      <c r="AU144" s="2">
        <v>60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313</v>
      </c>
      <c r="BK144" s="2"/>
      <c r="BL144" s="2"/>
      <c r="BM144" s="2">
        <v>65007</v>
      </c>
      <c r="BN144" s="2">
        <v>0</v>
      </c>
      <c r="BO144" s="2" t="s">
        <v>6</v>
      </c>
      <c r="BP144" s="2">
        <v>0</v>
      </c>
      <c r="BQ144" s="2">
        <v>6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103</v>
      </c>
      <c r="CA144" s="2">
        <v>60</v>
      </c>
      <c r="CB144" s="2"/>
      <c r="CC144" s="2"/>
      <c r="CD144" s="2"/>
      <c r="CE144" s="2">
        <v>0</v>
      </c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64"/>
        <v>396.6</v>
      </c>
      <c r="CQ144" s="2">
        <f t="shared" si="165"/>
        <v>198.3</v>
      </c>
      <c r="CR144" s="2">
        <f t="shared" si="166"/>
        <v>0</v>
      </c>
      <c r="CS144" s="2">
        <f t="shared" si="167"/>
        <v>0</v>
      </c>
      <c r="CT144" s="2">
        <f t="shared" si="168"/>
        <v>0</v>
      </c>
      <c r="CU144" s="2">
        <f t="shared" si="169"/>
        <v>0</v>
      </c>
      <c r="CV144" s="2">
        <f t="shared" si="170"/>
        <v>0</v>
      </c>
      <c r="CW144" s="2">
        <f t="shared" si="171"/>
        <v>0</v>
      </c>
      <c r="CX144" s="2">
        <f t="shared" si="172"/>
        <v>0</v>
      </c>
      <c r="CY144" s="2">
        <f t="shared" si="173"/>
        <v>0</v>
      </c>
      <c r="CZ144" s="2">
        <f t="shared" si="174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1013</v>
      </c>
      <c r="DV144" s="2" t="s">
        <v>231</v>
      </c>
      <c r="DW144" s="2" t="s">
        <v>231</v>
      </c>
      <c r="DX144" s="2">
        <v>1</v>
      </c>
      <c r="DY144" s="2"/>
      <c r="DZ144" s="2"/>
      <c r="EA144" s="2"/>
      <c r="EB144" s="2"/>
      <c r="EC144" s="2"/>
      <c r="ED144" s="2"/>
      <c r="EE144" s="2">
        <v>27029122</v>
      </c>
      <c r="EF144" s="2">
        <v>6</v>
      </c>
      <c r="EG144" s="2" t="s">
        <v>90</v>
      </c>
      <c r="EH144" s="2">
        <v>0</v>
      </c>
      <c r="EI144" s="2" t="s">
        <v>6</v>
      </c>
      <c r="EJ144" s="2">
        <v>1</v>
      </c>
      <c r="EK144" s="2">
        <v>65007</v>
      </c>
      <c r="EL144" s="2" t="s">
        <v>305</v>
      </c>
      <c r="EM144" s="2" t="s">
        <v>289</v>
      </c>
      <c r="EN144" s="2"/>
      <c r="EO144" s="2" t="s">
        <v>6</v>
      </c>
      <c r="EP144" s="2"/>
      <c r="EQ144" s="2">
        <v>0</v>
      </c>
      <c r="ER144" s="2">
        <v>198.3</v>
      </c>
      <c r="ES144" s="2">
        <v>198.3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44"/>
        <v>0</v>
      </c>
      <c r="FS144" s="2">
        <v>0</v>
      </c>
      <c r="FT144" s="2"/>
      <c r="FU144" s="2"/>
      <c r="FV144" s="2"/>
      <c r="FW144" s="2"/>
      <c r="FX144" s="2">
        <v>103</v>
      </c>
      <c r="FY144" s="2">
        <v>60</v>
      </c>
      <c r="FZ144" s="2"/>
      <c r="GA144" s="2" t="s">
        <v>6</v>
      </c>
      <c r="GB144" s="2"/>
      <c r="GC144" s="2"/>
      <c r="GD144" s="2">
        <v>0</v>
      </c>
      <c r="GE144" s="2"/>
      <c r="GF144" s="2">
        <v>995820444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45"/>
        <v>0</v>
      </c>
      <c r="GM144" s="2">
        <f t="shared" si="175"/>
        <v>396.6</v>
      </c>
      <c r="GN144" s="2">
        <f t="shared" si="176"/>
        <v>396.6</v>
      </c>
      <c r="GO144" s="2">
        <f t="shared" si="177"/>
        <v>0</v>
      </c>
      <c r="GP144" s="2">
        <f t="shared" si="178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79"/>
        <v>0</v>
      </c>
      <c r="GW144" s="2">
        <v>1</v>
      </c>
      <c r="GX144" s="2">
        <f t="shared" si="180"/>
        <v>0</v>
      </c>
      <c r="GY144" s="2"/>
      <c r="GZ144" s="2"/>
      <c r="HA144" s="2">
        <v>0</v>
      </c>
      <c r="HB144" s="2">
        <v>0</v>
      </c>
      <c r="HC144" s="2">
        <f t="shared" si="181"/>
        <v>0</v>
      </c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419</v>
      </c>
      <c r="E145" t="s">
        <v>310</v>
      </c>
      <c r="F145" t="s">
        <v>311</v>
      </c>
      <c r="G145" t="s">
        <v>312</v>
      </c>
      <c r="H145" t="s">
        <v>231</v>
      </c>
      <c r="I145">
        <f>I141*J145</f>
        <v>2</v>
      </c>
      <c r="J145">
        <v>100</v>
      </c>
      <c r="O145">
        <f t="shared" si="146"/>
        <v>2423.23</v>
      </c>
      <c r="P145">
        <f t="shared" si="147"/>
        <v>2423.23</v>
      </c>
      <c r="Q145">
        <f t="shared" si="148"/>
        <v>0</v>
      </c>
      <c r="R145">
        <f t="shared" si="149"/>
        <v>0</v>
      </c>
      <c r="S145">
        <f t="shared" si="150"/>
        <v>0</v>
      </c>
      <c r="T145">
        <f t="shared" si="151"/>
        <v>0</v>
      </c>
      <c r="U145">
        <f t="shared" si="152"/>
        <v>0</v>
      </c>
      <c r="V145">
        <f t="shared" si="153"/>
        <v>0</v>
      </c>
      <c r="W145">
        <f t="shared" si="154"/>
        <v>0</v>
      </c>
      <c r="X145">
        <f t="shared" si="155"/>
        <v>0</v>
      </c>
      <c r="Y145">
        <f t="shared" si="156"/>
        <v>0</v>
      </c>
      <c r="AA145">
        <v>27935368</v>
      </c>
      <c r="AB145">
        <f t="shared" si="157"/>
        <v>198.3</v>
      </c>
      <c r="AC145">
        <f t="shared" si="158"/>
        <v>198.3</v>
      </c>
      <c r="AD145">
        <f t="shared" si="182"/>
        <v>0</v>
      </c>
      <c r="AE145">
        <f t="shared" si="183"/>
        <v>0</v>
      </c>
      <c r="AF145">
        <f t="shared" si="184"/>
        <v>0</v>
      </c>
      <c r="AG145">
        <f t="shared" si="161"/>
        <v>0</v>
      </c>
      <c r="AH145">
        <f t="shared" si="185"/>
        <v>0</v>
      </c>
      <c r="AI145">
        <f t="shared" si="186"/>
        <v>0</v>
      </c>
      <c r="AJ145">
        <f t="shared" si="163"/>
        <v>0</v>
      </c>
      <c r="AK145">
        <v>198.3</v>
      </c>
      <c r="AL145">
        <v>198.3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103</v>
      </c>
      <c r="AU145">
        <v>60</v>
      </c>
      <c r="AV145">
        <v>1</v>
      </c>
      <c r="AW145">
        <v>1</v>
      </c>
      <c r="AZ145">
        <v>6.11</v>
      </c>
      <c r="BA145">
        <v>1</v>
      </c>
      <c r="BB145">
        <v>1</v>
      </c>
      <c r="BC145">
        <v>6.11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313</v>
      </c>
      <c r="BM145">
        <v>65007</v>
      </c>
      <c r="BN145">
        <v>0</v>
      </c>
      <c r="BO145" t="s">
        <v>6</v>
      </c>
      <c r="BP145">
        <v>0</v>
      </c>
      <c r="BQ145">
        <v>6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103</v>
      </c>
      <c r="CA145">
        <v>60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64"/>
        <v>2423.23</v>
      </c>
      <c r="CQ145">
        <f t="shared" si="165"/>
        <v>1211.6130000000001</v>
      </c>
      <c r="CR145">
        <f t="shared" si="166"/>
        <v>0</v>
      </c>
      <c r="CS145">
        <f t="shared" si="167"/>
        <v>0</v>
      </c>
      <c r="CT145">
        <f t="shared" si="168"/>
        <v>0</v>
      </c>
      <c r="CU145">
        <f t="shared" si="169"/>
        <v>0</v>
      </c>
      <c r="CV145">
        <f t="shared" si="170"/>
        <v>0</v>
      </c>
      <c r="CW145">
        <f t="shared" si="171"/>
        <v>0</v>
      </c>
      <c r="CX145">
        <f t="shared" si="172"/>
        <v>0</v>
      </c>
      <c r="CY145">
        <f t="shared" si="173"/>
        <v>0</v>
      </c>
      <c r="CZ145">
        <f t="shared" si="174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231</v>
      </c>
      <c r="DW145" t="s">
        <v>231</v>
      </c>
      <c r="DX145">
        <v>1</v>
      </c>
      <c r="EE145">
        <v>27029122</v>
      </c>
      <c r="EF145">
        <v>6</v>
      </c>
      <c r="EG145" t="s">
        <v>90</v>
      </c>
      <c r="EH145">
        <v>0</v>
      </c>
      <c r="EI145" t="s">
        <v>6</v>
      </c>
      <c r="EJ145">
        <v>1</v>
      </c>
      <c r="EK145">
        <v>65007</v>
      </c>
      <c r="EL145" t="s">
        <v>305</v>
      </c>
      <c r="EM145" t="s">
        <v>289</v>
      </c>
      <c r="EO145" t="s">
        <v>6</v>
      </c>
      <c r="EQ145">
        <v>0</v>
      </c>
      <c r="ER145">
        <v>198.3</v>
      </c>
      <c r="ES145">
        <v>198.3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44"/>
        <v>0</v>
      </c>
      <c r="FS145">
        <v>0</v>
      </c>
      <c r="FX145">
        <v>103</v>
      </c>
      <c r="FY145">
        <v>60</v>
      </c>
      <c r="GA145" t="s">
        <v>6</v>
      </c>
      <c r="GD145">
        <v>0</v>
      </c>
      <c r="GF145">
        <v>995820444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45"/>
        <v>0</v>
      </c>
      <c r="GM145">
        <f t="shared" si="175"/>
        <v>2423.23</v>
      </c>
      <c r="GN145">
        <f t="shared" si="176"/>
        <v>2423.23</v>
      </c>
      <c r="GO145">
        <f t="shared" si="177"/>
        <v>0</v>
      </c>
      <c r="GP145">
        <f t="shared" si="178"/>
        <v>0</v>
      </c>
      <c r="GR145">
        <v>0</v>
      </c>
      <c r="GS145">
        <v>3</v>
      </c>
      <c r="GT145">
        <v>0</v>
      </c>
      <c r="GU145" t="s">
        <v>6</v>
      </c>
      <c r="GV145">
        <f t="shared" si="179"/>
        <v>0</v>
      </c>
      <c r="GW145">
        <v>1</v>
      </c>
      <c r="GX145">
        <f t="shared" si="180"/>
        <v>0</v>
      </c>
      <c r="HA145">
        <v>0</v>
      </c>
      <c r="HB145">
        <v>0</v>
      </c>
      <c r="HC145">
        <f t="shared" si="181"/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405</v>
      </c>
      <c r="D146" s="2"/>
      <c r="E146" s="2" t="s">
        <v>314</v>
      </c>
      <c r="F146" s="2" t="s">
        <v>315</v>
      </c>
      <c r="G146" s="2" t="s">
        <v>316</v>
      </c>
      <c r="H146" s="2" t="s">
        <v>282</v>
      </c>
      <c r="I146" s="2">
        <f>I140*J146</f>
        <v>2</v>
      </c>
      <c r="J146" s="2">
        <v>100</v>
      </c>
      <c r="K146" s="2"/>
      <c r="L146" s="2"/>
      <c r="M146" s="2"/>
      <c r="N146" s="2"/>
      <c r="O146" s="2">
        <f t="shared" si="146"/>
        <v>13.62</v>
      </c>
      <c r="P146" s="2">
        <f t="shared" si="147"/>
        <v>13.62</v>
      </c>
      <c r="Q146" s="2">
        <f t="shared" si="148"/>
        <v>0</v>
      </c>
      <c r="R146" s="2">
        <f t="shared" si="149"/>
        <v>0</v>
      </c>
      <c r="S146" s="2">
        <f t="shared" si="150"/>
        <v>0</v>
      </c>
      <c r="T146" s="2">
        <f t="shared" si="151"/>
        <v>0</v>
      </c>
      <c r="U146" s="2">
        <f t="shared" si="152"/>
        <v>0</v>
      </c>
      <c r="V146" s="2">
        <f t="shared" si="153"/>
        <v>0</v>
      </c>
      <c r="W146" s="2">
        <f t="shared" si="154"/>
        <v>0</v>
      </c>
      <c r="X146" s="2">
        <f t="shared" si="155"/>
        <v>0</v>
      </c>
      <c r="Y146" s="2">
        <f t="shared" si="156"/>
        <v>0</v>
      </c>
      <c r="Z146" s="2"/>
      <c r="AA146" s="2">
        <v>27935367</v>
      </c>
      <c r="AB146" s="2">
        <f t="shared" si="157"/>
        <v>6.81</v>
      </c>
      <c r="AC146" s="2">
        <f t="shared" si="158"/>
        <v>6.81</v>
      </c>
      <c r="AD146" s="2">
        <f t="shared" si="182"/>
        <v>0</v>
      </c>
      <c r="AE146" s="2">
        <f t="shared" si="183"/>
        <v>0</v>
      </c>
      <c r="AF146" s="2">
        <f t="shared" si="184"/>
        <v>0</v>
      </c>
      <c r="AG146" s="2">
        <f t="shared" si="161"/>
        <v>0</v>
      </c>
      <c r="AH146" s="2">
        <f t="shared" si="185"/>
        <v>0</v>
      </c>
      <c r="AI146" s="2">
        <f t="shared" si="186"/>
        <v>0</v>
      </c>
      <c r="AJ146" s="2">
        <f t="shared" si="163"/>
        <v>0</v>
      </c>
      <c r="AK146" s="2">
        <v>6.81</v>
      </c>
      <c r="AL146" s="2">
        <v>6.81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103</v>
      </c>
      <c r="AU146" s="2">
        <v>60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317</v>
      </c>
      <c r="BK146" s="2"/>
      <c r="BL146" s="2"/>
      <c r="BM146" s="2">
        <v>65007</v>
      </c>
      <c r="BN146" s="2">
        <v>0</v>
      </c>
      <c r="BO146" s="2" t="s">
        <v>6</v>
      </c>
      <c r="BP146" s="2">
        <v>0</v>
      </c>
      <c r="BQ146" s="2">
        <v>6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103</v>
      </c>
      <c r="CA146" s="2">
        <v>60</v>
      </c>
      <c r="CB146" s="2"/>
      <c r="CC146" s="2"/>
      <c r="CD146" s="2"/>
      <c r="CE146" s="2">
        <v>0</v>
      </c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4"/>
        <v>13.62</v>
      </c>
      <c r="CQ146" s="2">
        <f t="shared" si="165"/>
        <v>6.81</v>
      </c>
      <c r="CR146" s="2">
        <f t="shared" si="166"/>
        <v>0</v>
      </c>
      <c r="CS146" s="2">
        <f t="shared" si="167"/>
        <v>0</v>
      </c>
      <c r="CT146" s="2">
        <f t="shared" si="168"/>
        <v>0</v>
      </c>
      <c r="CU146" s="2">
        <f t="shared" si="169"/>
        <v>0</v>
      </c>
      <c r="CV146" s="2">
        <f t="shared" si="170"/>
        <v>0</v>
      </c>
      <c r="CW146" s="2">
        <f t="shared" si="171"/>
        <v>0</v>
      </c>
      <c r="CX146" s="2">
        <f t="shared" si="172"/>
        <v>0</v>
      </c>
      <c r="CY146" s="2">
        <f t="shared" si="173"/>
        <v>0</v>
      </c>
      <c r="CZ146" s="2">
        <f t="shared" si="174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282</v>
      </c>
      <c r="DW146" s="2" t="s">
        <v>282</v>
      </c>
      <c r="DX146" s="2">
        <v>1</v>
      </c>
      <c r="DY146" s="2"/>
      <c r="DZ146" s="2"/>
      <c r="EA146" s="2"/>
      <c r="EB146" s="2"/>
      <c r="EC146" s="2"/>
      <c r="ED146" s="2"/>
      <c r="EE146" s="2">
        <v>27029122</v>
      </c>
      <c r="EF146" s="2">
        <v>6</v>
      </c>
      <c r="EG146" s="2" t="s">
        <v>90</v>
      </c>
      <c r="EH146" s="2">
        <v>0</v>
      </c>
      <c r="EI146" s="2" t="s">
        <v>6</v>
      </c>
      <c r="EJ146" s="2">
        <v>1</v>
      </c>
      <c r="EK146" s="2">
        <v>65007</v>
      </c>
      <c r="EL146" s="2" t="s">
        <v>305</v>
      </c>
      <c r="EM146" s="2" t="s">
        <v>289</v>
      </c>
      <c r="EN146" s="2"/>
      <c r="EO146" s="2" t="s">
        <v>6</v>
      </c>
      <c r="EP146" s="2"/>
      <c r="EQ146" s="2">
        <v>0</v>
      </c>
      <c r="ER146" s="2">
        <v>6.81</v>
      </c>
      <c r="ES146" s="2">
        <v>6.81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44"/>
        <v>0</v>
      </c>
      <c r="FS146" s="2">
        <v>0</v>
      </c>
      <c r="FT146" s="2"/>
      <c r="FU146" s="2"/>
      <c r="FV146" s="2"/>
      <c r="FW146" s="2"/>
      <c r="FX146" s="2">
        <v>103</v>
      </c>
      <c r="FY146" s="2">
        <v>60</v>
      </c>
      <c r="FZ146" s="2"/>
      <c r="GA146" s="2" t="s">
        <v>6</v>
      </c>
      <c r="GB146" s="2"/>
      <c r="GC146" s="2"/>
      <c r="GD146" s="2">
        <v>0</v>
      </c>
      <c r="GE146" s="2"/>
      <c r="GF146" s="2">
        <v>-1962446151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45"/>
        <v>0</v>
      </c>
      <c r="GM146" s="2">
        <f t="shared" si="175"/>
        <v>13.62</v>
      </c>
      <c r="GN146" s="2">
        <f t="shared" si="176"/>
        <v>13.62</v>
      </c>
      <c r="GO146" s="2">
        <f t="shared" si="177"/>
        <v>0</v>
      </c>
      <c r="GP146" s="2">
        <f t="shared" si="178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79"/>
        <v>0</v>
      </c>
      <c r="GW146" s="2">
        <v>1</v>
      </c>
      <c r="GX146" s="2">
        <f t="shared" si="180"/>
        <v>0</v>
      </c>
      <c r="GY146" s="2"/>
      <c r="GZ146" s="2"/>
      <c r="HA146" s="2">
        <v>0</v>
      </c>
      <c r="HB146" s="2">
        <v>0</v>
      </c>
      <c r="HC146" s="2">
        <f t="shared" si="181"/>
        <v>0</v>
      </c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416</v>
      </c>
      <c r="E147" t="s">
        <v>314</v>
      </c>
      <c r="F147" t="s">
        <v>315</v>
      </c>
      <c r="G147" t="s">
        <v>316</v>
      </c>
      <c r="H147" t="s">
        <v>282</v>
      </c>
      <c r="I147">
        <f>I141*J147</f>
        <v>2</v>
      </c>
      <c r="J147">
        <v>100</v>
      </c>
      <c r="O147">
        <f t="shared" si="146"/>
        <v>83.22</v>
      </c>
      <c r="P147">
        <f t="shared" si="147"/>
        <v>83.22</v>
      </c>
      <c r="Q147">
        <f t="shared" si="148"/>
        <v>0</v>
      </c>
      <c r="R147">
        <f t="shared" si="149"/>
        <v>0</v>
      </c>
      <c r="S147">
        <f t="shared" si="150"/>
        <v>0</v>
      </c>
      <c r="T147">
        <f t="shared" si="151"/>
        <v>0</v>
      </c>
      <c r="U147">
        <f t="shared" si="152"/>
        <v>0</v>
      </c>
      <c r="V147">
        <f t="shared" si="153"/>
        <v>0</v>
      </c>
      <c r="W147">
        <f t="shared" si="154"/>
        <v>0</v>
      </c>
      <c r="X147">
        <f t="shared" si="155"/>
        <v>0</v>
      </c>
      <c r="Y147">
        <f t="shared" si="156"/>
        <v>0</v>
      </c>
      <c r="AA147">
        <v>27935368</v>
      </c>
      <c r="AB147">
        <f t="shared" si="157"/>
        <v>6.81</v>
      </c>
      <c r="AC147">
        <f t="shared" si="158"/>
        <v>6.81</v>
      </c>
      <c r="AD147">
        <f t="shared" si="182"/>
        <v>0</v>
      </c>
      <c r="AE147">
        <f t="shared" si="183"/>
        <v>0</v>
      </c>
      <c r="AF147">
        <f t="shared" si="184"/>
        <v>0</v>
      </c>
      <c r="AG147">
        <f t="shared" si="161"/>
        <v>0</v>
      </c>
      <c r="AH147">
        <f t="shared" si="185"/>
        <v>0</v>
      </c>
      <c r="AI147">
        <f t="shared" si="186"/>
        <v>0</v>
      </c>
      <c r="AJ147">
        <f t="shared" si="163"/>
        <v>0</v>
      </c>
      <c r="AK147">
        <v>6.81</v>
      </c>
      <c r="AL147">
        <v>6.81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103</v>
      </c>
      <c r="AU147">
        <v>60</v>
      </c>
      <c r="AV147">
        <v>1</v>
      </c>
      <c r="AW147">
        <v>1</v>
      </c>
      <c r="AZ147">
        <v>6.11</v>
      </c>
      <c r="BA147">
        <v>1</v>
      </c>
      <c r="BB147">
        <v>1</v>
      </c>
      <c r="BC147">
        <v>6.11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317</v>
      </c>
      <c r="BM147">
        <v>65007</v>
      </c>
      <c r="BN147">
        <v>0</v>
      </c>
      <c r="BO147" t="s">
        <v>6</v>
      </c>
      <c r="BP147">
        <v>0</v>
      </c>
      <c r="BQ147">
        <v>6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103</v>
      </c>
      <c r="CA147">
        <v>60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4"/>
        <v>83.22</v>
      </c>
      <c r="CQ147">
        <f t="shared" si="165"/>
        <v>41.609099999999998</v>
      </c>
      <c r="CR147">
        <f t="shared" si="166"/>
        <v>0</v>
      </c>
      <c r="CS147">
        <f t="shared" si="167"/>
        <v>0</v>
      </c>
      <c r="CT147">
        <f t="shared" si="168"/>
        <v>0</v>
      </c>
      <c r="CU147">
        <f t="shared" si="169"/>
        <v>0</v>
      </c>
      <c r="CV147">
        <f t="shared" si="170"/>
        <v>0</v>
      </c>
      <c r="CW147">
        <f t="shared" si="171"/>
        <v>0</v>
      </c>
      <c r="CX147">
        <f t="shared" si="172"/>
        <v>0</v>
      </c>
      <c r="CY147">
        <f t="shared" si="173"/>
        <v>0</v>
      </c>
      <c r="CZ147">
        <f t="shared" si="174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282</v>
      </c>
      <c r="DW147" t="s">
        <v>282</v>
      </c>
      <c r="DX147">
        <v>1</v>
      </c>
      <c r="EE147">
        <v>27029122</v>
      </c>
      <c r="EF147">
        <v>6</v>
      </c>
      <c r="EG147" t="s">
        <v>90</v>
      </c>
      <c r="EH147">
        <v>0</v>
      </c>
      <c r="EI147" t="s">
        <v>6</v>
      </c>
      <c r="EJ147">
        <v>1</v>
      </c>
      <c r="EK147">
        <v>65007</v>
      </c>
      <c r="EL147" t="s">
        <v>305</v>
      </c>
      <c r="EM147" t="s">
        <v>289</v>
      </c>
      <c r="EO147" t="s">
        <v>6</v>
      </c>
      <c r="EQ147">
        <v>0</v>
      </c>
      <c r="ER147">
        <v>6.81</v>
      </c>
      <c r="ES147">
        <v>6.81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44"/>
        <v>0</v>
      </c>
      <c r="FS147">
        <v>0</v>
      </c>
      <c r="FX147">
        <v>103</v>
      </c>
      <c r="FY147">
        <v>60</v>
      </c>
      <c r="GA147" t="s">
        <v>6</v>
      </c>
      <c r="GD147">
        <v>0</v>
      </c>
      <c r="GF147">
        <v>-1962446151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45"/>
        <v>0</v>
      </c>
      <c r="GM147">
        <f t="shared" si="175"/>
        <v>83.22</v>
      </c>
      <c r="GN147">
        <f t="shared" si="176"/>
        <v>83.22</v>
      </c>
      <c r="GO147">
        <f t="shared" si="177"/>
        <v>0</v>
      </c>
      <c r="GP147">
        <f t="shared" si="178"/>
        <v>0</v>
      </c>
      <c r="GR147">
        <v>0</v>
      </c>
      <c r="GS147">
        <v>3</v>
      </c>
      <c r="GT147">
        <v>0</v>
      </c>
      <c r="GU147" t="s">
        <v>6</v>
      </c>
      <c r="GV147">
        <f t="shared" si="179"/>
        <v>0</v>
      </c>
      <c r="GW147">
        <v>1</v>
      </c>
      <c r="GX147">
        <f t="shared" si="180"/>
        <v>0</v>
      </c>
      <c r="HA147">
        <v>0</v>
      </c>
      <c r="HB147">
        <v>0</v>
      </c>
      <c r="HC147">
        <f t="shared" si="181"/>
        <v>0</v>
      </c>
      <c r="IK147">
        <v>0</v>
      </c>
    </row>
    <row r="148" spans="1:255" x14ac:dyDescent="0.2">
      <c r="A148" s="2">
        <v>17</v>
      </c>
      <c r="B148" s="2">
        <v>1</v>
      </c>
      <c r="C148" s="2">
        <f>ROW(SmtRes!A426)</f>
        <v>426</v>
      </c>
      <c r="D148" s="2">
        <f>ROW(EtalonRes!A431)</f>
        <v>431</v>
      </c>
      <c r="E148" s="2" t="s">
        <v>318</v>
      </c>
      <c r="F148" s="2" t="s">
        <v>319</v>
      </c>
      <c r="G148" s="2" t="s">
        <v>320</v>
      </c>
      <c r="H148" s="2" t="s">
        <v>40</v>
      </c>
      <c r="I148" s="2">
        <f>ROUND(5/100,9)</f>
        <v>0.05</v>
      </c>
      <c r="J148" s="2">
        <v>0</v>
      </c>
      <c r="K148" s="2"/>
      <c r="L148" s="2"/>
      <c r="M148" s="2"/>
      <c r="N148" s="2"/>
      <c r="O148" s="2">
        <f t="shared" si="146"/>
        <v>18.649999999999999</v>
      </c>
      <c r="P148" s="2">
        <f t="shared" si="147"/>
        <v>1.68</v>
      </c>
      <c r="Q148" s="2">
        <f t="shared" si="148"/>
        <v>0.41</v>
      </c>
      <c r="R148" s="2">
        <f t="shared" si="149"/>
        <v>0.08</v>
      </c>
      <c r="S148" s="2">
        <f t="shared" si="150"/>
        <v>16.559999999999999</v>
      </c>
      <c r="T148" s="2">
        <f t="shared" si="151"/>
        <v>0</v>
      </c>
      <c r="U148" s="2">
        <f t="shared" si="152"/>
        <v>1.9929499999999998</v>
      </c>
      <c r="V148" s="2">
        <f t="shared" si="153"/>
        <v>5.7499999999999999E-3</v>
      </c>
      <c r="W148" s="2">
        <f t="shared" si="154"/>
        <v>0</v>
      </c>
      <c r="X148" s="2">
        <f t="shared" si="155"/>
        <v>12.31</v>
      </c>
      <c r="Y148" s="2">
        <f t="shared" si="156"/>
        <v>8.32</v>
      </c>
      <c r="Z148" s="2"/>
      <c r="AA148" s="2">
        <v>27935367</v>
      </c>
      <c r="AB148" s="2">
        <f t="shared" si="157"/>
        <v>372.97</v>
      </c>
      <c r="AC148" s="2">
        <f t="shared" si="158"/>
        <v>33.6</v>
      </c>
      <c r="AD148" s="2">
        <f>ROUND(((((ET148*1.15))-((EU148*1.15)))+AE148),2)</f>
        <v>8.15</v>
      </c>
      <c r="AE148" s="2">
        <f>ROUND(((EU148*1.15)),2)</f>
        <v>1.55</v>
      </c>
      <c r="AF148" s="2">
        <f>ROUND(((EV148*1.15)),2)</f>
        <v>331.22</v>
      </c>
      <c r="AG148" s="2">
        <f t="shared" si="161"/>
        <v>0</v>
      </c>
      <c r="AH148" s="2">
        <f>((EW148*1.15))</f>
        <v>39.858999999999995</v>
      </c>
      <c r="AI148" s="2">
        <f>((EX148*1.15))</f>
        <v>0.11499999999999999</v>
      </c>
      <c r="AJ148" s="2">
        <f t="shared" si="163"/>
        <v>0</v>
      </c>
      <c r="AK148" s="2">
        <v>328.71</v>
      </c>
      <c r="AL148" s="2">
        <v>33.6</v>
      </c>
      <c r="AM148" s="2">
        <v>7.09</v>
      </c>
      <c r="AN148" s="2">
        <v>1.35</v>
      </c>
      <c r="AO148" s="2">
        <v>288.02</v>
      </c>
      <c r="AP148" s="2">
        <v>0</v>
      </c>
      <c r="AQ148" s="2">
        <v>34.659999999999997</v>
      </c>
      <c r="AR148" s="2">
        <v>0.1</v>
      </c>
      <c r="AS148" s="2">
        <v>0</v>
      </c>
      <c r="AT148" s="2">
        <v>74</v>
      </c>
      <c r="AU148" s="2">
        <v>50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0</v>
      </c>
      <c r="BI148" s="2">
        <v>1</v>
      </c>
      <c r="BJ148" s="2" t="s">
        <v>321</v>
      </c>
      <c r="BK148" s="2"/>
      <c r="BL148" s="2"/>
      <c r="BM148" s="2">
        <v>65001</v>
      </c>
      <c r="BN148" s="2">
        <v>0</v>
      </c>
      <c r="BO148" s="2" t="s">
        <v>6</v>
      </c>
      <c r="BP148" s="2">
        <v>0</v>
      </c>
      <c r="BQ148" s="2">
        <v>6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74</v>
      </c>
      <c r="CA148" s="2">
        <v>50</v>
      </c>
      <c r="CB148" s="2"/>
      <c r="CC148" s="2"/>
      <c r="CD148" s="2"/>
      <c r="CE148" s="2">
        <v>0</v>
      </c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767</v>
      </c>
      <c r="CO148" s="2">
        <v>0</v>
      </c>
      <c r="CP148" s="2">
        <f t="shared" si="164"/>
        <v>18.649999999999999</v>
      </c>
      <c r="CQ148" s="2">
        <f t="shared" si="165"/>
        <v>33.6</v>
      </c>
      <c r="CR148" s="2">
        <f t="shared" si="166"/>
        <v>8.15</v>
      </c>
      <c r="CS148" s="2">
        <f t="shared" si="167"/>
        <v>1.55</v>
      </c>
      <c r="CT148" s="2">
        <f t="shared" si="168"/>
        <v>331.22</v>
      </c>
      <c r="CU148" s="2">
        <f t="shared" si="169"/>
        <v>0</v>
      </c>
      <c r="CV148" s="2">
        <f t="shared" si="170"/>
        <v>39.858999999999995</v>
      </c>
      <c r="CW148" s="2">
        <f t="shared" si="171"/>
        <v>0.11499999999999999</v>
      </c>
      <c r="CX148" s="2">
        <f t="shared" si="172"/>
        <v>0</v>
      </c>
      <c r="CY148" s="2">
        <f t="shared" si="173"/>
        <v>12.313599999999997</v>
      </c>
      <c r="CZ148" s="2">
        <f t="shared" si="174"/>
        <v>8.3199999999999985</v>
      </c>
      <c r="DA148" s="2"/>
      <c r="DB148" s="2"/>
      <c r="DC148" s="2" t="s">
        <v>6</v>
      </c>
      <c r="DD148" s="2" t="s">
        <v>6</v>
      </c>
      <c r="DE148" s="2" t="s">
        <v>28</v>
      </c>
      <c r="DF148" s="2" t="s">
        <v>28</v>
      </c>
      <c r="DG148" s="2" t="s">
        <v>28</v>
      </c>
      <c r="DH148" s="2" t="s">
        <v>6</v>
      </c>
      <c r="DI148" s="2" t="s">
        <v>28</v>
      </c>
      <c r="DJ148" s="2" t="s">
        <v>28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1003</v>
      </c>
      <c r="DV148" s="2" t="s">
        <v>40</v>
      </c>
      <c r="DW148" s="2" t="s">
        <v>40</v>
      </c>
      <c r="DX148" s="2">
        <v>100</v>
      </c>
      <c r="DY148" s="2"/>
      <c r="DZ148" s="2"/>
      <c r="EA148" s="2"/>
      <c r="EB148" s="2"/>
      <c r="EC148" s="2"/>
      <c r="ED148" s="2"/>
      <c r="EE148" s="2">
        <v>27029110</v>
      </c>
      <c r="EF148" s="2">
        <v>6</v>
      </c>
      <c r="EG148" s="2" t="s">
        <v>90</v>
      </c>
      <c r="EH148" s="2">
        <v>0</v>
      </c>
      <c r="EI148" s="2" t="s">
        <v>6</v>
      </c>
      <c r="EJ148" s="2">
        <v>1</v>
      </c>
      <c r="EK148" s="2">
        <v>65001</v>
      </c>
      <c r="EL148" s="2" t="s">
        <v>288</v>
      </c>
      <c r="EM148" s="2" t="s">
        <v>289</v>
      </c>
      <c r="EN148" s="2"/>
      <c r="EO148" s="2" t="s">
        <v>322</v>
      </c>
      <c r="EP148" s="2"/>
      <c r="EQ148" s="2">
        <v>131072</v>
      </c>
      <c r="ER148" s="2">
        <v>328.71</v>
      </c>
      <c r="ES148" s="2">
        <v>33.6</v>
      </c>
      <c r="ET148" s="2">
        <v>7.09</v>
      </c>
      <c r="EU148" s="2">
        <v>1.35</v>
      </c>
      <c r="EV148" s="2">
        <v>288.02</v>
      </c>
      <c r="EW148" s="2">
        <v>34.659999999999997</v>
      </c>
      <c r="EX148" s="2">
        <v>0.1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44"/>
        <v>0</v>
      </c>
      <c r="FS148" s="2">
        <v>0</v>
      </c>
      <c r="FT148" s="2"/>
      <c r="FU148" s="2"/>
      <c r="FV148" s="2"/>
      <c r="FW148" s="2"/>
      <c r="FX148" s="2">
        <v>74</v>
      </c>
      <c r="FY148" s="2">
        <v>50</v>
      </c>
      <c r="FZ148" s="2"/>
      <c r="GA148" s="2" t="s">
        <v>6</v>
      </c>
      <c r="GB148" s="2"/>
      <c r="GC148" s="2"/>
      <c r="GD148" s="2">
        <v>0</v>
      </c>
      <c r="GE148" s="2"/>
      <c r="GF148" s="2">
        <v>-319600296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45"/>
        <v>0</v>
      </c>
      <c r="GM148" s="2">
        <f t="shared" si="175"/>
        <v>39.28</v>
      </c>
      <c r="GN148" s="2">
        <f t="shared" si="176"/>
        <v>39.28</v>
      </c>
      <c r="GO148" s="2">
        <f t="shared" si="177"/>
        <v>0</v>
      </c>
      <c r="GP148" s="2">
        <f t="shared" si="178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79"/>
        <v>0</v>
      </c>
      <c r="GW148" s="2">
        <v>1</v>
      </c>
      <c r="GX148" s="2">
        <f t="shared" si="180"/>
        <v>0</v>
      </c>
      <c r="GY148" s="2"/>
      <c r="GZ148" s="2"/>
      <c r="HA148" s="2">
        <v>0</v>
      </c>
      <c r="HB148" s="2">
        <v>0</v>
      </c>
      <c r="HC148" s="2">
        <f t="shared" si="181"/>
        <v>0</v>
      </c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C149">
        <f>ROW(SmtRes!A432)</f>
        <v>432</v>
      </c>
      <c r="D149">
        <f>ROW(EtalonRes!A438)</f>
        <v>438</v>
      </c>
      <c r="E149" t="s">
        <v>318</v>
      </c>
      <c r="F149" t="s">
        <v>319</v>
      </c>
      <c r="G149" t="s">
        <v>320</v>
      </c>
      <c r="H149" t="s">
        <v>40</v>
      </c>
      <c r="I149">
        <f>ROUND(5/100,9)</f>
        <v>0.05</v>
      </c>
      <c r="J149">
        <v>0</v>
      </c>
      <c r="O149">
        <f t="shared" si="146"/>
        <v>113.94</v>
      </c>
      <c r="P149">
        <f t="shared" si="147"/>
        <v>10.26</v>
      </c>
      <c r="Q149">
        <f t="shared" si="148"/>
        <v>2.4900000000000002</v>
      </c>
      <c r="R149">
        <f t="shared" si="149"/>
        <v>0.47</v>
      </c>
      <c r="S149">
        <f t="shared" si="150"/>
        <v>101.19</v>
      </c>
      <c r="T149">
        <f t="shared" si="151"/>
        <v>0</v>
      </c>
      <c r="U149">
        <f t="shared" si="152"/>
        <v>1.9929499999999998</v>
      </c>
      <c r="V149">
        <f t="shared" si="153"/>
        <v>5.7499999999999999E-3</v>
      </c>
      <c r="W149">
        <f t="shared" si="154"/>
        <v>0</v>
      </c>
      <c r="X149">
        <f t="shared" si="155"/>
        <v>75.23</v>
      </c>
      <c r="Y149">
        <f t="shared" si="156"/>
        <v>50.83</v>
      </c>
      <c r="AA149">
        <v>27935368</v>
      </c>
      <c r="AB149">
        <f t="shared" si="157"/>
        <v>372.97</v>
      </c>
      <c r="AC149">
        <f t="shared" si="158"/>
        <v>33.6</v>
      </c>
      <c r="AD149">
        <f>ROUND(((((ET149*1.15))-((EU149*1.15)))+AE149),2)</f>
        <v>8.15</v>
      </c>
      <c r="AE149">
        <f>ROUND(((EU149*1.15)),2)</f>
        <v>1.55</v>
      </c>
      <c r="AF149">
        <f>ROUND(((EV149*1.15)),2)</f>
        <v>331.22</v>
      </c>
      <c r="AG149">
        <f t="shared" si="161"/>
        <v>0</v>
      </c>
      <c r="AH149">
        <f>((EW149*1.15))</f>
        <v>39.858999999999995</v>
      </c>
      <c r="AI149">
        <f>((EX149*1.15))</f>
        <v>0.11499999999999999</v>
      </c>
      <c r="AJ149">
        <f t="shared" si="163"/>
        <v>0</v>
      </c>
      <c r="AK149">
        <v>328.71</v>
      </c>
      <c r="AL149">
        <v>33.6</v>
      </c>
      <c r="AM149">
        <v>7.09</v>
      </c>
      <c r="AN149">
        <v>1.35</v>
      </c>
      <c r="AO149">
        <v>288.02</v>
      </c>
      <c r="AP149">
        <v>0</v>
      </c>
      <c r="AQ149">
        <v>34.659999999999997</v>
      </c>
      <c r="AR149">
        <v>0.1</v>
      </c>
      <c r="AS149">
        <v>0</v>
      </c>
      <c r="AT149">
        <v>74</v>
      </c>
      <c r="AU149">
        <v>50</v>
      </c>
      <c r="AV149">
        <v>1</v>
      </c>
      <c r="AW149">
        <v>1</v>
      </c>
      <c r="AZ149">
        <v>6.11</v>
      </c>
      <c r="BA149">
        <v>6.11</v>
      </c>
      <c r="BB149">
        <v>6.11</v>
      </c>
      <c r="BC149">
        <v>6.11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321</v>
      </c>
      <c r="BM149">
        <v>65001</v>
      </c>
      <c r="BN149">
        <v>0</v>
      </c>
      <c r="BO149" t="s">
        <v>6</v>
      </c>
      <c r="BP149">
        <v>0</v>
      </c>
      <c r="BQ149">
        <v>6</v>
      </c>
      <c r="BR149">
        <v>0</v>
      </c>
      <c r="BS149">
        <v>6.11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74</v>
      </c>
      <c r="CA149">
        <v>50</v>
      </c>
      <c r="CE149">
        <v>0</v>
      </c>
      <c r="CF149">
        <v>0</v>
      </c>
      <c r="CG149">
        <v>0</v>
      </c>
      <c r="CM149">
        <v>0</v>
      </c>
      <c r="CN149" t="s">
        <v>767</v>
      </c>
      <c r="CO149">
        <v>0</v>
      </c>
      <c r="CP149">
        <f t="shared" si="164"/>
        <v>113.94</v>
      </c>
      <c r="CQ149">
        <f t="shared" si="165"/>
        <v>205.29600000000002</v>
      </c>
      <c r="CR149">
        <f t="shared" si="166"/>
        <v>49.796500000000002</v>
      </c>
      <c r="CS149">
        <f t="shared" si="167"/>
        <v>9.4705000000000013</v>
      </c>
      <c r="CT149">
        <f t="shared" si="168"/>
        <v>2023.7542000000003</v>
      </c>
      <c r="CU149">
        <f t="shared" si="169"/>
        <v>0</v>
      </c>
      <c r="CV149">
        <f t="shared" si="170"/>
        <v>39.858999999999995</v>
      </c>
      <c r="CW149">
        <f t="shared" si="171"/>
        <v>0.11499999999999999</v>
      </c>
      <c r="CX149">
        <f t="shared" si="172"/>
        <v>0</v>
      </c>
      <c r="CY149">
        <f t="shared" si="173"/>
        <v>75.228400000000008</v>
      </c>
      <c r="CZ149">
        <f t="shared" si="174"/>
        <v>50.83</v>
      </c>
      <c r="DC149" t="s">
        <v>6</v>
      </c>
      <c r="DD149" t="s">
        <v>6</v>
      </c>
      <c r="DE149" t="s">
        <v>28</v>
      </c>
      <c r="DF149" t="s">
        <v>28</v>
      </c>
      <c r="DG149" t="s">
        <v>28</v>
      </c>
      <c r="DH149" t="s">
        <v>6</v>
      </c>
      <c r="DI149" t="s">
        <v>28</v>
      </c>
      <c r="DJ149" t="s">
        <v>28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1003</v>
      </c>
      <c r="DV149" t="s">
        <v>40</v>
      </c>
      <c r="DW149" t="s">
        <v>40</v>
      </c>
      <c r="DX149">
        <v>100</v>
      </c>
      <c r="EE149">
        <v>27029110</v>
      </c>
      <c r="EF149">
        <v>6</v>
      </c>
      <c r="EG149" t="s">
        <v>90</v>
      </c>
      <c r="EH149">
        <v>0</v>
      </c>
      <c r="EI149" t="s">
        <v>6</v>
      </c>
      <c r="EJ149">
        <v>1</v>
      </c>
      <c r="EK149">
        <v>65001</v>
      </c>
      <c r="EL149" t="s">
        <v>288</v>
      </c>
      <c r="EM149" t="s">
        <v>289</v>
      </c>
      <c r="EO149" t="s">
        <v>322</v>
      </c>
      <c r="EQ149">
        <v>131072</v>
      </c>
      <c r="ER149">
        <v>328.71</v>
      </c>
      <c r="ES149">
        <v>33.6</v>
      </c>
      <c r="ET149">
        <v>7.09</v>
      </c>
      <c r="EU149">
        <v>1.35</v>
      </c>
      <c r="EV149">
        <v>288.02</v>
      </c>
      <c r="EW149">
        <v>34.659999999999997</v>
      </c>
      <c r="EX149">
        <v>0.1</v>
      </c>
      <c r="EY149">
        <v>0</v>
      </c>
      <c r="FQ149">
        <v>0</v>
      </c>
      <c r="FR149">
        <f t="shared" si="144"/>
        <v>0</v>
      </c>
      <c r="FS149">
        <v>0</v>
      </c>
      <c r="FX149">
        <v>74</v>
      </c>
      <c r="FY149">
        <v>50</v>
      </c>
      <c r="GA149" t="s">
        <v>6</v>
      </c>
      <c r="GD149">
        <v>0</v>
      </c>
      <c r="GF149">
        <v>-319600296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45"/>
        <v>0</v>
      </c>
      <c r="GM149">
        <f t="shared" si="175"/>
        <v>240</v>
      </c>
      <c r="GN149">
        <f t="shared" si="176"/>
        <v>240</v>
      </c>
      <c r="GO149">
        <f t="shared" si="177"/>
        <v>0</v>
      </c>
      <c r="GP149">
        <f t="shared" si="178"/>
        <v>0</v>
      </c>
      <c r="GR149">
        <v>0</v>
      </c>
      <c r="GS149">
        <v>3</v>
      </c>
      <c r="GT149">
        <v>0</v>
      </c>
      <c r="GU149" t="s">
        <v>6</v>
      </c>
      <c r="GV149">
        <f t="shared" si="179"/>
        <v>0</v>
      </c>
      <c r="GW149">
        <v>1</v>
      </c>
      <c r="GX149">
        <f t="shared" si="180"/>
        <v>0</v>
      </c>
      <c r="HA149">
        <v>0</v>
      </c>
      <c r="HB149">
        <v>0</v>
      </c>
      <c r="HC149">
        <f t="shared" si="181"/>
        <v>0</v>
      </c>
      <c r="IK149">
        <v>0</v>
      </c>
    </row>
    <row r="150" spans="1:255" x14ac:dyDescent="0.2">
      <c r="A150" s="2">
        <v>17</v>
      </c>
      <c r="B150" s="2">
        <v>1</v>
      </c>
      <c r="C150" s="2">
        <f>ROW(SmtRes!A444)</f>
        <v>444</v>
      </c>
      <c r="D150" s="2">
        <f>ROW(EtalonRes!A452)</f>
        <v>452</v>
      </c>
      <c r="E150" s="2" t="s">
        <v>323</v>
      </c>
      <c r="F150" s="2" t="s">
        <v>324</v>
      </c>
      <c r="G150" s="2" t="s">
        <v>325</v>
      </c>
      <c r="H150" s="2" t="s">
        <v>40</v>
      </c>
      <c r="I150" s="2">
        <f>ROUND(5/100,9)</f>
        <v>0.05</v>
      </c>
      <c r="J150" s="2">
        <v>0</v>
      </c>
      <c r="K150" s="2"/>
      <c r="L150" s="2"/>
      <c r="M150" s="2"/>
      <c r="N150" s="2"/>
      <c r="O150" s="2">
        <f t="shared" si="146"/>
        <v>84.18</v>
      </c>
      <c r="P150" s="2">
        <f t="shared" si="147"/>
        <v>1.9</v>
      </c>
      <c r="Q150" s="2">
        <f t="shared" si="148"/>
        <v>29.27</v>
      </c>
      <c r="R150" s="2">
        <f t="shared" si="149"/>
        <v>0.01</v>
      </c>
      <c r="S150" s="2">
        <f t="shared" si="150"/>
        <v>53.01</v>
      </c>
      <c r="T150" s="2">
        <f t="shared" si="151"/>
        <v>0</v>
      </c>
      <c r="U150" s="2">
        <f t="shared" si="152"/>
        <v>5.5746250000000002</v>
      </c>
      <c r="V150" s="2">
        <f t="shared" si="153"/>
        <v>6.2500000000000012E-4</v>
      </c>
      <c r="W150" s="2">
        <f t="shared" si="154"/>
        <v>0</v>
      </c>
      <c r="X150" s="2">
        <f t="shared" si="155"/>
        <v>60.97</v>
      </c>
      <c r="Y150" s="2">
        <f t="shared" si="156"/>
        <v>37.64</v>
      </c>
      <c r="Z150" s="2"/>
      <c r="AA150" s="2">
        <v>27935367</v>
      </c>
      <c r="AB150" s="2">
        <f t="shared" si="157"/>
        <v>1683.57</v>
      </c>
      <c r="AC150" s="2">
        <f t="shared" si="158"/>
        <v>37.96</v>
      </c>
      <c r="AD150" s="2">
        <f>ROUND(((((ET150*1.25))-((EU150*1.25)))+AE150),2)</f>
        <v>585.32000000000005</v>
      </c>
      <c r="AE150" s="2">
        <f>ROUND(((EU150*1.25)),2)</f>
        <v>0.11</v>
      </c>
      <c r="AF150" s="2">
        <f>ROUND(((EV150*1.15)),2)</f>
        <v>1060.29</v>
      </c>
      <c r="AG150" s="2">
        <f t="shared" si="161"/>
        <v>0</v>
      </c>
      <c r="AH150" s="2">
        <f>((EW150*1.15))</f>
        <v>111.49249999999999</v>
      </c>
      <c r="AI150" s="2">
        <f>((EX150*1.25))</f>
        <v>1.2500000000000001E-2</v>
      </c>
      <c r="AJ150" s="2">
        <f t="shared" si="163"/>
        <v>0</v>
      </c>
      <c r="AK150" s="2">
        <v>1428.21</v>
      </c>
      <c r="AL150" s="2">
        <v>37.96</v>
      </c>
      <c r="AM150" s="2">
        <v>468.26</v>
      </c>
      <c r="AN150" s="2">
        <v>0.09</v>
      </c>
      <c r="AO150" s="2">
        <v>921.99</v>
      </c>
      <c r="AP150" s="2">
        <v>0</v>
      </c>
      <c r="AQ150" s="2">
        <v>96.95</v>
      </c>
      <c r="AR150" s="2">
        <v>0.01</v>
      </c>
      <c r="AS150" s="2">
        <v>0</v>
      </c>
      <c r="AT150" s="2">
        <v>115</v>
      </c>
      <c r="AU150" s="2">
        <v>71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0</v>
      </c>
      <c r="BI150" s="2">
        <v>1</v>
      </c>
      <c r="BJ150" s="2" t="s">
        <v>326</v>
      </c>
      <c r="BK150" s="2"/>
      <c r="BL150" s="2"/>
      <c r="BM150" s="2">
        <v>16001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128</v>
      </c>
      <c r="CA150" s="2">
        <v>83</v>
      </c>
      <c r="CB150" s="2"/>
      <c r="CC150" s="2"/>
      <c r="CD150" s="2"/>
      <c r="CE150" s="2">
        <v>0</v>
      </c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766</v>
      </c>
      <c r="CO150" s="2">
        <v>0</v>
      </c>
      <c r="CP150" s="2">
        <f t="shared" si="164"/>
        <v>84.179999999999993</v>
      </c>
      <c r="CQ150" s="2">
        <f t="shared" si="165"/>
        <v>37.96</v>
      </c>
      <c r="CR150" s="2">
        <f t="shared" si="166"/>
        <v>585.32000000000005</v>
      </c>
      <c r="CS150" s="2">
        <f t="shared" si="167"/>
        <v>0.11</v>
      </c>
      <c r="CT150" s="2">
        <f t="shared" si="168"/>
        <v>1060.29</v>
      </c>
      <c r="CU150" s="2">
        <f t="shared" si="169"/>
        <v>0</v>
      </c>
      <c r="CV150" s="2">
        <f t="shared" si="170"/>
        <v>111.49249999999999</v>
      </c>
      <c r="CW150" s="2">
        <f t="shared" si="171"/>
        <v>1.2500000000000001E-2</v>
      </c>
      <c r="CX150" s="2">
        <f t="shared" si="172"/>
        <v>0</v>
      </c>
      <c r="CY150" s="2">
        <f t="shared" si="173"/>
        <v>60.972999999999992</v>
      </c>
      <c r="CZ150" s="2">
        <f t="shared" si="174"/>
        <v>37.644199999999998</v>
      </c>
      <c r="DA150" s="2"/>
      <c r="DB150" s="2"/>
      <c r="DC150" s="2" t="s">
        <v>6</v>
      </c>
      <c r="DD150" s="2" t="s">
        <v>6</v>
      </c>
      <c r="DE150" s="2" t="s">
        <v>27</v>
      </c>
      <c r="DF150" s="2" t="s">
        <v>27</v>
      </c>
      <c r="DG150" s="2" t="s">
        <v>28</v>
      </c>
      <c r="DH150" s="2" t="s">
        <v>6</v>
      </c>
      <c r="DI150" s="2" t="s">
        <v>28</v>
      </c>
      <c r="DJ150" s="2" t="s">
        <v>27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1003</v>
      </c>
      <c r="DV150" s="2" t="s">
        <v>40</v>
      </c>
      <c r="DW150" s="2" t="s">
        <v>40</v>
      </c>
      <c r="DX150" s="2">
        <v>100</v>
      </c>
      <c r="DY150" s="2"/>
      <c r="DZ150" s="2"/>
      <c r="EA150" s="2"/>
      <c r="EB150" s="2"/>
      <c r="EC150" s="2"/>
      <c r="ED150" s="2"/>
      <c r="EE150" s="2">
        <v>27029050</v>
      </c>
      <c r="EF150" s="2">
        <v>2</v>
      </c>
      <c r="EG150" s="2" t="s">
        <v>18</v>
      </c>
      <c r="EH150" s="2">
        <v>0</v>
      </c>
      <c r="EI150" s="2" t="s">
        <v>6</v>
      </c>
      <c r="EJ150" s="2">
        <v>1</v>
      </c>
      <c r="EK150" s="2">
        <v>16001</v>
      </c>
      <c r="EL150" s="2" t="s">
        <v>295</v>
      </c>
      <c r="EM150" s="2" t="s">
        <v>296</v>
      </c>
      <c r="EN150" s="2"/>
      <c r="EO150" s="2" t="s">
        <v>31</v>
      </c>
      <c r="EP150" s="2"/>
      <c r="EQ150" s="2">
        <v>131072</v>
      </c>
      <c r="ER150" s="2">
        <v>1428.21</v>
      </c>
      <c r="ES150" s="2">
        <v>37.96</v>
      </c>
      <c r="ET150" s="2">
        <v>468.26</v>
      </c>
      <c r="EU150" s="2">
        <v>0.09</v>
      </c>
      <c r="EV150" s="2">
        <v>921.99</v>
      </c>
      <c r="EW150" s="2">
        <v>96.95</v>
      </c>
      <c r="EX150" s="2">
        <v>0.01</v>
      </c>
      <c r="EY150" s="2">
        <v>0</v>
      </c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44"/>
        <v>0</v>
      </c>
      <c r="FS150" s="2">
        <v>0</v>
      </c>
      <c r="FT150" s="2" t="s">
        <v>21</v>
      </c>
      <c r="FU150" s="2" t="s">
        <v>22</v>
      </c>
      <c r="FV150" s="2"/>
      <c r="FW150" s="2"/>
      <c r="FX150" s="2">
        <v>115.2</v>
      </c>
      <c r="FY150" s="2">
        <v>70.55</v>
      </c>
      <c r="FZ150" s="2"/>
      <c r="GA150" s="2" t="s">
        <v>6</v>
      </c>
      <c r="GB150" s="2"/>
      <c r="GC150" s="2"/>
      <c r="GD150" s="2">
        <v>0</v>
      </c>
      <c r="GE150" s="2"/>
      <c r="GF150" s="2">
        <v>-93700583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45"/>
        <v>0</v>
      </c>
      <c r="GM150" s="2">
        <f t="shared" si="175"/>
        <v>182.79</v>
      </c>
      <c r="GN150" s="2">
        <f t="shared" si="176"/>
        <v>182.79</v>
      </c>
      <c r="GO150" s="2">
        <f t="shared" si="177"/>
        <v>0</v>
      </c>
      <c r="GP150" s="2">
        <f t="shared" si="178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79"/>
        <v>0</v>
      </c>
      <c r="GW150" s="2">
        <v>1</v>
      </c>
      <c r="GX150" s="2">
        <f t="shared" si="180"/>
        <v>0</v>
      </c>
      <c r="GY150" s="2"/>
      <c r="GZ150" s="2"/>
      <c r="HA150" s="2">
        <v>0</v>
      </c>
      <c r="HB150" s="2">
        <v>0</v>
      </c>
      <c r="HC150" s="2">
        <f t="shared" si="181"/>
        <v>0</v>
      </c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17</v>
      </c>
      <c r="B151">
        <v>1</v>
      </c>
      <c r="C151">
        <f>ROW(SmtRes!A456)</f>
        <v>456</v>
      </c>
      <c r="D151">
        <f>ROW(EtalonRes!A466)</f>
        <v>466</v>
      </c>
      <c r="E151" t="s">
        <v>323</v>
      </c>
      <c r="F151" t="s">
        <v>324</v>
      </c>
      <c r="G151" t="s">
        <v>325</v>
      </c>
      <c r="H151" t="s">
        <v>40</v>
      </c>
      <c r="I151">
        <f>ROUND(5/100,9)</f>
        <v>0.05</v>
      </c>
      <c r="J151">
        <v>0</v>
      </c>
      <c r="O151">
        <f t="shared" si="146"/>
        <v>514.34</v>
      </c>
      <c r="P151">
        <f t="shared" si="147"/>
        <v>11.6</v>
      </c>
      <c r="Q151">
        <f t="shared" si="148"/>
        <v>178.82</v>
      </c>
      <c r="R151">
        <f t="shared" si="149"/>
        <v>0.03</v>
      </c>
      <c r="S151">
        <f t="shared" si="150"/>
        <v>323.92</v>
      </c>
      <c r="T151">
        <f t="shared" si="151"/>
        <v>0</v>
      </c>
      <c r="U151">
        <f t="shared" si="152"/>
        <v>5.5746250000000002</v>
      </c>
      <c r="V151">
        <f t="shared" si="153"/>
        <v>6.2500000000000012E-4</v>
      </c>
      <c r="W151">
        <f t="shared" si="154"/>
        <v>0</v>
      </c>
      <c r="X151">
        <f t="shared" si="155"/>
        <v>372.54</v>
      </c>
      <c r="Y151">
        <f t="shared" si="156"/>
        <v>230</v>
      </c>
      <c r="AA151">
        <v>27935368</v>
      </c>
      <c r="AB151">
        <f t="shared" si="157"/>
        <v>1683.57</v>
      </c>
      <c r="AC151">
        <f t="shared" si="158"/>
        <v>37.96</v>
      </c>
      <c r="AD151">
        <f>ROUND(((((ET151*1.25))-((EU151*1.25)))+AE151),2)</f>
        <v>585.32000000000005</v>
      </c>
      <c r="AE151">
        <f>ROUND(((EU151*1.25)),2)</f>
        <v>0.11</v>
      </c>
      <c r="AF151">
        <f>ROUND(((EV151*1.15)),2)</f>
        <v>1060.29</v>
      </c>
      <c r="AG151">
        <f t="shared" si="161"/>
        <v>0</v>
      </c>
      <c r="AH151">
        <f>((EW151*1.15))</f>
        <v>111.49249999999999</v>
      </c>
      <c r="AI151">
        <f>((EX151*1.25))</f>
        <v>1.2500000000000001E-2</v>
      </c>
      <c r="AJ151">
        <f t="shared" si="163"/>
        <v>0</v>
      </c>
      <c r="AK151">
        <v>1428.21</v>
      </c>
      <c r="AL151">
        <v>37.96</v>
      </c>
      <c r="AM151">
        <v>468.26</v>
      </c>
      <c r="AN151">
        <v>0.09</v>
      </c>
      <c r="AO151">
        <v>921.99</v>
      </c>
      <c r="AP151">
        <v>0</v>
      </c>
      <c r="AQ151">
        <v>96.95</v>
      </c>
      <c r="AR151">
        <v>0.01</v>
      </c>
      <c r="AS151">
        <v>0</v>
      </c>
      <c r="AT151">
        <v>115</v>
      </c>
      <c r="AU151">
        <v>71</v>
      </c>
      <c r="AV151">
        <v>1</v>
      </c>
      <c r="AW151">
        <v>1</v>
      </c>
      <c r="AZ151">
        <v>6.11</v>
      </c>
      <c r="BA151">
        <v>6.11</v>
      </c>
      <c r="BB151">
        <v>6.11</v>
      </c>
      <c r="BC151">
        <v>6.11</v>
      </c>
      <c r="BD151" t="s">
        <v>6</v>
      </c>
      <c r="BE151" t="s">
        <v>6</v>
      </c>
      <c r="BF151" t="s">
        <v>6</v>
      </c>
      <c r="BG151" t="s">
        <v>6</v>
      </c>
      <c r="BH151">
        <v>0</v>
      </c>
      <c r="BI151">
        <v>1</v>
      </c>
      <c r="BJ151" t="s">
        <v>326</v>
      </c>
      <c r="BM151">
        <v>16001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6.11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128</v>
      </c>
      <c r="CA151">
        <v>83</v>
      </c>
      <c r="CE151">
        <v>0</v>
      </c>
      <c r="CF151">
        <v>0</v>
      </c>
      <c r="CG151">
        <v>0</v>
      </c>
      <c r="CM151">
        <v>0</v>
      </c>
      <c r="CN151" t="s">
        <v>766</v>
      </c>
      <c r="CO151">
        <v>0</v>
      </c>
      <c r="CP151">
        <f t="shared" si="164"/>
        <v>514.34</v>
      </c>
      <c r="CQ151">
        <f t="shared" si="165"/>
        <v>231.93560000000002</v>
      </c>
      <c r="CR151">
        <f t="shared" si="166"/>
        <v>3576.3052000000007</v>
      </c>
      <c r="CS151">
        <f t="shared" si="167"/>
        <v>0.67210000000000003</v>
      </c>
      <c r="CT151">
        <f t="shared" si="168"/>
        <v>6478.3719000000001</v>
      </c>
      <c r="CU151">
        <f t="shared" si="169"/>
        <v>0</v>
      </c>
      <c r="CV151">
        <f t="shared" si="170"/>
        <v>111.49249999999999</v>
      </c>
      <c r="CW151">
        <f t="shared" si="171"/>
        <v>1.2500000000000001E-2</v>
      </c>
      <c r="CX151">
        <f t="shared" si="172"/>
        <v>0</v>
      </c>
      <c r="CY151">
        <f t="shared" si="173"/>
        <v>372.54250000000002</v>
      </c>
      <c r="CZ151">
        <f t="shared" si="174"/>
        <v>230.00450000000001</v>
      </c>
      <c r="DC151" t="s">
        <v>6</v>
      </c>
      <c r="DD151" t="s">
        <v>6</v>
      </c>
      <c r="DE151" t="s">
        <v>27</v>
      </c>
      <c r="DF151" t="s">
        <v>27</v>
      </c>
      <c r="DG151" t="s">
        <v>28</v>
      </c>
      <c r="DH151" t="s">
        <v>6</v>
      </c>
      <c r="DI151" t="s">
        <v>28</v>
      </c>
      <c r="DJ151" t="s">
        <v>27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1003</v>
      </c>
      <c r="DV151" t="s">
        <v>40</v>
      </c>
      <c r="DW151" t="s">
        <v>40</v>
      </c>
      <c r="DX151">
        <v>100</v>
      </c>
      <c r="EE151">
        <v>27029050</v>
      </c>
      <c r="EF151">
        <v>2</v>
      </c>
      <c r="EG151" t="s">
        <v>18</v>
      </c>
      <c r="EH151">
        <v>0</v>
      </c>
      <c r="EI151" t="s">
        <v>6</v>
      </c>
      <c r="EJ151">
        <v>1</v>
      </c>
      <c r="EK151">
        <v>16001</v>
      </c>
      <c r="EL151" t="s">
        <v>295</v>
      </c>
      <c r="EM151" t="s">
        <v>296</v>
      </c>
      <c r="EO151" t="s">
        <v>31</v>
      </c>
      <c r="EQ151">
        <v>131072</v>
      </c>
      <c r="ER151">
        <v>1428.21</v>
      </c>
      <c r="ES151">
        <v>37.96</v>
      </c>
      <c r="ET151">
        <v>468.26</v>
      </c>
      <c r="EU151">
        <v>0.09</v>
      </c>
      <c r="EV151">
        <v>921.99</v>
      </c>
      <c r="EW151">
        <v>96.95</v>
      </c>
      <c r="EX151">
        <v>0.01</v>
      </c>
      <c r="EY151">
        <v>0</v>
      </c>
      <c r="FQ151">
        <v>0</v>
      </c>
      <c r="FR151">
        <f t="shared" si="144"/>
        <v>0</v>
      </c>
      <c r="FS151">
        <v>0</v>
      </c>
      <c r="FT151" t="s">
        <v>21</v>
      </c>
      <c r="FU151" t="s">
        <v>22</v>
      </c>
      <c r="FX151">
        <v>115.2</v>
      </c>
      <c r="FY151">
        <v>70.55</v>
      </c>
      <c r="GA151" t="s">
        <v>6</v>
      </c>
      <c r="GD151">
        <v>0</v>
      </c>
      <c r="GF151">
        <v>-93700583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45"/>
        <v>0</v>
      </c>
      <c r="GM151">
        <f t="shared" si="175"/>
        <v>1116.8800000000001</v>
      </c>
      <c r="GN151">
        <f t="shared" si="176"/>
        <v>1116.8800000000001</v>
      </c>
      <c r="GO151">
        <f t="shared" si="177"/>
        <v>0</v>
      </c>
      <c r="GP151">
        <f t="shared" si="178"/>
        <v>0</v>
      </c>
      <c r="GR151">
        <v>0</v>
      </c>
      <c r="GS151">
        <v>3</v>
      </c>
      <c r="GT151">
        <v>0</v>
      </c>
      <c r="GU151" t="s">
        <v>6</v>
      </c>
      <c r="GV151">
        <f t="shared" si="179"/>
        <v>0</v>
      </c>
      <c r="GW151">
        <v>1</v>
      </c>
      <c r="GX151">
        <f t="shared" si="180"/>
        <v>0</v>
      </c>
      <c r="HA151">
        <v>0</v>
      </c>
      <c r="HB151">
        <v>0</v>
      </c>
      <c r="HC151">
        <f t="shared" si="181"/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443</v>
      </c>
      <c r="D152" s="2"/>
      <c r="E152" s="2" t="s">
        <v>327</v>
      </c>
      <c r="F152" s="2" t="s">
        <v>328</v>
      </c>
      <c r="G152" s="2" t="s">
        <v>329</v>
      </c>
      <c r="H152" s="2" t="s">
        <v>282</v>
      </c>
      <c r="I152" s="2">
        <f>I150*J152</f>
        <v>7.15</v>
      </c>
      <c r="J152" s="2">
        <v>143</v>
      </c>
      <c r="K152" s="2"/>
      <c r="L152" s="2"/>
      <c r="M152" s="2"/>
      <c r="N152" s="2"/>
      <c r="O152" s="2">
        <f t="shared" si="146"/>
        <v>57.84</v>
      </c>
      <c r="P152" s="2">
        <f t="shared" si="147"/>
        <v>57.84</v>
      </c>
      <c r="Q152" s="2">
        <f t="shared" si="148"/>
        <v>0</v>
      </c>
      <c r="R152" s="2">
        <f t="shared" si="149"/>
        <v>0</v>
      </c>
      <c r="S152" s="2">
        <f t="shared" si="150"/>
        <v>0</v>
      </c>
      <c r="T152" s="2">
        <f t="shared" si="151"/>
        <v>0</v>
      </c>
      <c r="U152" s="2">
        <f t="shared" si="152"/>
        <v>0</v>
      </c>
      <c r="V152" s="2">
        <f t="shared" si="153"/>
        <v>0</v>
      </c>
      <c r="W152" s="2">
        <f t="shared" si="154"/>
        <v>0</v>
      </c>
      <c r="X152" s="2">
        <f t="shared" si="155"/>
        <v>0</v>
      </c>
      <c r="Y152" s="2">
        <f t="shared" si="156"/>
        <v>0</v>
      </c>
      <c r="Z152" s="2"/>
      <c r="AA152" s="2">
        <v>27935367</v>
      </c>
      <c r="AB152" s="2">
        <f t="shared" si="157"/>
        <v>8.09</v>
      </c>
      <c r="AC152" s="2">
        <f t="shared" si="158"/>
        <v>8.09</v>
      </c>
      <c r="AD152" s="2">
        <f>ROUND((((ET152)-(EU152))+AE152),2)</f>
        <v>0</v>
      </c>
      <c r="AE152" s="2">
        <f t="shared" ref="AE152:AF155" si="187">ROUND((EU152),2)</f>
        <v>0</v>
      </c>
      <c r="AF152" s="2">
        <f t="shared" si="187"/>
        <v>0</v>
      </c>
      <c r="AG152" s="2">
        <f t="shared" si="161"/>
        <v>0</v>
      </c>
      <c r="AH152" s="2">
        <f t="shared" ref="AH152:AI155" si="188">(EW152)</f>
        <v>0</v>
      </c>
      <c r="AI152" s="2">
        <f t="shared" si="188"/>
        <v>0</v>
      </c>
      <c r="AJ152" s="2">
        <f t="shared" si="163"/>
        <v>0</v>
      </c>
      <c r="AK152" s="2">
        <v>8.09</v>
      </c>
      <c r="AL152" s="2">
        <v>8.09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115</v>
      </c>
      <c r="AU152" s="2">
        <v>71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1</v>
      </c>
      <c r="BJ152" s="2" t="s">
        <v>330</v>
      </c>
      <c r="BK152" s="2"/>
      <c r="BL152" s="2"/>
      <c r="BM152" s="2">
        <v>16001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128</v>
      </c>
      <c r="CA152" s="2">
        <v>83</v>
      </c>
      <c r="CB152" s="2"/>
      <c r="CC152" s="2"/>
      <c r="CD152" s="2"/>
      <c r="CE152" s="2">
        <v>0</v>
      </c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64"/>
        <v>57.84</v>
      </c>
      <c r="CQ152" s="2">
        <f t="shared" si="165"/>
        <v>8.09</v>
      </c>
      <c r="CR152" s="2">
        <f t="shared" si="166"/>
        <v>0</v>
      </c>
      <c r="CS152" s="2">
        <f t="shared" si="167"/>
        <v>0</v>
      </c>
      <c r="CT152" s="2">
        <f t="shared" si="168"/>
        <v>0</v>
      </c>
      <c r="CU152" s="2">
        <f t="shared" si="169"/>
        <v>0</v>
      </c>
      <c r="CV152" s="2">
        <f t="shared" si="170"/>
        <v>0</v>
      </c>
      <c r="CW152" s="2">
        <f t="shared" si="171"/>
        <v>0</v>
      </c>
      <c r="CX152" s="2">
        <f t="shared" si="172"/>
        <v>0</v>
      </c>
      <c r="CY152" s="2">
        <f t="shared" si="173"/>
        <v>0</v>
      </c>
      <c r="CZ152" s="2">
        <f t="shared" si="174"/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1010</v>
      </c>
      <c r="DV152" s="2" t="s">
        <v>282</v>
      </c>
      <c r="DW152" s="2" t="s">
        <v>282</v>
      </c>
      <c r="DX152" s="2">
        <v>1</v>
      </c>
      <c r="DY152" s="2"/>
      <c r="DZ152" s="2"/>
      <c r="EA152" s="2"/>
      <c r="EB152" s="2"/>
      <c r="EC152" s="2"/>
      <c r="ED152" s="2"/>
      <c r="EE152" s="2">
        <v>27029050</v>
      </c>
      <c r="EF152" s="2">
        <v>2</v>
      </c>
      <c r="EG152" s="2" t="s">
        <v>18</v>
      </c>
      <c r="EH152" s="2">
        <v>0</v>
      </c>
      <c r="EI152" s="2" t="s">
        <v>6</v>
      </c>
      <c r="EJ152" s="2">
        <v>1</v>
      </c>
      <c r="EK152" s="2">
        <v>16001</v>
      </c>
      <c r="EL152" s="2" t="s">
        <v>295</v>
      </c>
      <c r="EM152" s="2" t="s">
        <v>296</v>
      </c>
      <c r="EN152" s="2"/>
      <c r="EO152" s="2" t="s">
        <v>6</v>
      </c>
      <c r="EP152" s="2"/>
      <c r="EQ152" s="2">
        <v>0</v>
      </c>
      <c r="ER152" s="2">
        <v>8.09</v>
      </c>
      <c r="ES152" s="2">
        <v>8.09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44"/>
        <v>0</v>
      </c>
      <c r="FS152" s="2">
        <v>0</v>
      </c>
      <c r="FT152" s="2" t="s">
        <v>21</v>
      </c>
      <c r="FU152" s="2" t="s">
        <v>22</v>
      </c>
      <c r="FV152" s="2"/>
      <c r="FW152" s="2"/>
      <c r="FX152" s="2">
        <v>115.2</v>
      </c>
      <c r="FY152" s="2">
        <v>70.55</v>
      </c>
      <c r="FZ152" s="2"/>
      <c r="GA152" s="2" t="s">
        <v>6</v>
      </c>
      <c r="GB152" s="2"/>
      <c r="GC152" s="2"/>
      <c r="GD152" s="2">
        <v>0</v>
      </c>
      <c r="GE152" s="2"/>
      <c r="GF152" s="2">
        <v>-697268462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si="145"/>
        <v>0</v>
      </c>
      <c r="GM152" s="2">
        <f t="shared" si="175"/>
        <v>57.84</v>
      </c>
      <c r="GN152" s="2">
        <f t="shared" si="176"/>
        <v>57.84</v>
      </c>
      <c r="GO152" s="2">
        <f t="shared" si="177"/>
        <v>0</v>
      </c>
      <c r="GP152" s="2">
        <f t="shared" si="178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79"/>
        <v>0</v>
      </c>
      <c r="GW152" s="2">
        <v>1</v>
      </c>
      <c r="GX152" s="2">
        <f t="shared" si="180"/>
        <v>0</v>
      </c>
      <c r="GY152" s="2"/>
      <c r="GZ152" s="2"/>
      <c r="HA152" s="2">
        <v>0</v>
      </c>
      <c r="HB152" s="2">
        <v>0</v>
      </c>
      <c r="HC152" s="2">
        <f t="shared" si="181"/>
        <v>0</v>
      </c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455</v>
      </c>
      <c r="E153" t="s">
        <v>327</v>
      </c>
      <c r="F153" t="s">
        <v>328</v>
      </c>
      <c r="G153" t="s">
        <v>329</v>
      </c>
      <c r="H153" t="s">
        <v>282</v>
      </c>
      <c r="I153">
        <f>I151*J153</f>
        <v>7.15</v>
      </c>
      <c r="J153">
        <v>143</v>
      </c>
      <c r="O153">
        <f t="shared" si="146"/>
        <v>353.42</v>
      </c>
      <c r="P153">
        <f t="shared" si="147"/>
        <v>353.42</v>
      </c>
      <c r="Q153">
        <f t="shared" si="148"/>
        <v>0</v>
      </c>
      <c r="R153">
        <f t="shared" si="149"/>
        <v>0</v>
      </c>
      <c r="S153">
        <f t="shared" si="150"/>
        <v>0</v>
      </c>
      <c r="T153">
        <f t="shared" si="151"/>
        <v>0</v>
      </c>
      <c r="U153">
        <f t="shared" si="152"/>
        <v>0</v>
      </c>
      <c r="V153">
        <f t="shared" si="153"/>
        <v>0</v>
      </c>
      <c r="W153">
        <f t="shared" si="154"/>
        <v>0</v>
      </c>
      <c r="X153">
        <f t="shared" si="155"/>
        <v>0</v>
      </c>
      <c r="Y153">
        <f t="shared" si="156"/>
        <v>0</v>
      </c>
      <c r="AA153">
        <v>27935368</v>
      </c>
      <c r="AB153">
        <f t="shared" si="157"/>
        <v>8.09</v>
      </c>
      <c r="AC153">
        <f t="shared" si="158"/>
        <v>8.09</v>
      </c>
      <c r="AD153">
        <f>ROUND((((ET153)-(EU153))+AE153),2)</f>
        <v>0</v>
      </c>
      <c r="AE153">
        <f t="shared" si="187"/>
        <v>0</v>
      </c>
      <c r="AF153">
        <f t="shared" si="187"/>
        <v>0</v>
      </c>
      <c r="AG153">
        <f t="shared" si="161"/>
        <v>0</v>
      </c>
      <c r="AH153">
        <f t="shared" si="188"/>
        <v>0</v>
      </c>
      <c r="AI153">
        <f t="shared" si="188"/>
        <v>0</v>
      </c>
      <c r="AJ153">
        <f t="shared" si="163"/>
        <v>0</v>
      </c>
      <c r="AK153">
        <v>8.09</v>
      </c>
      <c r="AL153">
        <v>8.09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115</v>
      </c>
      <c r="AU153">
        <v>71</v>
      </c>
      <c r="AV153">
        <v>1</v>
      </c>
      <c r="AW153">
        <v>1</v>
      </c>
      <c r="AZ153">
        <v>6.11</v>
      </c>
      <c r="BA153">
        <v>1</v>
      </c>
      <c r="BB153">
        <v>1</v>
      </c>
      <c r="BC153">
        <v>6.11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330</v>
      </c>
      <c r="BM153">
        <v>16001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128</v>
      </c>
      <c r="CA153">
        <v>83</v>
      </c>
      <c r="CE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64"/>
        <v>353.42</v>
      </c>
      <c r="CQ153">
        <f t="shared" si="165"/>
        <v>49.429900000000004</v>
      </c>
      <c r="CR153">
        <f t="shared" si="166"/>
        <v>0</v>
      </c>
      <c r="CS153">
        <f t="shared" si="167"/>
        <v>0</v>
      </c>
      <c r="CT153">
        <f t="shared" si="168"/>
        <v>0</v>
      </c>
      <c r="CU153">
        <f t="shared" si="169"/>
        <v>0</v>
      </c>
      <c r="CV153">
        <f t="shared" si="170"/>
        <v>0</v>
      </c>
      <c r="CW153">
        <f t="shared" si="171"/>
        <v>0</v>
      </c>
      <c r="CX153">
        <f t="shared" si="172"/>
        <v>0</v>
      </c>
      <c r="CY153">
        <f t="shared" si="173"/>
        <v>0</v>
      </c>
      <c r="CZ153">
        <f t="shared" si="174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1010</v>
      </c>
      <c r="DV153" t="s">
        <v>282</v>
      </c>
      <c r="DW153" t="s">
        <v>282</v>
      </c>
      <c r="DX153">
        <v>1</v>
      </c>
      <c r="EE153">
        <v>27029050</v>
      </c>
      <c r="EF153">
        <v>2</v>
      </c>
      <c r="EG153" t="s">
        <v>18</v>
      </c>
      <c r="EH153">
        <v>0</v>
      </c>
      <c r="EI153" t="s">
        <v>6</v>
      </c>
      <c r="EJ153">
        <v>1</v>
      </c>
      <c r="EK153">
        <v>16001</v>
      </c>
      <c r="EL153" t="s">
        <v>295</v>
      </c>
      <c r="EM153" t="s">
        <v>296</v>
      </c>
      <c r="EO153" t="s">
        <v>6</v>
      </c>
      <c r="EQ153">
        <v>0</v>
      </c>
      <c r="ER153">
        <v>8.09</v>
      </c>
      <c r="ES153">
        <v>8.09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44"/>
        <v>0</v>
      </c>
      <c r="FS153">
        <v>0</v>
      </c>
      <c r="FT153" t="s">
        <v>21</v>
      </c>
      <c r="FU153" t="s">
        <v>22</v>
      </c>
      <c r="FX153">
        <v>115.2</v>
      </c>
      <c r="FY153">
        <v>70.55</v>
      </c>
      <c r="GA153" t="s">
        <v>6</v>
      </c>
      <c r="GD153">
        <v>0</v>
      </c>
      <c r="GF153">
        <v>-697268462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45"/>
        <v>0</v>
      </c>
      <c r="GM153">
        <f t="shared" si="175"/>
        <v>353.42</v>
      </c>
      <c r="GN153">
        <f t="shared" si="176"/>
        <v>353.42</v>
      </c>
      <c r="GO153">
        <f t="shared" si="177"/>
        <v>0</v>
      </c>
      <c r="GP153">
        <f t="shared" si="178"/>
        <v>0</v>
      </c>
      <c r="GR153">
        <v>0</v>
      </c>
      <c r="GS153">
        <v>3</v>
      </c>
      <c r="GT153">
        <v>0</v>
      </c>
      <c r="GU153" t="s">
        <v>6</v>
      </c>
      <c r="GV153">
        <f t="shared" si="179"/>
        <v>0</v>
      </c>
      <c r="GW153">
        <v>1</v>
      </c>
      <c r="GX153">
        <f t="shared" si="180"/>
        <v>0</v>
      </c>
      <c r="HA153">
        <v>0</v>
      </c>
      <c r="HB153">
        <v>0</v>
      </c>
      <c r="HC153">
        <f t="shared" si="181"/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444</v>
      </c>
      <c r="D154" s="2"/>
      <c r="E154" s="2" t="s">
        <v>331</v>
      </c>
      <c r="F154" s="2" t="s">
        <v>332</v>
      </c>
      <c r="G154" s="2" t="s">
        <v>333</v>
      </c>
      <c r="H154" s="2" t="s">
        <v>45</v>
      </c>
      <c r="I154" s="2">
        <f>I150*J154</f>
        <v>5.0250000000000004</v>
      </c>
      <c r="J154" s="2">
        <v>100.5</v>
      </c>
      <c r="K154" s="2"/>
      <c r="L154" s="2"/>
      <c r="M154" s="2"/>
      <c r="N154" s="2"/>
      <c r="O154" s="2">
        <f t="shared" si="146"/>
        <v>23.12</v>
      </c>
      <c r="P154" s="2">
        <f t="shared" si="147"/>
        <v>23.12</v>
      </c>
      <c r="Q154" s="2">
        <f t="shared" si="148"/>
        <v>0</v>
      </c>
      <c r="R154" s="2">
        <f t="shared" si="149"/>
        <v>0</v>
      </c>
      <c r="S154" s="2">
        <f t="shared" si="150"/>
        <v>0</v>
      </c>
      <c r="T154" s="2">
        <f t="shared" si="151"/>
        <v>0</v>
      </c>
      <c r="U154" s="2">
        <f t="shared" si="152"/>
        <v>0</v>
      </c>
      <c r="V154" s="2">
        <f t="shared" si="153"/>
        <v>0</v>
      </c>
      <c r="W154" s="2">
        <f t="shared" si="154"/>
        <v>0</v>
      </c>
      <c r="X154" s="2">
        <f t="shared" si="155"/>
        <v>0</v>
      </c>
      <c r="Y154" s="2">
        <f t="shared" si="156"/>
        <v>0</v>
      </c>
      <c r="Z154" s="2"/>
      <c r="AA154" s="2">
        <v>27935367</v>
      </c>
      <c r="AB154" s="2">
        <f t="shared" si="157"/>
        <v>4.5999999999999996</v>
      </c>
      <c r="AC154" s="2">
        <f t="shared" si="158"/>
        <v>4.5999999999999996</v>
      </c>
      <c r="AD154" s="2">
        <f>ROUND((((ET154)-(EU154))+AE154),2)</f>
        <v>0</v>
      </c>
      <c r="AE154" s="2">
        <f t="shared" si="187"/>
        <v>0</v>
      </c>
      <c r="AF154" s="2">
        <f t="shared" si="187"/>
        <v>0</v>
      </c>
      <c r="AG154" s="2">
        <f t="shared" si="161"/>
        <v>0</v>
      </c>
      <c r="AH154" s="2">
        <f t="shared" si="188"/>
        <v>0</v>
      </c>
      <c r="AI154" s="2">
        <f t="shared" si="188"/>
        <v>0</v>
      </c>
      <c r="AJ154" s="2">
        <f t="shared" si="163"/>
        <v>0</v>
      </c>
      <c r="AK154" s="2">
        <v>4.5999999999999996</v>
      </c>
      <c r="AL154" s="2">
        <v>4.5999999999999996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115</v>
      </c>
      <c r="AU154" s="2">
        <v>71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3</v>
      </c>
      <c r="BI154" s="2">
        <v>1</v>
      </c>
      <c r="BJ154" s="2" t="s">
        <v>334</v>
      </c>
      <c r="BK154" s="2"/>
      <c r="BL154" s="2"/>
      <c r="BM154" s="2">
        <v>16001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128</v>
      </c>
      <c r="CA154" s="2">
        <v>83</v>
      </c>
      <c r="CB154" s="2"/>
      <c r="CC154" s="2"/>
      <c r="CD154" s="2"/>
      <c r="CE154" s="2">
        <v>0</v>
      </c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 t="shared" si="164"/>
        <v>23.12</v>
      </c>
      <c r="CQ154" s="2">
        <f t="shared" si="165"/>
        <v>4.5999999999999996</v>
      </c>
      <c r="CR154" s="2">
        <f t="shared" si="166"/>
        <v>0</v>
      </c>
      <c r="CS154" s="2">
        <f t="shared" si="167"/>
        <v>0</v>
      </c>
      <c r="CT154" s="2">
        <f t="shared" si="168"/>
        <v>0</v>
      </c>
      <c r="CU154" s="2">
        <f t="shared" si="169"/>
        <v>0</v>
      </c>
      <c r="CV154" s="2">
        <f t="shared" si="170"/>
        <v>0</v>
      </c>
      <c r="CW154" s="2">
        <f t="shared" si="171"/>
        <v>0</v>
      </c>
      <c r="CX154" s="2">
        <f t="shared" si="172"/>
        <v>0</v>
      </c>
      <c r="CY154" s="2">
        <f t="shared" si="173"/>
        <v>0</v>
      </c>
      <c r="CZ154" s="2">
        <f t="shared" si="174"/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1003</v>
      </c>
      <c r="DV154" s="2" t="s">
        <v>45</v>
      </c>
      <c r="DW154" s="2" t="s">
        <v>45</v>
      </c>
      <c r="DX154" s="2">
        <v>1</v>
      </c>
      <c r="DY154" s="2"/>
      <c r="DZ154" s="2"/>
      <c r="EA154" s="2"/>
      <c r="EB154" s="2"/>
      <c r="EC154" s="2"/>
      <c r="ED154" s="2"/>
      <c r="EE154" s="2">
        <v>27029050</v>
      </c>
      <c r="EF154" s="2">
        <v>2</v>
      </c>
      <c r="EG154" s="2" t="s">
        <v>18</v>
      </c>
      <c r="EH154" s="2">
        <v>0</v>
      </c>
      <c r="EI154" s="2" t="s">
        <v>6</v>
      </c>
      <c r="EJ154" s="2">
        <v>1</v>
      </c>
      <c r="EK154" s="2">
        <v>16001</v>
      </c>
      <c r="EL154" s="2" t="s">
        <v>295</v>
      </c>
      <c r="EM154" s="2" t="s">
        <v>296</v>
      </c>
      <c r="EN154" s="2"/>
      <c r="EO154" s="2" t="s">
        <v>6</v>
      </c>
      <c r="EP154" s="2"/>
      <c r="EQ154" s="2">
        <v>0</v>
      </c>
      <c r="ER154" s="2">
        <v>4.5999999999999996</v>
      </c>
      <c r="ES154" s="2">
        <v>4.5999999999999996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44"/>
        <v>0</v>
      </c>
      <c r="FS154" s="2">
        <v>0</v>
      </c>
      <c r="FT154" s="2" t="s">
        <v>21</v>
      </c>
      <c r="FU154" s="2" t="s">
        <v>22</v>
      </c>
      <c r="FV154" s="2"/>
      <c r="FW154" s="2"/>
      <c r="FX154" s="2">
        <v>115.2</v>
      </c>
      <c r="FY154" s="2">
        <v>70.55</v>
      </c>
      <c r="FZ154" s="2"/>
      <c r="GA154" s="2" t="s">
        <v>6</v>
      </c>
      <c r="GB154" s="2"/>
      <c r="GC154" s="2"/>
      <c r="GD154" s="2">
        <v>0</v>
      </c>
      <c r="GE154" s="2"/>
      <c r="GF154" s="2">
        <v>-2002545417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45"/>
        <v>0</v>
      </c>
      <c r="GM154" s="2">
        <f t="shared" si="175"/>
        <v>23.12</v>
      </c>
      <c r="GN154" s="2">
        <f t="shared" si="176"/>
        <v>23.12</v>
      </c>
      <c r="GO154" s="2">
        <f t="shared" si="177"/>
        <v>0</v>
      </c>
      <c r="GP154" s="2">
        <f t="shared" si="178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79"/>
        <v>0</v>
      </c>
      <c r="GW154" s="2">
        <v>1</v>
      </c>
      <c r="GX154" s="2">
        <f t="shared" si="180"/>
        <v>0</v>
      </c>
      <c r="GY154" s="2"/>
      <c r="GZ154" s="2"/>
      <c r="HA154" s="2">
        <v>0</v>
      </c>
      <c r="HB154" s="2">
        <v>0</v>
      </c>
      <c r="HC154" s="2">
        <f t="shared" si="181"/>
        <v>0</v>
      </c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456</v>
      </c>
      <c r="E155" t="s">
        <v>331</v>
      </c>
      <c r="F155" t="s">
        <v>332</v>
      </c>
      <c r="G155" t="s">
        <v>333</v>
      </c>
      <c r="H155" t="s">
        <v>45</v>
      </c>
      <c r="I155">
        <f>I151*J155</f>
        <v>5.0250000000000004</v>
      </c>
      <c r="J155">
        <v>100.5</v>
      </c>
      <c r="O155">
        <f t="shared" si="146"/>
        <v>141.22999999999999</v>
      </c>
      <c r="P155">
        <f t="shared" si="147"/>
        <v>141.22999999999999</v>
      </c>
      <c r="Q155">
        <f t="shared" si="148"/>
        <v>0</v>
      </c>
      <c r="R155">
        <f t="shared" si="149"/>
        <v>0</v>
      </c>
      <c r="S155">
        <f t="shared" si="150"/>
        <v>0</v>
      </c>
      <c r="T155">
        <f t="shared" si="151"/>
        <v>0</v>
      </c>
      <c r="U155">
        <f t="shared" si="152"/>
        <v>0</v>
      </c>
      <c r="V155">
        <f t="shared" si="153"/>
        <v>0</v>
      </c>
      <c r="W155">
        <f t="shared" si="154"/>
        <v>0</v>
      </c>
      <c r="X155">
        <f t="shared" si="155"/>
        <v>0</v>
      </c>
      <c r="Y155">
        <f t="shared" si="156"/>
        <v>0</v>
      </c>
      <c r="AA155">
        <v>27935368</v>
      </c>
      <c r="AB155">
        <f t="shared" si="157"/>
        <v>4.5999999999999996</v>
      </c>
      <c r="AC155">
        <f t="shared" si="158"/>
        <v>4.5999999999999996</v>
      </c>
      <c r="AD155">
        <f>ROUND((((ET155)-(EU155))+AE155),2)</f>
        <v>0</v>
      </c>
      <c r="AE155">
        <f t="shared" si="187"/>
        <v>0</v>
      </c>
      <c r="AF155">
        <f t="shared" si="187"/>
        <v>0</v>
      </c>
      <c r="AG155">
        <f t="shared" si="161"/>
        <v>0</v>
      </c>
      <c r="AH155">
        <f t="shared" si="188"/>
        <v>0</v>
      </c>
      <c r="AI155">
        <f t="shared" si="188"/>
        <v>0</v>
      </c>
      <c r="AJ155">
        <f t="shared" si="163"/>
        <v>0</v>
      </c>
      <c r="AK155">
        <v>4.5999999999999996</v>
      </c>
      <c r="AL155">
        <v>4.5999999999999996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115</v>
      </c>
      <c r="AU155">
        <v>71</v>
      </c>
      <c r="AV155">
        <v>1</v>
      </c>
      <c r="AW155">
        <v>1</v>
      </c>
      <c r="AZ155">
        <v>6.11</v>
      </c>
      <c r="BA155">
        <v>1</v>
      </c>
      <c r="BB155">
        <v>1</v>
      </c>
      <c r="BC155">
        <v>6.11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334</v>
      </c>
      <c r="BM155">
        <v>16001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128</v>
      </c>
      <c r="CA155">
        <v>83</v>
      </c>
      <c r="CE155">
        <v>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64"/>
        <v>141.22999999999999</v>
      </c>
      <c r="CQ155">
        <f t="shared" si="165"/>
        <v>28.105999999999998</v>
      </c>
      <c r="CR155">
        <f t="shared" si="166"/>
        <v>0</v>
      </c>
      <c r="CS155">
        <f t="shared" si="167"/>
        <v>0</v>
      </c>
      <c r="CT155">
        <f t="shared" si="168"/>
        <v>0</v>
      </c>
      <c r="CU155">
        <f t="shared" si="169"/>
        <v>0</v>
      </c>
      <c r="CV155">
        <f t="shared" si="170"/>
        <v>0</v>
      </c>
      <c r="CW155">
        <f t="shared" si="171"/>
        <v>0</v>
      </c>
      <c r="CX155">
        <f t="shared" si="172"/>
        <v>0</v>
      </c>
      <c r="CY155">
        <f t="shared" si="173"/>
        <v>0</v>
      </c>
      <c r="CZ155">
        <f t="shared" si="174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1003</v>
      </c>
      <c r="DV155" t="s">
        <v>45</v>
      </c>
      <c r="DW155" t="s">
        <v>45</v>
      </c>
      <c r="DX155">
        <v>1</v>
      </c>
      <c r="EE155">
        <v>27029050</v>
      </c>
      <c r="EF155">
        <v>2</v>
      </c>
      <c r="EG155" t="s">
        <v>18</v>
      </c>
      <c r="EH155">
        <v>0</v>
      </c>
      <c r="EI155" t="s">
        <v>6</v>
      </c>
      <c r="EJ155">
        <v>1</v>
      </c>
      <c r="EK155">
        <v>16001</v>
      </c>
      <c r="EL155" t="s">
        <v>295</v>
      </c>
      <c r="EM155" t="s">
        <v>296</v>
      </c>
      <c r="EO155" t="s">
        <v>6</v>
      </c>
      <c r="EQ155">
        <v>0</v>
      </c>
      <c r="ER155">
        <v>4.5999999999999996</v>
      </c>
      <c r="ES155">
        <v>4.5999999999999996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44"/>
        <v>0</v>
      </c>
      <c r="FS155">
        <v>0</v>
      </c>
      <c r="FT155" t="s">
        <v>21</v>
      </c>
      <c r="FU155" t="s">
        <v>22</v>
      </c>
      <c r="FX155">
        <v>115.2</v>
      </c>
      <c r="FY155">
        <v>70.55</v>
      </c>
      <c r="GA155" t="s">
        <v>6</v>
      </c>
      <c r="GD155">
        <v>0</v>
      </c>
      <c r="GF155">
        <v>-2002545417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45"/>
        <v>0</v>
      </c>
      <c r="GM155">
        <f t="shared" si="175"/>
        <v>141.22999999999999</v>
      </c>
      <c r="GN155">
        <f t="shared" si="176"/>
        <v>141.22999999999999</v>
      </c>
      <c r="GO155">
        <f t="shared" si="177"/>
        <v>0</v>
      </c>
      <c r="GP155">
        <f t="shared" si="178"/>
        <v>0</v>
      </c>
      <c r="GR155">
        <v>0</v>
      </c>
      <c r="GS155">
        <v>3</v>
      </c>
      <c r="GT155">
        <v>0</v>
      </c>
      <c r="GU155" t="s">
        <v>6</v>
      </c>
      <c r="GV155">
        <f t="shared" si="179"/>
        <v>0</v>
      </c>
      <c r="GW155">
        <v>1</v>
      </c>
      <c r="GX155">
        <f t="shared" si="180"/>
        <v>0</v>
      </c>
      <c r="HA155">
        <v>0</v>
      </c>
      <c r="HB155">
        <v>0</v>
      </c>
      <c r="HC155">
        <f t="shared" si="181"/>
        <v>0</v>
      </c>
      <c r="IK155">
        <v>0</v>
      </c>
    </row>
    <row r="157" spans="1:255" x14ac:dyDescent="0.2">
      <c r="A157" s="3">
        <v>51</v>
      </c>
      <c r="B157" s="3">
        <f>B20</f>
        <v>1</v>
      </c>
      <c r="C157" s="3">
        <f>A20</f>
        <v>3</v>
      </c>
      <c r="D157" s="3">
        <f>ROW(A20)</f>
        <v>20</v>
      </c>
      <c r="E157" s="3"/>
      <c r="F157" s="3" t="str">
        <f>IF(F20&lt;&gt;"",F20,"")</f>
        <v>Новая локальная смета</v>
      </c>
      <c r="G157" s="3" t="str">
        <f>IF(G20&lt;&gt;"",G20,"")</f>
        <v>Новая локальная смета</v>
      </c>
      <c r="H157" s="3">
        <v>0</v>
      </c>
      <c r="I157" s="3"/>
      <c r="J157" s="3"/>
      <c r="K157" s="3"/>
      <c r="L157" s="3"/>
      <c r="M157" s="3"/>
      <c r="N157" s="3"/>
      <c r="O157" s="3">
        <f t="shared" ref="O157:T157" si="189">ROUND(AB157,2)</f>
        <v>46633.78</v>
      </c>
      <c r="P157" s="3">
        <f t="shared" si="189"/>
        <v>42996.03</v>
      </c>
      <c r="Q157" s="3">
        <f t="shared" si="189"/>
        <v>198.87</v>
      </c>
      <c r="R157" s="3">
        <f t="shared" si="189"/>
        <v>53.22</v>
      </c>
      <c r="S157" s="3">
        <f t="shared" si="189"/>
        <v>3438.88</v>
      </c>
      <c r="T157" s="3">
        <f t="shared" si="189"/>
        <v>0</v>
      </c>
      <c r="U157" s="3">
        <f>AH157</f>
        <v>393.16231420000003</v>
      </c>
      <c r="V157" s="3">
        <f>AI157</f>
        <v>4.4030685000000007</v>
      </c>
      <c r="W157" s="3">
        <f>ROUND(AJ157,2)</f>
        <v>0</v>
      </c>
      <c r="X157" s="3">
        <f>ROUND(AK157,2)</f>
        <v>3507.31</v>
      </c>
      <c r="Y157" s="3">
        <f>ROUND(AL157,2)</f>
        <v>2093.2399999999998</v>
      </c>
      <c r="Z157" s="3"/>
      <c r="AA157" s="3"/>
      <c r="AB157" s="3">
        <f>ROUND(SUMIF(AA24:AA155,"=27935367",O24:O155),2)</f>
        <v>46633.78</v>
      </c>
      <c r="AC157" s="3">
        <f>ROUND(SUMIF(AA24:AA155,"=27935367",P24:P155),2)</f>
        <v>42996.03</v>
      </c>
      <c r="AD157" s="3">
        <f>ROUND(SUMIF(AA24:AA155,"=27935367",Q24:Q155),2)</f>
        <v>198.87</v>
      </c>
      <c r="AE157" s="3">
        <f>ROUND(SUMIF(AA24:AA155,"=27935367",R24:R155),2)</f>
        <v>53.22</v>
      </c>
      <c r="AF157" s="3">
        <f>ROUND(SUMIF(AA24:AA155,"=27935367",S24:S155),2)</f>
        <v>3438.88</v>
      </c>
      <c r="AG157" s="3">
        <f>ROUND(SUMIF(AA24:AA155,"=27935367",T24:T155),2)</f>
        <v>0</v>
      </c>
      <c r="AH157" s="3">
        <f>SUMIF(AA24:AA155,"=27935367",U24:U155)</f>
        <v>393.16231420000003</v>
      </c>
      <c r="AI157" s="3">
        <f>SUMIF(AA24:AA155,"=27935367",V24:V155)</f>
        <v>4.4030685000000007</v>
      </c>
      <c r="AJ157" s="3">
        <f>ROUND(SUMIF(AA24:AA155,"=27935367",W24:W155),2)</f>
        <v>0</v>
      </c>
      <c r="AK157" s="3">
        <f>ROUND(SUMIF(AA24:AA155,"=27935367",X24:X155),2)</f>
        <v>3507.31</v>
      </c>
      <c r="AL157" s="3">
        <f>ROUND(SUMIF(AA24:AA155,"=27935367",Y24:Y155),2)</f>
        <v>2093.2399999999998</v>
      </c>
      <c r="AM157" s="3"/>
      <c r="AN157" s="3"/>
      <c r="AO157" s="3">
        <f t="shared" ref="AO157:BC157" si="190">ROUND(BX157,2)</f>
        <v>0</v>
      </c>
      <c r="AP157" s="3">
        <f t="shared" si="190"/>
        <v>0</v>
      </c>
      <c r="AQ157" s="3">
        <f t="shared" si="190"/>
        <v>0</v>
      </c>
      <c r="AR157" s="3">
        <f t="shared" si="190"/>
        <v>52474.97</v>
      </c>
      <c r="AS157" s="3">
        <f t="shared" si="190"/>
        <v>51275.69</v>
      </c>
      <c r="AT157" s="3">
        <f t="shared" si="190"/>
        <v>1199.28</v>
      </c>
      <c r="AU157" s="3">
        <f t="shared" si="190"/>
        <v>0</v>
      </c>
      <c r="AV157" s="3">
        <f t="shared" si="190"/>
        <v>42996.03</v>
      </c>
      <c r="AW157" s="3">
        <f t="shared" si="190"/>
        <v>42996.03</v>
      </c>
      <c r="AX157" s="3">
        <f t="shared" si="190"/>
        <v>0</v>
      </c>
      <c r="AY157" s="3">
        <f t="shared" si="190"/>
        <v>42996.03</v>
      </c>
      <c r="AZ157" s="3">
        <f t="shared" si="190"/>
        <v>0</v>
      </c>
      <c r="BA157" s="3">
        <f t="shared" si="190"/>
        <v>0</v>
      </c>
      <c r="BB157" s="3">
        <f t="shared" si="190"/>
        <v>0</v>
      </c>
      <c r="BC157" s="3">
        <f t="shared" si="190"/>
        <v>0</v>
      </c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>
        <f>ROUND(SUMIF(AA24:AA155,"=27935367",FQ24:FQ155),2)</f>
        <v>0</v>
      </c>
      <c r="BY157" s="3">
        <f>ROUND(SUMIF(AA24:AA155,"=27935367",FR24:FR155),2)</f>
        <v>0</v>
      </c>
      <c r="BZ157" s="3">
        <f>ROUND(SUMIF(AA24:AA155,"=27935367",GL24:GL155),2)</f>
        <v>0</v>
      </c>
      <c r="CA157" s="3">
        <f>ROUND(SUMIF(AA24:AA155,"=27935367",GM24:GM155),2)</f>
        <v>52474.97</v>
      </c>
      <c r="CB157" s="3">
        <f>ROUND(SUMIF(AA24:AA155,"=27935367",GN24:GN155),2)</f>
        <v>51275.69</v>
      </c>
      <c r="CC157" s="3">
        <f>ROUND(SUMIF(AA24:AA155,"=27935367",GO24:GO155),2)</f>
        <v>1199.28</v>
      </c>
      <c r="CD157" s="3">
        <f>ROUND(SUMIF(AA24:AA155,"=27935367",GP24:GP155),2)</f>
        <v>0</v>
      </c>
      <c r="CE157" s="3">
        <f>AC157-BX157</f>
        <v>42996.03</v>
      </c>
      <c r="CF157" s="3">
        <f>AC157-BY157</f>
        <v>42996.03</v>
      </c>
      <c r="CG157" s="3">
        <f>BX157-BZ157</f>
        <v>0</v>
      </c>
      <c r="CH157" s="3">
        <f>AC157-BX157-BY157+BZ157</f>
        <v>42996.03</v>
      </c>
      <c r="CI157" s="3">
        <f>BY157-BZ157</f>
        <v>0</v>
      </c>
      <c r="CJ157" s="3">
        <f>ROUND(SUMIF(AA24:AA155,"=27935367",GX24:GX155),2)</f>
        <v>0</v>
      </c>
      <c r="CK157" s="3">
        <f>ROUND(SUMIF(AA24:AA155,"=27935367",GY24:GY155),2)</f>
        <v>0</v>
      </c>
      <c r="CL157" s="3">
        <f>ROUND(SUMIF(AA24:AA155,"=27935367",GZ24:GZ155),2)</f>
        <v>0</v>
      </c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4">
        <f t="shared" ref="DG157:DL157" si="191">ROUND(DT157,2)</f>
        <v>284932.42</v>
      </c>
      <c r="DH157" s="4">
        <f t="shared" si="191"/>
        <v>262705.62</v>
      </c>
      <c r="DI157" s="4">
        <f t="shared" si="191"/>
        <v>1215.1600000000001</v>
      </c>
      <c r="DJ157" s="4">
        <f t="shared" si="191"/>
        <v>325.06</v>
      </c>
      <c r="DK157" s="4">
        <f t="shared" si="191"/>
        <v>21011.64</v>
      </c>
      <c r="DL157" s="4">
        <f t="shared" si="191"/>
        <v>0</v>
      </c>
      <c r="DM157" s="4">
        <f>DZ157</f>
        <v>393.16231420000003</v>
      </c>
      <c r="DN157" s="4">
        <f>EA157</f>
        <v>4.4030685000000007</v>
      </c>
      <c r="DO157" s="4">
        <f>ROUND(EB157,2)</f>
        <v>0</v>
      </c>
      <c r="DP157" s="4">
        <f>ROUND(EC157,2)</f>
        <v>21429.8</v>
      </c>
      <c r="DQ157" s="4">
        <f>ROUND(ED157,2)</f>
        <v>12789.67</v>
      </c>
      <c r="DR157" s="4"/>
      <c r="DS157" s="4"/>
      <c r="DT157" s="4">
        <f>ROUND(SUMIF(AA24:AA155,"=27935368",O24:O155),2)</f>
        <v>284932.42</v>
      </c>
      <c r="DU157" s="4">
        <f>ROUND(SUMIF(AA24:AA155,"=27935368",P24:P155),2)</f>
        <v>262705.62</v>
      </c>
      <c r="DV157" s="4">
        <f>ROUND(SUMIF(AA24:AA155,"=27935368",Q24:Q155),2)</f>
        <v>1215.1600000000001</v>
      </c>
      <c r="DW157" s="4">
        <f>ROUND(SUMIF(AA24:AA155,"=27935368",R24:R155),2)</f>
        <v>325.06</v>
      </c>
      <c r="DX157" s="4">
        <f>ROUND(SUMIF(AA24:AA155,"=27935368",S24:S155),2)</f>
        <v>21011.64</v>
      </c>
      <c r="DY157" s="4">
        <f>ROUND(SUMIF(AA24:AA155,"=27935368",T24:T155),2)</f>
        <v>0</v>
      </c>
      <c r="DZ157" s="4">
        <f>SUMIF(AA24:AA155,"=27935368",U24:U155)</f>
        <v>393.16231420000003</v>
      </c>
      <c r="EA157" s="4">
        <f>SUMIF(AA24:AA155,"=27935368",V24:V155)</f>
        <v>4.4030685000000007</v>
      </c>
      <c r="EB157" s="4">
        <f>ROUND(SUMIF(AA24:AA155,"=27935368",W24:W155),2)</f>
        <v>0</v>
      </c>
      <c r="EC157" s="4">
        <f>ROUND(SUMIF(AA24:AA155,"=27935368",X24:X155),2)</f>
        <v>21429.8</v>
      </c>
      <c r="ED157" s="4">
        <f>ROUND(SUMIF(AA24:AA155,"=27935368",Y24:Y155),2)</f>
        <v>12789.67</v>
      </c>
      <c r="EE157" s="4"/>
      <c r="EF157" s="4"/>
      <c r="EG157" s="4">
        <f t="shared" ref="EG157:EU157" si="192">ROUND(FP157,2)</f>
        <v>0</v>
      </c>
      <c r="EH157" s="4">
        <f t="shared" si="192"/>
        <v>0</v>
      </c>
      <c r="EI157" s="4">
        <f t="shared" si="192"/>
        <v>0</v>
      </c>
      <c r="EJ157" s="4">
        <f t="shared" si="192"/>
        <v>320622.19</v>
      </c>
      <c r="EK157" s="4">
        <f t="shared" si="192"/>
        <v>313294.59000000003</v>
      </c>
      <c r="EL157" s="4">
        <f t="shared" si="192"/>
        <v>7327.6</v>
      </c>
      <c r="EM157" s="4">
        <f t="shared" si="192"/>
        <v>0</v>
      </c>
      <c r="EN157" s="4">
        <f t="shared" si="192"/>
        <v>262705.62</v>
      </c>
      <c r="EO157" s="4">
        <f t="shared" si="192"/>
        <v>262705.62</v>
      </c>
      <c r="EP157" s="4">
        <f t="shared" si="192"/>
        <v>0</v>
      </c>
      <c r="EQ157" s="4">
        <f t="shared" si="192"/>
        <v>262705.62</v>
      </c>
      <c r="ER157" s="4">
        <f t="shared" si="192"/>
        <v>0</v>
      </c>
      <c r="ES157" s="4">
        <f t="shared" si="192"/>
        <v>0</v>
      </c>
      <c r="ET157" s="4">
        <f t="shared" si="192"/>
        <v>0</v>
      </c>
      <c r="EU157" s="4">
        <f t="shared" si="192"/>
        <v>0</v>
      </c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>
        <f>ROUND(SUMIF(AA24:AA155,"=27935368",FQ24:FQ155),2)</f>
        <v>0</v>
      </c>
      <c r="FQ157" s="4">
        <f>ROUND(SUMIF(AA24:AA155,"=27935368",FR24:FR155),2)</f>
        <v>0</v>
      </c>
      <c r="FR157" s="4">
        <f>ROUND(SUMIF(AA24:AA155,"=27935368",GL24:GL155),2)</f>
        <v>0</v>
      </c>
      <c r="FS157" s="4">
        <f>ROUND(SUMIF(AA24:AA155,"=27935368",GM24:GM155),2)</f>
        <v>320622.19</v>
      </c>
      <c r="FT157" s="4">
        <f>ROUND(SUMIF(AA24:AA155,"=27935368",GN24:GN155),2)</f>
        <v>313294.59000000003</v>
      </c>
      <c r="FU157" s="4">
        <f>ROUND(SUMIF(AA24:AA155,"=27935368",GO24:GO155),2)</f>
        <v>7327.6</v>
      </c>
      <c r="FV157" s="4">
        <f>ROUND(SUMIF(AA24:AA155,"=27935368",GP24:GP155),2)</f>
        <v>0</v>
      </c>
      <c r="FW157" s="4">
        <f>DU157-FP157</f>
        <v>262705.62</v>
      </c>
      <c r="FX157" s="4">
        <f>DU157-FQ157</f>
        <v>262705.62</v>
      </c>
      <c r="FY157" s="4">
        <f>FP157-FR157</f>
        <v>0</v>
      </c>
      <c r="FZ157" s="4">
        <f>DU157-FP157-FQ157+FR157</f>
        <v>262705.62</v>
      </c>
      <c r="GA157" s="4">
        <f>FQ157-FR157</f>
        <v>0</v>
      </c>
      <c r="GB157" s="4">
        <f>ROUND(SUMIF(AA24:AA155,"=27935368",GX24:GX155),2)</f>
        <v>0</v>
      </c>
      <c r="GC157" s="4">
        <f>ROUND(SUMIF(AA24:AA155,"=27935368",GY24:GY155),2)</f>
        <v>0</v>
      </c>
      <c r="GD157" s="4">
        <f>ROUND(SUMIF(AA24:AA155,"=27935368",GZ24:GZ155),2)</f>
        <v>0</v>
      </c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>
        <v>0</v>
      </c>
    </row>
    <row r="159" spans="1:255" x14ac:dyDescent="0.2">
      <c r="A159" s="5">
        <v>50</v>
      </c>
      <c r="B159" s="5">
        <v>0</v>
      </c>
      <c r="C159" s="5">
        <v>0</v>
      </c>
      <c r="D159" s="5">
        <v>1</v>
      </c>
      <c r="E159" s="5">
        <v>201</v>
      </c>
      <c r="F159" s="5">
        <f>ROUND(Source!O157,O159)</f>
        <v>46633.78</v>
      </c>
      <c r="G159" s="5" t="s">
        <v>335</v>
      </c>
      <c r="H159" s="5" t="s">
        <v>336</v>
      </c>
      <c r="I159" s="5"/>
      <c r="J159" s="5"/>
      <c r="K159" s="5">
        <v>201</v>
      </c>
      <c r="L159" s="5">
        <v>1</v>
      </c>
      <c r="M159" s="5">
        <v>3</v>
      </c>
      <c r="N159" s="5" t="s">
        <v>6</v>
      </c>
      <c r="O159" s="5">
        <v>2</v>
      </c>
      <c r="P159" s="5">
        <f>ROUND(Source!DG157,O159)</f>
        <v>284932.42</v>
      </c>
      <c r="Q159" s="5"/>
      <c r="R159" s="5"/>
      <c r="S159" s="5"/>
      <c r="T159" s="5"/>
      <c r="U159" s="5"/>
      <c r="V159" s="5"/>
      <c r="W159" s="5"/>
    </row>
    <row r="160" spans="1:255" x14ac:dyDescent="0.2">
      <c r="A160" s="5">
        <v>50</v>
      </c>
      <c r="B160" s="5">
        <v>0</v>
      </c>
      <c r="C160" s="5">
        <v>0</v>
      </c>
      <c r="D160" s="5">
        <v>1</v>
      </c>
      <c r="E160" s="5">
        <v>202</v>
      </c>
      <c r="F160" s="5">
        <f>ROUND(Source!P157,O160)</f>
        <v>42996.03</v>
      </c>
      <c r="G160" s="5" t="s">
        <v>337</v>
      </c>
      <c r="H160" s="5" t="s">
        <v>338</v>
      </c>
      <c r="I160" s="5"/>
      <c r="J160" s="5"/>
      <c r="K160" s="5">
        <v>202</v>
      </c>
      <c r="L160" s="5">
        <v>2</v>
      </c>
      <c r="M160" s="5">
        <v>3</v>
      </c>
      <c r="N160" s="5" t="s">
        <v>6</v>
      </c>
      <c r="O160" s="5">
        <v>2</v>
      </c>
      <c r="P160" s="5">
        <f>ROUND(Source!DH157,O160)</f>
        <v>262705.62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222</v>
      </c>
      <c r="F161" s="5">
        <f>ROUND(Source!AO157,O161)</f>
        <v>0</v>
      </c>
      <c r="G161" s="5" t="s">
        <v>339</v>
      </c>
      <c r="H161" s="5" t="s">
        <v>340</v>
      </c>
      <c r="I161" s="5"/>
      <c r="J161" s="5"/>
      <c r="K161" s="5">
        <v>222</v>
      </c>
      <c r="L161" s="5">
        <v>3</v>
      </c>
      <c r="M161" s="5">
        <v>3</v>
      </c>
      <c r="N161" s="5" t="s">
        <v>6</v>
      </c>
      <c r="O161" s="5">
        <v>2</v>
      </c>
      <c r="P161" s="5">
        <f>ROUND(Source!EG157,O161)</f>
        <v>0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225</v>
      </c>
      <c r="F162" s="5">
        <f>ROUND(Source!AV157,O162)</f>
        <v>42996.03</v>
      </c>
      <c r="G162" s="5" t="s">
        <v>341</v>
      </c>
      <c r="H162" s="5" t="s">
        <v>342</v>
      </c>
      <c r="I162" s="5"/>
      <c r="J162" s="5"/>
      <c r="K162" s="5">
        <v>225</v>
      </c>
      <c r="L162" s="5">
        <v>4</v>
      </c>
      <c r="M162" s="5">
        <v>3</v>
      </c>
      <c r="N162" s="5" t="s">
        <v>6</v>
      </c>
      <c r="O162" s="5">
        <v>2</v>
      </c>
      <c r="P162" s="5">
        <f>ROUND(Source!EN157,O162)</f>
        <v>262705.62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226</v>
      </c>
      <c r="F163" s="5">
        <f>ROUND(Source!AW157,O163)</f>
        <v>42996.03</v>
      </c>
      <c r="G163" s="5" t="s">
        <v>343</v>
      </c>
      <c r="H163" s="5" t="s">
        <v>344</v>
      </c>
      <c r="I163" s="5"/>
      <c r="J163" s="5"/>
      <c r="K163" s="5">
        <v>226</v>
      </c>
      <c r="L163" s="5">
        <v>5</v>
      </c>
      <c r="M163" s="5">
        <v>3</v>
      </c>
      <c r="N163" s="5" t="s">
        <v>6</v>
      </c>
      <c r="O163" s="5">
        <v>2</v>
      </c>
      <c r="P163" s="5">
        <f>ROUND(Source!EO157,O163)</f>
        <v>262705.62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227</v>
      </c>
      <c r="F164" s="5">
        <f>ROUND(Source!AX157,O164)</f>
        <v>0</v>
      </c>
      <c r="G164" s="5" t="s">
        <v>345</v>
      </c>
      <c r="H164" s="5" t="s">
        <v>346</v>
      </c>
      <c r="I164" s="5"/>
      <c r="J164" s="5"/>
      <c r="K164" s="5">
        <v>227</v>
      </c>
      <c r="L164" s="5">
        <v>6</v>
      </c>
      <c r="M164" s="5">
        <v>3</v>
      </c>
      <c r="N164" s="5" t="s">
        <v>6</v>
      </c>
      <c r="O164" s="5">
        <v>2</v>
      </c>
      <c r="P164" s="5">
        <f>ROUND(Source!EP157,O164)</f>
        <v>0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228</v>
      </c>
      <c r="F165" s="5">
        <f>ROUND(Source!AY157,O165)</f>
        <v>42996.03</v>
      </c>
      <c r="G165" s="5" t="s">
        <v>347</v>
      </c>
      <c r="H165" s="5" t="s">
        <v>348</v>
      </c>
      <c r="I165" s="5"/>
      <c r="J165" s="5"/>
      <c r="K165" s="5">
        <v>228</v>
      </c>
      <c r="L165" s="5">
        <v>7</v>
      </c>
      <c r="M165" s="5">
        <v>3</v>
      </c>
      <c r="N165" s="5" t="s">
        <v>6</v>
      </c>
      <c r="O165" s="5">
        <v>2</v>
      </c>
      <c r="P165" s="5">
        <f>ROUND(Source!EQ157,O165)</f>
        <v>262705.62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216</v>
      </c>
      <c r="F166" s="5">
        <f>ROUND(Source!AP157,O166)</f>
        <v>0</v>
      </c>
      <c r="G166" s="5" t="s">
        <v>349</v>
      </c>
      <c r="H166" s="5" t="s">
        <v>350</v>
      </c>
      <c r="I166" s="5"/>
      <c r="J166" s="5"/>
      <c r="K166" s="5">
        <v>216</v>
      </c>
      <c r="L166" s="5">
        <v>8</v>
      </c>
      <c r="M166" s="5">
        <v>3</v>
      </c>
      <c r="N166" s="5" t="s">
        <v>6</v>
      </c>
      <c r="O166" s="5">
        <v>2</v>
      </c>
      <c r="P166" s="5">
        <f>ROUND(Source!EH157,O166)</f>
        <v>0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223</v>
      </c>
      <c r="F167" s="5">
        <f>ROUND(Source!AQ157,O167)</f>
        <v>0</v>
      </c>
      <c r="G167" s="5" t="s">
        <v>351</v>
      </c>
      <c r="H167" s="5" t="s">
        <v>352</v>
      </c>
      <c r="I167" s="5"/>
      <c r="J167" s="5"/>
      <c r="K167" s="5">
        <v>223</v>
      </c>
      <c r="L167" s="5">
        <v>9</v>
      </c>
      <c r="M167" s="5">
        <v>3</v>
      </c>
      <c r="N167" s="5" t="s">
        <v>6</v>
      </c>
      <c r="O167" s="5">
        <v>2</v>
      </c>
      <c r="P167" s="5">
        <f>ROUND(Source!EI157,O167)</f>
        <v>0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229</v>
      </c>
      <c r="F168" s="5">
        <f>ROUND(Source!AZ157,O168)</f>
        <v>0</v>
      </c>
      <c r="G168" s="5" t="s">
        <v>353</v>
      </c>
      <c r="H168" s="5" t="s">
        <v>354</v>
      </c>
      <c r="I168" s="5"/>
      <c r="J168" s="5"/>
      <c r="K168" s="5">
        <v>229</v>
      </c>
      <c r="L168" s="5">
        <v>10</v>
      </c>
      <c r="M168" s="5">
        <v>3</v>
      </c>
      <c r="N168" s="5" t="s">
        <v>6</v>
      </c>
      <c r="O168" s="5">
        <v>2</v>
      </c>
      <c r="P168" s="5">
        <f>ROUND(Source!ER157,O168)</f>
        <v>0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203</v>
      </c>
      <c r="F169" s="5">
        <f>ROUND(Source!Q157,O169)</f>
        <v>198.87</v>
      </c>
      <c r="G169" s="5" t="s">
        <v>355</v>
      </c>
      <c r="H169" s="5" t="s">
        <v>356</v>
      </c>
      <c r="I169" s="5"/>
      <c r="J169" s="5"/>
      <c r="K169" s="5">
        <v>203</v>
      </c>
      <c r="L169" s="5">
        <v>11</v>
      </c>
      <c r="M169" s="5">
        <v>3</v>
      </c>
      <c r="N169" s="5" t="s">
        <v>6</v>
      </c>
      <c r="O169" s="5">
        <v>2</v>
      </c>
      <c r="P169" s="5">
        <f>ROUND(Source!DI157,O169)</f>
        <v>1215.1600000000001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231</v>
      </c>
      <c r="F170" s="5">
        <f>ROUND(Source!BB157,O170)</f>
        <v>0</v>
      </c>
      <c r="G170" s="5" t="s">
        <v>357</v>
      </c>
      <c r="H170" s="5" t="s">
        <v>358</v>
      </c>
      <c r="I170" s="5"/>
      <c r="J170" s="5"/>
      <c r="K170" s="5">
        <v>231</v>
      </c>
      <c r="L170" s="5">
        <v>12</v>
      </c>
      <c r="M170" s="5">
        <v>3</v>
      </c>
      <c r="N170" s="5" t="s">
        <v>6</v>
      </c>
      <c r="O170" s="5">
        <v>2</v>
      </c>
      <c r="P170" s="5">
        <f>ROUND(Source!ET157,O170)</f>
        <v>0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204</v>
      </c>
      <c r="F171" s="5">
        <f>ROUND(Source!R157,O171)</f>
        <v>53.22</v>
      </c>
      <c r="G171" s="5" t="s">
        <v>359</v>
      </c>
      <c r="H171" s="5" t="s">
        <v>360</v>
      </c>
      <c r="I171" s="5"/>
      <c r="J171" s="5"/>
      <c r="K171" s="5">
        <v>204</v>
      </c>
      <c r="L171" s="5">
        <v>13</v>
      </c>
      <c r="M171" s="5">
        <v>3</v>
      </c>
      <c r="N171" s="5" t="s">
        <v>6</v>
      </c>
      <c r="O171" s="5">
        <v>2</v>
      </c>
      <c r="P171" s="5">
        <f>ROUND(Source!DJ157,O171)</f>
        <v>325.06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0</v>
      </c>
      <c r="C172" s="5">
        <v>0</v>
      </c>
      <c r="D172" s="5">
        <v>1</v>
      </c>
      <c r="E172" s="5">
        <v>205</v>
      </c>
      <c r="F172" s="5">
        <f>ROUND(Source!S157,O172)</f>
        <v>3438.88</v>
      </c>
      <c r="G172" s="5" t="s">
        <v>361</v>
      </c>
      <c r="H172" s="5" t="s">
        <v>362</v>
      </c>
      <c r="I172" s="5"/>
      <c r="J172" s="5"/>
      <c r="K172" s="5">
        <v>205</v>
      </c>
      <c r="L172" s="5">
        <v>14</v>
      </c>
      <c r="M172" s="5">
        <v>3</v>
      </c>
      <c r="N172" s="5" t="s">
        <v>6</v>
      </c>
      <c r="O172" s="5">
        <v>2</v>
      </c>
      <c r="P172" s="5">
        <f>ROUND(Source!DK157,O172)</f>
        <v>21011.64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0</v>
      </c>
      <c r="C173" s="5">
        <v>0</v>
      </c>
      <c r="D173" s="5">
        <v>1</v>
      </c>
      <c r="E173" s="5">
        <v>232</v>
      </c>
      <c r="F173" s="5">
        <f>ROUND(Source!BC157,O173)</f>
        <v>0</v>
      </c>
      <c r="G173" s="5" t="s">
        <v>363</v>
      </c>
      <c r="H173" s="5" t="s">
        <v>364</v>
      </c>
      <c r="I173" s="5"/>
      <c r="J173" s="5"/>
      <c r="K173" s="5">
        <v>232</v>
      </c>
      <c r="L173" s="5">
        <v>15</v>
      </c>
      <c r="M173" s="5">
        <v>3</v>
      </c>
      <c r="N173" s="5" t="s">
        <v>6</v>
      </c>
      <c r="O173" s="5">
        <v>2</v>
      </c>
      <c r="P173" s="5">
        <f>ROUND(Source!EU157,O173)</f>
        <v>0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214</v>
      </c>
      <c r="F174" s="5">
        <f>ROUND(Source!AS157,O174)</f>
        <v>51275.69</v>
      </c>
      <c r="G174" s="5" t="s">
        <v>365</v>
      </c>
      <c r="H174" s="5" t="s">
        <v>366</v>
      </c>
      <c r="I174" s="5"/>
      <c r="J174" s="5"/>
      <c r="K174" s="5">
        <v>214</v>
      </c>
      <c r="L174" s="5">
        <v>16</v>
      </c>
      <c r="M174" s="5">
        <v>3</v>
      </c>
      <c r="N174" s="5" t="s">
        <v>6</v>
      </c>
      <c r="O174" s="5">
        <v>2</v>
      </c>
      <c r="P174" s="5">
        <f>ROUND(Source!EK157,O174)</f>
        <v>313294.59000000003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0</v>
      </c>
      <c r="C175" s="5">
        <v>0</v>
      </c>
      <c r="D175" s="5">
        <v>1</v>
      </c>
      <c r="E175" s="5">
        <v>215</v>
      </c>
      <c r="F175" s="5">
        <f>ROUND(Source!AT157,O175)</f>
        <v>1199.28</v>
      </c>
      <c r="G175" s="5" t="s">
        <v>367</v>
      </c>
      <c r="H175" s="5" t="s">
        <v>368</v>
      </c>
      <c r="I175" s="5"/>
      <c r="J175" s="5"/>
      <c r="K175" s="5">
        <v>215</v>
      </c>
      <c r="L175" s="5">
        <v>17</v>
      </c>
      <c r="M175" s="5">
        <v>3</v>
      </c>
      <c r="N175" s="5" t="s">
        <v>6</v>
      </c>
      <c r="O175" s="5">
        <v>2</v>
      </c>
      <c r="P175" s="5">
        <f>ROUND(Source!EL157,O175)</f>
        <v>7327.6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0</v>
      </c>
      <c r="C176" s="5">
        <v>0</v>
      </c>
      <c r="D176" s="5">
        <v>1</v>
      </c>
      <c r="E176" s="5">
        <v>217</v>
      </c>
      <c r="F176" s="5">
        <f>ROUND(Source!AU157,O176)</f>
        <v>0</v>
      </c>
      <c r="G176" s="5" t="s">
        <v>369</v>
      </c>
      <c r="H176" s="5" t="s">
        <v>370</v>
      </c>
      <c r="I176" s="5"/>
      <c r="J176" s="5"/>
      <c r="K176" s="5">
        <v>217</v>
      </c>
      <c r="L176" s="5">
        <v>18</v>
      </c>
      <c r="M176" s="5">
        <v>3</v>
      </c>
      <c r="N176" s="5" t="s">
        <v>6</v>
      </c>
      <c r="O176" s="5">
        <v>2</v>
      </c>
      <c r="P176" s="5">
        <f>ROUND(Source!EM157,O176)</f>
        <v>0</v>
      </c>
      <c r="Q176" s="5"/>
      <c r="R176" s="5"/>
      <c r="S176" s="5"/>
      <c r="T176" s="5"/>
      <c r="U176" s="5"/>
      <c r="V176" s="5"/>
      <c r="W176" s="5"/>
    </row>
    <row r="177" spans="1:206" x14ac:dyDescent="0.2">
      <c r="A177" s="5">
        <v>50</v>
      </c>
      <c r="B177" s="5">
        <v>0</v>
      </c>
      <c r="C177" s="5">
        <v>0</v>
      </c>
      <c r="D177" s="5">
        <v>1</v>
      </c>
      <c r="E177" s="5">
        <v>230</v>
      </c>
      <c r="F177" s="5">
        <f>ROUND(Source!BA157,O177)</f>
        <v>0</v>
      </c>
      <c r="G177" s="5" t="s">
        <v>371</v>
      </c>
      <c r="H177" s="5" t="s">
        <v>372</v>
      </c>
      <c r="I177" s="5"/>
      <c r="J177" s="5"/>
      <c r="K177" s="5">
        <v>230</v>
      </c>
      <c r="L177" s="5">
        <v>19</v>
      </c>
      <c r="M177" s="5">
        <v>3</v>
      </c>
      <c r="N177" s="5" t="s">
        <v>6</v>
      </c>
      <c r="O177" s="5">
        <v>2</v>
      </c>
      <c r="P177" s="5">
        <f>ROUND(Source!ES157,O177)</f>
        <v>0</v>
      </c>
      <c r="Q177" s="5"/>
      <c r="R177" s="5"/>
      <c r="S177" s="5"/>
      <c r="T177" s="5"/>
      <c r="U177" s="5"/>
      <c r="V177" s="5"/>
      <c r="W177" s="5"/>
    </row>
    <row r="178" spans="1:206" x14ac:dyDescent="0.2">
      <c r="A178" s="5">
        <v>50</v>
      </c>
      <c r="B178" s="5">
        <v>0</v>
      </c>
      <c r="C178" s="5">
        <v>0</v>
      </c>
      <c r="D178" s="5">
        <v>1</v>
      </c>
      <c r="E178" s="5">
        <v>206</v>
      </c>
      <c r="F178" s="5">
        <f>ROUND(Source!T157,O178)</f>
        <v>0</v>
      </c>
      <c r="G178" s="5" t="s">
        <v>373</v>
      </c>
      <c r="H178" s="5" t="s">
        <v>374</v>
      </c>
      <c r="I178" s="5"/>
      <c r="J178" s="5"/>
      <c r="K178" s="5">
        <v>206</v>
      </c>
      <c r="L178" s="5">
        <v>20</v>
      </c>
      <c r="M178" s="5">
        <v>3</v>
      </c>
      <c r="N178" s="5" t="s">
        <v>6</v>
      </c>
      <c r="O178" s="5">
        <v>2</v>
      </c>
      <c r="P178" s="5">
        <f>ROUND(Source!DL157,O178)</f>
        <v>0</v>
      </c>
      <c r="Q178" s="5"/>
      <c r="R178" s="5"/>
      <c r="S178" s="5"/>
      <c r="T178" s="5"/>
      <c r="U178" s="5"/>
      <c r="V178" s="5"/>
      <c r="W178" s="5"/>
    </row>
    <row r="179" spans="1:206" x14ac:dyDescent="0.2">
      <c r="A179" s="5">
        <v>50</v>
      </c>
      <c r="B179" s="5">
        <v>0</v>
      </c>
      <c r="C179" s="5">
        <v>0</v>
      </c>
      <c r="D179" s="5">
        <v>1</v>
      </c>
      <c r="E179" s="5">
        <v>207</v>
      </c>
      <c r="F179" s="5">
        <f>Source!U157</f>
        <v>393.16231420000003</v>
      </c>
      <c r="G179" s="5" t="s">
        <v>375</v>
      </c>
      <c r="H179" s="5" t="s">
        <v>376</v>
      </c>
      <c r="I179" s="5"/>
      <c r="J179" s="5"/>
      <c r="K179" s="5">
        <v>207</v>
      </c>
      <c r="L179" s="5">
        <v>21</v>
      </c>
      <c r="M179" s="5">
        <v>3</v>
      </c>
      <c r="N179" s="5" t="s">
        <v>6</v>
      </c>
      <c r="O179" s="5">
        <v>-1</v>
      </c>
      <c r="P179" s="5">
        <f>Source!DM157</f>
        <v>393.16231420000003</v>
      </c>
      <c r="Q179" s="5"/>
      <c r="R179" s="5"/>
      <c r="S179" s="5"/>
      <c r="T179" s="5"/>
      <c r="U179" s="5"/>
      <c r="V179" s="5"/>
      <c r="W179" s="5"/>
    </row>
    <row r="180" spans="1:206" x14ac:dyDescent="0.2">
      <c r="A180" s="5">
        <v>50</v>
      </c>
      <c r="B180" s="5">
        <v>0</v>
      </c>
      <c r="C180" s="5">
        <v>0</v>
      </c>
      <c r="D180" s="5">
        <v>1</v>
      </c>
      <c r="E180" s="5">
        <v>208</v>
      </c>
      <c r="F180" s="5">
        <f>Source!V157</f>
        <v>4.4030685000000007</v>
      </c>
      <c r="G180" s="5" t="s">
        <v>377</v>
      </c>
      <c r="H180" s="5" t="s">
        <v>378</v>
      </c>
      <c r="I180" s="5"/>
      <c r="J180" s="5"/>
      <c r="K180" s="5">
        <v>208</v>
      </c>
      <c r="L180" s="5">
        <v>22</v>
      </c>
      <c r="M180" s="5">
        <v>3</v>
      </c>
      <c r="N180" s="5" t="s">
        <v>6</v>
      </c>
      <c r="O180" s="5">
        <v>-1</v>
      </c>
      <c r="P180" s="5">
        <f>Source!DN157</f>
        <v>4.4030685000000007</v>
      </c>
      <c r="Q180" s="5"/>
      <c r="R180" s="5"/>
      <c r="S180" s="5"/>
      <c r="T180" s="5"/>
      <c r="U180" s="5"/>
      <c r="V180" s="5"/>
      <c r="W180" s="5"/>
    </row>
    <row r="181" spans="1:206" x14ac:dyDescent="0.2">
      <c r="A181" s="5">
        <v>50</v>
      </c>
      <c r="B181" s="5">
        <v>0</v>
      </c>
      <c r="C181" s="5">
        <v>0</v>
      </c>
      <c r="D181" s="5">
        <v>1</v>
      </c>
      <c r="E181" s="5">
        <v>209</v>
      </c>
      <c r="F181" s="5">
        <f>ROUND(Source!W157,O181)</f>
        <v>0</v>
      </c>
      <c r="G181" s="5" t="s">
        <v>379</v>
      </c>
      <c r="H181" s="5" t="s">
        <v>380</v>
      </c>
      <c r="I181" s="5"/>
      <c r="J181" s="5"/>
      <c r="K181" s="5">
        <v>209</v>
      </c>
      <c r="L181" s="5">
        <v>23</v>
      </c>
      <c r="M181" s="5">
        <v>3</v>
      </c>
      <c r="N181" s="5" t="s">
        <v>6</v>
      </c>
      <c r="O181" s="5">
        <v>2</v>
      </c>
      <c r="P181" s="5">
        <f>ROUND(Source!DO157,O181)</f>
        <v>0</v>
      </c>
      <c r="Q181" s="5"/>
      <c r="R181" s="5"/>
      <c r="S181" s="5"/>
      <c r="T181" s="5"/>
      <c r="U181" s="5"/>
      <c r="V181" s="5"/>
      <c r="W181" s="5"/>
    </row>
    <row r="182" spans="1:206" x14ac:dyDescent="0.2">
      <c r="A182" s="5">
        <v>50</v>
      </c>
      <c r="B182" s="5">
        <v>0</v>
      </c>
      <c r="C182" s="5">
        <v>0</v>
      </c>
      <c r="D182" s="5">
        <v>1</v>
      </c>
      <c r="E182" s="5">
        <v>210</v>
      </c>
      <c r="F182" s="5">
        <f>ROUND(Source!X157,O182)</f>
        <v>3507.31</v>
      </c>
      <c r="G182" s="5" t="s">
        <v>381</v>
      </c>
      <c r="H182" s="5" t="s">
        <v>382</v>
      </c>
      <c r="I182" s="5"/>
      <c r="J182" s="5"/>
      <c r="K182" s="5">
        <v>210</v>
      </c>
      <c r="L182" s="5">
        <v>24</v>
      </c>
      <c r="M182" s="5">
        <v>3</v>
      </c>
      <c r="N182" s="5" t="s">
        <v>6</v>
      </c>
      <c r="O182" s="5">
        <v>2</v>
      </c>
      <c r="P182" s="5">
        <f>ROUND(Source!DP157,O182)</f>
        <v>21429.8</v>
      </c>
      <c r="Q182" s="5"/>
      <c r="R182" s="5"/>
      <c r="S182" s="5"/>
      <c r="T182" s="5"/>
      <c r="U182" s="5"/>
      <c r="V182" s="5"/>
      <c r="W182" s="5"/>
    </row>
    <row r="183" spans="1:206" x14ac:dyDescent="0.2">
      <c r="A183" s="5">
        <v>50</v>
      </c>
      <c r="B183" s="5">
        <v>0</v>
      </c>
      <c r="C183" s="5">
        <v>0</v>
      </c>
      <c r="D183" s="5">
        <v>1</v>
      </c>
      <c r="E183" s="5">
        <v>211</v>
      </c>
      <c r="F183" s="5">
        <f>ROUND(Source!Y157,O183)</f>
        <v>2093.2399999999998</v>
      </c>
      <c r="G183" s="5" t="s">
        <v>383</v>
      </c>
      <c r="H183" s="5" t="s">
        <v>384</v>
      </c>
      <c r="I183" s="5"/>
      <c r="J183" s="5"/>
      <c r="K183" s="5">
        <v>211</v>
      </c>
      <c r="L183" s="5">
        <v>25</v>
      </c>
      <c r="M183" s="5">
        <v>3</v>
      </c>
      <c r="N183" s="5" t="s">
        <v>6</v>
      </c>
      <c r="O183" s="5">
        <v>2</v>
      </c>
      <c r="P183" s="5">
        <f>ROUND(Source!DQ157,O183)</f>
        <v>12789.67</v>
      </c>
      <c r="Q183" s="5"/>
      <c r="R183" s="5"/>
      <c r="S183" s="5"/>
      <c r="T183" s="5"/>
      <c r="U183" s="5"/>
      <c r="V183" s="5"/>
      <c r="W183" s="5"/>
    </row>
    <row r="184" spans="1:206" x14ac:dyDescent="0.2">
      <c r="A184" s="5">
        <v>50</v>
      </c>
      <c r="B184" s="5">
        <v>0</v>
      </c>
      <c r="C184" s="5">
        <v>0</v>
      </c>
      <c r="D184" s="5">
        <v>1</v>
      </c>
      <c r="E184" s="5">
        <v>224</v>
      </c>
      <c r="F184" s="5">
        <f>ROUND(Source!AR157,O184)</f>
        <v>52474.97</v>
      </c>
      <c r="G184" s="5" t="s">
        <v>385</v>
      </c>
      <c r="H184" s="5" t="s">
        <v>386</v>
      </c>
      <c r="I184" s="5"/>
      <c r="J184" s="5"/>
      <c r="K184" s="5">
        <v>224</v>
      </c>
      <c r="L184" s="5">
        <v>26</v>
      </c>
      <c r="M184" s="5">
        <v>3</v>
      </c>
      <c r="N184" s="5" t="s">
        <v>6</v>
      </c>
      <c r="O184" s="5">
        <v>2</v>
      </c>
      <c r="P184" s="5">
        <f>ROUND(Source!EJ157,O184)</f>
        <v>320622.19</v>
      </c>
      <c r="Q184" s="5"/>
      <c r="R184" s="5"/>
      <c r="S184" s="5"/>
      <c r="T184" s="5"/>
      <c r="U184" s="5"/>
      <c r="V184" s="5"/>
      <c r="W184" s="5"/>
    </row>
    <row r="185" spans="1:206" x14ac:dyDescent="0.2">
      <c r="A185" s="5">
        <v>50</v>
      </c>
      <c r="B185" s="5">
        <v>1</v>
      </c>
      <c r="C185" s="5">
        <v>0</v>
      </c>
      <c r="D185" s="5">
        <v>2</v>
      </c>
      <c r="E185" s="5">
        <v>0</v>
      </c>
      <c r="F185" s="5">
        <f>ROUND(F184,O185)</f>
        <v>52474.97</v>
      </c>
      <c r="G185" s="5" t="s">
        <v>387</v>
      </c>
      <c r="H185" s="5" t="s">
        <v>386</v>
      </c>
      <c r="I185" s="5"/>
      <c r="J185" s="5"/>
      <c r="K185" s="5">
        <v>212</v>
      </c>
      <c r="L185" s="5">
        <v>27</v>
      </c>
      <c r="M185" s="5">
        <v>0</v>
      </c>
      <c r="N185" s="5" t="s">
        <v>6</v>
      </c>
      <c r="O185" s="5">
        <v>2</v>
      </c>
      <c r="P185" s="5">
        <f>ROUND(P184,O185)</f>
        <v>320622.19</v>
      </c>
      <c r="Q185" s="5"/>
      <c r="R185" s="5"/>
      <c r="S185" s="5"/>
      <c r="T185" s="5"/>
      <c r="U185" s="5"/>
      <c r="V185" s="5"/>
      <c r="W185" s="5"/>
    </row>
    <row r="186" spans="1:206" x14ac:dyDescent="0.2">
      <c r="A186" s="5">
        <v>50</v>
      </c>
      <c r="B186" s="5">
        <v>1</v>
      </c>
      <c r="C186" s="5">
        <v>0</v>
      </c>
      <c r="D186" s="5">
        <v>2</v>
      </c>
      <c r="E186" s="5">
        <v>0</v>
      </c>
      <c r="F186" s="5">
        <f>ROUND(F185*18/100,O186)</f>
        <v>9445.49</v>
      </c>
      <c r="G186" s="5" t="s">
        <v>388</v>
      </c>
      <c r="H186" s="5" t="s">
        <v>389</v>
      </c>
      <c r="I186" s="5"/>
      <c r="J186" s="5"/>
      <c r="K186" s="5">
        <v>212</v>
      </c>
      <c r="L186" s="5">
        <v>28</v>
      </c>
      <c r="M186" s="5">
        <v>0</v>
      </c>
      <c r="N186" s="5" t="s">
        <v>6</v>
      </c>
      <c r="O186" s="5">
        <v>2</v>
      </c>
      <c r="P186" s="5">
        <f>ROUND(P185*18/100,O186)</f>
        <v>57711.99</v>
      </c>
      <c r="Q186" s="5"/>
      <c r="R186" s="5"/>
      <c r="S186" s="5"/>
      <c r="T186" s="5"/>
      <c r="U186" s="5"/>
      <c r="V186" s="5"/>
      <c r="W186" s="5"/>
    </row>
    <row r="187" spans="1:206" x14ac:dyDescent="0.2">
      <c r="A187" s="5">
        <v>50</v>
      </c>
      <c r="B187" s="5">
        <v>1</v>
      </c>
      <c r="C187" s="5">
        <v>0</v>
      </c>
      <c r="D187" s="5">
        <v>2</v>
      </c>
      <c r="E187" s="5">
        <v>213</v>
      </c>
      <c r="F187" s="5">
        <f>ROUND(F185+F186,O187)</f>
        <v>61920.46</v>
      </c>
      <c r="G187" s="5" t="s">
        <v>390</v>
      </c>
      <c r="H187" s="5" t="s">
        <v>391</v>
      </c>
      <c r="I187" s="5"/>
      <c r="J187" s="5"/>
      <c r="K187" s="5">
        <v>212</v>
      </c>
      <c r="L187" s="5">
        <v>29</v>
      </c>
      <c r="M187" s="5">
        <v>0</v>
      </c>
      <c r="N187" s="5" t="s">
        <v>6</v>
      </c>
      <c r="O187" s="5">
        <v>2</v>
      </c>
      <c r="P187" s="5">
        <f>ROUND(P185+P186,O187)</f>
        <v>378334.18</v>
      </c>
      <c r="Q187" s="5"/>
      <c r="R187" s="5"/>
      <c r="S187" s="5"/>
      <c r="T187" s="5"/>
      <c r="U187" s="5"/>
      <c r="V187" s="5"/>
      <c r="W187" s="5"/>
    </row>
    <row r="189" spans="1:206" x14ac:dyDescent="0.2">
      <c r="A189" s="3">
        <v>51</v>
      </c>
      <c r="B189" s="3">
        <f>B12</f>
        <v>250</v>
      </c>
      <c r="C189" s="3">
        <f>A12</f>
        <v>1</v>
      </c>
      <c r="D189" s="3">
        <f>ROW(A12)</f>
        <v>12</v>
      </c>
      <c r="E189" s="3"/>
      <c r="F189" s="3" t="str">
        <f>IF(F12&lt;&gt;"",F12,"")</f>
        <v>Новый объект</v>
      </c>
      <c r="G189" s="3" t="str">
        <f>IF(G12&lt;&gt;"",G12,"")</f>
        <v>Капитальный ремонт помещения женского санузла 1-го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H189" s="3">
        <v>0</v>
      </c>
      <c r="I189" s="3"/>
      <c r="J189" s="3"/>
      <c r="K189" s="3"/>
      <c r="L189" s="3"/>
      <c r="M189" s="3"/>
      <c r="N189" s="3"/>
      <c r="O189" s="3">
        <f t="shared" ref="O189:T189" si="193">ROUND(O157,2)</f>
        <v>46633.78</v>
      </c>
      <c r="P189" s="3">
        <f t="shared" si="193"/>
        <v>42996.03</v>
      </c>
      <c r="Q189" s="3">
        <f t="shared" si="193"/>
        <v>198.87</v>
      </c>
      <c r="R189" s="3">
        <f t="shared" si="193"/>
        <v>53.22</v>
      </c>
      <c r="S189" s="3">
        <f t="shared" si="193"/>
        <v>3438.88</v>
      </c>
      <c r="T189" s="3">
        <f t="shared" si="193"/>
        <v>0</v>
      </c>
      <c r="U189" s="3">
        <f>U157</f>
        <v>393.16231420000003</v>
      </c>
      <c r="V189" s="3">
        <f>V157</f>
        <v>4.4030685000000007</v>
      </c>
      <c r="W189" s="3">
        <f>ROUND(W157,2)</f>
        <v>0</v>
      </c>
      <c r="X189" s="3">
        <f>ROUND(X157,2)</f>
        <v>3507.31</v>
      </c>
      <c r="Y189" s="3">
        <f>ROUND(Y157,2)</f>
        <v>2093.2399999999998</v>
      </c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>
        <f t="shared" ref="AO189:BC189" si="194">ROUND(AO157,2)</f>
        <v>0</v>
      </c>
      <c r="AP189" s="3">
        <f t="shared" si="194"/>
        <v>0</v>
      </c>
      <c r="AQ189" s="3">
        <f t="shared" si="194"/>
        <v>0</v>
      </c>
      <c r="AR189" s="3">
        <f t="shared" si="194"/>
        <v>52474.97</v>
      </c>
      <c r="AS189" s="3">
        <f t="shared" si="194"/>
        <v>51275.69</v>
      </c>
      <c r="AT189" s="3">
        <f t="shared" si="194"/>
        <v>1199.28</v>
      </c>
      <c r="AU189" s="3">
        <f t="shared" si="194"/>
        <v>0</v>
      </c>
      <c r="AV189" s="3">
        <f t="shared" si="194"/>
        <v>42996.03</v>
      </c>
      <c r="AW189" s="3">
        <f t="shared" si="194"/>
        <v>42996.03</v>
      </c>
      <c r="AX189" s="3">
        <f t="shared" si="194"/>
        <v>0</v>
      </c>
      <c r="AY189" s="3">
        <f t="shared" si="194"/>
        <v>42996.03</v>
      </c>
      <c r="AZ189" s="3">
        <f t="shared" si="194"/>
        <v>0</v>
      </c>
      <c r="BA189" s="3">
        <f t="shared" si="194"/>
        <v>0</v>
      </c>
      <c r="BB189" s="3">
        <f t="shared" si="194"/>
        <v>0</v>
      </c>
      <c r="BC189" s="3">
        <f t="shared" si="194"/>
        <v>0</v>
      </c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4">
        <f t="shared" ref="DG189:DL189" si="195">ROUND(DG157,2)</f>
        <v>284932.42</v>
      </c>
      <c r="DH189" s="4">
        <f t="shared" si="195"/>
        <v>262705.62</v>
      </c>
      <c r="DI189" s="4">
        <f t="shared" si="195"/>
        <v>1215.1600000000001</v>
      </c>
      <c r="DJ189" s="4">
        <f t="shared" si="195"/>
        <v>325.06</v>
      </c>
      <c r="DK189" s="4">
        <f t="shared" si="195"/>
        <v>21011.64</v>
      </c>
      <c r="DL189" s="4">
        <f t="shared" si="195"/>
        <v>0</v>
      </c>
      <c r="DM189" s="4">
        <f>DM157</f>
        <v>393.16231420000003</v>
      </c>
      <c r="DN189" s="4">
        <f>DN157</f>
        <v>4.4030685000000007</v>
      </c>
      <c r="DO189" s="4">
        <f>ROUND(DO157,2)</f>
        <v>0</v>
      </c>
      <c r="DP189" s="4">
        <f>ROUND(DP157,2)</f>
        <v>21429.8</v>
      </c>
      <c r="DQ189" s="4">
        <f>ROUND(DQ157,2)</f>
        <v>12789.67</v>
      </c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>
        <f t="shared" ref="EG189:EU189" si="196">ROUND(EG157,2)</f>
        <v>0</v>
      </c>
      <c r="EH189" s="4">
        <f t="shared" si="196"/>
        <v>0</v>
      </c>
      <c r="EI189" s="4">
        <f t="shared" si="196"/>
        <v>0</v>
      </c>
      <c r="EJ189" s="4">
        <f t="shared" si="196"/>
        <v>320622.19</v>
      </c>
      <c r="EK189" s="4">
        <f t="shared" si="196"/>
        <v>313294.59000000003</v>
      </c>
      <c r="EL189" s="4">
        <f t="shared" si="196"/>
        <v>7327.6</v>
      </c>
      <c r="EM189" s="4">
        <f t="shared" si="196"/>
        <v>0</v>
      </c>
      <c r="EN189" s="4">
        <f t="shared" si="196"/>
        <v>262705.62</v>
      </c>
      <c r="EO189" s="4">
        <f t="shared" si="196"/>
        <v>262705.62</v>
      </c>
      <c r="EP189" s="4">
        <f t="shared" si="196"/>
        <v>0</v>
      </c>
      <c r="EQ189" s="4">
        <f t="shared" si="196"/>
        <v>262705.62</v>
      </c>
      <c r="ER189" s="4">
        <f t="shared" si="196"/>
        <v>0</v>
      </c>
      <c r="ES189" s="4">
        <f t="shared" si="196"/>
        <v>0</v>
      </c>
      <c r="ET189" s="4">
        <f t="shared" si="196"/>
        <v>0</v>
      </c>
      <c r="EU189" s="4">
        <f t="shared" si="196"/>
        <v>0</v>
      </c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>
        <v>0</v>
      </c>
    </row>
    <row r="191" spans="1:206" x14ac:dyDescent="0.2">
      <c r="A191" s="5">
        <v>50</v>
      </c>
      <c r="B191" s="5">
        <v>0</v>
      </c>
      <c r="C191" s="5">
        <v>0</v>
      </c>
      <c r="D191" s="5">
        <v>1</v>
      </c>
      <c r="E191" s="5">
        <v>201</v>
      </c>
      <c r="F191" s="5">
        <f>ROUND(Source!O189,O191)</f>
        <v>46633.78</v>
      </c>
      <c r="G191" s="5" t="s">
        <v>335</v>
      </c>
      <c r="H191" s="5" t="s">
        <v>336</v>
      </c>
      <c r="I191" s="5"/>
      <c r="J191" s="5"/>
      <c r="K191" s="5">
        <v>201</v>
      </c>
      <c r="L191" s="5">
        <v>1</v>
      </c>
      <c r="M191" s="5">
        <v>3</v>
      </c>
      <c r="N191" s="5" t="s">
        <v>6</v>
      </c>
      <c r="O191" s="5">
        <v>2</v>
      </c>
      <c r="P191" s="5">
        <f>ROUND(Source!DG189,O191)</f>
        <v>284932.42</v>
      </c>
      <c r="Q191" s="5"/>
      <c r="R191" s="5"/>
      <c r="S191" s="5"/>
      <c r="T191" s="5"/>
      <c r="U191" s="5"/>
      <c r="V191" s="5"/>
      <c r="W191" s="5"/>
    </row>
    <row r="192" spans="1:206" x14ac:dyDescent="0.2">
      <c r="A192" s="5">
        <v>50</v>
      </c>
      <c r="B192" s="5">
        <v>0</v>
      </c>
      <c r="C192" s="5">
        <v>0</v>
      </c>
      <c r="D192" s="5">
        <v>1</v>
      </c>
      <c r="E192" s="5">
        <v>202</v>
      </c>
      <c r="F192" s="5">
        <f>ROUND(Source!P189,O192)</f>
        <v>42996.03</v>
      </c>
      <c r="G192" s="5" t="s">
        <v>337</v>
      </c>
      <c r="H192" s="5" t="s">
        <v>338</v>
      </c>
      <c r="I192" s="5"/>
      <c r="J192" s="5"/>
      <c r="K192" s="5">
        <v>202</v>
      </c>
      <c r="L192" s="5">
        <v>2</v>
      </c>
      <c r="M192" s="5">
        <v>3</v>
      </c>
      <c r="N192" s="5" t="s">
        <v>6</v>
      </c>
      <c r="O192" s="5">
        <v>2</v>
      </c>
      <c r="P192" s="5">
        <f>ROUND(Source!DH189,O192)</f>
        <v>262705.62</v>
      </c>
      <c r="Q192" s="5"/>
      <c r="R192" s="5"/>
      <c r="S192" s="5"/>
      <c r="T192" s="5"/>
      <c r="U192" s="5"/>
      <c r="V192" s="5"/>
      <c r="W192" s="5"/>
    </row>
    <row r="193" spans="1:23" x14ac:dyDescent="0.2">
      <c r="A193" s="5">
        <v>50</v>
      </c>
      <c r="B193" s="5">
        <v>0</v>
      </c>
      <c r="C193" s="5">
        <v>0</v>
      </c>
      <c r="D193" s="5">
        <v>1</v>
      </c>
      <c r="E193" s="5">
        <v>222</v>
      </c>
      <c r="F193" s="5">
        <f>ROUND(Source!AO189,O193)</f>
        <v>0</v>
      </c>
      <c r="G193" s="5" t="s">
        <v>339</v>
      </c>
      <c r="H193" s="5" t="s">
        <v>340</v>
      </c>
      <c r="I193" s="5"/>
      <c r="J193" s="5"/>
      <c r="K193" s="5">
        <v>222</v>
      </c>
      <c r="L193" s="5">
        <v>3</v>
      </c>
      <c r="M193" s="5">
        <v>3</v>
      </c>
      <c r="N193" s="5" t="s">
        <v>6</v>
      </c>
      <c r="O193" s="5">
        <v>2</v>
      </c>
      <c r="P193" s="5">
        <f>ROUND(Source!EG189,O193)</f>
        <v>0</v>
      </c>
      <c r="Q193" s="5"/>
      <c r="R193" s="5"/>
      <c r="S193" s="5"/>
      <c r="T193" s="5"/>
      <c r="U193" s="5"/>
      <c r="V193" s="5"/>
      <c r="W193" s="5"/>
    </row>
    <row r="194" spans="1:23" x14ac:dyDescent="0.2">
      <c r="A194" s="5">
        <v>50</v>
      </c>
      <c r="B194" s="5">
        <v>0</v>
      </c>
      <c r="C194" s="5">
        <v>0</v>
      </c>
      <c r="D194" s="5">
        <v>1</v>
      </c>
      <c r="E194" s="5">
        <v>225</v>
      </c>
      <c r="F194" s="5">
        <f>ROUND(Source!AV189,O194)</f>
        <v>42996.03</v>
      </c>
      <c r="G194" s="5" t="s">
        <v>341</v>
      </c>
      <c r="H194" s="5" t="s">
        <v>342</v>
      </c>
      <c r="I194" s="5"/>
      <c r="J194" s="5"/>
      <c r="K194" s="5">
        <v>225</v>
      </c>
      <c r="L194" s="5">
        <v>4</v>
      </c>
      <c r="M194" s="5">
        <v>3</v>
      </c>
      <c r="N194" s="5" t="s">
        <v>6</v>
      </c>
      <c r="O194" s="5">
        <v>2</v>
      </c>
      <c r="P194" s="5">
        <f>ROUND(Source!EN189,O194)</f>
        <v>262705.62</v>
      </c>
      <c r="Q194" s="5"/>
      <c r="R194" s="5"/>
      <c r="S194" s="5"/>
      <c r="T194" s="5"/>
      <c r="U194" s="5"/>
      <c r="V194" s="5"/>
      <c r="W194" s="5"/>
    </row>
    <row r="195" spans="1:23" x14ac:dyDescent="0.2">
      <c r="A195" s="5">
        <v>50</v>
      </c>
      <c r="B195" s="5">
        <v>0</v>
      </c>
      <c r="C195" s="5">
        <v>0</v>
      </c>
      <c r="D195" s="5">
        <v>1</v>
      </c>
      <c r="E195" s="5">
        <v>226</v>
      </c>
      <c r="F195" s="5">
        <f>ROUND(Source!AW189,O195)</f>
        <v>42996.03</v>
      </c>
      <c r="G195" s="5" t="s">
        <v>343</v>
      </c>
      <c r="H195" s="5" t="s">
        <v>344</v>
      </c>
      <c r="I195" s="5"/>
      <c r="J195" s="5"/>
      <c r="K195" s="5">
        <v>226</v>
      </c>
      <c r="L195" s="5">
        <v>5</v>
      </c>
      <c r="M195" s="5">
        <v>3</v>
      </c>
      <c r="N195" s="5" t="s">
        <v>6</v>
      </c>
      <c r="O195" s="5">
        <v>2</v>
      </c>
      <c r="P195" s="5">
        <f>ROUND(Source!EO189,O195)</f>
        <v>262705.62</v>
      </c>
      <c r="Q195" s="5"/>
      <c r="R195" s="5"/>
      <c r="S195" s="5"/>
      <c r="T195" s="5"/>
      <c r="U195" s="5"/>
      <c r="V195" s="5"/>
      <c r="W195" s="5"/>
    </row>
    <row r="196" spans="1:23" x14ac:dyDescent="0.2">
      <c r="A196" s="5">
        <v>50</v>
      </c>
      <c r="B196" s="5">
        <v>0</v>
      </c>
      <c r="C196" s="5">
        <v>0</v>
      </c>
      <c r="D196" s="5">
        <v>1</v>
      </c>
      <c r="E196" s="5">
        <v>227</v>
      </c>
      <c r="F196" s="5">
        <f>ROUND(Source!AX189,O196)</f>
        <v>0</v>
      </c>
      <c r="G196" s="5" t="s">
        <v>345</v>
      </c>
      <c r="H196" s="5" t="s">
        <v>346</v>
      </c>
      <c r="I196" s="5"/>
      <c r="J196" s="5"/>
      <c r="K196" s="5">
        <v>227</v>
      </c>
      <c r="L196" s="5">
        <v>6</v>
      </c>
      <c r="M196" s="5">
        <v>3</v>
      </c>
      <c r="N196" s="5" t="s">
        <v>6</v>
      </c>
      <c r="O196" s="5">
        <v>2</v>
      </c>
      <c r="P196" s="5">
        <f>ROUND(Source!EP189,O196)</f>
        <v>0</v>
      </c>
      <c r="Q196" s="5"/>
      <c r="R196" s="5"/>
      <c r="S196" s="5"/>
      <c r="T196" s="5"/>
      <c r="U196" s="5"/>
      <c r="V196" s="5"/>
      <c r="W196" s="5"/>
    </row>
    <row r="197" spans="1:23" x14ac:dyDescent="0.2">
      <c r="A197" s="5">
        <v>50</v>
      </c>
      <c r="B197" s="5">
        <v>0</v>
      </c>
      <c r="C197" s="5">
        <v>0</v>
      </c>
      <c r="D197" s="5">
        <v>1</v>
      </c>
      <c r="E197" s="5">
        <v>228</v>
      </c>
      <c r="F197" s="5">
        <f>ROUND(Source!AY189,O197)</f>
        <v>42996.03</v>
      </c>
      <c r="G197" s="5" t="s">
        <v>347</v>
      </c>
      <c r="H197" s="5" t="s">
        <v>348</v>
      </c>
      <c r="I197" s="5"/>
      <c r="J197" s="5"/>
      <c r="K197" s="5">
        <v>228</v>
      </c>
      <c r="L197" s="5">
        <v>7</v>
      </c>
      <c r="M197" s="5">
        <v>3</v>
      </c>
      <c r="N197" s="5" t="s">
        <v>6</v>
      </c>
      <c r="O197" s="5">
        <v>2</v>
      </c>
      <c r="P197" s="5">
        <f>ROUND(Source!EQ189,O197)</f>
        <v>262705.62</v>
      </c>
      <c r="Q197" s="5"/>
      <c r="R197" s="5"/>
      <c r="S197" s="5"/>
      <c r="T197" s="5"/>
      <c r="U197" s="5"/>
      <c r="V197" s="5"/>
      <c r="W197" s="5"/>
    </row>
    <row r="198" spans="1:23" x14ac:dyDescent="0.2">
      <c r="A198" s="5">
        <v>50</v>
      </c>
      <c r="B198" s="5">
        <v>0</v>
      </c>
      <c r="C198" s="5">
        <v>0</v>
      </c>
      <c r="D198" s="5">
        <v>1</v>
      </c>
      <c r="E198" s="5">
        <v>216</v>
      </c>
      <c r="F198" s="5">
        <f>ROUND(Source!AP189,O198)</f>
        <v>0</v>
      </c>
      <c r="G198" s="5" t="s">
        <v>349</v>
      </c>
      <c r="H198" s="5" t="s">
        <v>350</v>
      </c>
      <c r="I198" s="5"/>
      <c r="J198" s="5"/>
      <c r="K198" s="5">
        <v>216</v>
      </c>
      <c r="L198" s="5">
        <v>8</v>
      </c>
      <c r="M198" s="5">
        <v>3</v>
      </c>
      <c r="N198" s="5" t="s">
        <v>6</v>
      </c>
      <c r="O198" s="5">
        <v>2</v>
      </c>
      <c r="P198" s="5">
        <f>ROUND(Source!EH189,O198)</f>
        <v>0</v>
      </c>
      <c r="Q198" s="5"/>
      <c r="R198" s="5"/>
      <c r="S198" s="5"/>
      <c r="T198" s="5"/>
      <c r="U198" s="5"/>
      <c r="V198" s="5"/>
      <c r="W198" s="5"/>
    </row>
    <row r="199" spans="1:23" x14ac:dyDescent="0.2">
      <c r="A199" s="5">
        <v>50</v>
      </c>
      <c r="B199" s="5">
        <v>0</v>
      </c>
      <c r="C199" s="5">
        <v>0</v>
      </c>
      <c r="D199" s="5">
        <v>1</v>
      </c>
      <c r="E199" s="5">
        <v>223</v>
      </c>
      <c r="F199" s="5">
        <f>ROUND(Source!AQ189,O199)</f>
        <v>0</v>
      </c>
      <c r="G199" s="5" t="s">
        <v>351</v>
      </c>
      <c r="H199" s="5" t="s">
        <v>352</v>
      </c>
      <c r="I199" s="5"/>
      <c r="J199" s="5"/>
      <c r="K199" s="5">
        <v>223</v>
      </c>
      <c r="L199" s="5">
        <v>9</v>
      </c>
      <c r="M199" s="5">
        <v>3</v>
      </c>
      <c r="N199" s="5" t="s">
        <v>6</v>
      </c>
      <c r="O199" s="5">
        <v>2</v>
      </c>
      <c r="P199" s="5">
        <f>ROUND(Source!EI189,O199)</f>
        <v>0</v>
      </c>
      <c r="Q199" s="5"/>
      <c r="R199" s="5"/>
      <c r="S199" s="5"/>
      <c r="T199" s="5"/>
      <c r="U199" s="5"/>
      <c r="V199" s="5"/>
      <c r="W199" s="5"/>
    </row>
    <row r="200" spans="1:23" x14ac:dyDescent="0.2">
      <c r="A200" s="5">
        <v>50</v>
      </c>
      <c r="B200" s="5">
        <v>0</v>
      </c>
      <c r="C200" s="5">
        <v>0</v>
      </c>
      <c r="D200" s="5">
        <v>1</v>
      </c>
      <c r="E200" s="5">
        <v>229</v>
      </c>
      <c r="F200" s="5">
        <f>ROUND(Source!AZ189,O200)</f>
        <v>0</v>
      </c>
      <c r="G200" s="5" t="s">
        <v>353</v>
      </c>
      <c r="H200" s="5" t="s">
        <v>354</v>
      </c>
      <c r="I200" s="5"/>
      <c r="J200" s="5"/>
      <c r="K200" s="5">
        <v>229</v>
      </c>
      <c r="L200" s="5">
        <v>10</v>
      </c>
      <c r="M200" s="5">
        <v>3</v>
      </c>
      <c r="N200" s="5" t="s">
        <v>6</v>
      </c>
      <c r="O200" s="5">
        <v>2</v>
      </c>
      <c r="P200" s="5">
        <f>ROUND(Source!ER189,O200)</f>
        <v>0</v>
      </c>
      <c r="Q200" s="5"/>
      <c r="R200" s="5"/>
      <c r="S200" s="5"/>
      <c r="T200" s="5"/>
      <c r="U200" s="5"/>
      <c r="V200" s="5"/>
      <c r="W200" s="5"/>
    </row>
    <row r="201" spans="1:23" x14ac:dyDescent="0.2">
      <c r="A201" s="5">
        <v>50</v>
      </c>
      <c r="B201" s="5">
        <v>0</v>
      </c>
      <c r="C201" s="5">
        <v>0</v>
      </c>
      <c r="D201" s="5">
        <v>1</v>
      </c>
      <c r="E201" s="5">
        <v>203</v>
      </c>
      <c r="F201" s="5">
        <f>ROUND(Source!Q189,O201)</f>
        <v>198.87</v>
      </c>
      <c r="G201" s="5" t="s">
        <v>355</v>
      </c>
      <c r="H201" s="5" t="s">
        <v>356</v>
      </c>
      <c r="I201" s="5"/>
      <c r="J201" s="5"/>
      <c r="K201" s="5">
        <v>203</v>
      </c>
      <c r="L201" s="5">
        <v>11</v>
      </c>
      <c r="M201" s="5">
        <v>3</v>
      </c>
      <c r="N201" s="5" t="s">
        <v>6</v>
      </c>
      <c r="O201" s="5">
        <v>2</v>
      </c>
      <c r="P201" s="5">
        <f>ROUND(Source!DI189,O201)</f>
        <v>1215.1600000000001</v>
      </c>
      <c r="Q201" s="5"/>
      <c r="R201" s="5"/>
      <c r="S201" s="5"/>
      <c r="T201" s="5"/>
      <c r="U201" s="5"/>
      <c r="V201" s="5"/>
      <c r="W201" s="5"/>
    </row>
    <row r="202" spans="1:23" x14ac:dyDescent="0.2">
      <c r="A202" s="5">
        <v>50</v>
      </c>
      <c r="B202" s="5">
        <v>0</v>
      </c>
      <c r="C202" s="5">
        <v>0</v>
      </c>
      <c r="D202" s="5">
        <v>1</v>
      </c>
      <c r="E202" s="5">
        <v>231</v>
      </c>
      <c r="F202" s="5">
        <f>ROUND(Source!BB189,O202)</f>
        <v>0</v>
      </c>
      <c r="G202" s="5" t="s">
        <v>357</v>
      </c>
      <c r="H202" s="5" t="s">
        <v>358</v>
      </c>
      <c r="I202" s="5"/>
      <c r="J202" s="5"/>
      <c r="K202" s="5">
        <v>231</v>
      </c>
      <c r="L202" s="5">
        <v>12</v>
      </c>
      <c r="M202" s="5">
        <v>3</v>
      </c>
      <c r="N202" s="5" t="s">
        <v>6</v>
      </c>
      <c r="O202" s="5">
        <v>2</v>
      </c>
      <c r="P202" s="5">
        <f>ROUND(Source!ET189,O202)</f>
        <v>0</v>
      </c>
      <c r="Q202" s="5"/>
      <c r="R202" s="5"/>
      <c r="S202" s="5"/>
      <c r="T202" s="5"/>
      <c r="U202" s="5"/>
      <c r="V202" s="5"/>
      <c r="W202" s="5"/>
    </row>
    <row r="203" spans="1:23" x14ac:dyDescent="0.2">
      <c r="A203" s="5">
        <v>50</v>
      </c>
      <c r="B203" s="5">
        <v>0</v>
      </c>
      <c r="C203" s="5">
        <v>0</v>
      </c>
      <c r="D203" s="5">
        <v>1</v>
      </c>
      <c r="E203" s="5">
        <v>204</v>
      </c>
      <c r="F203" s="5">
        <f>ROUND(Source!R189,O203)</f>
        <v>53.22</v>
      </c>
      <c r="G203" s="5" t="s">
        <v>359</v>
      </c>
      <c r="H203" s="5" t="s">
        <v>360</v>
      </c>
      <c r="I203" s="5"/>
      <c r="J203" s="5"/>
      <c r="K203" s="5">
        <v>204</v>
      </c>
      <c r="L203" s="5">
        <v>13</v>
      </c>
      <c r="M203" s="5">
        <v>3</v>
      </c>
      <c r="N203" s="5" t="s">
        <v>6</v>
      </c>
      <c r="O203" s="5">
        <v>2</v>
      </c>
      <c r="P203" s="5">
        <f>ROUND(Source!DJ189,O203)</f>
        <v>325.06</v>
      </c>
      <c r="Q203" s="5"/>
      <c r="R203" s="5"/>
      <c r="S203" s="5"/>
      <c r="T203" s="5"/>
      <c r="U203" s="5"/>
      <c r="V203" s="5"/>
      <c r="W203" s="5"/>
    </row>
    <row r="204" spans="1:23" x14ac:dyDescent="0.2">
      <c r="A204" s="5">
        <v>50</v>
      </c>
      <c r="B204" s="5">
        <v>0</v>
      </c>
      <c r="C204" s="5">
        <v>0</v>
      </c>
      <c r="D204" s="5">
        <v>1</v>
      </c>
      <c r="E204" s="5">
        <v>205</v>
      </c>
      <c r="F204" s="5">
        <f>ROUND(Source!S189,O204)</f>
        <v>3438.88</v>
      </c>
      <c r="G204" s="5" t="s">
        <v>361</v>
      </c>
      <c r="H204" s="5" t="s">
        <v>362</v>
      </c>
      <c r="I204" s="5"/>
      <c r="J204" s="5"/>
      <c r="K204" s="5">
        <v>205</v>
      </c>
      <c r="L204" s="5">
        <v>14</v>
      </c>
      <c r="M204" s="5">
        <v>3</v>
      </c>
      <c r="N204" s="5" t="s">
        <v>6</v>
      </c>
      <c r="O204" s="5">
        <v>2</v>
      </c>
      <c r="P204" s="5">
        <f>ROUND(Source!DK189,O204)</f>
        <v>21011.64</v>
      </c>
      <c r="Q204" s="5"/>
      <c r="R204" s="5"/>
      <c r="S204" s="5"/>
      <c r="T204" s="5"/>
      <c r="U204" s="5"/>
      <c r="V204" s="5"/>
      <c r="W204" s="5"/>
    </row>
    <row r="205" spans="1:23" x14ac:dyDescent="0.2">
      <c r="A205" s="5">
        <v>50</v>
      </c>
      <c r="B205" s="5">
        <v>0</v>
      </c>
      <c r="C205" s="5">
        <v>0</v>
      </c>
      <c r="D205" s="5">
        <v>1</v>
      </c>
      <c r="E205" s="5">
        <v>232</v>
      </c>
      <c r="F205" s="5">
        <f>ROUND(Source!BC189,O205)</f>
        <v>0</v>
      </c>
      <c r="G205" s="5" t="s">
        <v>363</v>
      </c>
      <c r="H205" s="5" t="s">
        <v>364</v>
      </c>
      <c r="I205" s="5"/>
      <c r="J205" s="5"/>
      <c r="K205" s="5">
        <v>232</v>
      </c>
      <c r="L205" s="5">
        <v>15</v>
      </c>
      <c r="M205" s="5">
        <v>3</v>
      </c>
      <c r="N205" s="5" t="s">
        <v>6</v>
      </c>
      <c r="O205" s="5">
        <v>2</v>
      </c>
      <c r="P205" s="5">
        <f>ROUND(Source!EU189,O205)</f>
        <v>0</v>
      </c>
      <c r="Q205" s="5"/>
      <c r="R205" s="5"/>
      <c r="S205" s="5"/>
      <c r="T205" s="5"/>
      <c r="U205" s="5"/>
      <c r="V205" s="5"/>
      <c r="W205" s="5"/>
    </row>
    <row r="206" spans="1:23" x14ac:dyDescent="0.2">
      <c r="A206" s="5">
        <v>50</v>
      </c>
      <c r="B206" s="5">
        <v>0</v>
      </c>
      <c r="C206" s="5">
        <v>0</v>
      </c>
      <c r="D206" s="5">
        <v>1</v>
      </c>
      <c r="E206" s="5">
        <v>214</v>
      </c>
      <c r="F206" s="5">
        <f>ROUND(Source!AS189,O206)</f>
        <v>51275.69</v>
      </c>
      <c r="G206" s="5" t="s">
        <v>365</v>
      </c>
      <c r="H206" s="5" t="s">
        <v>366</v>
      </c>
      <c r="I206" s="5"/>
      <c r="J206" s="5"/>
      <c r="K206" s="5">
        <v>214</v>
      </c>
      <c r="L206" s="5">
        <v>16</v>
      </c>
      <c r="M206" s="5">
        <v>3</v>
      </c>
      <c r="N206" s="5" t="s">
        <v>6</v>
      </c>
      <c r="O206" s="5">
        <v>2</v>
      </c>
      <c r="P206" s="5">
        <f>ROUND(Source!EK189,O206)</f>
        <v>313294.59000000003</v>
      </c>
      <c r="Q206" s="5"/>
      <c r="R206" s="5"/>
      <c r="S206" s="5"/>
      <c r="T206" s="5"/>
      <c r="U206" s="5"/>
      <c r="V206" s="5"/>
      <c r="W206" s="5"/>
    </row>
    <row r="207" spans="1:23" x14ac:dyDescent="0.2">
      <c r="A207" s="5">
        <v>50</v>
      </c>
      <c r="B207" s="5">
        <v>0</v>
      </c>
      <c r="C207" s="5">
        <v>0</v>
      </c>
      <c r="D207" s="5">
        <v>1</v>
      </c>
      <c r="E207" s="5">
        <v>215</v>
      </c>
      <c r="F207" s="5">
        <f>ROUND(Source!AT189,O207)</f>
        <v>1199.28</v>
      </c>
      <c r="G207" s="5" t="s">
        <v>367</v>
      </c>
      <c r="H207" s="5" t="s">
        <v>368</v>
      </c>
      <c r="I207" s="5"/>
      <c r="J207" s="5"/>
      <c r="K207" s="5">
        <v>215</v>
      </c>
      <c r="L207" s="5">
        <v>17</v>
      </c>
      <c r="M207" s="5">
        <v>3</v>
      </c>
      <c r="N207" s="5" t="s">
        <v>6</v>
      </c>
      <c r="O207" s="5">
        <v>2</v>
      </c>
      <c r="P207" s="5">
        <f>ROUND(Source!EL189,O207)</f>
        <v>7327.6</v>
      </c>
      <c r="Q207" s="5"/>
      <c r="R207" s="5"/>
      <c r="S207" s="5"/>
      <c r="T207" s="5"/>
      <c r="U207" s="5"/>
      <c r="V207" s="5"/>
      <c r="W207" s="5"/>
    </row>
    <row r="208" spans="1:23" x14ac:dyDescent="0.2">
      <c r="A208" s="5">
        <v>50</v>
      </c>
      <c r="B208" s="5">
        <v>0</v>
      </c>
      <c r="C208" s="5">
        <v>0</v>
      </c>
      <c r="D208" s="5">
        <v>1</v>
      </c>
      <c r="E208" s="5">
        <v>217</v>
      </c>
      <c r="F208" s="5">
        <f>ROUND(Source!AU189,O208)</f>
        <v>0</v>
      </c>
      <c r="G208" s="5" t="s">
        <v>369</v>
      </c>
      <c r="H208" s="5" t="s">
        <v>370</v>
      </c>
      <c r="I208" s="5"/>
      <c r="J208" s="5"/>
      <c r="K208" s="5">
        <v>217</v>
      </c>
      <c r="L208" s="5">
        <v>18</v>
      </c>
      <c r="M208" s="5">
        <v>3</v>
      </c>
      <c r="N208" s="5" t="s">
        <v>6</v>
      </c>
      <c r="O208" s="5">
        <v>2</v>
      </c>
      <c r="P208" s="5">
        <f>ROUND(Source!EM189,O208)</f>
        <v>0</v>
      </c>
      <c r="Q208" s="5"/>
      <c r="R208" s="5"/>
      <c r="S208" s="5"/>
      <c r="T208" s="5"/>
      <c r="U208" s="5"/>
      <c r="V208" s="5"/>
      <c r="W208" s="5"/>
    </row>
    <row r="209" spans="1:23" x14ac:dyDescent="0.2">
      <c r="A209" s="5">
        <v>50</v>
      </c>
      <c r="B209" s="5">
        <v>0</v>
      </c>
      <c r="C209" s="5">
        <v>0</v>
      </c>
      <c r="D209" s="5">
        <v>1</v>
      </c>
      <c r="E209" s="5">
        <v>230</v>
      </c>
      <c r="F209" s="5">
        <f>ROUND(Source!BA189,O209)</f>
        <v>0</v>
      </c>
      <c r="G209" s="5" t="s">
        <v>371</v>
      </c>
      <c r="H209" s="5" t="s">
        <v>372</v>
      </c>
      <c r="I209" s="5"/>
      <c r="J209" s="5"/>
      <c r="K209" s="5">
        <v>230</v>
      </c>
      <c r="L209" s="5">
        <v>19</v>
      </c>
      <c r="M209" s="5">
        <v>3</v>
      </c>
      <c r="N209" s="5" t="s">
        <v>6</v>
      </c>
      <c r="O209" s="5">
        <v>2</v>
      </c>
      <c r="P209" s="5">
        <f>ROUND(Source!ES189,O209)</f>
        <v>0</v>
      </c>
      <c r="Q209" s="5"/>
      <c r="R209" s="5"/>
      <c r="S209" s="5"/>
      <c r="T209" s="5"/>
      <c r="U209" s="5"/>
      <c r="V209" s="5"/>
      <c r="W209" s="5"/>
    </row>
    <row r="210" spans="1:23" x14ac:dyDescent="0.2">
      <c r="A210" s="5">
        <v>50</v>
      </c>
      <c r="B210" s="5">
        <v>0</v>
      </c>
      <c r="C210" s="5">
        <v>0</v>
      </c>
      <c r="D210" s="5">
        <v>1</v>
      </c>
      <c r="E210" s="5">
        <v>206</v>
      </c>
      <c r="F210" s="5">
        <f>ROUND(Source!T189,O210)</f>
        <v>0</v>
      </c>
      <c r="G210" s="5" t="s">
        <v>373</v>
      </c>
      <c r="H210" s="5" t="s">
        <v>374</v>
      </c>
      <c r="I210" s="5"/>
      <c r="J210" s="5"/>
      <c r="K210" s="5">
        <v>206</v>
      </c>
      <c r="L210" s="5">
        <v>20</v>
      </c>
      <c r="M210" s="5">
        <v>3</v>
      </c>
      <c r="N210" s="5" t="s">
        <v>6</v>
      </c>
      <c r="O210" s="5">
        <v>2</v>
      </c>
      <c r="P210" s="5">
        <f>ROUND(Source!DL189,O210)</f>
        <v>0</v>
      </c>
      <c r="Q210" s="5"/>
      <c r="R210" s="5"/>
      <c r="S210" s="5"/>
      <c r="T210" s="5"/>
      <c r="U210" s="5"/>
      <c r="V210" s="5"/>
      <c r="W210" s="5"/>
    </row>
    <row r="211" spans="1:23" x14ac:dyDescent="0.2">
      <c r="A211" s="5">
        <v>50</v>
      </c>
      <c r="B211" s="5">
        <v>0</v>
      </c>
      <c r="C211" s="5">
        <v>0</v>
      </c>
      <c r="D211" s="5">
        <v>1</v>
      </c>
      <c r="E211" s="5">
        <v>207</v>
      </c>
      <c r="F211" s="5">
        <f>Source!U189</f>
        <v>393.16231420000003</v>
      </c>
      <c r="G211" s="5" t="s">
        <v>375</v>
      </c>
      <c r="H211" s="5" t="s">
        <v>376</v>
      </c>
      <c r="I211" s="5"/>
      <c r="J211" s="5"/>
      <c r="K211" s="5">
        <v>207</v>
      </c>
      <c r="L211" s="5">
        <v>21</v>
      </c>
      <c r="M211" s="5">
        <v>3</v>
      </c>
      <c r="N211" s="5" t="s">
        <v>6</v>
      </c>
      <c r="O211" s="5">
        <v>-1</v>
      </c>
      <c r="P211" s="5">
        <f>Source!DM189</f>
        <v>393.16231420000003</v>
      </c>
      <c r="Q211" s="5"/>
      <c r="R211" s="5"/>
      <c r="S211" s="5"/>
      <c r="T211" s="5"/>
      <c r="U211" s="5"/>
      <c r="V211" s="5"/>
      <c r="W211" s="5"/>
    </row>
    <row r="212" spans="1:23" x14ac:dyDescent="0.2">
      <c r="A212" s="5">
        <v>50</v>
      </c>
      <c r="B212" s="5">
        <v>0</v>
      </c>
      <c r="C212" s="5">
        <v>0</v>
      </c>
      <c r="D212" s="5">
        <v>1</v>
      </c>
      <c r="E212" s="5">
        <v>208</v>
      </c>
      <c r="F212" s="5">
        <f>Source!V189</f>
        <v>4.4030685000000007</v>
      </c>
      <c r="G212" s="5" t="s">
        <v>377</v>
      </c>
      <c r="H212" s="5" t="s">
        <v>378</v>
      </c>
      <c r="I212" s="5"/>
      <c r="J212" s="5"/>
      <c r="K212" s="5">
        <v>208</v>
      </c>
      <c r="L212" s="5">
        <v>22</v>
      </c>
      <c r="M212" s="5">
        <v>3</v>
      </c>
      <c r="N212" s="5" t="s">
        <v>6</v>
      </c>
      <c r="O212" s="5">
        <v>-1</v>
      </c>
      <c r="P212" s="5">
        <f>Source!DN189</f>
        <v>4.4030685000000007</v>
      </c>
      <c r="Q212" s="5"/>
      <c r="R212" s="5"/>
      <c r="S212" s="5"/>
      <c r="T212" s="5"/>
      <c r="U212" s="5"/>
      <c r="V212" s="5"/>
      <c r="W212" s="5"/>
    </row>
    <row r="213" spans="1:23" x14ac:dyDescent="0.2">
      <c r="A213" s="5">
        <v>50</v>
      </c>
      <c r="B213" s="5">
        <v>0</v>
      </c>
      <c r="C213" s="5">
        <v>0</v>
      </c>
      <c r="D213" s="5">
        <v>1</v>
      </c>
      <c r="E213" s="5">
        <v>209</v>
      </c>
      <c r="F213" s="5">
        <f>ROUND(Source!W189,O213)</f>
        <v>0</v>
      </c>
      <c r="G213" s="5" t="s">
        <v>379</v>
      </c>
      <c r="H213" s="5" t="s">
        <v>380</v>
      </c>
      <c r="I213" s="5"/>
      <c r="J213" s="5"/>
      <c r="K213" s="5">
        <v>209</v>
      </c>
      <c r="L213" s="5">
        <v>23</v>
      </c>
      <c r="M213" s="5">
        <v>3</v>
      </c>
      <c r="N213" s="5" t="s">
        <v>6</v>
      </c>
      <c r="O213" s="5">
        <v>2</v>
      </c>
      <c r="P213" s="5">
        <f>ROUND(Source!DO189,O213)</f>
        <v>0</v>
      </c>
      <c r="Q213" s="5"/>
      <c r="R213" s="5"/>
      <c r="S213" s="5"/>
      <c r="T213" s="5"/>
      <c r="U213" s="5"/>
      <c r="V213" s="5"/>
      <c r="W213" s="5"/>
    </row>
    <row r="214" spans="1:23" x14ac:dyDescent="0.2">
      <c r="A214" s="5">
        <v>50</v>
      </c>
      <c r="B214" s="5">
        <v>0</v>
      </c>
      <c r="C214" s="5">
        <v>0</v>
      </c>
      <c r="D214" s="5">
        <v>1</v>
      </c>
      <c r="E214" s="5">
        <v>210</v>
      </c>
      <c r="F214" s="5">
        <f>ROUND(Source!X189,O214)</f>
        <v>3507.31</v>
      </c>
      <c r="G214" s="5" t="s">
        <v>381</v>
      </c>
      <c r="H214" s="5" t="s">
        <v>382</v>
      </c>
      <c r="I214" s="5"/>
      <c r="J214" s="5"/>
      <c r="K214" s="5">
        <v>210</v>
      </c>
      <c r="L214" s="5">
        <v>24</v>
      </c>
      <c r="M214" s="5">
        <v>3</v>
      </c>
      <c r="N214" s="5" t="s">
        <v>6</v>
      </c>
      <c r="O214" s="5">
        <v>2</v>
      </c>
      <c r="P214" s="5">
        <f>ROUND(Source!DP189,O214)</f>
        <v>21429.8</v>
      </c>
      <c r="Q214" s="5"/>
      <c r="R214" s="5"/>
      <c r="S214" s="5"/>
      <c r="T214" s="5"/>
      <c r="U214" s="5"/>
      <c r="V214" s="5"/>
      <c r="W214" s="5"/>
    </row>
    <row r="215" spans="1:23" x14ac:dyDescent="0.2">
      <c r="A215" s="5">
        <v>50</v>
      </c>
      <c r="B215" s="5">
        <v>0</v>
      </c>
      <c r="C215" s="5">
        <v>0</v>
      </c>
      <c r="D215" s="5">
        <v>1</v>
      </c>
      <c r="E215" s="5">
        <v>211</v>
      </c>
      <c r="F215" s="5">
        <f>ROUND(Source!Y189,O215)</f>
        <v>2093.2399999999998</v>
      </c>
      <c r="G215" s="5" t="s">
        <v>383</v>
      </c>
      <c r="H215" s="5" t="s">
        <v>384</v>
      </c>
      <c r="I215" s="5"/>
      <c r="J215" s="5"/>
      <c r="K215" s="5">
        <v>211</v>
      </c>
      <c r="L215" s="5">
        <v>25</v>
      </c>
      <c r="M215" s="5">
        <v>3</v>
      </c>
      <c r="N215" s="5" t="s">
        <v>6</v>
      </c>
      <c r="O215" s="5">
        <v>2</v>
      </c>
      <c r="P215" s="5">
        <f>ROUND(Source!DQ189,O215)</f>
        <v>12789.67</v>
      </c>
      <c r="Q215" s="5"/>
      <c r="R215" s="5"/>
      <c r="S215" s="5"/>
      <c r="T215" s="5"/>
      <c r="U215" s="5"/>
      <c r="V215" s="5"/>
      <c r="W215" s="5"/>
    </row>
    <row r="216" spans="1:23" x14ac:dyDescent="0.2">
      <c r="A216" s="5">
        <v>50</v>
      </c>
      <c r="B216" s="5">
        <v>0</v>
      </c>
      <c r="C216" s="5">
        <v>0</v>
      </c>
      <c r="D216" s="5">
        <v>1</v>
      </c>
      <c r="E216" s="5">
        <v>224</v>
      </c>
      <c r="F216" s="5">
        <f>ROUND(Source!AR189,O216)</f>
        <v>52474.97</v>
      </c>
      <c r="G216" s="5" t="s">
        <v>385</v>
      </c>
      <c r="H216" s="5" t="s">
        <v>386</v>
      </c>
      <c r="I216" s="5"/>
      <c r="J216" s="5"/>
      <c r="K216" s="5">
        <v>224</v>
      </c>
      <c r="L216" s="5">
        <v>26</v>
      </c>
      <c r="M216" s="5">
        <v>3</v>
      </c>
      <c r="N216" s="5" t="s">
        <v>6</v>
      </c>
      <c r="O216" s="5">
        <v>2</v>
      </c>
      <c r="P216" s="5">
        <f>ROUND(Source!EJ189,O216)</f>
        <v>320622.19</v>
      </c>
      <c r="Q216" s="5"/>
      <c r="R216" s="5"/>
      <c r="S216" s="5"/>
      <c r="T216" s="5"/>
      <c r="U216" s="5"/>
      <c r="V216" s="5"/>
      <c r="W216" s="5"/>
    </row>
    <row r="217" spans="1:23" x14ac:dyDescent="0.2">
      <c r="A217" s="5">
        <v>50</v>
      </c>
      <c r="B217" s="5">
        <v>1</v>
      </c>
      <c r="C217" s="5">
        <v>0</v>
      </c>
      <c r="D217" s="5">
        <v>2</v>
      </c>
      <c r="E217" s="5">
        <v>0</v>
      </c>
      <c r="F217" s="5">
        <f>ROUND(F216,O217)</f>
        <v>52474.97</v>
      </c>
      <c r="G217" s="5" t="s">
        <v>387</v>
      </c>
      <c r="H217" s="5" t="s">
        <v>386</v>
      </c>
      <c r="I217" s="5"/>
      <c r="J217" s="5"/>
      <c r="K217" s="5">
        <v>212</v>
      </c>
      <c r="L217" s="5">
        <v>27</v>
      </c>
      <c r="M217" s="5">
        <v>0</v>
      </c>
      <c r="N217" s="5" t="s">
        <v>6</v>
      </c>
      <c r="O217" s="5">
        <v>2</v>
      </c>
      <c r="P217" s="5">
        <f>ROUND(P216,O217)</f>
        <v>320622.19</v>
      </c>
      <c r="Q217" s="5"/>
      <c r="R217" s="5"/>
      <c r="S217" s="5"/>
      <c r="T217" s="5"/>
      <c r="U217" s="5"/>
      <c r="V217" s="5"/>
      <c r="W217" s="5"/>
    </row>
    <row r="218" spans="1:23" x14ac:dyDescent="0.2">
      <c r="A218" s="5">
        <v>50</v>
      </c>
      <c r="B218" s="5">
        <v>1</v>
      </c>
      <c r="C218" s="5">
        <v>0</v>
      </c>
      <c r="D218" s="5">
        <v>2</v>
      </c>
      <c r="E218" s="5">
        <v>0</v>
      </c>
      <c r="F218" s="5">
        <f>ROUND(F217*18/100,O218)</f>
        <v>9445.49</v>
      </c>
      <c r="G218" s="5" t="s">
        <v>388</v>
      </c>
      <c r="H218" s="5" t="s">
        <v>389</v>
      </c>
      <c r="I218" s="5"/>
      <c r="J218" s="5"/>
      <c r="K218" s="5">
        <v>212</v>
      </c>
      <c r="L218" s="5">
        <v>28</v>
      </c>
      <c r="M218" s="5">
        <v>0</v>
      </c>
      <c r="N218" s="5" t="s">
        <v>6</v>
      </c>
      <c r="O218" s="5">
        <v>2</v>
      </c>
      <c r="P218" s="5">
        <f>ROUND(P217*18/100,O218)</f>
        <v>57711.99</v>
      </c>
      <c r="Q218" s="5"/>
      <c r="R218" s="5"/>
      <c r="S218" s="5"/>
      <c r="T218" s="5"/>
      <c r="U218" s="5"/>
      <c r="V218" s="5"/>
      <c r="W218" s="5"/>
    </row>
    <row r="219" spans="1:23" x14ac:dyDescent="0.2">
      <c r="A219" s="5">
        <v>50</v>
      </c>
      <c r="B219" s="5">
        <v>1</v>
      </c>
      <c r="C219" s="5">
        <v>0</v>
      </c>
      <c r="D219" s="5">
        <v>2</v>
      </c>
      <c r="E219" s="5">
        <v>213</v>
      </c>
      <c r="F219" s="5">
        <f>ROUND(F217+F218,O219)</f>
        <v>61920.46</v>
      </c>
      <c r="G219" s="5" t="s">
        <v>390</v>
      </c>
      <c r="H219" s="5" t="s">
        <v>391</v>
      </c>
      <c r="I219" s="5"/>
      <c r="J219" s="5"/>
      <c r="K219" s="5">
        <v>212</v>
      </c>
      <c r="L219" s="5">
        <v>29</v>
      </c>
      <c r="M219" s="5">
        <v>0</v>
      </c>
      <c r="N219" s="5" t="s">
        <v>6</v>
      </c>
      <c r="O219" s="5">
        <v>2</v>
      </c>
      <c r="P219" s="5">
        <f>ROUND(P217+P218,O219)</f>
        <v>378334.18</v>
      </c>
      <c r="Q219" s="5"/>
      <c r="R219" s="5"/>
      <c r="S219" s="5"/>
      <c r="T219" s="5"/>
      <c r="U219" s="5"/>
      <c r="V219" s="5"/>
      <c r="W219" s="5"/>
    </row>
    <row r="222" spans="1:23" x14ac:dyDescent="0.2">
      <c r="A222">
        <v>70</v>
      </c>
      <c r="B222">
        <v>1</v>
      </c>
      <c r="D222">
        <v>1</v>
      </c>
      <c r="E222" t="s">
        <v>392</v>
      </c>
      <c r="F222" t="s">
        <v>393</v>
      </c>
      <c r="G222">
        <v>0</v>
      </c>
      <c r="H222">
        <v>0</v>
      </c>
      <c r="I222" t="s">
        <v>6</v>
      </c>
      <c r="J222">
        <v>1</v>
      </c>
      <c r="K222">
        <v>0</v>
      </c>
      <c r="L222" t="s">
        <v>6</v>
      </c>
      <c r="M222" t="s">
        <v>6</v>
      </c>
      <c r="N222">
        <v>0</v>
      </c>
      <c r="O222">
        <v>0</v>
      </c>
    </row>
    <row r="223" spans="1:23" x14ac:dyDescent="0.2">
      <c r="A223">
        <v>70</v>
      </c>
      <c r="B223">
        <v>1</v>
      </c>
      <c r="D223">
        <v>2</v>
      </c>
      <c r="E223" t="s">
        <v>394</v>
      </c>
      <c r="F223" t="s">
        <v>395</v>
      </c>
      <c r="G223">
        <v>1</v>
      </c>
      <c r="H223">
        <v>0</v>
      </c>
      <c r="I223" t="s">
        <v>6</v>
      </c>
      <c r="J223">
        <v>1</v>
      </c>
      <c r="K223">
        <v>0</v>
      </c>
      <c r="L223" t="s">
        <v>6</v>
      </c>
      <c r="M223" t="s">
        <v>6</v>
      </c>
      <c r="N223">
        <v>0</v>
      </c>
      <c r="O223">
        <v>1</v>
      </c>
    </row>
    <row r="224" spans="1:23" x14ac:dyDescent="0.2">
      <c r="A224">
        <v>70</v>
      </c>
      <c r="B224">
        <v>1</v>
      </c>
      <c r="D224">
        <v>3</v>
      </c>
      <c r="E224" t="s">
        <v>396</v>
      </c>
      <c r="F224" t="s">
        <v>397</v>
      </c>
      <c r="G224">
        <v>0</v>
      </c>
      <c r="H224">
        <v>0</v>
      </c>
      <c r="I224" t="s">
        <v>6</v>
      </c>
      <c r="J224">
        <v>1</v>
      </c>
      <c r="K224">
        <v>0</v>
      </c>
      <c r="L224" t="s">
        <v>6</v>
      </c>
      <c r="M224" t="s">
        <v>6</v>
      </c>
      <c r="N224">
        <v>0</v>
      </c>
      <c r="O224">
        <v>0</v>
      </c>
    </row>
    <row r="225" spans="1:15" x14ac:dyDescent="0.2">
      <c r="A225">
        <v>70</v>
      </c>
      <c r="B225">
        <v>1</v>
      </c>
      <c r="D225">
        <v>4</v>
      </c>
      <c r="E225" t="s">
        <v>398</v>
      </c>
      <c r="F225" t="s">
        <v>399</v>
      </c>
      <c r="G225">
        <v>0</v>
      </c>
      <c r="H225">
        <v>0</v>
      </c>
      <c r="I225" t="s">
        <v>400</v>
      </c>
      <c r="J225">
        <v>0</v>
      </c>
      <c r="K225">
        <v>0</v>
      </c>
      <c r="L225" t="s">
        <v>6</v>
      </c>
      <c r="M225" t="s">
        <v>6</v>
      </c>
      <c r="N225">
        <v>0</v>
      </c>
      <c r="O225">
        <v>0</v>
      </c>
    </row>
    <row r="226" spans="1:15" x14ac:dyDescent="0.2">
      <c r="A226">
        <v>70</v>
      </c>
      <c r="B226">
        <v>1</v>
      </c>
      <c r="D226">
        <v>5</v>
      </c>
      <c r="E226" t="s">
        <v>401</v>
      </c>
      <c r="F226" t="s">
        <v>402</v>
      </c>
      <c r="G226">
        <v>0</v>
      </c>
      <c r="H226">
        <v>0</v>
      </c>
      <c r="I226" t="s">
        <v>403</v>
      </c>
      <c r="J226">
        <v>0</v>
      </c>
      <c r="K226">
        <v>0</v>
      </c>
      <c r="L226" t="s">
        <v>6</v>
      </c>
      <c r="M226" t="s">
        <v>6</v>
      </c>
      <c r="N226">
        <v>0</v>
      </c>
      <c r="O226">
        <v>0</v>
      </c>
    </row>
    <row r="227" spans="1:15" x14ac:dyDescent="0.2">
      <c r="A227">
        <v>70</v>
      </c>
      <c r="B227">
        <v>1</v>
      </c>
      <c r="D227">
        <v>6</v>
      </c>
      <c r="E227" t="s">
        <v>404</v>
      </c>
      <c r="F227" t="s">
        <v>405</v>
      </c>
      <c r="G227">
        <v>0</v>
      </c>
      <c r="H227">
        <v>0</v>
      </c>
      <c r="I227" t="s">
        <v>406</v>
      </c>
      <c r="J227">
        <v>0</v>
      </c>
      <c r="K227">
        <v>0</v>
      </c>
      <c r="L227" t="s">
        <v>6</v>
      </c>
      <c r="M227" t="s">
        <v>6</v>
      </c>
      <c r="N227">
        <v>0</v>
      </c>
      <c r="O227">
        <v>0</v>
      </c>
    </row>
    <row r="228" spans="1:15" x14ac:dyDescent="0.2">
      <c r="A228">
        <v>70</v>
      </c>
      <c r="B228">
        <v>1</v>
      </c>
      <c r="D228">
        <v>7</v>
      </c>
      <c r="E228" t="s">
        <v>407</v>
      </c>
      <c r="F228" t="s">
        <v>408</v>
      </c>
      <c r="G228">
        <v>0</v>
      </c>
      <c r="H228">
        <v>0</v>
      </c>
      <c r="I228" t="s">
        <v>6</v>
      </c>
      <c r="J228">
        <v>0</v>
      </c>
      <c r="K228">
        <v>0</v>
      </c>
      <c r="L228" t="s">
        <v>6</v>
      </c>
      <c r="M228" t="s">
        <v>6</v>
      </c>
      <c r="N228">
        <v>0</v>
      </c>
      <c r="O228">
        <v>0</v>
      </c>
    </row>
    <row r="229" spans="1:15" x14ac:dyDescent="0.2">
      <c r="A229">
        <v>70</v>
      </c>
      <c r="B229">
        <v>1</v>
      </c>
      <c r="D229">
        <v>8</v>
      </c>
      <c r="E229" t="s">
        <v>409</v>
      </c>
      <c r="F229" t="s">
        <v>410</v>
      </c>
      <c r="G229">
        <v>0</v>
      </c>
      <c r="H229">
        <v>0</v>
      </c>
      <c r="I229" t="s">
        <v>411</v>
      </c>
      <c r="J229">
        <v>0</v>
      </c>
      <c r="K229">
        <v>0</v>
      </c>
      <c r="L229" t="s">
        <v>6</v>
      </c>
      <c r="M229" t="s">
        <v>6</v>
      </c>
      <c r="N229">
        <v>0</v>
      </c>
      <c r="O229">
        <v>0</v>
      </c>
    </row>
    <row r="230" spans="1:15" x14ac:dyDescent="0.2">
      <c r="A230">
        <v>70</v>
      </c>
      <c r="B230">
        <v>1</v>
      </c>
      <c r="D230">
        <v>9</v>
      </c>
      <c r="E230" t="s">
        <v>412</v>
      </c>
      <c r="F230" t="s">
        <v>413</v>
      </c>
      <c r="G230">
        <v>0</v>
      </c>
      <c r="H230">
        <v>0</v>
      </c>
      <c r="I230" t="s">
        <v>414</v>
      </c>
      <c r="J230">
        <v>0</v>
      </c>
      <c r="K230">
        <v>0</v>
      </c>
      <c r="L230" t="s">
        <v>6</v>
      </c>
      <c r="M230" t="s">
        <v>6</v>
      </c>
      <c r="N230">
        <v>0</v>
      </c>
      <c r="O230">
        <v>0</v>
      </c>
    </row>
    <row r="231" spans="1:15" x14ac:dyDescent="0.2">
      <c r="A231">
        <v>70</v>
      </c>
      <c r="B231">
        <v>1</v>
      </c>
      <c r="D231">
        <v>10</v>
      </c>
      <c r="E231" t="s">
        <v>415</v>
      </c>
      <c r="F231" t="s">
        <v>416</v>
      </c>
      <c r="G231">
        <v>0</v>
      </c>
      <c r="H231">
        <v>0</v>
      </c>
      <c r="I231" t="s">
        <v>417</v>
      </c>
      <c r="J231">
        <v>0</v>
      </c>
      <c r="K231">
        <v>0</v>
      </c>
      <c r="L231" t="s">
        <v>6</v>
      </c>
      <c r="M231" t="s">
        <v>6</v>
      </c>
      <c r="N231">
        <v>0</v>
      </c>
      <c r="O231">
        <v>0</v>
      </c>
    </row>
    <row r="232" spans="1:15" x14ac:dyDescent="0.2">
      <c r="A232">
        <v>70</v>
      </c>
      <c r="B232">
        <v>1</v>
      </c>
      <c r="D232">
        <v>11</v>
      </c>
      <c r="E232" t="s">
        <v>418</v>
      </c>
      <c r="F232" t="s">
        <v>419</v>
      </c>
      <c r="G232">
        <v>0</v>
      </c>
      <c r="H232">
        <v>0</v>
      </c>
      <c r="I232" t="s">
        <v>420</v>
      </c>
      <c r="J232">
        <v>0</v>
      </c>
      <c r="K232">
        <v>0</v>
      </c>
      <c r="L232" t="s">
        <v>6</v>
      </c>
      <c r="M232" t="s">
        <v>6</v>
      </c>
      <c r="N232">
        <v>0</v>
      </c>
      <c r="O232">
        <v>0</v>
      </c>
    </row>
    <row r="233" spans="1:15" x14ac:dyDescent="0.2">
      <c r="A233">
        <v>70</v>
      </c>
      <c r="B233">
        <v>1</v>
      </c>
      <c r="D233">
        <v>12</v>
      </c>
      <c r="E233" t="s">
        <v>421</v>
      </c>
      <c r="F233" t="s">
        <v>422</v>
      </c>
      <c r="G233">
        <v>0</v>
      </c>
      <c r="H233">
        <v>0</v>
      </c>
      <c r="I233" t="s">
        <v>6</v>
      </c>
      <c r="J233">
        <v>0</v>
      </c>
      <c r="K233">
        <v>0</v>
      </c>
      <c r="L233" t="s">
        <v>6</v>
      </c>
      <c r="M233" t="s">
        <v>6</v>
      </c>
      <c r="N233">
        <v>0</v>
      </c>
      <c r="O233">
        <v>0</v>
      </c>
    </row>
    <row r="234" spans="1:15" x14ac:dyDescent="0.2">
      <c r="A234">
        <v>70</v>
      </c>
      <c r="B234">
        <v>1</v>
      </c>
      <c r="D234">
        <v>1</v>
      </c>
      <c r="E234" t="s">
        <v>423</v>
      </c>
      <c r="F234" t="s">
        <v>424</v>
      </c>
      <c r="G234">
        <v>0.9</v>
      </c>
      <c r="H234">
        <v>1</v>
      </c>
      <c r="I234" t="s">
        <v>425</v>
      </c>
      <c r="J234">
        <v>0</v>
      </c>
      <c r="K234">
        <v>0</v>
      </c>
      <c r="L234" t="s">
        <v>6</v>
      </c>
      <c r="M234" t="s">
        <v>6</v>
      </c>
      <c r="N234">
        <v>0</v>
      </c>
      <c r="O234">
        <v>0.9</v>
      </c>
    </row>
    <row r="235" spans="1:15" x14ac:dyDescent="0.2">
      <c r="A235">
        <v>70</v>
      </c>
      <c r="B235">
        <v>1</v>
      </c>
      <c r="D235">
        <v>2</v>
      </c>
      <c r="E235" t="s">
        <v>426</v>
      </c>
      <c r="F235" t="s">
        <v>427</v>
      </c>
      <c r="G235">
        <v>0.85</v>
      </c>
      <c r="H235">
        <v>1</v>
      </c>
      <c r="I235" t="s">
        <v>428</v>
      </c>
      <c r="J235">
        <v>0</v>
      </c>
      <c r="K235">
        <v>0</v>
      </c>
      <c r="L235" t="s">
        <v>6</v>
      </c>
      <c r="M235" t="s">
        <v>6</v>
      </c>
      <c r="N235">
        <v>0</v>
      </c>
      <c r="O235">
        <v>0.85</v>
      </c>
    </row>
    <row r="236" spans="1:15" x14ac:dyDescent="0.2">
      <c r="A236">
        <v>70</v>
      </c>
      <c r="B236">
        <v>1</v>
      </c>
      <c r="D236">
        <v>3</v>
      </c>
      <c r="E236" t="s">
        <v>429</v>
      </c>
      <c r="F236" t="s">
        <v>430</v>
      </c>
      <c r="G236">
        <v>1</v>
      </c>
      <c r="H236">
        <v>0.85</v>
      </c>
      <c r="I236" t="s">
        <v>431</v>
      </c>
      <c r="J236">
        <v>0</v>
      </c>
      <c r="K236">
        <v>0</v>
      </c>
      <c r="L236" t="s">
        <v>6</v>
      </c>
      <c r="M236" t="s">
        <v>6</v>
      </c>
      <c r="N236">
        <v>0</v>
      </c>
      <c r="O236">
        <v>1</v>
      </c>
    </row>
    <row r="237" spans="1:15" x14ac:dyDescent="0.2">
      <c r="A237">
        <v>70</v>
      </c>
      <c r="B237">
        <v>1</v>
      </c>
      <c r="D237">
        <v>4</v>
      </c>
      <c r="E237" t="s">
        <v>432</v>
      </c>
      <c r="F237" t="s">
        <v>433</v>
      </c>
      <c r="G237">
        <v>1</v>
      </c>
      <c r="H237">
        <v>0</v>
      </c>
      <c r="I237" t="s">
        <v>6</v>
      </c>
      <c r="J237">
        <v>0</v>
      </c>
      <c r="K237">
        <v>0</v>
      </c>
      <c r="L237" t="s">
        <v>6</v>
      </c>
      <c r="M237" t="s">
        <v>6</v>
      </c>
      <c r="N237">
        <v>0</v>
      </c>
      <c r="O237">
        <v>1</v>
      </c>
    </row>
    <row r="238" spans="1:15" x14ac:dyDescent="0.2">
      <c r="A238">
        <v>70</v>
      </c>
      <c r="B238">
        <v>1</v>
      </c>
      <c r="D238">
        <v>5</v>
      </c>
      <c r="E238" t="s">
        <v>434</v>
      </c>
      <c r="F238" t="s">
        <v>435</v>
      </c>
      <c r="G238">
        <v>1</v>
      </c>
      <c r="H238">
        <v>0.8</v>
      </c>
      <c r="I238" t="s">
        <v>436</v>
      </c>
      <c r="J238">
        <v>0</v>
      </c>
      <c r="K238">
        <v>0</v>
      </c>
      <c r="L238" t="s">
        <v>6</v>
      </c>
      <c r="M238" t="s">
        <v>6</v>
      </c>
      <c r="N238">
        <v>0</v>
      </c>
      <c r="O238">
        <v>1</v>
      </c>
    </row>
    <row r="239" spans="1:15" x14ac:dyDescent="0.2">
      <c r="A239">
        <v>70</v>
      </c>
      <c r="B239">
        <v>1</v>
      </c>
      <c r="D239">
        <v>6</v>
      </c>
      <c r="E239" t="s">
        <v>437</v>
      </c>
      <c r="F239" t="s">
        <v>438</v>
      </c>
      <c r="G239">
        <v>1</v>
      </c>
      <c r="H239">
        <v>0</v>
      </c>
      <c r="I239" t="s">
        <v>6</v>
      </c>
      <c r="J239">
        <v>0</v>
      </c>
      <c r="K239">
        <v>0</v>
      </c>
      <c r="L239" t="s">
        <v>6</v>
      </c>
      <c r="M239" t="s">
        <v>6</v>
      </c>
      <c r="N239">
        <v>0</v>
      </c>
      <c r="O239">
        <v>0.85</v>
      </c>
    </row>
    <row r="240" spans="1:15" x14ac:dyDescent="0.2">
      <c r="A240">
        <v>70</v>
      </c>
      <c r="B240">
        <v>1</v>
      </c>
      <c r="D240">
        <v>7</v>
      </c>
      <c r="E240" t="s">
        <v>439</v>
      </c>
      <c r="F240" t="s">
        <v>440</v>
      </c>
      <c r="G240">
        <v>1</v>
      </c>
      <c r="H240">
        <v>0</v>
      </c>
      <c r="I240" t="s">
        <v>6</v>
      </c>
      <c r="J240">
        <v>0</v>
      </c>
      <c r="K240">
        <v>0</v>
      </c>
      <c r="L240" t="s">
        <v>6</v>
      </c>
      <c r="M240" t="s">
        <v>6</v>
      </c>
      <c r="N240">
        <v>0</v>
      </c>
      <c r="O240">
        <v>0.8</v>
      </c>
    </row>
    <row r="241" spans="1:34" x14ac:dyDescent="0.2">
      <c r="A241">
        <v>70</v>
      </c>
      <c r="B241">
        <v>1</v>
      </c>
      <c r="D241">
        <v>8</v>
      </c>
      <c r="E241" t="s">
        <v>441</v>
      </c>
      <c r="F241" t="s">
        <v>442</v>
      </c>
      <c r="G241">
        <v>0.7</v>
      </c>
      <c r="H241">
        <v>0</v>
      </c>
      <c r="I241" t="s">
        <v>6</v>
      </c>
      <c r="J241">
        <v>0</v>
      </c>
      <c r="K241">
        <v>0</v>
      </c>
      <c r="L241" t="s">
        <v>6</v>
      </c>
      <c r="M241" t="s">
        <v>6</v>
      </c>
      <c r="N241">
        <v>0</v>
      </c>
      <c r="O241">
        <v>0.94</v>
      </c>
    </row>
    <row r="242" spans="1:34" x14ac:dyDescent="0.2">
      <c r="A242">
        <v>70</v>
      </c>
      <c r="B242">
        <v>1</v>
      </c>
      <c r="D242">
        <v>9</v>
      </c>
      <c r="E242" t="s">
        <v>443</v>
      </c>
      <c r="F242" t="s">
        <v>444</v>
      </c>
      <c r="G242">
        <v>0.9</v>
      </c>
      <c r="H242">
        <v>0</v>
      </c>
      <c r="I242" t="s">
        <v>6</v>
      </c>
      <c r="J242">
        <v>0</v>
      </c>
      <c r="K242">
        <v>0</v>
      </c>
      <c r="L242" t="s">
        <v>6</v>
      </c>
      <c r="M242" t="s">
        <v>6</v>
      </c>
      <c r="N242">
        <v>0</v>
      </c>
      <c r="O242">
        <v>0.9</v>
      </c>
    </row>
    <row r="243" spans="1:34" x14ac:dyDescent="0.2">
      <c r="A243">
        <v>70</v>
      </c>
      <c r="B243">
        <v>1</v>
      </c>
      <c r="D243">
        <v>10</v>
      </c>
      <c r="E243" t="s">
        <v>445</v>
      </c>
      <c r="F243" t="s">
        <v>446</v>
      </c>
      <c r="G243">
        <v>0.6</v>
      </c>
      <c r="H243">
        <v>0</v>
      </c>
      <c r="I243" t="s">
        <v>6</v>
      </c>
      <c r="J243">
        <v>0</v>
      </c>
      <c r="K243">
        <v>0</v>
      </c>
      <c r="L243" t="s">
        <v>6</v>
      </c>
      <c r="M243" t="s">
        <v>6</v>
      </c>
      <c r="N243">
        <v>0</v>
      </c>
      <c r="O243">
        <v>0.6</v>
      </c>
    </row>
    <row r="244" spans="1:34" x14ac:dyDescent="0.2">
      <c r="A244">
        <v>70</v>
      </c>
      <c r="B244">
        <v>1</v>
      </c>
      <c r="D244">
        <v>11</v>
      </c>
      <c r="E244" t="s">
        <v>447</v>
      </c>
      <c r="F244" t="s">
        <v>448</v>
      </c>
      <c r="G244">
        <v>1.2</v>
      </c>
      <c r="H244">
        <v>0</v>
      </c>
      <c r="I244" t="s">
        <v>6</v>
      </c>
      <c r="J244">
        <v>0</v>
      </c>
      <c r="K244">
        <v>0</v>
      </c>
      <c r="L244" t="s">
        <v>6</v>
      </c>
      <c r="M244" t="s">
        <v>6</v>
      </c>
      <c r="N244">
        <v>0</v>
      </c>
      <c r="O244">
        <v>1.2</v>
      </c>
    </row>
    <row r="245" spans="1:34" x14ac:dyDescent="0.2">
      <c r="A245">
        <v>70</v>
      </c>
      <c r="B245">
        <v>1</v>
      </c>
      <c r="D245">
        <v>12</v>
      </c>
      <c r="E245" t="s">
        <v>449</v>
      </c>
      <c r="F245" t="s">
        <v>450</v>
      </c>
      <c r="G245">
        <v>0</v>
      </c>
      <c r="H245">
        <v>0</v>
      </c>
      <c r="I245" t="s">
        <v>6</v>
      </c>
      <c r="J245">
        <v>0</v>
      </c>
      <c r="K245">
        <v>0</v>
      </c>
      <c r="L245" t="s">
        <v>6</v>
      </c>
      <c r="M245" t="s">
        <v>6</v>
      </c>
      <c r="N245">
        <v>0</v>
      </c>
      <c r="O245">
        <v>0</v>
      </c>
    </row>
    <row r="246" spans="1:34" x14ac:dyDescent="0.2">
      <c r="A246">
        <v>70</v>
      </c>
      <c r="B246">
        <v>1</v>
      </c>
      <c r="D246">
        <v>13</v>
      </c>
      <c r="E246" t="s">
        <v>451</v>
      </c>
      <c r="F246" t="s">
        <v>452</v>
      </c>
      <c r="G246">
        <v>1</v>
      </c>
      <c r="H246">
        <v>0</v>
      </c>
      <c r="I246" t="s">
        <v>6</v>
      </c>
      <c r="J246">
        <v>0</v>
      </c>
      <c r="K246">
        <v>0</v>
      </c>
      <c r="L246" t="s">
        <v>6</v>
      </c>
      <c r="M246" t="s">
        <v>6</v>
      </c>
      <c r="N246">
        <v>0</v>
      </c>
      <c r="O246">
        <v>0.94</v>
      </c>
    </row>
    <row r="248" spans="1:34" x14ac:dyDescent="0.2">
      <c r="A248">
        <v>-1</v>
      </c>
    </row>
    <row r="250" spans="1:34" x14ac:dyDescent="0.2">
      <c r="A250" s="4">
        <v>75</v>
      </c>
      <c r="B250" s="4" t="s">
        <v>453</v>
      </c>
      <c r="C250" s="4">
        <v>2000</v>
      </c>
      <c r="D250" s="4">
        <v>0</v>
      </c>
      <c r="E250" s="4">
        <v>1</v>
      </c>
      <c r="F250" s="4"/>
      <c r="G250" s="4">
        <v>0</v>
      </c>
      <c r="H250" s="4">
        <v>1</v>
      </c>
      <c r="I250" s="4">
        <v>0</v>
      </c>
      <c r="J250" s="4">
        <v>1</v>
      </c>
      <c r="K250" s="4">
        <v>0</v>
      </c>
      <c r="L250" s="4">
        <v>0</v>
      </c>
      <c r="M250" s="4">
        <v>0</v>
      </c>
      <c r="N250" s="4">
        <v>27935367</v>
      </c>
      <c r="O250" s="4">
        <v>1</v>
      </c>
    </row>
    <row r="251" spans="1:34" x14ac:dyDescent="0.2">
      <c r="A251" s="4">
        <v>75</v>
      </c>
      <c r="B251" s="4" t="s">
        <v>454</v>
      </c>
      <c r="C251" s="4">
        <v>2018</v>
      </c>
      <c r="D251" s="4">
        <v>2</v>
      </c>
      <c r="E251" s="4">
        <v>0</v>
      </c>
      <c r="F251" s="4"/>
      <c r="G251" s="4">
        <v>0</v>
      </c>
      <c r="H251" s="4">
        <v>1</v>
      </c>
      <c r="I251" s="4">
        <v>0</v>
      </c>
      <c r="J251" s="4">
        <v>1</v>
      </c>
      <c r="K251" s="4">
        <v>0</v>
      </c>
      <c r="L251" s="4">
        <v>0</v>
      </c>
      <c r="M251" s="4">
        <v>1</v>
      </c>
      <c r="N251" s="4">
        <v>27935368</v>
      </c>
      <c r="O251" s="4">
        <v>2</v>
      </c>
    </row>
    <row r="252" spans="1:34" x14ac:dyDescent="0.2">
      <c r="A252" s="6">
        <v>3</v>
      </c>
      <c r="B252" s="6" t="s">
        <v>455</v>
      </c>
      <c r="C252" s="6">
        <v>6.11</v>
      </c>
      <c r="D252" s="6">
        <v>1</v>
      </c>
      <c r="E252" s="6">
        <v>1</v>
      </c>
      <c r="F252" s="6">
        <v>1</v>
      </c>
      <c r="G252" s="6">
        <v>1</v>
      </c>
      <c r="H252" s="6">
        <v>1</v>
      </c>
      <c r="I252" s="6">
        <v>1</v>
      </c>
      <c r="J252" s="6">
        <v>1</v>
      </c>
      <c r="K252" s="6">
        <v>14.38</v>
      </c>
      <c r="L252" s="6">
        <v>1</v>
      </c>
      <c r="M252" s="6">
        <v>6.11</v>
      </c>
      <c r="N252" s="6">
        <v>1</v>
      </c>
      <c r="O252" s="6">
        <v>1</v>
      </c>
      <c r="P252" s="6">
        <v>1</v>
      </c>
      <c r="Q252" s="6">
        <v>14.38</v>
      </c>
      <c r="R252" s="6">
        <v>1</v>
      </c>
      <c r="S252" s="6" t="s">
        <v>6</v>
      </c>
      <c r="T252" s="6" t="s">
        <v>6</v>
      </c>
      <c r="U252" s="6" t="s">
        <v>6</v>
      </c>
      <c r="V252" s="6" t="s">
        <v>6</v>
      </c>
      <c r="W252" s="6" t="s">
        <v>6</v>
      </c>
      <c r="X252" s="6" t="s">
        <v>6</v>
      </c>
      <c r="Y252" s="6" t="s">
        <v>6</v>
      </c>
      <c r="Z252" s="6" t="s">
        <v>6</v>
      </c>
      <c r="AA252" s="6" t="s">
        <v>6</v>
      </c>
      <c r="AB252" s="6" t="s">
        <v>6</v>
      </c>
      <c r="AC252" s="6" t="s">
        <v>6</v>
      </c>
      <c r="AD252" s="6" t="s">
        <v>6</v>
      </c>
      <c r="AE252" s="6" t="s">
        <v>6</v>
      </c>
      <c r="AF252" s="6" t="s">
        <v>6</v>
      </c>
      <c r="AG252" s="6" t="s">
        <v>6</v>
      </c>
      <c r="AH252" s="6" t="s">
        <v>6</v>
      </c>
    </row>
    <row r="256" spans="1:34" x14ac:dyDescent="0.2">
      <c r="A256">
        <v>65</v>
      </c>
      <c r="C256">
        <v>1</v>
      </c>
      <c r="D256">
        <v>0</v>
      </c>
      <c r="E25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456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27935367</v>
      </c>
      <c r="E14" s="1">
        <v>27935368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(Source!F174)/1000</f>
        <v>51.275690000000004</v>
      </c>
      <c r="F16" s="8">
        <f>(Source!F175)/1000</f>
        <v>1.1992799999999999</v>
      </c>
      <c r="G16" s="8">
        <f>(Source!F166)/1000</f>
        <v>0</v>
      </c>
      <c r="H16" s="8">
        <f>(Source!F176)/1000+(Source!F177)/1000</f>
        <v>0</v>
      </c>
      <c r="I16" s="8">
        <f>E16+F16+G16+H16</f>
        <v>52.474970000000006</v>
      </c>
      <c r="J16" s="8">
        <f>(Source!F172)/1000</f>
        <v>3.4388800000000002</v>
      </c>
      <c r="T16" s="9">
        <f>(Source!P174)/1000</f>
        <v>313.29459000000003</v>
      </c>
      <c r="U16" s="9">
        <f>(Source!P175)/1000</f>
        <v>7.3276000000000003</v>
      </c>
      <c r="V16" s="9">
        <f>(Source!P166)/1000</f>
        <v>0</v>
      </c>
      <c r="W16" s="9">
        <f>(Source!P176)/1000+(Source!P177)/1000</f>
        <v>0</v>
      </c>
      <c r="X16" s="9">
        <f>T16+U16+V16+W16</f>
        <v>320.62219000000005</v>
      </c>
      <c r="Y16" s="9">
        <f>(Source!P172)/1000</f>
        <v>21.01164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46633.78</v>
      </c>
      <c r="AU16" s="8">
        <v>42996.03</v>
      </c>
      <c r="AV16" s="8">
        <v>0</v>
      </c>
      <c r="AW16" s="8">
        <v>0</v>
      </c>
      <c r="AX16" s="8">
        <v>0</v>
      </c>
      <c r="AY16" s="8">
        <v>198.87</v>
      </c>
      <c r="AZ16" s="8">
        <v>53.22</v>
      </c>
      <c r="BA16" s="8">
        <v>3438.88</v>
      </c>
      <c r="BB16" s="8">
        <v>51275.69</v>
      </c>
      <c r="BC16" s="8">
        <v>1199.28</v>
      </c>
      <c r="BD16" s="8">
        <v>0</v>
      </c>
      <c r="BE16" s="8">
        <v>0</v>
      </c>
      <c r="BF16" s="8">
        <v>393.16231420000008</v>
      </c>
      <c r="BG16" s="8">
        <v>4.4030685000000007</v>
      </c>
      <c r="BH16" s="8">
        <v>0</v>
      </c>
      <c r="BI16" s="8">
        <v>3507.31</v>
      </c>
      <c r="BJ16" s="8">
        <v>2093.2399999999998</v>
      </c>
      <c r="BK16" s="8">
        <v>52474.97</v>
      </c>
      <c r="BR16" s="9">
        <v>284932.42</v>
      </c>
      <c r="BS16" s="9">
        <v>262705.62</v>
      </c>
      <c r="BT16" s="9">
        <v>0</v>
      </c>
      <c r="BU16" s="9">
        <v>0</v>
      </c>
      <c r="BV16" s="9">
        <v>0</v>
      </c>
      <c r="BW16" s="9">
        <v>1215.1600000000001</v>
      </c>
      <c r="BX16" s="9">
        <v>325.06</v>
      </c>
      <c r="BY16" s="9">
        <v>21011.64</v>
      </c>
      <c r="BZ16" s="9">
        <v>313294.59000000003</v>
      </c>
      <c r="CA16" s="9">
        <v>7327.6</v>
      </c>
      <c r="CB16" s="9">
        <v>0</v>
      </c>
      <c r="CC16" s="9">
        <v>0</v>
      </c>
      <c r="CD16" s="9">
        <v>393.16231420000008</v>
      </c>
      <c r="CE16" s="9">
        <v>4.4030685000000007</v>
      </c>
      <c r="CF16" s="9">
        <v>0</v>
      </c>
      <c r="CG16" s="9">
        <v>21429.8</v>
      </c>
      <c r="CH16" s="9">
        <v>12789.67</v>
      </c>
      <c r="CI16" s="9">
        <v>320622.19</v>
      </c>
    </row>
    <row r="18" spans="1:40" x14ac:dyDescent="0.2">
      <c r="A18">
        <v>51</v>
      </c>
      <c r="E18" s="10">
        <f>SUMIF(A16:A17,3,E16:E17)</f>
        <v>51.275690000000004</v>
      </c>
      <c r="F18" s="10">
        <f>SUMIF(A16:A17,3,F16:F17)</f>
        <v>1.1992799999999999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52.474970000000006</v>
      </c>
      <c r="J18" s="10">
        <f>SUMIF(A16:A17,3,J16:J17)</f>
        <v>3.4388800000000002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313.29459000000003</v>
      </c>
      <c r="U18" s="3">
        <f>SUMIF(A16:A17,3,U16:U17)</f>
        <v>7.3276000000000003</v>
      </c>
      <c r="V18" s="3">
        <f>SUMIF(A16:A17,3,V16:V17)</f>
        <v>0</v>
      </c>
      <c r="W18" s="3">
        <f>SUMIF(A16:A17,3,W16:W17)</f>
        <v>0</v>
      </c>
      <c r="X18" s="3">
        <f>SUMIF(A16:A17,3,X16:X17)</f>
        <v>320.62219000000005</v>
      </c>
      <c r="Y18" s="3">
        <f>SUMIF(A16:A17,3,Y16:Y17)</f>
        <v>21.01164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46633.78</v>
      </c>
      <c r="G20" s="5" t="s">
        <v>335</v>
      </c>
      <c r="H20" s="5" t="s">
        <v>336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284932.42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42996.03</v>
      </c>
      <c r="G21" s="5" t="s">
        <v>337</v>
      </c>
      <c r="H21" s="5" t="s">
        <v>338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262705.62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339</v>
      </c>
      <c r="H22" s="5" t="s">
        <v>340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42996.03</v>
      </c>
      <c r="G23" s="5" t="s">
        <v>341</v>
      </c>
      <c r="H23" s="5" t="s">
        <v>342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262705.62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42996.03</v>
      </c>
      <c r="G24" s="5" t="s">
        <v>343</v>
      </c>
      <c r="H24" s="5" t="s">
        <v>344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262705.62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345</v>
      </c>
      <c r="H25" s="5" t="s">
        <v>346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42996.03</v>
      </c>
      <c r="G26" s="5" t="s">
        <v>347</v>
      </c>
      <c r="H26" s="5" t="s">
        <v>348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262705.62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349</v>
      </c>
      <c r="H27" s="5" t="s">
        <v>350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351</v>
      </c>
      <c r="H28" s="5" t="s">
        <v>352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353</v>
      </c>
      <c r="H29" s="5" t="s">
        <v>354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198.87</v>
      </c>
      <c r="G30" s="5" t="s">
        <v>355</v>
      </c>
      <c r="H30" s="5" t="s">
        <v>356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1215.1600000000001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357</v>
      </c>
      <c r="H31" s="5" t="s">
        <v>358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53.22</v>
      </c>
      <c r="G32" s="5" t="s">
        <v>359</v>
      </c>
      <c r="H32" s="5" t="s">
        <v>360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325.06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3438.88</v>
      </c>
      <c r="G33" s="5" t="s">
        <v>361</v>
      </c>
      <c r="H33" s="5" t="s">
        <v>362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21011.64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363</v>
      </c>
      <c r="H34" s="5" t="s">
        <v>364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51275.69</v>
      </c>
      <c r="G35" s="5" t="s">
        <v>365</v>
      </c>
      <c r="H35" s="5" t="s">
        <v>366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313294.59000000003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1199.28</v>
      </c>
      <c r="G36" s="5" t="s">
        <v>367</v>
      </c>
      <c r="H36" s="5" t="s">
        <v>368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7327.6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369</v>
      </c>
      <c r="H37" s="5" t="s">
        <v>370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371</v>
      </c>
      <c r="H38" s="5" t="s">
        <v>372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373</v>
      </c>
      <c r="H39" s="5" t="s">
        <v>374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393.16231420000008</v>
      </c>
      <c r="G40" s="5" t="s">
        <v>375</v>
      </c>
      <c r="H40" s="5" t="s">
        <v>376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393.16231420000008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4.4030685000000007</v>
      </c>
      <c r="G41" s="5" t="s">
        <v>377</v>
      </c>
      <c r="H41" s="5" t="s">
        <v>378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4.4030685000000007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379</v>
      </c>
      <c r="H42" s="5" t="s">
        <v>380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3507.31</v>
      </c>
      <c r="G43" s="5" t="s">
        <v>381</v>
      </c>
      <c r="H43" s="5" t="s">
        <v>382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21429.8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2093.2399999999998</v>
      </c>
      <c r="G44" s="5" t="s">
        <v>383</v>
      </c>
      <c r="H44" s="5" t="s">
        <v>384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12789.67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52474.97</v>
      </c>
      <c r="G45" s="5" t="s">
        <v>385</v>
      </c>
      <c r="H45" s="5" t="s">
        <v>386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320622.19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52474.97</v>
      </c>
      <c r="G46" s="5" t="s">
        <v>387</v>
      </c>
      <c r="H46" s="5" t="s">
        <v>386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320622.19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9445.49</v>
      </c>
      <c r="G47" s="5" t="s">
        <v>388</v>
      </c>
      <c r="H47" s="5" t="s">
        <v>389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57711.99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61920.46</v>
      </c>
      <c r="G48" s="5" t="s">
        <v>390</v>
      </c>
      <c r="H48" s="5" t="s">
        <v>391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378334.18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453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27935367</v>
      </c>
      <c r="O53" s="4">
        <v>1</v>
      </c>
    </row>
    <row r="54" spans="1:34" x14ac:dyDescent="0.2">
      <c r="A54" s="4">
        <v>75</v>
      </c>
      <c r="B54" s="4" t="s">
        <v>454</v>
      </c>
      <c r="C54" s="4">
        <v>2018</v>
      </c>
      <c r="D54" s="4">
        <v>2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27935368</v>
      </c>
      <c r="O54" s="4">
        <v>2</v>
      </c>
    </row>
    <row r="55" spans="1:34" x14ac:dyDescent="0.2">
      <c r="A55" s="6">
        <v>3</v>
      </c>
      <c r="B55" s="6" t="s">
        <v>455</v>
      </c>
      <c r="C55" s="6">
        <v>6.11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14.38</v>
      </c>
      <c r="L55" s="6">
        <v>1</v>
      </c>
      <c r="M55" s="6">
        <v>6.11</v>
      </c>
      <c r="N55" s="6">
        <v>1</v>
      </c>
      <c r="O55" s="6">
        <v>1</v>
      </c>
      <c r="P55" s="6">
        <v>1</v>
      </c>
      <c r="Q55" s="6">
        <v>14.38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27935367</v>
      </c>
      <c r="C1">
        <v>27935430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457</v>
      </c>
      <c r="J1" t="s">
        <v>6</v>
      </c>
      <c r="K1" t="s">
        <v>458</v>
      </c>
      <c r="L1">
        <v>1191</v>
      </c>
      <c r="N1">
        <v>1013</v>
      </c>
      <c r="O1" t="s">
        <v>459</v>
      </c>
      <c r="P1" t="s">
        <v>459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27935434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12.217391999999998</v>
      </c>
      <c r="CY1">
        <f>AD1</f>
        <v>8.09</v>
      </c>
      <c r="CZ1">
        <f>AH1</f>
        <v>8.09</v>
      </c>
      <c r="DA1">
        <f>AL1</f>
        <v>1</v>
      </c>
      <c r="DB1">
        <f t="shared" ref="DB1:DB6" si="0">ROUND(ROUND(AT1*CZ1,2),2)</f>
        <v>1525.29</v>
      </c>
      <c r="DC1">
        <f t="shared" ref="DC1:DC6" si="1">ROUND(ROUND(AT1*AG1,2),2)</f>
        <v>0</v>
      </c>
    </row>
    <row r="2" spans="1:107" x14ac:dyDescent="0.2">
      <c r="A2">
        <f>ROW(Source!A24)</f>
        <v>24</v>
      </c>
      <c r="B2">
        <v>27935367</v>
      </c>
      <c r="C2">
        <v>27935430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460</v>
      </c>
      <c r="J2" t="s">
        <v>6</v>
      </c>
      <c r="K2" t="s">
        <v>461</v>
      </c>
      <c r="L2">
        <v>1191</v>
      </c>
      <c r="N2">
        <v>1013</v>
      </c>
      <c r="O2" t="s">
        <v>459</v>
      </c>
      <c r="P2" t="s">
        <v>459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27935435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0.501552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ROW(Source!A24)</f>
        <v>24</v>
      </c>
      <c r="B3">
        <v>27935367</v>
      </c>
      <c r="C3">
        <v>27935430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462</v>
      </c>
      <c r="J3" t="s">
        <v>463</v>
      </c>
      <c r="K3" t="s">
        <v>464</v>
      </c>
      <c r="L3">
        <v>1368</v>
      </c>
      <c r="N3">
        <v>1011</v>
      </c>
      <c r="O3" t="s">
        <v>465</v>
      </c>
      <c r="P3" t="s">
        <v>465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27935436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0.501552</v>
      </c>
      <c r="CY3">
        <f>AB3</f>
        <v>31.26</v>
      </c>
      <c r="CZ3">
        <f>AF3</f>
        <v>31.26</v>
      </c>
      <c r="DA3">
        <f>AJ3</f>
        <v>1</v>
      </c>
      <c r="DB3">
        <f t="shared" si="0"/>
        <v>241.95</v>
      </c>
      <c r="DC3">
        <f t="shared" si="1"/>
        <v>104.49</v>
      </c>
    </row>
    <row r="4" spans="1:107" x14ac:dyDescent="0.2">
      <c r="A4">
        <f>ROW(Source!A25)</f>
        <v>25</v>
      </c>
      <c r="B4">
        <v>27935368</v>
      </c>
      <c r="C4">
        <v>27935430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457</v>
      </c>
      <c r="J4" t="s">
        <v>6</v>
      </c>
      <c r="K4" t="s">
        <v>458</v>
      </c>
      <c r="L4">
        <v>1191</v>
      </c>
      <c r="N4">
        <v>1013</v>
      </c>
      <c r="O4" t="s">
        <v>459</v>
      </c>
      <c r="P4" t="s">
        <v>459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49.43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6.11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27935434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12.217391999999998</v>
      </c>
      <c r="CY4">
        <f>AD4</f>
        <v>49.43</v>
      </c>
      <c r="CZ4">
        <f>AH4</f>
        <v>8.09</v>
      </c>
      <c r="DA4">
        <f>AL4</f>
        <v>6.11</v>
      </c>
      <c r="DB4">
        <f t="shared" si="0"/>
        <v>1525.29</v>
      </c>
      <c r="DC4">
        <f t="shared" si="1"/>
        <v>0</v>
      </c>
    </row>
    <row r="5" spans="1:107" x14ac:dyDescent="0.2">
      <c r="A5">
        <f>ROW(Source!A25)</f>
        <v>25</v>
      </c>
      <c r="B5">
        <v>27935368</v>
      </c>
      <c r="C5">
        <v>27935430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460</v>
      </c>
      <c r="J5" t="s">
        <v>6</v>
      </c>
      <c r="K5" t="s">
        <v>461</v>
      </c>
      <c r="L5">
        <v>1191</v>
      </c>
      <c r="N5">
        <v>1013</v>
      </c>
      <c r="O5" t="s">
        <v>459</v>
      </c>
      <c r="P5" t="s">
        <v>459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6.11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27935435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0.501552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ROW(Source!A25)</f>
        <v>25</v>
      </c>
      <c r="B6">
        <v>27935368</v>
      </c>
      <c r="C6">
        <v>27935430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462</v>
      </c>
      <c r="J6" t="s">
        <v>463</v>
      </c>
      <c r="K6" t="s">
        <v>464</v>
      </c>
      <c r="L6">
        <v>1368</v>
      </c>
      <c r="N6">
        <v>1011</v>
      </c>
      <c r="O6" t="s">
        <v>465</v>
      </c>
      <c r="P6" t="s">
        <v>465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191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6.11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27935436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0.501552</v>
      </c>
      <c r="CY6">
        <f>AB6</f>
        <v>191</v>
      </c>
      <c r="CZ6">
        <f>AF6</f>
        <v>31.26</v>
      </c>
      <c r="DA6">
        <f>AJ6</f>
        <v>6.11</v>
      </c>
      <c r="DB6">
        <f t="shared" si="0"/>
        <v>241.95</v>
      </c>
      <c r="DC6">
        <f t="shared" si="1"/>
        <v>104.49</v>
      </c>
    </row>
    <row r="7" spans="1:107" x14ac:dyDescent="0.2">
      <c r="A7">
        <f>ROW(Source!A26)</f>
        <v>26</v>
      </c>
      <c r="B7">
        <v>27935367</v>
      </c>
      <c r="C7">
        <v>27935437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466</v>
      </c>
      <c r="J7" t="s">
        <v>6</v>
      </c>
      <c r="K7" t="s">
        <v>467</v>
      </c>
      <c r="L7">
        <v>1191</v>
      </c>
      <c r="N7">
        <v>1013</v>
      </c>
      <c r="O7" t="s">
        <v>459</v>
      </c>
      <c r="P7" t="s">
        <v>459</v>
      </c>
      <c r="Q7">
        <v>1</v>
      </c>
      <c r="W7">
        <v>0</v>
      </c>
      <c r="X7">
        <v>-784637506</v>
      </c>
      <c r="Y7">
        <v>167.57799999999997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145.72</v>
      </c>
      <c r="AU7" t="s">
        <v>28</v>
      </c>
      <c r="AV7">
        <v>1</v>
      </c>
      <c r="AW7">
        <v>2</v>
      </c>
      <c r="AX7">
        <v>27935449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10.859054399999998</v>
      </c>
      <c r="CY7">
        <f>AD7</f>
        <v>8.74</v>
      </c>
      <c r="CZ7">
        <f>AH7</f>
        <v>8.74</v>
      </c>
      <c r="DA7">
        <f>AL7</f>
        <v>1</v>
      </c>
      <c r="DB7">
        <f>ROUND((ROUND(AT7*CZ7,2)*1.15),2)</f>
        <v>1464.63</v>
      </c>
      <c r="DC7">
        <f>ROUND((ROUND(AT7*AG7,2)*1.15),2)</f>
        <v>0</v>
      </c>
    </row>
    <row r="8" spans="1:107" x14ac:dyDescent="0.2">
      <c r="A8">
        <f>ROW(Source!A26)</f>
        <v>26</v>
      </c>
      <c r="B8">
        <v>27935367</v>
      </c>
      <c r="C8">
        <v>27935437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460</v>
      </c>
      <c r="J8" t="s">
        <v>6</v>
      </c>
      <c r="K8" t="s">
        <v>461</v>
      </c>
      <c r="L8">
        <v>1191</v>
      </c>
      <c r="N8">
        <v>1013</v>
      </c>
      <c r="O8" t="s">
        <v>459</v>
      </c>
      <c r="P8" t="s">
        <v>459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27935450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0.27410400000000001</v>
      </c>
      <c r="CY8">
        <f>AD8</f>
        <v>0</v>
      </c>
      <c r="CZ8">
        <f>AH8</f>
        <v>0</v>
      </c>
      <c r="DA8">
        <f>AL8</f>
        <v>1</v>
      </c>
      <c r="DB8">
        <f>ROUND(ROUND(AT8*CZ8,2),2)</f>
        <v>0</v>
      </c>
      <c r="DC8">
        <f>ROUND(ROUND(AT8*AG8,2),2)</f>
        <v>0</v>
      </c>
    </row>
    <row r="9" spans="1:107" x14ac:dyDescent="0.2">
      <c r="A9">
        <f>ROW(Source!A26)</f>
        <v>26</v>
      </c>
      <c r="B9">
        <v>27935367</v>
      </c>
      <c r="C9">
        <v>27935437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462</v>
      </c>
      <c r="J9" t="s">
        <v>463</v>
      </c>
      <c r="K9" t="s">
        <v>464</v>
      </c>
      <c r="L9">
        <v>1368</v>
      </c>
      <c r="N9">
        <v>1011</v>
      </c>
      <c r="O9" t="s">
        <v>465</v>
      </c>
      <c r="P9" t="s">
        <v>465</v>
      </c>
      <c r="Q9">
        <v>1</v>
      </c>
      <c r="W9">
        <v>0</v>
      </c>
      <c r="X9">
        <v>1188625873</v>
      </c>
      <c r="Y9">
        <v>0.82500000000000007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0.66</v>
      </c>
      <c r="AU9" t="s">
        <v>27</v>
      </c>
      <c r="AV9">
        <v>0</v>
      </c>
      <c r="AW9">
        <v>2</v>
      </c>
      <c r="AX9">
        <v>27935451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5.3460000000000001E-2</v>
      </c>
      <c r="CY9">
        <f>AB9</f>
        <v>31.26</v>
      </c>
      <c r="CZ9">
        <f>AF9</f>
        <v>31.26</v>
      </c>
      <c r="DA9">
        <f>AJ9</f>
        <v>1</v>
      </c>
      <c r="DB9">
        <f>ROUND((ROUND(AT9*CZ9,2)*1.25),2)</f>
        <v>25.79</v>
      </c>
      <c r="DC9">
        <f>ROUND((ROUND(AT9*AG9,2)*1.25),2)</f>
        <v>11.14</v>
      </c>
    </row>
    <row r="10" spans="1:107" x14ac:dyDescent="0.2">
      <c r="A10">
        <f>ROW(Source!A26)</f>
        <v>26</v>
      </c>
      <c r="B10">
        <v>27935367</v>
      </c>
      <c r="C10">
        <v>27935437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468</v>
      </c>
      <c r="J10" t="s">
        <v>469</v>
      </c>
      <c r="K10" t="s">
        <v>470</v>
      </c>
      <c r="L10">
        <v>1368</v>
      </c>
      <c r="N10">
        <v>1011</v>
      </c>
      <c r="O10" t="s">
        <v>465</v>
      </c>
      <c r="P10" t="s">
        <v>465</v>
      </c>
      <c r="Q10">
        <v>1</v>
      </c>
      <c r="W10">
        <v>0</v>
      </c>
      <c r="X10">
        <v>1372534845</v>
      </c>
      <c r="Y10">
        <v>4.4624999999999995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3.57</v>
      </c>
      <c r="AU10" t="s">
        <v>27</v>
      </c>
      <c r="AV10">
        <v>0</v>
      </c>
      <c r="AW10">
        <v>2</v>
      </c>
      <c r="AX10">
        <v>27935452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0.28916999999999993</v>
      </c>
      <c r="CY10">
        <f>AB10</f>
        <v>65.709999999999994</v>
      </c>
      <c r="CZ10">
        <f>AF10</f>
        <v>65.709999999999994</v>
      </c>
      <c r="DA10">
        <f>AJ10</f>
        <v>1</v>
      </c>
      <c r="DB10">
        <f>ROUND((ROUND(AT10*CZ10,2)*1.25),2)</f>
        <v>293.23</v>
      </c>
      <c r="DC10">
        <f>ROUND((ROUND(AT10*AG10,2)*1.25),2)</f>
        <v>51.76</v>
      </c>
    </row>
    <row r="11" spans="1:107" x14ac:dyDescent="0.2">
      <c r="A11">
        <f>ROW(Source!A26)</f>
        <v>26</v>
      </c>
      <c r="B11">
        <v>27935367</v>
      </c>
      <c r="C11">
        <v>27935437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471</v>
      </c>
      <c r="J11" t="s">
        <v>472</v>
      </c>
      <c r="K11" t="s">
        <v>473</v>
      </c>
      <c r="L11">
        <v>1301</v>
      </c>
      <c r="N11">
        <v>1003</v>
      </c>
      <c r="O11" t="s">
        <v>45</v>
      </c>
      <c r="P11" t="s">
        <v>45</v>
      </c>
      <c r="Q11">
        <v>1</v>
      </c>
      <c r="W11">
        <v>0</v>
      </c>
      <c r="X11">
        <v>751777312</v>
      </c>
      <c r="Y11">
        <v>244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244</v>
      </c>
      <c r="AU11" t="s">
        <v>6</v>
      </c>
      <c r="AV11">
        <v>0</v>
      </c>
      <c r="AW11">
        <v>2</v>
      </c>
      <c r="AX11">
        <v>27935453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15.811199999999999</v>
      </c>
      <c r="CY11">
        <f t="shared" ref="CY11:CY17" si="2">AA11</f>
        <v>6.38</v>
      </c>
      <c r="CZ11">
        <f t="shared" ref="CZ11:CZ17" si="3">AE11</f>
        <v>6.38</v>
      </c>
      <c r="DA11">
        <f t="shared" ref="DA11:DA17" si="4">AI11</f>
        <v>1</v>
      </c>
      <c r="DB11">
        <f t="shared" ref="DB11:DB17" si="5">ROUND(ROUND(AT11*CZ11,2),2)</f>
        <v>1556.72</v>
      </c>
      <c r="DC11">
        <f t="shared" ref="DC11:DC17" si="6">ROUND(ROUND(AT11*AG11,2),2)</f>
        <v>0</v>
      </c>
    </row>
    <row r="12" spans="1:107" x14ac:dyDescent="0.2">
      <c r="A12">
        <f>ROW(Source!A26)</f>
        <v>26</v>
      </c>
      <c r="B12">
        <v>27935367</v>
      </c>
      <c r="C12">
        <v>27935437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474</v>
      </c>
      <c r="J12" t="s">
        <v>475</v>
      </c>
      <c r="K12" t="s">
        <v>476</v>
      </c>
      <c r="L12">
        <v>1301</v>
      </c>
      <c r="N12">
        <v>1003</v>
      </c>
      <c r="O12" t="s">
        <v>45</v>
      </c>
      <c r="P12" t="s">
        <v>45</v>
      </c>
      <c r="Q12">
        <v>1</v>
      </c>
      <c r="W12">
        <v>0</v>
      </c>
      <c r="X12">
        <v>1744203244</v>
      </c>
      <c r="Y12">
        <v>56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56</v>
      </c>
      <c r="AU12" t="s">
        <v>6</v>
      </c>
      <c r="AV12">
        <v>0</v>
      </c>
      <c r="AW12">
        <v>2</v>
      </c>
      <c r="AX12">
        <v>27935454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3.6288</v>
      </c>
      <c r="CY12">
        <f t="shared" si="2"/>
        <v>7.95</v>
      </c>
      <c r="CZ12">
        <f t="shared" si="3"/>
        <v>7.95</v>
      </c>
      <c r="DA12">
        <f t="shared" si="4"/>
        <v>1</v>
      </c>
      <c r="DB12">
        <f t="shared" si="5"/>
        <v>445.2</v>
      </c>
      <c r="DC12">
        <f t="shared" si="6"/>
        <v>0</v>
      </c>
    </row>
    <row r="13" spans="1:107" x14ac:dyDescent="0.2">
      <c r="A13">
        <f>ROW(Source!A26)</f>
        <v>26</v>
      </c>
      <c r="B13">
        <v>27935367</v>
      </c>
      <c r="C13">
        <v>27935437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477</v>
      </c>
      <c r="J13" t="s">
        <v>478</v>
      </c>
      <c r="K13" t="s">
        <v>479</v>
      </c>
      <c r="L13">
        <v>1302</v>
      </c>
      <c r="N13">
        <v>1003</v>
      </c>
      <c r="O13" t="s">
        <v>74</v>
      </c>
      <c r="P13" t="s">
        <v>74</v>
      </c>
      <c r="Q13">
        <v>10</v>
      </c>
      <c r="W13">
        <v>0</v>
      </c>
      <c r="X13">
        <v>-405326455</v>
      </c>
      <c r="Y13">
        <v>15.6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15.6</v>
      </c>
      <c r="AU13" t="s">
        <v>6</v>
      </c>
      <c r="AV13">
        <v>0</v>
      </c>
      <c r="AW13">
        <v>2</v>
      </c>
      <c r="AX13">
        <v>27935455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1.01088</v>
      </c>
      <c r="CY13">
        <f t="shared" si="2"/>
        <v>64.099999999999994</v>
      </c>
      <c r="CZ13">
        <f t="shared" si="3"/>
        <v>64.099999999999994</v>
      </c>
      <c r="DA13">
        <f t="shared" si="4"/>
        <v>1</v>
      </c>
      <c r="DB13">
        <f t="shared" si="5"/>
        <v>999.96</v>
      </c>
      <c r="DC13">
        <f t="shared" si="6"/>
        <v>0</v>
      </c>
    </row>
    <row r="14" spans="1:107" x14ac:dyDescent="0.2">
      <c r="A14">
        <f>ROW(Source!A26)</f>
        <v>26</v>
      </c>
      <c r="B14">
        <v>27935367</v>
      </c>
      <c r="C14">
        <v>27935437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480</v>
      </c>
      <c r="J14" t="s">
        <v>481</v>
      </c>
      <c r="K14" t="s">
        <v>482</v>
      </c>
      <c r="L14">
        <v>1358</v>
      </c>
      <c r="N14">
        <v>1010</v>
      </c>
      <c r="O14" t="s">
        <v>483</v>
      </c>
      <c r="P14" t="s">
        <v>483</v>
      </c>
      <c r="Q14">
        <v>10</v>
      </c>
      <c r="W14">
        <v>0</v>
      </c>
      <c r="X14">
        <v>-858120743</v>
      </c>
      <c r="Y14">
        <v>38.9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38.9</v>
      </c>
      <c r="AU14" t="s">
        <v>6</v>
      </c>
      <c r="AV14">
        <v>0</v>
      </c>
      <c r="AW14">
        <v>2</v>
      </c>
      <c r="AX14">
        <v>27935456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2.5207199999999998</v>
      </c>
      <c r="CY14">
        <f t="shared" si="2"/>
        <v>7.03</v>
      </c>
      <c r="CZ14">
        <f t="shared" si="3"/>
        <v>7.03</v>
      </c>
      <c r="DA14">
        <f t="shared" si="4"/>
        <v>1</v>
      </c>
      <c r="DB14">
        <f t="shared" si="5"/>
        <v>273.47000000000003</v>
      </c>
      <c r="DC14">
        <f t="shared" si="6"/>
        <v>0</v>
      </c>
    </row>
    <row r="15" spans="1:107" x14ac:dyDescent="0.2">
      <c r="A15">
        <f>ROW(Source!A26)</f>
        <v>26</v>
      </c>
      <c r="B15">
        <v>27935367</v>
      </c>
      <c r="C15">
        <v>27935437</v>
      </c>
      <c r="D15">
        <v>25180106</v>
      </c>
      <c r="E15">
        <v>1</v>
      </c>
      <c r="F15">
        <v>1</v>
      </c>
      <c r="G15">
        <v>1</v>
      </c>
      <c r="H15">
        <v>3</v>
      </c>
      <c r="I15" t="s">
        <v>33</v>
      </c>
      <c r="J15" t="s">
        <v>36</v>
      </c>
      <c r="K15" t="s">
        <v>34</v>
      </c>
      <c r="L15">
        <v>1327</v>
      </c>
      <c r="N15">
        <v>1005</v>
      </c>
      <c r="O15" t="s">
        <v>35</v>
      </c>
      <c r="P15" t="s">
        <v>35</v>
      </c>
      <c r="Q15">
        <v>1</v>
      </c>
      <c r="W15">
        <v>0</v>
      </c>
      <c r="X15">
        <v>-1297984833</v>
      </c>
      <c r="Y15">
        <v>100</v>
      </c>
      <c r="AA15">
        <v>2554.73</v>
      </c>
      <c r="AB15">
        <v>0</v>
      </c>
      <c r="AC15">
        <v>0</v>
      </c>
      <c r="AD15">
        <v>0</v>
      </c>
      <c r="AE15">
        <v>2554.73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</v>
      </c>
      <c r="AT15">
        <v>100</v>
      </c>
      <c r="AU15" t="s">
        <v>6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6.4799999999999995</v>
      </c>
      <c r="CY15">
        <f t="shared" si="2"/>
        <v>2554.73</v>
      </c>
      <c r="CZ15">
        <f t="shared" si="3"/>
        <v>2554.73</v>
      </c>
      <c r="DA15">
        <f t="shared" si="4"/>
        <v>1</v>
      </c>
      <c r="DB15">
        <f t="shared" si="5"/>
        <v>255473</v>
      </c>
      <c r="DC15">
        <f t="shared" si="6"/>
        <v>0</v>
      </c>
    </row>
    <row r="16" spans="1:107" x14ac:dyDescent="0.2">
      <c r="A16">
        <f>ROW(Source!A26)</f>
        <v>26</v>
      </c>
      <c r="B16">
        <v>27935367</v>
      </c>
      <c r="C16">
        <v>27935437</v>
      </c>
      <c r="D16">
        <v>25180423</v>
      </c>
      <c r="E16">
        <v>1</v>
      </c>
      <c r="F16">
        <v>1</v>
      </c>
      <c r="G16">
        <v>1</v>
      </c>
      <c r="H16">
        <v>3</v>
      </c>
      <c r="I16" t="s">
        <v>484</v>
      </c>
      <c r="J16" t="s">
        <v>485</v>
      </c>
      <c r="K16" t="s">
        <v>486</v>
      </c>
      <c r="L16">
        <v>1355</v>
      </c>
      <c r="N16">
        <v>1010</v>
      </c>
      <c r="O16" t="s">
        <v>487</v>
      </c>
      <c r="P16" t="s">
        <v>487</v>
      </c>
      <c r="Q16">
        <v>100</v>
      </c>
      <c r="W16">
        <v>0</v>
      </c>
      <c r="X16">
        <v>1709713925</v>
      </c>
      <c r="Y16">
        <v>8</v>
      </c>
      <c r="AA16">
        <v>50</v>
      </c>
      <c r="AB16">
        <v>0</v>
      </c>
      <c r="AC16">
        <v>0</v>
      </c>
      <c r="AD16">
        <v>0</v>
      </c>
      <c r="AE16">
        <v>50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8</v>
      </c>
      <c r="AU16" t="s">
        <v>6</v>
      </c>
      <c r="AV16">
        <v>0</v>
      </c>
      <c r="AW16">
        <v>2</v>
      </c>
      <c r="AX16">
        <v>27935458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0.51839999999999997</v>
      </c>
      <c r="CY16">
        <f t="shared" si="2"/>
        <v>50</v>
      </c>
      <c r="CZ16">
        <f t="shared" si="3"/>
        <v>50</v>
      </c>
      <c r="DA16">
        <f t="shared" si="4"/>
        <v>1</v>
      </c>
      <c r="DB16">
        <f t="shared" si="5"/>
        <v>400</v>
      </c>
      <c r="DC16">
        <f t="shared" si="6"/>
        <v>0</v>
      </c>
    </row>
    <row r="17" spans="1:107" x14ac:dyDescent="0.2">
      <c r="A17">
        <f>ROW(Source!A26)</f>
        <v>26</v>
      </c>
      <c r="B17">
        <v>27935367</v>
      </c>
      <c r="C17">
        <v>27935437</v>
      </c>
      <c r="D17">
        <v>25186863</v>
      </c>
      <c r="E17">
        <v>1</v>
      </c>
      <c r="F17">
        <v>1</v>
      </c>
      <c r="G17">
        <v>1</v>
      </c>
      <c r="H17">
        <v>3</v>
      </c>
      <c r="I17" t="s">
        <v>488</v>
      </c>
      <c r="J17" t="s">
        <v>489</v>
      </c>
      <c r="K17" t="s">
        <v>490</v>
      </c>
      <c r="L17">
        <v>1354</v>
      </c>
      <c r="N17">
        <v>1010</v>
      </c>
      <c r="O17" t="s">
        <v>282</v>
      </c>
      <c r="P17" t="s">
        <v>282</v>
      </c>
      <c r="Q17">
        <v>1</v>
      </c>
      <c r="W17">
        <v>0</v>
      </c>
      <c r="X17">
        <v>-1018551266</v>
      </c>
      <c r="Y17">
        <v>69</v>
      </c>
      <c r="AA17">
        <v>67</v>
      </c>
      <c r="AB17">
        <v>0</v>
      </c>
      <c r="AC17">
        <v>0</v>
      </c>
      <c r="AD17">
        <v>0</v>
      </c>
      <c r="AE17">
        <v>67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69</v>
      </c>
      <c r="AU17" t="s">
        <v>6</v>
      </c>
      <c r="AV17">
        <v>0</v>
      </c>
      <c r="AW17">
        <v>2</v>
      </c>
      <c r="AX17">
        <v>27935459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4.4711999999999996</v>
      </c>
      <c r="CY17">
        <f t="shared" si="2"/>
        <v>67</v>
      </c>
      <c r="CZ17">
        <f t="shared" si="3"/>
        <v>67</v>
      </c>
      <c r="DA17">
        <f t="shared" si="4"/>
        <v>1</v>
      </c>
      <c r="DB17">
        <f t="shared" si="5"/>
        <v>4623</v>
      </c>
      <c r="DC17">
        <f t="shared" si="6"/>
        <v>0</v>
      </c>
    </row>
    <row r="18" spans="1:107" x14ac:dyDescent="0.2">
      <c r="A18">
        <f>ROW(Source!A27)</f>
        <v>27</v>
      </c>
      <c r="B18">
        <v>27935368</v>
      </c>
      <c r="C18">
        <v>27935437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466</v>
      </c>
      <c r="J18" t="s">
        <v>6</v>
      </c>
      <c r="K18" t="s">
        <v>467</v>
      </c>
      <c r="L18">
        <v>1191</v>
      </c>
      <c r="N18">
        <v>1013</v>
      </c>
      <c r="O18" t="s">
        <v>459</v>
      </c>
      <c r="P18" t="s">
        <v>459</v>
      </c>
      <c r="Q18">
        <v>1</v>
      </c>
      <c r="W18">
        <v>0</v>
      </c>
      <c r="X18">
        <v>-784637506</v>
      </c>
      <c r="Y18">
        <v>167.57799999999997</v>
      </c>
      <c r="AA18">
        <v>0</v>
      </c>
      <c r="AB18">
        <v>0</v>
      </c>
      <c r="AC18">
        <v>0</v>
      </c>
      <c r="AD18">
        <v>53.4</v>
      </c>
      <c r="AE18">
        <v>0</v>
      </c>
      <c r="AF18">
        <v>0</v>
      </c>
      <c r="AG18">
        <v>0</v>
      </c>
      <c r="AH18">
        <v>8.74</v>
      </c>
      <c r="AI18">
        <v>1</v>
      </c>
      <c r="AJ18">
        <v>1</v>
      </c>
      <c r="AK18">
        <v>1</v>
      </c>
      <c r="AL18">
        <v>6.11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145.72</v>
      </c>
      <c r="AU18" t="s">
        <v>28</v>
      </c>
      <c r="AV18">
        <v>1</v>
      </c>
      <c r="AW18">
        <v>2</v>
      </c>
      <c r="AX18">
        <v>27935449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10.859054399999998</v>
      </c>
      <c r="CY18">
        <f>AD18</f>
        <v>53.4</v>
      </c>
      <c r="CZ18">
        <f>AH18</f>
        <v>8.74</v>
      </c>
      <c r="DA18">
        <f>AL18</f>
        <v>6.11</v>
      </c>
      <c r="DB18">
        <f>ROUND((ROUND(AT18*CZ18,2)*1.15),2)</f>
        <v>1464.63</v>
      </c>
      <c r="DC18">
        <f>ROUND((ROUND(AT18*AG18,2)*1.15),2)</f>
        <v>0</v>
      </c>
    </row>
    <row r="19" spans="1:107" x14ac:dyDescent="0.2">
      <c r="A19">
        <f>ROW(Source!A27)</f>
        <v>27</v>
      </c>
      <c r="B19">
        <v>27935368</v>
      </c>
      <c r="C19">
        <v>27935437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460</v>
      </c>
      <c r="J19" t="s">
        <v>6</v>
      </c>
      <c r="K19" t="s">
        <v>461</v>
      </c>
      <c r="L19">
        <v>1191</v>
      </c>
      <c r="N19">
        <v>1013</v>
      </c>
      <c r="O19" t="s">
        <v>459</v>
      </c>
      <c r="P19" t="s">
        <v>459</v>
      </c>
      <c r="Q19">
        <v>1</v>
      </c>
      <c r="W19">
        <v>0</v>
      </c>
      <c r="X19">
        <v>-1417349443</v>
      </c>
      <c r="Y19">
        <v>4.2300000000000004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6.11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4.2300000000000004</v>
      </c>
      <c r="AU19" t="s">
        <v>6</v>
      </c>
      <c r="AV19">
        <v>2</v>
      </c>
      <c r="AW19">
        <v>2</v>
      </c>
      <c r="AX19">
        <v>27935450</v>
      </c>
      <c r="AY19">
        <v>1</v>
      </c>
      <c r="AZ19">
        <v>2048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0.27410400000000001</v>
      </c>
      <c r="CY19">
        <f>AD19</f>
        <v>0</v>
      </c>
      <c r="CZ19">
        <f>AH19</f>
        <v>0</v>
      </c>
      <c r="DA19">
        <f>AL19</f>
        <v>1</v>
      </c>
      <c r="DB19">
        <f>ROUND(ROUND(AT19*CZ19,2),2)</f>
        <v>0</v>
      </c>
      <c r="DC19">
        <f>ROUND(ROUND(AT19*AG19,2),2)</f>
        <v>0</v>
      </c>
    </row>
    <row r="20" spans="1:107" x14ac:dyDescent="0.2">
      <c r="A20">
        <f>ROW(Source!A27)</f>
        <v>27</v>
      </c>
      <c r="B20">
        <v>27935368</v>
      </c>
      <c r="C20">
        <v>27935437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462</v>
      </c>
      <c r="J20" t="s">
        <v>463</v>
      </c>
      <c r="K20" t="s">
        <v>464</v>
      </c>
      <c r="L20">
        <v>1368</v>
      </c>
      <c r="N20">
        <v>1011</v>
      </c>
      <c r="O20" t="s">
        <v>465</v>
      </c>
      <c r="P20" t="s">
        <v>465</v>
      </c>
      <c r="Q20">
        <v>1</v>
      </c>
      <c r="W20">
        <v>0</v>
      </c>
      <c r="X20">
        <v>1188625873</v>
      </c>
      <c r="Y20">
        <v>0.82500000000000007</v>
      </c>
      <c r="AA20">
        <v>0</v>
      </c>
      <c r="AB20">
        <v>191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6.11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0.66</v>
      </c>
      <c r="AU20" t="s">
        <v>27</v>
      </c>
      <c r="AV20">
        <v>0</v>
      </c>
      <c r="AW20">
        <v>2</v>
      </c>
      <c r="AX20">
        <v>27935451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5.3460000000000001E-2</v>
      </c>
      <c r="CY20">
        <f>AB20</f>
        <v>191</v>
      </c>
      <c r="CZ20">
        <f>AF20</f>
        <v>31.26</v>
      </c>
      <c r="DA20">
        <f>AJ20</f>
        <v>6.11</v>
      </c>
      <c r="DB20">
        <f>ROUND((ROUND(AT20*CZ20,2)*1.25),2)</f>
        <v>25.79</v>
      </c>
      <c r="DC20">
        <f>ROUND((ROUND(AT20*AG20,2)*1.25),2)</f>
        <v>11.14</v>
      </c>
    </row>
    <row r="21" spans="1:107" x14ac:dyDescent="0.2">
      <c r="A21">
        <f>ROW(Source!A27)</f>
        <v>27</v>
      </c>
      <c r="B21">
        <v>27935368</v>
      </c>
      <c r="C21">
        <v>27935437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468</v>
      </c>
      <c r="J21" t="s">
        <v>469</v>
      </c>
      <c r="K21" t="s">
        <v>470</v>
      </c>
      <c r="L21">
        <v>1368</v>
      </c>
      <c r="N21">
        <v>1011</v>
      </c>
      <c r="O21" t="s">
        <v>465</v>
      </c>
      <c r="P21" t="s">
        <v>465</v>
      </c>
      <c r="Q21">
        <v>1</v>
      </c>
      <c r="W21">
        <v>0</v>
      </c>
      <c r="X21">
        <v>1372534845</v>
      </c>
      <c r="Y21">
        <v>4.4624999999999995</v>
      </c>
      <c r="AA21">
        <v>0</v>
      </c>
      <c r="AB21">
        <v>401.49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6.11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3.57</v>
      </c>
      <c r="AU21" t="s">
        <v>27</v>
      </c>
      <c r="AV21">
        <v>0</v>
      </c>
      <c r="AW21">
        <v>2</v>
      </c>
      <c r="AX21">
        <v>27935452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0.28916999999999993</v>
      </c>
      <c r="CY21">
        <f>AB21</f>
        <v>401.49</v>
      </c>
      <c r="CZ21">
        <f>AF21</f>
        <v>65.709999999999994</v>
      </c>
      <c r="DA21">
        <f>AJ21</f>
        <v>6.11</v>
      </c>
      <c r="DB21">
        <f>ROUND((ROUND(AT21*CZ21,2)*1.25),2)</f>
        <v>293.23</v>
      </c>
      <c r="DC21">
        <f>ROUND((ROUND(AT21*AG21,2)*1.25),2)</f>
        <v>51.76</v>
      </c>
    </row>
    <row r="22" spans="1:107" x14ac:dyDescent="0.2">
      <c r="A22">
        <f>ROW(Source!A27)</f>
        <v>27</v>
      </c>
      <c r="B22">
        <v>27935368</v>
      </c>
      <c r="C22">
        <v>27935437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471</v>
      </c>
      <c r="J22" t="s">
        <v>472</v>
      </c>
      <c r="K22" t="s">
        <v>473</v>
      </c>
      <c r="L22">
        <v>1301</v>
      </c>
      <c r="N22">
        <v>1003</v>
      </c>
      <c r="O22" t="s">
        <v>45</v>
      </c>
      <c r="P22" t="s">
        <v>45</v>
      </c>
      <c r="Q22">
        <v>1</v>
      </c>
      <c r="W22">
        <v>0</v>
      </c>
      <c r="X22">
        <v>751777312</v>
      </c>
      <c r="Y22">
        <v>244</v>
      </c>
      <c r="AA22">
        <v>38.979999999999997</v>
      </c>
      <c r="AB22">
        <v>0</v>
      </c>
      <c r="AC22">
        <v>0</v>
      </c>
      <c r="AD22">
        <v>0</v>
      </c>
      <c r="AE22">
        <v>6.38</v>
      </c>
      <c r="AF22">
        <v>0</v>
      </c>
      <c r="AG22">
        <v>0</v>
      </c>
      <c r="AH22">
        <v>0</v>
      </c>
      <c r="AI22">
        <v>6.11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244</v>
      </c>
      <c r="AU22" t="s">
        <v>6</v>
      </c>
      <c r="AV22">
        <v>0</v>
      </c>
      <c r="AW22">
        <v>2</v>
      </c>
      <c r="AX22">
        <v>27935453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15.811199999999999</v>
      </c>
      <c r="CY22">
        <f t="shared" ref="CY22:CY28" si="7">AA22</f>
        <v>38.979999999999997</v>
      </c>
      <c r="CZ22">
        <f t="shared" ref="CZ22:CZ28" si="8">AE22</f>
        <v>6.38</v>
      </c>
      <c r="DA22">
        <f t="shared" ref="DA22:DA28" si="9">AI22</f>
        <v>6.11</v>
      </c>
      <c r="DB22">
        <f t="shared" ref="DB22:DB28" si="10">ROUND(ROUND(AT22*CZ22,2),2)</f>
        <v>1556.72</v>
      </c>
      <c r="DC22">
        <f t="shared" ref="DC22:DC28" si="11">ROUND(ROUND(AT22*AG22,2),2)</f>
        <v>0</v>
      </c>
    </row>
    <row r="23" spans="1:107" x14ac:dyDescent="0.2">
      <c r="A23">
        <f>ROW(Source!A27)</f>
        <v>27</v>
      </c>
      <c r="B23">
        <v>27935368</v>
      </c>
      <c r="C23">
        <v>27935437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474</v>
      </c>
      <c r="J23" t="s">
        <v>475</v>
      </c>
      <c r="K23" t="s">
        <v>476</v>
      </c>
      <c r="L23">
        <v>1301</v>
      </c>
      <c r="N23">
        <v>1003</v>
      </c>
      <c r="O23" t="s">
        <v>45</v>
      </c>
      <c r="P23" t="s">
        <v>45</v>
      </c>
      <c r="Q23">
        <v>1</v>
      </c>
      <c r="W23">
        <v>0</v>
      </c>
      <c r="X23">
        <v>1744203244</v>
      </c>
      <c r="Y23">
        <v>56</v>
      </c>
      <c r="AA23">
        <v>48.57</v>
      </c>
      <c r="AB23">
        <v>0</v>
      </c>
      <c r="AC23">
        <v>0</v>
      </c>
      <c r="AD23">
        <v>0</v>
      </c>
      <c r="AE23">
        <v>7.95</v>
      </c>
      <c r="AF23">
        <v>0</v>
      </c>
      <c r="AG23">
        <v>0</v>
      </c>
      <c r="AH23">
        <v>0</v>
      </c>
      <c r="AI23">
        <v>6.11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56</v>
      </c>
      <c r="AU23" t="s">
        <v>6</v>
      </c>
      <c r="AV23">
        <v>0</v>
      </c>
      <c r="AW23">
        <v>2</v>
      </c>
      <c r="AX23">
        <v>27935454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3.6288</v>
      </c>
      <c r="CY23">
        <f t="shared" si="7"/>
        <v>48.57</v>
      </c>
      <c r="CZ23">
        <f t="shared" si="8"/>
        <v>7.95</v>
      </c>
      <c r="DA23">
        <f t="shared" si="9"/>
        <v>6.11</v>
      </c>
      <c r="DB23">
        <f t="shared" si="10"/>
        <v>445.2</v>
      </c>
      <c r="DC23">
        <f t="shared" si="11"/>
        <v>0</v>
      </c>
    </row>
    <row r="24" spans="1:107" x14ac:dyDescent="0.2">
      <c r="A24">
        <f>ROW(Source!A27)</f>
        <v>27</v>
      </c>
      <c r="B24">
        <v>27935368</v>
      </c>
      <c r="C24">
        <v>27935437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477</v>
      </c>
      <c r="J24" t="s">
        <v>478</v>
      </c>
      <c r="K24" t="s">
        <v>479</v>
      </c>
      <c r="L24">
        <v>1302</v>
      </c>
      <c r="N24">
        <v>1003</v>
      </c>
      <c r="O24" t="s">
        <v>74</v>
      </c>
      <c r="P24" t="s">
        <v>74</v>
      </c>
      <c r="Q24">
        <v>10</v>
      </c>
      <c r="W24">
        <v>0</v>
      </c>
      <c r="X24">
        <v>-405326455</v>
      </c>
      <c r="Y24">
        <v>15.6</v>
      </c>
      <c r="AA24">
        <v>391.65</v>
      </c>
      <c r="AB24">
        <v>0</v>
      </c>
      <c r="AC24">
        <v>0</v>
      </c>
      <c r="AD24">
        <v>0</v>
      </c>
      <c r="AE24">
        <v>64.099999999999994</v>
      </c>
      <c r="AF24">
        <v>0</v>
      </c>
      <c r="AG24">
        <v>0</v>
      </c>
      <c r="AH24">
        <v>0</v>
      </c>
      <c r="AI24">
        <v>6.11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15.6</v>
      </c>
      <c r="AU24" t="s">
        <v>6</v>
      </c>
      <c r="AV24">
        <v>0</v>
      </c>
      <c r="AW24">
        <v>2</v>
      </c>
      <c r="AX24">
        <v>27935455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1.01088</v>
      </c>
      <c r="CY24">
        <f t="shared" si="7"/>
        <v>391.65</v>
      </c>
      <c r="CZ24">
        <f t="shared" si="8"/>
        <v>64.099999999999994</v>
      </c>
      <c r="DA24">
        <f t="shared" si="9"/>
        <v>6.11</v>
      </c>
      <c r="DB24">
        <f t="shared" si="10"/>
        <v>999.96</v>
      </c>
      <c r="DC24">
        <f t="shared" si="11"/>
        <v>0</v>
      </c>
    </row>
    <row r="25" spans="1:107" x14ac:dyDescent="0.2">
      <c r="A25">
        <f>ROW(Source!A27)</f>
        <v>27</v>
      </c>
      <c r="B25">
        <v>27935368</v>
      </c>
      <c r="C25">
        <v>27935437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480</v>
      </c>
      <c r="J25" t="s">
        <v>481</v>
      </c>
      <c r="K25" t="s">
        <v>482</v>
      </c>
      <c r="L25">
        <v>1358</v>
      </c>
      <c r="N25">
        <v>1010</v>
      </c>
      <c r="O25" t="s">
        <v>483</v>
      </c>
      <c r="P25" t="s">
        <v>483</v>
      </c>
      <c r="Q25">
        <v>10</v>
      </c>
      <c r="W25">
        <v>0</v>
      </c>
      <c r="X25">
        <v>-858120743</v>
      </c>
      <c r="Y25">
        <v>38.9</v>
      </c>
      <c r="AA25">
        <v>42.95</v>
      </c>
      <c r="AB25">
        <v>0</v>
      </c>
      <c r="AC25">
        <v>0</v>
      </c>
      <c r="AD25">
        <v>0</v>
      </c>
      <c r="AE25">
        <v>7.03</v>
      </c>
      <c r="AF25">
        <v>0</v>
      </c>
      <c r="AG25">
        <v>0</v>
      </c>
      <c r="AH25">
        <v>0</v>
      </c>
      <c r="AI25">
        <v>6.11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38.9</v>
      </c>
      <c r="AU25" t="s">
        <v>6</v>
      </c>
      <c r="AV25">
        <v>0</v>
      </c>
      <c r="AW25">
        <v>2</v>
      </c>
      <c r="AX25">
        <v>27935456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2.5207199999999998</v>
      </c>
      <c r="CY25">
        <f t="shared" si="7"/>
        <v>42.95</v>
      </c>
      <c r="CZ25">
        <f t="shared" si="8"/>
        <v>7.03</v>
      </c>
      <c r="DA25">
        <f t="shared" si="9"/>
        <v>6.11</v>
      </c>
      <c r="DB25">
        <f t="shared" si="10"/>
        <v>273.47000000000003</v>
      </c>
      <c r="DC25">
        <f t="shared" si="11"/>
        <v>0</v>
      </c>
    </row>
    <row r="26" spans="1:107" x14ac:dyDescent="0.2">
      <c r="A26">
        <f>ROW(Source!A27)</f>
        <v>27</v>
      </c>
      <c r="B26">
        <v>27935368</v>
      </c>
      <c r="C26">
        <v>27935437</v>
      </c>
      <c r="D26">
        <v>25180106</v>
      </c>
      <c r="E26">
        <v>1</v>
      </c>
      <c r="F26">
        <v>1</v>
      </c>
      <c r="G26">
        <v>1</v>
      </c>
      <c r="H26">
        <v>3</v>
      </c>
      <c r="I26" t="s">
        <v>33</v>
      </c>
      <c r="J26" t="s">
        <v>36</v>
      </c>
      <c r="K26" t="s">
        <v>34</v>
      </c>
      <c r="L26">
        <v>1327</v>
      </c>
      <c r="N26">
        <v>1005</v>
      </c>
      <c r="O26" t="s">
        <v>35</v>
      </c>
      <c r="P26" t="s">
        <v>35</v>
      </c>
      <c r="Q26">
        <v>1</v>
      </c>
      <c r="W26">
        <v>0</v>
      </c>
      <c r="X26">
        <v>-1297984833</v>
      </c>
      <c r="Y26">
        <v>100</v>
      </c>
      <c r="AA26">
        <v>15609.4</v>
      </c>
      <c r="AB26">
        <v>0</v>
      </c>
      <c r="AC26">
        <v>0</v>
      </c>
      <c r="AD26">
        <v>0</v>
      </c>
      <c r="AE26">
        <v>2554.73</v>
      </c>
      <c r="AF26">
        <v>0</v>
      </c>
      <c r="AG26">
        <v>0</v>
      </c>
      <c r="AH26">
        <v>0</v>
      </c>
      <c r="AI26">
        <v>6.11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6</v>
      </c>
      <c r="AT26">
        <v>100</v>
      </c>
      <c r="AU26" t="s">
        <v>6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6.4799999999999995</v>
      </c>
      <c r="CY26">
        <f t="shared" si="7"/>
        <v>15609.4</v>
      </c>
      <c r="CZ26">
        <f t="shared" si="8"/>
        <v>2554.73</v>
      </c>
      <c r="DA26">
        <f t="shared" si="9"/>
        <v>6.11</v>
      </c>
      <c r="DB26">
        <f t="shared" si="10"/>
        <v>255473</v>
      </c>
      <c r="DC26">
        <f t="shared" si="11"/>
        <v>0</v>
      </c>
    </row>
    <row r="27" spans="1:107" x14ac:dyDescent="0.2">
      <c r="A27">
        <f>ROW(Source!A27)</f>
        <v>27</v>
      </c>
      <c r="B27">
        <v>27935368</v>
      </c>
      <c r="C27">
        <v>27935437</v>
      </c>
      <c r="D27">
        <v>25180423</v>
      </c>
      <c r="E27">
        <v>1</v>
      </c>
      <c r="F27">
        <v>1</v>
      </c>
      <c r="G27">
        <v>1</v>
      </c>
      <c r="H27">
        <v>3</v>
      </c>
      <c r="I27" t="s">
        <v>484</v>
      </c>
      <c r="J27" t="s">
        <v>485</v>
      </c>
      <c r="K27" t="s">
        <v>486</v>
      </c>
      <c r="L27">
        <v>1355</v>
      </c>
      <c r="N27">
        <v>1010</v>
      </c>
      <c r="O27" t="s">
        <v>487</v>
      </c>
      <c r="P27" t="s">
        <v>487</v>
      </c>
      <c r="Q27">
        <v>100</v>
      </c>
      <c r="W27">
        <v>0</v>
      </c>
      <c r="X27">
        <v>1709713925</v>
      </c>
      <c r="Y27">
        <v>8</v>
      </c>
      <c r="AA27">
        <v>305.5</v>
      </c>
      <c r="AB27">
        <v>0</v>
      </c>
      <c r="AC27">
        <v>0</v>
      </c>
      <c r="AD27">
        <v>0</v>
      </c>
      <c r="AE27">
        <v>50</v>
      </c>
      <c r="AF27">
        <v>0</v>
      </c>
      <c r="AG27">
        <v>0</v>
      </c>
      <c r="AH27">
        <v>0</v>
      </c>
      <c r="AI27">
        <v>6.11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8</v>
      </c>
      <c r="AU27" t="s">
        <v>6</v>
      </c>
      <c r="AV27">
        <v>0</v>
      </c>
      <c r="AW27">
        <v>2</v>
      </c>
      <c r="AX27">
        <v>27935458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0.51839999999999997</v>
      </c>
      <c r="CY27">
        <f t="shared" si="7"/>
        <v>305.5</v>
      </c>
      <c r="CZ27">
        <f t="shared" si="8"/>
        <v>50</v>
      </c>
      <c r="DA27">
        <f t="shared" si="9"/>
        <v>6.11</v>
      </c>
      <c r="DB27">
        <f t="shared" si="10"/>
        <v>400</v>
      </c>
      <c r="DC27">
        <f t="shared" si="11"/>
        <v>0</v>
      </c>
    </row>
    <row r="28" spans="1:107" x14ac:dyDescent="0.2">
      <c r="A28">
        <f>ROW(Source!A27)</f>
        <v>27</v>
      </c>
      <c r="B28">
        <v>27935368</v>
      </c>
      <c r="C28">
        <v>27935437</v>
      </c>
      <c r="D28">
        <v>25186863</v>
      </c>
      <c r="E28">
        <v>1</v>
      </c>
      <c r="F28">
        <v>1</v>
      </c>
      <c r="G28">
        <v>1</v>
      </c>
      <c r="H28">
        <v>3</v>
      </c>
      <c r="I28" t="s">
        <v>488</v>
      </c>
      <c r="J28" t="s">
        <v>489</v>
      </c>
      <c r="K28" t="s">
        <v>490</v>
      </c>
      <c r="L28">
        <v>1354</v>
      </c>
      <c r="N28">
        <v>1010</v>
      </c>
      <c r="O28" t="s">
        <v>282</v>
      </c>
      <c r="P28" t="s">
        <v>282</v>
      </c>
      <c r="Q28">
        <v>1</v>
      </c>
      <c r="W28">
        <v>0</v>
      </c>
      <c r="X28">
        <v>-1018551266</v>
      </c>
      <c r="Y28">
        <v>69</v>
      </c>
      <c r="AA28">
        <v>409.37</v>
      </c>
      <c r="AB28">
        <v>0</v>
      </c>
      <c r="AC28">
        <v>0</v>
      </c>
      <c r="AD28">
        <v>0</v>
      </c>
      <c r="AE28">
        <v>67</v>
      </c>
      <c r="AF28">
        <v>0</v>
      </c>
      <c r="AG28">
        <v>0</v>
      </c>
      <c r="AH28">
        <v>0</v>
      </c>
      <c r="AI28">
        <v>6.11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69</v>
      </c>
      <c r="AU28" t="s">
        <v>6</v>
      </c>
      <c r="AV28">
        <v>0</v>
      </c>
      <c r="AW28">
        <v>2</v>
      </c>
      <c r="AX28">
        <v>27935459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4.4711999999999996</v>
      </c>
      <c r="CY28">
        <f t="shared" si="7"/>
        <v>409.37</v>
      </c>
      <c r="CZ28">
        <f t="shared" si="8"/>
        <v>67</v>
      </c>
      <c r="DA28">
        <f t="shared" si="9"/>
        <v>6.11</v>
      </c>
      <c r="DB28">
        <f t="shared" si="10"/>
        <v>4623</v>
      </c>
      <c r="DC28">
        <f t="shared" si="11"/>
        <v>0</v>
      </c>
    </row>
    <row r="29" spans="1:107" x14ac:dyDescent="0.2">
      <c r="A29">
        <f>ROW(Source!A30)</f>
        <v>30</v>
      </c>
      <c r="B29">
        <v>27935367</v>
      </c>
      <c r="C29">
        <v>27935461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491</v>
      </c>
      <c r="J29" t="s">
        <v>6</v>
      </c>
      <c r="K29" t="s">
        <v>492</v>
      </c>
      <c r="L29">
        <v>1191</v>
      </c>
      <c r="N29">
        <v>1013</v>
      </c>
      <c r="O29" t="s">
        <v>459</v>
      </c>
      <c r="P29" t="s">
        <v>459</v>
      </c>
      <c r="Q29">
        <v>1</v>
      </c>
      <c r="W29">
        <v>0</v>
      </c>
      <c r="X29">
        <v>-400197608</v>
      </c>
      <c r="Y29">
        <v>24.586999999999996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21.38</v>
      </c>
      <c r="AU29" t="s">
        <v>28</v>
      </c>
      <c r="AV29">
        <v>1</v>
      </c>
      <c r="AW29">
        <v>2</v>
      </c>
      <c r="AX29">
        <v>27935469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0.78678399999999993</v>
      </c>
      <c r="CY29">
        <f>AD29</f>
        <v>8.5299999999999994</v>
      </c>
      <c r="CZ29">
        <f>AH29</f>
        <v>8.5299999999999994</v>
      </c>
      <c r="DA29">
        <f>AL29</f>
        <v>1</v>
      </c>
      <c r="DB29">
        <f>ROUND((ROUND(AT29*CZ29,2)*1.15),2)</f>
        <v>209.73</v>
      </c>
      <c r="DC29">
        <f>ROUND((ROUND(AT29*AG29,2)*1.15),2)</f>
        <v>0</v>
      </c>
    </row>
    <row r="30" spans="1:107" x14ac:dyDescent="0.2">
      <c r="A30">
        <f>ROW(Source!A30)</f>
        <v>30</v>
      </c>
      <c r="B30">
        <v>27935367</v>
      </c>
      <c r="C30">
        <v>27935461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460</v>
      </c>
      <c r="J30" t="s">
        <v>6</v>
      </c>
      <c r="K30" t="s">
        <v>461</v>
      </c>
      <c r="L30">
        <v>1191</v>
      </c>
      <c r="N30">
        <v>1013</v>
      </c>
      <c r="O30" t="s">
        <v>459</v>
      </c>
      <c r="P30" t="s">
        <v>459</v>
      </c>
      <c r="Q30">
        <v>1</v>
      </c>
      <c r="W30">
        <v>0</v>
      </c>
      <c r="X30">
        <v>-1417349443</v>
      </c>
      <c r="Y30">
        <v>0.37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0.37</v>
      </c>
      <c r="AU30" t="s">
        <v>6</v>
      </c>
      <c r="AV30">
        <v>2</v>
      </c>
      <c r="AW30">
        <v>2</v>
      </c>
      <c r="AX30">
        <v>27935470</v>
      </c>
      <c r="AY30">
        <v>1</v>
      </c>
      <c r="AZ30">
        <v>2048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1.184E-2</v>
      </c>
      <c r="CY30">
        <f>AD30</f>
        <v>0</v>
      </c>
      <c r="CZ30">
        <f>AH30</f>
        <v>0</v>
      </c>
      <c r="DA30">
        <f>AL30</f>
        <v>1</v>
      </c>
      <c r="DB30">
        <f>ROUND(ROUND(AT30*CZ30,2),2)</f>
        <v>0</v>
      </c>
      <c r="DC30">
        <f>ROUND(ROUND(AT30*AG30,2),2)</f>
        <v>0</v>
      </c>
    </row>
    <row r="31" spans="1:107" x14ac:dyDescent="0.2">
      <c r="A31">
        <f>ROW(Source!A30)</f>
        <v>30</v>
      </c>
      <c r="B31">
        <v>27935367</v>
      </c>
      <c r="C31">
        <v>27935461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462</v>
      </c>
      <c r="J31" t="s">
        <v>463</v>
      </c>
      <c r="K31" t="s">
        <v>464</v>
      </c>
      <c r="L31">
        <v>1368</v>
      </c>
      <c r="N31">
        <v>1011</v>
      </c>
      <c r="O31" t="s">
        <v>465</v>
      </c>
      <c r="P31" t="s">
        <v>465</v>
      </c>
      <c r="Q31">
        <v>1</v>
      </c>
      <c r="W31">
        <v>0</v>
      </c>
      <c r="X31">
        <v>1188625873</v>
      </c>
      <c r="Y31">
        <v>8.7500000000000008E-2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7.0000000000000007E-2</v>
      </c>
      <c r="AU31" t="s">
        <v>27</v>
      </c>
      <c r="AV31">
        <v>0</v>
      </c>
      <c r="AW31">
        <v>2</v>
      </c>
      <c r="AX31">
        <v>27935471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2.8000000000000004E-3</v>
      </c>
      <c r="CY31">
        <f>AB31</f>
        <v>31.26</v>
      </c>
      <c r="CZ31">
        <f>AF31</f>
        <v>31.26</v>
      </c>
      <c r="DA31">
        <f>AJ31</f>
        <v>1</v>
      </c>
      <c r="DB31">
        <f>ROUND((ROUND(AT31*CZ31,2)*1.25),2)</f>
        <v>2.74</v>
      </c>
      <c r="DC31">
        <f>ROUND((ROUND(AT31*AG31,2)*1.25),2)</f>
        <v>1.19</v>
      </c>
    </row>
    <row r="32" spans="1:107" x14ac:dyDescent="0.2">
      <c r="A32">
        <f>ROW(Source!A30)</f>
        <v>30</v>
      </c>
      <c r="B32">
        <v>27935367</v>
      </c>
      <c r="C32">
        <v>27935461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468</v>
      </c>
      <c r="J32" t="s">
        <v>469</v>
      </c>
      <c r="K32" t="s">
        <v>470</v>
      </c>
      <c r="L32">
        <v>1368</v>
      </c>
      <c r="N32">
        <v>1011</v>
      </c>
      <c r="O32" t="s">
        <v>465</v>
      </c>
      <c r="P32" t="s">
        <v>465</v>
      </c>
      <c r="Q32">
        <v>1</v>
      </c>
      <c r="W32">
        <v>0</v>
      </c>
      <c r="X32">
        <v>1372534845</v>
      </c>
      <c r="Y32">
        <v>0.375</v>
      </c>
      <c r="AA32">
        <v>0</v>
      </c>
      <c r="AB32">
        <v>65.709999999999994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0.3</v>
      </c>
      <c r="AU32" t="s">
        <v>27</v>
      </c>
      <c r="AV32">
        <v>0</v>
      </c>
      <c r="AW32">
        <v>2</v>
      </c>
      <c r="AX32">
        <v>27935472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1.2E-2</v>
      </c>
      <c r="CY32">
        <f>AB32</f>
        <v>65.709999999999994</v>
      </c>
      <c r="CZ32">
        <f>AF32</f>
        <v>65.709999999999994</v>
      </c>
      <c r="DA32">
        <f>AJ32</f>
        <v>1</v>
      </c>
      <c r="DB32">
        <f>ROUND((ROUND(AT32*CZ32,2)*1.25),2)</f>
        <v>24.64</v>
      </c>
      <c r="DC32">
        <f>ROUND((ROUND(AT32*AG32,2)*1.25),2)</f>
        <v>4.3499999999999996</v>
      </c>
    </row>
    <row r="33" spans="1:107" x14ac:dyDescent="0.2">
      <c r="A33">
        <f>ROW(Source!A30)</f>
        <v>30</v>
      </c>
      <c r="B33">
        <v>27935367</v>
      </c>
      <c r="C33">
        <v>27935461</v>
      </c>
      <c r="D33">
        <v>25180267</v>
      </c>
      <c r="E33">
        <v>1</v>
      </c>
      <c r="F33">
        <v>1</v>
      </c>
      <c r="G33">
        <v>1</v>
      </c>
      <c r="H33">
        <v>3</v>
      </c>
      <c r="I33" t="s">
        <v>43</v>
      </c>
      <c r="J33" t="s">
        <v>46</v>
      </c>
      <c r="K33" t="s">
        <v>44</v>
      </c>
      <c r="L33">
        <v>1301</v>
      </c>
      <c r="N33">
        <v>1003</v>
      </c>
      <c r="O33" t="s">
        <v>45</v>
      </c>
      <c r="P33" t="s">
        <v>45</v>
      </c>
      <c r="Q33">
        <v>1</v>
      </c>
      <c r="W33">
        <v>0</v>
      </c>
      <c r="X33">
        <v>-504550248</v>
      </c>
      <c r="Y33">
        <v>100</v>
      </c>
      <c r="AA33">
        <v>32.42</v>
      </c>
      <c r="AB33">
        <v>0</v>
      </c>
      <c r="AC33">
        <v>0</v>
      </c>
      <c r="AD33">
        <v>0</v>
      </c>
      <c r="AE33">
        <v>32.42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1</v>
      </c>
      <c r="AO33">
        <v>0</v>
      </c>
      <c r="AP33">
        <v>0</v>
      </c>
      <c r="AQ33">
        <v>0</v>
      </c>
      <c r="AR33">
        <v>0</v>
      </c>
      <c r="AS33" t="s">
        <v>6</v>
      </c>
      <c r="AT33">
        <v>100</v>
      </c>
      <c r="AU33" t="s">
        <v>6</v>
      </c>
      <c r="AV33">
        <v>0</v>
      </c>
      <c r="AW33">
        <v>1</v>
      </c>
      <c r="AX33">
        <v>-1</v>
      </c>
      <c r="AY33">
        <v>0</v>
      </c>
      <c r="AZ33">
        <v>0</v>
      </c>
      <c r="BA33" t="s">
        <v>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3.2</v>
      </c>
      <c r="CY33">
        <f>AA33</f>
        <v>32.42</v>
      </c>
      <c r="CZ33">
        <f>AE33</f>
        <v>32.42</v>
      </c>
      <c r="DA33">
        <f>AI33</f>
        <v>1</v>
      </c>
      <c r="DB33">
        <f>ROUND(ROUND(AT33*CZ33,2),2)</f>
        <v>3242</v>
      </c>
      <c r="DC33">
        <f>ROUND(ROUND(AT33*AG33,2),2)</f>
        <v>0</v>
      </c>
    </row>
    <row r="34" spans="1:107" x14ac:dyDescent="0.2">
      <c r="A34">
        <f>ROW(Source!A30)</f>
        <v>30</v>
      </c>
      <c r="B34">
        <v>27935367</v>
      </c>
      <c r="C34">
        <v>27935461</v>
      </c>
      <c r="D34">
        <v>25180423</v>
      </c>
      <c r="E34">
        <v>1</v>
      </c>
      <c r="F34">
        <v>1</v>
      </c>
      <c r="G34">
        <v>1</v>
      </c>
      <c r="H34">
        <v>3</v>
      </c>
      <c r="I34" t="s">
        <v>484</v>
      </c>
      <c r="J34" t="s">
        <v>485</v>
      </c>
      <c r="K34" t="s">
        <v>486</v>
      </c>
      <c r="L34">
        <v>1355</v>
      </c>
      <c r="N34">
        <v>1010</v>
      </c>
      <c r="O34" t="s">
        <v>487</v>
      </c>
      <c r="P34" t="s">
        <v>487</v>
      </c>
      <c r="Q34">
        <v>100</v>
      </c>
      <c r="W34">
        <v>0</v>
      </c>
      <c r="X34">
        <v>1709713925</v>
      </c>
      <c r="Y34">
        <v>4</v>
      </c>
      <c r="AA34">
        <v>50</v>
      </c>
      <c r="AB34">
        <v>0</v>
      </c>
      <c r="AC34">
        <v>0</v>
      </c>
      <c r="AD34">
        <v>0</v>
      </c>
      <c r="AE34">
        <v>50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4</v>
      </c>
      <c r="AU34" t="s">
        <v>6</v>
      </c>
      <c r="AV34">
        <v>0</v>
      </c>
      <c r="AW34">
        <v>2</v>
      </c>
      <c r="AX34">
        <v>27935474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0.128</v>
      </c>
      <c r="CY34">
        <f>AA34</f>
        <v>50</v>
      </c>
      <c r="CZ34">
        <f>AE34</f>
        <v>50</v>
      </c>
      <c r="DA34">
        <f>AI34</f>
        <v>1</v>
      </c>
      <c r="DB34">
        <f>ROUND(ROUND(AT34*CZ34,2),2)</f>
        <v>200</v>
      </c>
      <c r="DC34">
        <f>ROUND(ROUND(AT34*AG34,2),2)</f>
        <v>0</v>
      </c>
    </row>
    <row r="35" spans="1:107" x14ac:dyDescent="0.2">
      <c r="A35">
        <f>ROW(Source!A30)</f>
        <v>30</v>
      </c>
      <c r="B35">
        <v>27935367</v>
      </c>
      <c r="C35">
        <v>27935461</v>
      </c>
      <c r="D35">
        <v>25186863</v>
      </c>
      <c r="E35">
        <v>1</v>
      </c>
      <c r="F35">
        <v>1</v>
      </c>
      <c r="G35">
        <v>1</v>
      </c>
      <c r="H35">
        <v>3</v>
      </c>
      <c r="I35" t="s">
        <v>488</v>
      </c>
      <c r="J35" t="s">
        <v>489</v>
      </c>
      <c r="K35" t="s">
        <v>490</v>
      </c>
      <c r="L35">
        <v>1354</v>
      </c>
      <c r="N35">
        <v>1010</v>
      </c>
      <c r="O35" t="s">
        <v>282</v>
      </c>
      <c r="P35" t="s">
        <v>282</v>
      </c>
      <c r="Q35">
        <v>1</v>
      </c>
      <c r="W35">
        <v>0</v>
      </c>
      <c r="X35">
        <v>-1018551266</v>
      </c>
      <c r="Y35">
        <v>90.7</v>
      </c>
      <c r="AA35">
        <v>67</v>
      </c>
      <c r="AB35">
        <v>0</v>
      </c>
      <c r="AC35">
        <v>0</v>
      </c>
      <c r="AD35">
        <v>0</v>
      </c>
      <c r="AE35">
        <v>67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90.7</v>
      </c>
      <c r="AU35" t="s">
        <v>6</v>
      </c>
      <c r="AV35">
        <v>0</v>
      </c>
      <c r="AW35">
        <v>2</v>
      </c>
      <c r="AX35">
        <v>27935475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2.9024000000000001</v>
      </c>
      <c r="CY35">
        <f>AA35</f>
        <v>67</v>
      </c>
      <c r="CZ35">
        <f>AE35</f>
        <v>67</v>
      </c>
      <c r="DA35">
        <f>AI35</f>
        <v>1</v>
      </c>
      <c r="DB35">
        <f>ROUND(ROUND(AT35*CZ35,2),2)</f>
        <v>6076.9</v>
      </c>
      <c r="DC35">
        <f>ROUND(ROUND(AT35*AG35,2),2)</f>
        <v>0</v>
      </c>
    </row>
    <row r="36" spans="1:107" x14ac:dyDescent="0.2">
      <c r="A36">
        <f>ROW(Source!A31)</f>
        <v>31</v>
      </c>
      <c r="B36">
        <v>27935368</v>
      </c>
      <c r="C36">
        <v>27935461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491</v>
      </c>
      <c r="J36" t="s">
        <v>6</v>
      </c>
      <c r="K36" t="s">
        <v>492</v>
      </c>
      <c r="L36">
        <v>1191</v>
      </c>
      <c r="N36">
        <v>1013</v>
      </c>
      <c r="O36" t="s">
        <v>459</v>
      </c>
      <c r="P36" t="s">
        <v>459</v>
      </c>
      <c r="Q36">
        <v>1</v>
      </c>
      <c r="W36">
        <v>0</v>
      </c>
      <c r="X36">
        <v>-400197608</v>
      </c>
      <c r="Y36">
        <v>24.586999999999996</v>
      </c>
      <c r="AA36">
        <v>0</v>
      </c>
      <c r="AB36">
        <v>0</v>
      </c>
      <c r="AC36">
        <v>0</v>
      </c>
      <c r="AD36">
        <v>52.12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6.11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21.38</v>
      </c>
      <c r="AU36" t="s">
        <v>28</v>
      </c>
      <c r="AV36">
        <v>1</v>
      </c>
      <c r="AW36">
        <v>2</v>
      </c>
      <c r="AX36">
        <v>27935469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0.78678399999999993</v>
      </c>
      <c r="CY36">
        <f>AD36</f>
        <v>52.12</v>
      </c>
      <c r="CZ36">
        <f>AH36</f>
        <v>8.5299999999999994</v>
      </c>
      <c r="DA36">
        <f>AL36</f>
        <v>6.11</v>
      </c>
      <c r="DB36">
        <f>ROUND((ROUND(AT36*CZ36,2)*1.15),2)</f>
        <v>209.73</v>
      </c>
      <c r="DC36">
        <f>ROUND((ROUND(AT36*AG36,2)*1.15),2)</f>
        <v>0</v>
      </c>
    </row>
    <row r="37" spans="1:107" x14ac:dyDescent="0.2">
      <c r="A37">
        <f>ROW(Source!A31)</f>
        <v>31</v>
      </c>
      <c r="B37">
        <v>27935368</v>
      </c>
      <c r="C37">
        <v>27935461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460</v>
      </c>
      <c r="J37" t="s">
        <v>6</v>
      </c>
      <c r="K37" t="s">
        <v>461</v>
      </c>
      <c r="L37">
        <v>1191</v>
      </c>
      <c r="N37">
        <v>1013</v>
      </c>
      <c r="O37" t="s">
        <v>459</v>
      </c>
      <c r="P37" t="s">
        <v>459</v>
      </c>
      <c r="Q37">
        <v>1</v>
      </c>
      <c r="W37">
        <v>0</v>
      </c>
      <c r="X37">
        <v>-1417349443</v>
      </c>
      <c r="Y37">
        <v>0.37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6.11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0.37</v>
      </c>
      <c r="AU37" t="s">
        <v>6</v>
      </c>
      <c r="AV37">
        <v>2</v>
      </c>
      <c r="AW37">
        <v>2</v>
      </c>
      <c r="AX37">
        <v>27935470</v>
      </c>
      <c r="AY37">
        <v>1</v>
      </c>
      <c r="AZ37">
        <v>2048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1.184E-2</v>
      </c>
      <c r="CY37">
        <f>AD37</f>
        <v>0</v>
      </c>
      <c r="CZ37">
        <f>AH37</f>
        <v>0</v>
      </c>
      <c r="DA37">
        <f>AL37</f>
        <v>1</v>
      </c>
      <c r="DB37">
        <f>ROUND(ROUND(AT37*CZ37,2),2)</f>
        <v>0</v>
      </c>
      <c r="DC37">
        <f>ROUND(ROUND(AT37*AG37,2),2)</f>
        <v>0</v>
      </c>
    </row>
    <row r="38" spans="1:107" x14ac:dyDescent="0.2">
      <c r="A38">
        <f>ROW(Source!A31)</f>
        <v>31</v>
      </c>
      <c r="B38">
        <v>27935368</v>
      </c>
      <c r="C38">
        <v>27935461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462</v>
      </c>
      <c r="J38" t="s">
        <v>463</v>
      </c>
      <c r="K38" t="s">
        <v>464</v>
      </c>
      <c r="L38">
        <v>1368</v>
      </c>
      <c r="N38">
        <v>1011</v>
      </c>
      <c r="O38" t="s">
        <v>465</v>
      </c>
      <c r="P38" t="s">
        <v>465</v>
      </c>
      <c r="Q38">
        <v>1</v>
      </c>
      <c r="W38">
        <v>0</v>
      </c>
      <c r="X38">
        <v>1188625873</v>
      </c>
      <c r="Y38">
        <v>8.7500000000000008E-2</v>
      </c>
      <c r="AA38">
        <v>0</v>
      </c>
      <c r="AB38">
        <v>191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6.11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7.0000000000000007E-2</v>
      </c>
      <c r="AU38" t="s">
        <v>27</v>
      </c>
      <c r="AV38">
        <v>0</v>
      </c>
      <c r="AW38">
        <v>2</v>
      </c>
      <c r="AX38">
        <v>27935471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2.8000000000000004E-3</v>
      </c>
      <c r="CY38">
        <f>AB38</f>
        <v>191</v>
      </c>
      <c r="CZ38">
        <f>AF38</f>
        <v>31.26</v>
      </c>
      <c r="DA38">
        <f>AJ38</f>
        <v>6.11</v>
      </c>
      <c r="DB38">
        <f>ROUND((ROUND(AT38*CZ38,2)*1.25),2)</f>
        <v>2.74</v>
      </c>
      <c r="DC38">
        <f>ROUND((ROUND(AT38*AG38,2)*1.25),2)</f>
        <v>1.19</v>
      </c>
    </row>
    <row r="39" spans="1:107" x14ac:dyDescent="0.2">
      <c r="A39">
        <f>ROW(Source!A31)</f>
        <v>31</v>
      </c>
      <c r="B39">
        <v>27935368</v>
      </c>
      <c r="C39">
        <v>27935461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468</v>
      </c>
      <c r="J39" t="s">
        <v>469</v>
      </c>
      <c r="K39" t="s">
        <v>470</v>
      </c>
      <c r="L39">
        <v>1368</v>
      </c>
      <c r="N39">
        <v>1011</v>
      </c>
      <c r="O39" t="s">
        <v>465</v>
      </c>
      <c r="P39" t="s">
        <v>465</v>
      </c>
      <c r="Q39">
        <v>1</v>
      </c>
      <c r="W39">
        <v>0</v>
      </c>
      <c r="X39">
        <v>1372534845</v>
      </c>
      <c r="Y39">
        <v>0.375</v>
      </c>
      <c r="AA39">
        <v>0</v>
      </c>
      <c r="AB39">
        <v>401.49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6.11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0.3</v>
      </c>
      <c r="AU39" t="s">
        <v>27</v>
      </c>
      <c r="AV39">
        <v>0</v>
      </c>
      <c r="AW39">
        <v>2</v>
      </c>
      <c r="AX39">
        <v>27935472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1.2E-2</v>
      </c>
      <c r="CY39">
        <f>AB39</f>
        <v>401.49</v>
      </c>
      <c r="CZ39">
        <f>AF39</f>
        <v>65.709999999999994</v>
      </c>
      <c r="DA39">
        <f>AJ39</f>
        <v>6.11</v>
      </c>
      <c r="DB39">
        <f>ROUND((ROUND(AT39*CZ39,2)*1.25),2)</f>
        <v>24.64</v>
      </c>
      <c r="DC39">
        <f>ROUND((ROUND(AT39*AG39,2)*1.25),2)</f>
        <v>4.3499999999999996</v>
      </c>
    </row>
    <row r="40" spans="1:107" x14ac:dyDescent="0.2">
      <c r="A40">
        <f>ROW(Source!A31)</f>
        <v>31</v>
      </c>
      <c r="B40">
        <v>27935368</v>
      </c>
      <c r="C40">
        <v>27935461</v>
      </c>
      <c r="D40">
        <v>25180267</v>
      </c>
      <c r="E40">
        <v>1</v>
      </c>
      <c r="F40">
        <v>1</v>
      </c>
      <c r="G40">
        <v>1</v>
      </c>
      <c r="H40">
        <v>3</v>
      </c>
      <c r="I40" t="s">
        <v>43</v>
      </c>
      <c r="J40" t="s">
        <v>46</v>
      </c>
      <c r="K40" t="s">
        <v>44</v>
      </c>
      <c r="L40">
        <v>1301</v>
      </c>
      <c r="N40">
        <v>1003</v>
      </c>
      <c r="O40" t="s">
        <v>45</v>
      </c>
      <c r="P40" t="s">
        <v>45</v>
      </c>
      <c r="Q40">
        <v>1</v>
      </c>
      <c r="W40">
        <v>0</v>
      </c>
      <c r="X40">
        <v>-504550248</v>
      </c>
      <c r="Y40">
        <v>100</v>
      </c>
      <c r="AA40">
        <v>198.09</v>
      </c>
      <c r="AB40">
        <v>0</v>
      </c>
      <c r="AC40">
        <v>0</v>
      </c>
      <c r="AD40">
        <v>0</v>
      </c>
      <c r="AE40">
        <v>32.42</v>
      </c>
      <c r="AF40">
        <v>0</v>
      </c>
      <c r="AG40">
        <v>0</v>
      </c>
      <c r="AH40">
        <v>0</v>
      </c>
      <c r="AI40">
        <v>6.11</v>
      </c>
      <c r="AJ40">
        <v>1</v>
      </c>
      <c r="AK40">
        <v>1</v>
      </c>
      <c r="AL40">
        <v>1</v>
      </c>
      <c r="AN40">
        <v>1</v>
      </c>
      <c r="AO40">
        <v>0</v>
      </c>
      <c r="AP40">
        <v>0</v>
      </c>
      <c r="AQ40">
        <v>0</v>
      </c>
      <c r="AR40">
        <v>0</v>
      </c>
      <c r="AS40" t="s">
        <v>6</v>
      </c>
      <c r="AT40">
        <v>100</v>
      </c>
      <c r="AU40" t="s">
        <v>6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3.2</v>
      </c>
      <c r="CY40">
        <f>AA40</f>
        <v>198.09</v>
      </c>
      <c r="CZ40">
        <f>AE40</f>
        <v>32.42</v>
      </c>
      <c r="DA40">
        <f>AI40</f>
        <v>6.11</v>
      </c>
      <c r="DB40">
        <f>ROUND(ROUND(AT40*CZ40,2),2)</f>
        <v>3242</v>
      </c>
      <c r="DC40">
        <f>ROUND(ROUND(AT40*AG40,2),2)</f>
        <v>0</v>
      </c>
    </row>
    <row r="41" spans="1:107" x14ac:dyDescent="0.2">
      <c r="A41">
        <f>ROW(Source!A31)</f>
        <v>31</v>
      </c>
      <c r="B41">
        <v>27935368</v>
      </c>
      <c r="C41">
        <v>27935461</v>
      </c>
      <c r="D41">
        <v>25180423</v>
      </c>
      <c r="E41">
        <v>1</v>
      </c>
      <c r="F41">
        <v>1</v>
      </c>
      <c r="G41">
        <v>1</v>
      </c>
      <c r="H41">
        <v>3</v>
      </c>
      <c r="I41" t="s">
        <v>484</v>
      </c>
      <c r="J41" t="s">
        <v>485</v>
      </c>
      <c r="K41" t="s">
        <v>486</v>
      </c>
      <c r="L41">
        <v>1355</v>
      </c>
      <c r="N41">
        <v>1010</v>
      </c>
      <c r="O41" t="s">
        <v>487</v>
      </c>
      <c r="P41" t="s">
        <v>487</v>
      </c>
      <c r="Q41">
        <v>100</v>
      </c>
      <c r="W41">
        <v>0</v>
      </c>
      <c r="X41">
        <v>1709713925</v>
      </c>
      <c r="Y41">
        <v>4</v>
      </c>
      <c r="AA41">
        <v>305.5</v>
      </c>
      <c r="AB41">
        <v>0</v>
      </c>
      <c r="AC41">
        <v>0</v>
      </c>
      <c r="AD41">
        <v>0</v>
      </c>
      <c r="AE41">
        <v>50</v>
      </c>
      <c r="AF41">
        <v>0</v>
      </c>
      <c r="AG41">
        <v>0</v>
      </c>
      <c r="AH41">
        <v>0</v>
      </c>
      <c r="AI41">
        <v>6.11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4</v>
      </c>
      <c r="AU41" t="s">
        <v>6</v>
      </c>
      <c r="AV41">
        <v>0</v>
      </c>
      <c r="AW41">
        <v>2</v>
      </c>
      <c r="AX41">
        <v>27935474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0.128</v>
      </c>
      <c r="CY41">
        <f>AA41</f>
        <v>305.5</v>
      </c>
      <c r="CZ41">
        <f>AE41</f>
        <v>50</v>
      </c>
      <c r="DA41">
        <f>AI41</f>
        <v>6.11</v>
      </c>
      <c r="DB41">
        <f>ROUND(ROUND(AT41*CZ41,2),2)</f>
        <v>200</v>
      </c>
      <c r="DC41">
        <f>ROUND(ROUND(AT41*AG41,2),2)</f>
        <v>0</v>
      </c>
    </row>
    <row r="42" spans="1:107" x14ac:dyDescent="0.2">
      <c r="A42">
        <f>ROW(Source!A31)</f>
        <v>31</v>
      </c>
      <c r="B42">
        <v>27935368</v>
      </c>
      <c r="C42">
        <v>27935461</v>
      </c>
      <c r="D42">
        <v>25186863</v>
      </c>
      <c r="E42">
        <v>1</v>
      </c>
      <c r="F42">
        <v>1</v>
      </c>
      <c r="G42">
        <v>1</v>
      </c>
      <c r="H42">
        <v>3</v>
      </c>
      <c r="I42" t="s">
        <v>488</v>
      </c>
      <c r="J42" t="s">
        <v>489</v>
      </c>
      <c r="K42" t="s">
        <v>490</v>
      </c>
      <c r="L42">
        <v>1354</v>
      </c>
      <c r="N42">
        <v>1010</v>
      </c>
      <c r="O42" t="s">
        <v>282</v>
      </c>
      <c r="P42" t="s">
        <v>282</v>
      </c>
      <c r="Q42">
        <v>1</v>
      </c>
      <c r="W42">
        <v>0</v>
      </c>
      <c r="X42">
        <v>-1018551266</v>
      </c>
      <c r="Y42">
        <v>90.7</v>
      </c>
      <c r="AA42">
        <v>409.37</v>
      </c>
      <c r="AB42">
        <v>0</v>
      </c>
      <c r="AC42">
        <v>0</v>
      </c>
      <c r="AD42">
        <v>0</v>
      </c>
      <c r="AE42">
        <v>67</v>
      </c>
      <c r="AF42">
        <v>0</v>
      </c>
      <c r="AG42">
        <v>0</v>
      </c>
      <c r="AH42">
        <v>0</v>
      </c>
      <c r="AI42">
        <v>6.11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90.7</v>
      </c>
      <c r="AU42" t="s">
        <v>6</v>
      </c>
      <c r="AV42">
        <v>0</v>
      </c>
      <c r="AW42">
        <v>2</v>
      </c>
      <c r="AX42">
        <v>27935475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2.9024000000000001</v>
      </c>
      <c r="CY42">
        <f>AA42</f>
        <v>409.37</v>
      </c>
      <c r="CZ42">
        <f>AE42</f>
        <v>67</v>
      </c>
      <c r="DA42">
        <f>AI42</f>
        <v>6.11</v>
      </c>
      <c r="DB42">
        <f>ROUND(ROUND(AT42*CZ42,2),2)</f>
        <v>6076.9</v>
      </c>
      <c r="DC42">
        <f>ROUND(ROUND(AT42*AG42,2),2)</f>
        <v>0</v>
      </c>
    </row>
    <row r="43" spans="1:107" x14ac:dyDescent="0.2">
      <c r="A43">
        <f>ROW(Source!A34)</f>
        <v>34</v>
      </c>
      <c r="B43">
        <v>27935367</v>
      </c>
      <c r="C43">
        <v>27935477</v>
      </c>
      <c r="D43">
        <v>25420819</v>
      </c>
      <c r="E43">
        <v>1</v>
      </c>
      <c r="F43">
        <v>1</v>
      </c>
      <c r="G43">
        <v>1</v>
      </c>
      <c r="H43">
        <v>1</v>
      </c>
      <c r="I43" t="s">
        <v>493</v>
      </c>
      <c r="J43" t="s">
        <v>6</v>
      </c>
      <c r="K43" t="s">
        <v>494</v>
      </c>
      <c r="L43">
        <v>1191</v>
      </c>
      <c r="N43">
        <v>1013</v>
      </c>
      <c r="O43" t="s">
        <v>459</v>
      </c>
      <c r="P43" t="s">
        <v>459</v>
      </c>
      <c r="Q43">
        <v>1</v>
      </c>
      <c r="W43">
        <v>0</v>
      </c>
      <c r="X43">
        <v>-1027537862</v>
      </c>
      <c r="Y43">
        <v>191.44049999999999</v>
      </c>
      <c r="AA43">
        <v>0</v>
      </c>
      <c r="AB43">
        <v>0</v>
      </c>
      <c r="AC43">
        <v>0</v>
      </c>
      <c r="AD43">
        <v>9.18</v>
      </c>
      <c r="AE43">
        <v>0</v>
      </c>
      <c r="AF43">
        <v>0</v>
      </c>
      <c r="AG43">
        <v>0</v>
      </c>
      <c r="AH43">
        <v>9.18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166.47</v>
      </c>
      <c r="AU43" t="s">
        <v>28</v>
      </c>
      <c r="AV43">
        <v>1</v>
      </c>
      <c r="AW43">
        <v>2</v>
      </c>
      <c r="AX43">
        <v>27935486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4.7094363000000001</v>
      </c>
      <c r="CY43">
        <f>AD43</f>
        <v>9.18</v>
      </c>
      <c r="CZ43">
        <f>AH43</f>
        <v>9.18</v>
      </c>
      <c r="DA43">
        <f>AL43</f>
        <v>1</v>
      </c>
      <c r="DB43">
        <f>ROUND((ROUND(AT43*CZ43,2)*1.15),2)</f>
        <v>1757.42</v>
      </c>
      <c r="DC43">
        <f>ROUND((ROUND(AT43*AG43,2)*1.15),2)</f>
        <v>0</v>
      </c>
    </row>
    <row r="44" spans="1:107" x14ac:dyDescent="0.2">
      <c r="A44">
        <f>ROW(Source!A34)</f>
        <v>34</v>
      </c>
      <c r="B44">
        <v>27935367</v>
      </c>
      <c r="C44">
        <v>27935477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460</v>
      </c>
      <c r="J44" t="s">
        <v>6</v>
      </c>
      <c r="K44" t="s">
        <v>461</v>
      </c>
      <c r="L44">
        <v>1191</v>
      </c>
      <c r="N44">
        <v>1013</v>
      </c>
      <c r="O44" t="s">
        <v>459</v>
      </c>
      <c r="P44" t="s">
        <v>459</v>
      </c>
      <c r="Q44">
        <v>1</v>
      </c>
      <c r="W44">
        <v>0</v>
      </c>
      <c r="X44">
        <v>-1417349443</v>
      </c>
      <c r="Y44">
        <v>0.57999999999999996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0.57999999999999996</v>
      </c>
      <c r="AU44" t="s">
        <v>6</v>
      </c>
      <c r="AV44">
        <v>2</v>
      </c>
      <c r="AW44">
        <v>2</v>
      </c>
      <c r="AX44">
        <v>27935487</v>
      </c>
      <c r="AY44">
        <v>1</v>
      </c>
      <c r="AZ44">
        <v>2048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1.4267999999999999E-2</v>
      </c>
      <c r="CY44">
        <f>AD44</f>
        <v>0</v>
      </c>
      <c r="CZ44">
        <f>AH44</f>
        <v>0</v>
      </c>
      <c r="DA44">
        <f>AL44</f>
        <v>1</v>
      </c>
      <c r="DB44">
        <f>ROUND(ROUND(AT44*CZ44,2),2)</f>
        <v>0</v>
      </c>
      <c r="DC44">
        <f>ROUND(ROUND(AT44*AG44,2),2)</f>
        <v>0</v>
      </c>
    </row>
    <row r="45" spans="1:107" x14ac:dyDescent="0.2">
      <c r="A45">
        <f>ROW(Source!A34)</f>
        <v>34</v>
      </c>
      <c r="B45">
        <v>27935367</v>
      </c>
      <c r="C45">
        <v>27935477</v>
      </c>
      <c r="D45">
        <v>25230514</v>
      </c>
      <c r="E45">
        <v>1</v>
      </c>
      <c r="F45">
        <v>1</v>
      </c>
      <c r="G45">
        <v>1</v>
      </c>
      <c r="H45">
        <v>2</v>
      </c>
      <c r="I45" t="s">
        <v>462</v>
      </c>
      <c r="J45" t="s">
        <v>463</v>
      </c>
      <c r="K45" t="s">
        <v>464</v>
      </c>
      <c r="L45">
        <v>1368</v>
      </c>
      <c r="N45">
        <v>1011</v>
      </c>
      <c r="O45" t="s">
        <v>465</v>
      </c>
      <c r="P45" t="s">
        <v>465</v>
      </c>
      <c r="Q45">
        <v>1</v>
      </c>
      <c r="W45">
        <v>0</v>
      </c>
      <c r="X45">
        <v>1188625873</v>
      </c>
      <c r="Y45">
        <v>0.1</v>
      </c>
      <c r="AA45">
        <v>0</v>
      </c>
      <c r="AB45">
        <v>31.26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0.08</v>
      </c>
      <c r="AU45" t="s">
        <v>27</v>
      </c>
      <c r="AV45">
        <v>0</v>
      </c>
      <c r="AW45">
        <v>2</v>
      </c>
      <c r="AX45">
        <v>27935488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2.4600000000000004E-3</v>
      </c>
      <c r="CY45">
        <f>AB45</f>
        <v>31.26</v>
      </c>
      <c r="CZ45">
        <f>AF45</f>
        <v>31.26</v>
      </c>
      <c r="DA45">
        <f>AJ45</f>
        <v>1</v>
      </c>
      <c r="DB45">
        <f>ROUND((ROUND(AT45*CZ45,2)*1.25),2)</f>
        <v>3.13</v>
      </c>
      <c r="DC45">
        <f>ROUND((ROUND(AT45*AG45,2)*1.25),2)</f>
        <v>1.35</v>
      </c>
    </row>
    <row r="46" spans="1:107" x14ac:dyDescent="0.2">
      <c r="A46">
        <f>ROW(Source!A34)</f>
        <v>34</v>
      </c>
      <c r="B46">
        <v>27935367</v>
      </c>
      <c r="C46">
        <v>27935477</v>
      </c>
      <c r="D46">
        <v>25231607</v>
      </c>
      <c r="E46">
        <v>1</v>
      </c>
      <c r="F46">
        <v>1</v>
      </c>
      <c r="G46">
        <v>1</v>
      </c>
      <c r="H46">
        <v>2</v>
      </c>
      <c r="I46" t="s">
        <v>468</v>
      </c>
      <c r="J46" t="s">
        <v>469</v>
      </c>
      <c r="K46" t="s">
        <v>470</v>
      </c>
      <c r="L46">
        <v>1368</v>
      </c>
      <c r="N46">
        <v>1011</v>
      </c>
      <c r="O46" t="s">
        <v>465</v>
      </c>
      <c r="P46" t="s">
        <v>465</v>
      </c>
      <c r="Q46">
        <v>1</v>
      </c>
      <c r="W46">
        <v>0</v>
      </c>
      <c r="X46">
        <v>1372534845</v>
      </c>
      <c r="Y46">
        <v>0.625</v>
      </c>
      <c r="AA46">
        <v>0</v>
      </c>
      <c r="AB46">
        <v>65.709999999999994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0.5</v>
      </c>
      <c r="AU46" t="s">
        <v>27</v>
      </c>
      <c r="AV46">
        <v>0</v>
      </c>
      <c r="AW46">
        <v>2</v>
      </c>
      <c r="AX46">
        <v>27935489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1.5375E-2</v>
      </c>
      <c r="CY46">
        <f>AB46</f>
        <v>65.709999999999994</v>
      </c>
      <c r="CZ46">
        <f>AF46</f>
        <v>65.709999999999994</v>
      </c>
      <c r="DA46">
        <f>AJ46</f>
        <v>1</v>
      </c>
      <c r="DB46">
        <f>ROUND((ROUND(AT46*CZ46,2)*1.25),2)</f>
        <v>41.08</v>
      </c>
      <c r="DC46">
        <f>ROUND((ROUND(AT46*AG46,2)*1.25),2)</f>
        <v>7.25</v>
      </c>
    </row>
    <row r="47" spans="1:107" x14ac:dyDescent="0.2">
      <c r="A47">
        <f>ROW(Source!A34)</f>
        <v>34</v>
      </c>
      <c r="B47">
        <v>27935367</v>
      </c>
      <c r="C47">
        <v>27935477</v>
      </c>
      <c r="D47">
        <v>25153690</v>
      </c>
      <c r="E47">
        <v>1</v>
      </c>
      <c r="F47">
        <v>1</v>
      </c>
      <c r="G47">
        <v>1</v>
      </c>
      <c r="H47">
        <v>3</v>
      </c>
      <c r="I47" t="s">
        <v>495</v>
      </c>
      <c r="J47" t="s">
        <v>496</v>
      </c>
      <c r="K47" t="s">
        <v>497</v>
      </c>
      <c r="L47">
        <v>1346</v>
      </c>
      <c r="N47">
        <v>1009</v>
      </c>
      <c r="O47" t="s">
        <v>60</v>
      </c>
      <c r="P47" t="s">
        <v>60</v>
      </c>
      <c r="Q47">
        <v>1</v>
      </c>
      <c r="W47">
        <v>0</v>
      </c>
      <c r="X47">
        <v>813963326</v>
      </c>
      <c r="Y47">
        <v>0.2</v>
      </c>
      <c r="AA47">
        <v>1.82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0.2</v>
      </c>
      <c r="AU47" t="s">
        <v>6</v>
      </c>
      <c r="AV47">
        <v>0</v>
      </c>
      <c r="AW47">
        <v>2</v>
      </c>
      <c r="AX47">
        <v>27935491</v>
      </c>
      <c r="AY47">
        <v>1</v>
      </c>
      <c r="AZ47">
        <v>0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4.9200000000000008E-3</v>
      </c>
      <c r="CY47">
        <f>AA47</f>
        <v>1.82</v>
      </c>
      <c r="CZ47">
        <f>AE47</f>
        <v>1.82</v>
      </c>
      <c r="DA47">
        <f>AI47</f>
        <v>1</v>
      </c>
      <c r="DB47">
        <f>ROUND(ROUND(AT47*CZ47,2),2)</f>
        <v>0.36</v>
      </c>
      <c r="DC47">
        <f>ROUND(ROUND(AT47*AG47,2),2)</f>
        <v>0</v>
      </c>
    </row>
    <row r="48" spans="1:107" x14ac:dyDescent="0.2">
      <c r="A48">
        <f>ROW(Source!A34)</f>
        <v>34</v>
      </c>
      <c r="B48">
        <v>27935367</v>
      </c>
      <c r="C48">
        <v>27935477</v>
      </c>
      <c r="D48">
        <v>25180319</v>
      </c>
      <c r="E48">
        <v>1</v>
      </c>
      <c r="F48">
        <v>1</v>
      </c>
      <c r="G48">
        <v>1</v>
      </c>
      <c r="H48">
        <v>3</v>
      </c>
      <c r="I48" t="s">
        <v>54</v>
      </c>
      <c r="J48" t="s">
        <v>56</v>
      </c>
      <c r="K48" t="s">
        <v>55</v>
      </c>
      <c r="L48">
        <v>1327</v>
      </c>
      <c r="N48">
        <v>1005</v>
      </c>
      <c r="O48" t="s">
        <v>35</v>
      </c>
      <c r="P48" t="s">
        <v>35</v>
      </c>
      <c r="Q48">
        <v>1</v>
      </c>
      <c r="W48">
        <v>0</v>
      </c>
      <c r="X48">
        <v>-724546537</v>
      </c>
      <c r="Y48">
        <v>105</v>
      </c>
      <c r="AA48">
        <v>59.16</v>
      </c>
      <c r="AB48">
        <v>0</v>
      </c>
      <c r="AC48">
        <v>0</v>
      </c>
      <c r="AD48">
        <v>0</v>
      </c>
      <c r="AE48">
        <v>59.16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105</v>
      </c>
      <c r="AU48" t="s">
        <v>6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2.5830000000000002</v>
      </c>
      <c r="CY48">
        <f>AA48</f>
        <v>59.16</v>
      </c>
      <c r="CZ48">
        <f>AE48</f>
        <v>59.16</v>
      </c>
      <c r="DA48">
        <f>AI48</f>
        <v>1</v>
      </c>
      <c r="DB48">
        <f>ROUND(ROUND(AT48*CZ48,2),2)</f>
        <v>6211.8</v>
      </c>
      <c r="DC48">
        <f>ROUND(ROUND(AT48*AG48,2),2)</f>
        <v>0</v>
      </c>
    </row>
    <row r="49" spans="1:107" x14ac:dyDescent="0.2">
      <c r="A49">
        <f>ROW(Source!A34)</f>
        <v>34</v>
      </c>
      <c r="B49">
        <v>27935367</v>
      </c>
      <c r="C49">
        <v>27935477</v>
      </c>
      <c r="D49">
        <v>25185098</v>
      </c>
      <c r="E49">
        <v>1</v>
      </c>
      <c r="F49">
        <v>1</v>
      </c>
      <c r="G49">
        <v>1</v>
      </c>
      <c r="H49">
        <v>3</v>
      </c>
      <c r="I49" t="s">
        <v>58</v>
      </c>
      <c r="J49" t="s">
        <v>61</v>
      </c>
      <c r="K49" t="s">
        <v>59</v>
      </c>
      <c r="L49">
        <v>1346</v>
      </c>
      <c r="N49">
        <v>1009</v>
      </c>
      <c r="O49" t="s">
        <v>60</v>
      </c>
      <c r="P49" t="s">
        <v>60</v>
      </c>
      <c r="Q49">
        <v>1</v>
      </c>
      <c r="W49">
        <v>0</v>
      </c>
      <c r="X49">
        <v>-89726692</v>
      </c>
      <c r="Y49">
        <v>30</v>
      </c>
      <c r="AA49">
        <v>25.56</v>
      </c>
      <c r="AB49">
        <v>0</v>
      </c>
      <c r="AC49">
        <v>0</v>
      </c>
      <c r="AD49">
        <v>0</v>
      </c>
      <c r="AE49">
        <v>25.56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30</v>
      </c>
      <c r="AU49" t="s">
        <v>6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0.73799999999999999</v>
      </c>
      <c r="CY49">
        <f>AA49</f>
        <v>25.56</v>
      </c>
      <c r="CZ49">
        <f>AE49</f>
        <v>25.56</v>
      </c>
      <c r="DA49">
        <f>AI49</f>
        <v>1</v>
      </c>
      <c r="DB49">
        <f>ROUND(ROUND(AT49*CZ49,2),2)</f>
        <v>766.8</v>
      </c>
      <c r="DC49">
        <f>ROUND(ROUND(AT49*AG49,2),2)</f>
        <v>0</v>
      </c>
    </row>
    <row r="50" spans="1:107" x14ac:dyDescent="0.2">
      <c r="A50">
        <f>ROW(Source!A34)</f>
        <v>34</v>
      </c>
      <c r="B50">
        <v>27935367</v>
      </c>
      <c r="C50">
        <v>27935477</v>
      </c>
      <c r="D50">
        <v>25185863</v>
      </c>
      <c r="E50">
        <v>1</v>
      </c>
      <c r="F50">
        <v>1</v>
      </c>
      <c r="G50">
        <v>1</v>
      </c>
      <c r="H50">
        <v>3</v>
      </c>
      <c r="I50" t="s">
        <v>63</v>
      </c>
      <c r="J50" t="s">
        <v>66</v>
      </c>
      <c r="K50" t="s">
        <v>64</v>
      </c>
      <c r="L50">
        <v>1348</v>
      </c>
      <c r="N50">
        <v>1009</v>
      </c>
      <c r="O50" t="s">
        <v>65</v>
      </c>
      <c r="P50" t="s">
        <v>65</v>
      </c>
      <c r="Q50">
        <v>1000</v>
      </c>
      <c r="W50">
        <v>0</v>
      </c>
      <c r="X50">
        <v>-1919714308</v>
      </c>
      <c r="Y50">
        <v>8.8999999999999999E-3</v>
      </c>
      <c r="AA50">
        <v>18390.16</v>
      </c>
      <c r="AB50">
        <v>0</v>
      </c>
      <c r="AC50">
        <v>0</v>
      </c>
      <c r="AD50">
        <v>0</v>
      </c>
      <c r="AE50">
        <v>18390.16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8.8999999999999999E-3</v>
      </c>
      <c r="AU50" t="s">
        <v>6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2.1894000000000001E-4</v>
      </c>
      <c r="CY50">
        <f>AA50</f>
        <v>18390.16</v>
      </c>
      <c r="CZ50">
        <f>AE50</f>
        <v>18390.16</v>
      </c>
      <c r="DA50">
        <f>AI50</f>
        <v>1</v>
      </c>
      <c r="DB50">
        <f>ROUND(ROUND(AT50*CZ50,2),2)</f>
        <v>163.66999999999999</v>
      </c>
      <c r="DC50">
        <f>ROUND(ROUND(AT50*AG50,2),2)</f>
        <v>0</v>
      </c>
    </row>
    <row r="51" spans="1:107" x14ac:dyDescent="0.2">
      <c r="A51">
        <f>ROW(Source!A35)</f>
        <v>35</v>
      </c>
      <c r="B51">
        <v>27935368</v>
      </c>
      <c r="C51">
        <v>27935477</v>
      </c>
      <c r="D51">
        <v>25420819</v>
      </c>
      <c r="E51">
        <v>1</v>
      </c>
      <c r="F51">
        <v>1</v>
      </c>
      <c r="G51">
        <v>1</v>
      </c>
      <c r="H51">
        <v>1</v>
      </c>
      <c r="I51" t="s">
        <v>493</v>
      </c>
      <c r="J51" t="s">
        <v>6</v>
      </c>
      <c r="K51" t="s">
        <v>494</v>
      </c>
      <c r="L51">
        <v>1191</v>
      </c>
      <c r="N51">
        <v>1013</v>
      </c>
      <c r="O51" t="s">
        <v>459</v>
      </c>
      <c r="P51" t="s">
        <v>459</v>
      </c>
      <c r="Q51">
        <v>1</v>
      </c>
      <c r="W51">
        <v>0</v>
      </c>
      <c r="X51">
        <v>-1027537862</v>
      </c>
      <c r="Y51">
        <v>191.44049999999999</v>
      </c>
      <c r="AA51">
        <v>0</v>
      </c>
      <c r="AB51">
        <v>0</v>
      </c>
      <c r="AC51">
        <v>0</v>
      </c>
      <c r="AD51">
        <v>56.09</v>
      </c>
      <c r="AE51">
        <v>0</v>
      </c>
      <c r="AF51">
        <v>0</v>
      </c>
      <c r="AG51">
        <v>0</v>
      </c>
      <c r="AH51">
        <v>9.18</v>
      </c>
      <c r="AI51">
        <v>1</v>
      </c>
      <c r="AJ51">
        <v>1</v>
      </c>
      <c r="AK51">
        <v>1</v>
      </c>
      <c r="AL51">
        <v>6.11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166.47</v>
      </c>
      <c r="AU51" t="s">
        <v>28</v>
      </c>
      <c r="AV51">
        <v>1</v>
      </c>
      <c r="AW51">
        <v>2</v>
      </c>
      <c r="AX51">
        <v>27935486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4.7094363000000001</v>
      </c>
      <c r="CY51">
        <f>AD51</f>
        <v>56.09</v>
      </c>
      <c r="CZ51">
        <f>AH51</f>
        <v>9.18</v>
      </c>
      <c r="DA51">
        <f>AL51</f>
        <v>6.11</v>
      </c>
      <c r="DB51">
        <f>ROUND((ROUND(AT51*CZ51,2)*1.15),2)</f>
        <v>1757.42</v>
      </c>
      <c r="DC51">
        <f>ROUND((ROUND(AT51*AG51,2)*1.15),2)</f>
        <v>0</v>
      </c>
    </row>
    <row r="52" spans="1:107" x14ac:dyDescent="0.2">
      <c r="A52">
        <f>ROW(Source!A35)</f>
        <v>35</v>
      </c>
      <c r="B52">
        <v>27935368</v>
      </c>
      <c r="C52">
        <v>27935477</v>
      </c>
      <c r="D52">
        <v>25412928</v>
      </c>
      <c r="E52">
        <v>1</v>
      </c>
      <c r="F52">
        <v>1</v>
      </c>
      <c r="G52">
        <v>1</v>
      </c>
      <c r="H52">
        <v>1</v>
      </c>
      <c r="I52" t="s">
        <v>460</v>
      </c>
      <c r="J52" t="s">
        <v>6</v>
      </c>
      <c r="K52" t="s">
        <v>461</v>
      </c>
      <c r="L52">
        <v>1191</v>
      </c>
      <c r="N52">
        <v>1013</v>
      </c>
      <c r="O52" t="s">
        <v>459</v>
      </c>
      <c r="P52" t="s">
        <v>459</v>
      </c>
      <c r="Q52">
        <v>1</v>
      </c>
      <c r="W52">
        <v>0</v>
      </c>
      <c r="X52">
        <v>-1417349443</v>
      </c>
      <c r="Y52">
        <v>0.57999999999999996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6.11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0.57999999999999996</v>
      </c>
      <c r="AU52" t="s">
        <v>6</v>
      </c>
      <c r="AV52">
        <v>2</v>
      </c>
      <c r="AW52">
        <v>2</v>
      </c>
      <c r="AX52">
        <v>27935487</v>
      </c>
      <c r="AY52">
        <v>1</v>
      </c>
      <c r="AZ52">
        <v>2048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1.4267999999999999E-2</v>
      </c>
      <c r="CY52">
        <f>AD52</f>
        <v>0</v>
      </c>
      <c r="CZ52">
        <f>AH52</f>
        <v>0</v>
      </c>
      <c r="DA52">
        <f>AL52</f>
        <v>1</v>
      </c>
      <c r="DB52">
        <f>ROUND(ROUND(AT52*CZ52,2),2)</f>
        <v>0</v>
      </c>
      <c r="DC52">
        <f>ROUND(ROUND(AT52*AG52,2),2)</f>
        <v>0</v>
      </c>
    </row>
    <row r="53" spans="1:107" x14ac:dyDescent="0.2">
      <c r="A53">
        <f>ROW(Source!A35)</f>
        <v>35</v>
      </c>
      <c r="B53">
        <v>27935368</v>
      </c>
      <c r="C53">
        <v>27935477</v>
      </c>
      <c r="D53">
        <v>25230514</v>
      </c>
      <c r="E53">
        <v>1</v>
      </c>
      <c r="F53">
        <v>1</v>
      </c>
      <c r="G53">
        <v>1</v>
      </c>
      <c r="H53">
        <v>2</v>
      </c>
      <c r="I53" t="s">
        <v>462</v>
      </c>
      <c r="J53" t="s">
        <v>463</v>
      </c>
      <c r="K53" t="s">
        <v>464</v>
      </c>
      <c r="L53">
        <v>1368</v>
      </c>
      <c r="N53">
        <v>1011</v>
      </c>
      <c r="O53" t="s">
        <v>465</v>
      </c>
      <c r="P53" t="s">
        <v>465</v>
      </c>
      <c r="Q53">
        <v>1</v>
      </c>
      <c r="W53">
        <v>0</v>
      </c>
      <c r="X53">
        <v>1188625873</v>
      </c>
      <c r="Y53">
        <v>0.1</v>
      </c>
      <c r="AA53">
        <v>0</v>
      </c>
      <c r="AB53">
        <v>191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6.11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0.08</v>
      </c>
      <c r="AU53" t="s">
        <v>27</v>
      </c>
      <c r="AV53">
        <v>0</v>
      </c>
      <c r="AW53">
        <v>2</v>
      </c>
      <c r="AX53">
        <v>27935488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2.4600000000000004E-3</v>
      </c>
      <c r="CY53">
        <f>AB53</f>
        <v>191</v>
      </c>
      <c r="CZ53">
        <f>AF53</f>
        <v>31.26</v>
      </c>
      <c r="DA53">
        <f>AJ53</f>
        <v>6.11</v>
      </c>
      <c r="DB53">
        <f>ROUND((ROUND(AT53*CZ53,2)*1.25),2)</f>
        <v>3.13</v>
      </c>
      <c r="DC53">
        <f>ROUND((ROUND(AT53*AG53,2)*1.25),2)</f>
        <v>1.35</v>
      </c>
    </row>
    <row r="54" spans="1:107" x14ac:dyDescent="0.2">
      <c r="A54">
        <f>ROW(Source!A35)</f>
        <v>35</v>
      </c>
      <c r="B54">
        <v>27935368</v>
      </c>
      <c r="C54">
        <v>27935477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468</v>
      </c>
      <c r="J54" t="s">
        <v>469</v>
      </c>
      <c r="K54" t="s">
        <v>470</v>
      </c>
      <c r="L54">
        <v>1368</v>
      </c>
      <c r="N54">
        <v>1011</v>
      </c>
      <c r="O54" t="s">
        <v>465</v>
      </c>
      <c r="P54" t="s">
        <v>465</v>
      </c>
      <c r="Q54">
        <v>1</v>
      </c>
      <c r="W54">
        <v>0</v>
      </c>
      <c r="X54">
        <v>1372534845</v>
      </c>
      <c r="Y54">
        <v>0.625</v>
      </c>
      <c r="AA54">
        <v>0</v>
      </c>
      <c r="AB54">
        <v>401.49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6.11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0.5</v>
      </c>
      <c r="AU54" t="s">
        <v>27</v>
      </c>
      <c r="AV54">
        <v>0</v>
      </c>
      <c r="AW54">
        <v>2</v>
      </c>
      <c r="AX54">
        <v>27935489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1.5375E-2</v>
      </c>
      <c r="CY54">
        <f>AB54</f>
        <v>401.49</v>
      </c>
      <c r="CZ54">
        <f>AF54</f>
        <v>65.709999999999994</v>
      </c>
      <c r="DA54">
        <f>AJ54</f>
        <v>6.11</v>
      </c>
      <c r="DB54">
        <f>ROUND((ROUND(AT54*CZ54,2)*1.25),2)</f>
        <v>41.08</v>
      </c>
      <c r="DC54">
        <f>ROUND((ROUND(AT54*AG54,2)*1.25),2)</f>
        <v>7.25</v>
      </c>
    </row>
    <row r="55" spans="1:107" x14ac:dyDescent="0.2">
      <c r="A55">
        <f>ROW(Source!A35)</f>
        <v>35</v>
      </c>
      <c r="B55">
        <v>27935368</v>
      </c>
      <c r="C55">
        <v>27935477</v>
      </c>
      <c r="D55">
        <v>25153690</v>
      </c>
      <c r="E55">
        <v>1</v>
      </c>
      <c r="F55">
        <v>1</v>
      </c>
      <c r="G55">
        <v>1</v>
      </c>
      <c r="H55">
        <v>3</v>
      </c>
      <c r="I55" t="s">
        <v>495</v>
      </c>
      <c r="J55" t="s">
        <v>496</v>
      </c>
      <c r="K55" t="s">
        <v>497</v>
      </c>
      <c r="L55">
        <v>1346</v>
      </c>
      <c r="N55">
        <v>1009</v>
      </c>
      <c r="O55" t="s">
        <v>60</v>
      </c>
      <c r="P55" t="s">
        <v>60</v>
      </c>
      <c r="Q55">
        <v>1</v>
      </c>
      <c r="W55">
        <v>0</v>
      </c>
      <c r="X55">
        <v>813963326</v>
      </c>
      <c r="Y55">
        <v>0.2</v>
      </c>
      <c r="AA55">
        <v>11.12</v>
      </c>
      <c r="AB55">
        <v>0</v>
      </c>
      <c r="AC55">
        <v>0</v>
      </c>
      <c r="AD55">
        <v>0</v>
      </c>
      <c r="AE55">
        <v>1.82</v>
      </c>
      <c r="AF55">
        <v>0</v>
      </c>
      <c r="AG55">
        <v>0</v>
      </c>
      <c r="AH55">
        <v>0</v>
      </c>
      <c r="AI55">
        <v>6.11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0.2</v>
      </c>
      <c r="AU55" t="s">
        <v>6</v>
      </c>
      <c r="AV55">
        <v>0</v>
      </c>
      <c r="AW55">
        <v>2</v>
      </c>
      <c r="AX55">
        <v>27935491</v>
      </c>
      <c r="AY55">
        <v>1</v>
      </c>
      <c r="AZ55">
        <v>0</v>
      </c>
      <c r="BA55">
        <v>56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4.9200000000000008E-3</v>
      </c>
      <c r="CY55">
        <f>AA55</f>
        <v>11.12</v>
      </c>
      <c r="CZ55">
        <f>AE55</f>
        <v>1.82</v>
      </c>
      <c r="DA55">
        <f>AI55</f>
        <v>6.11</v>
      </c>
      <c r="DB55">
        <f>ROUND(ROUND(AT55*CZ55,2),2)</f>
        <v>0.36</v>
      </c>
      <c r="DC55">
        <f>ROUND(ROUND(AT55*AG55,2),2)</f>
        <v>0</v>
      </c>
    </row>
    <row r="56" spans="1:107" x14ac:dyDescent="0.2">
      <c r="A56">
        <f>ROW(Source!A35)</f>
        <v>35</v>
      </c>
      <c r="B56">
        <v>27935368</v>
      </c>
      <c r="C56">
        <v>27935477</v>
      </c>
      <c r="D56">
        <v>25180319</v>
      </c>
      <c r="E56">
        <v>1</v>
      </c>
      <c r="F56">
        <v>1</v>
      </c>
      <c r="G56">
        <v>1</v>
      </c>
      <c r="H56">
        <v>3</v>
      </c>
      <c r="I56" t="s">
        <v>54</v>
      </c>
      <c r="J56" t="s">
        <v>56</v>
      </c>
      <c r="K56" t="s">
        <v>55</v>
      </c>
      <c r="L56">
        <v>1327</v>
      </c>
      <c r="N56">
        <v>1005</v>
      </c>
      <c r="O56" t="s">
        <v>35</v>
      </c>
      <c r="P56" t="s">
        <v>35</v>
      </c>
      <c r="Q56">
        <v>1</v>
      </c>
      <c r="W56">
        <v>0</v>
      </c>
      <c r="X56">
        <v>-724546537</v>
      </c>
      <c r="Y56">
        <v>105</v>
      </c>
      <c r="AA56">
        <v>361.47</v>
      </c>
      <c r="AB56">
        <v>0</v>
      </c>
      <c r="AC56">
        <v>0</v>
      </c>
      <c r="AD56">
        <v>0</v>
      </c>
      <c r="AE56">
        <v>59.16</v>
      </c>
      <c r="AF56">
        <v>0</v>
      </c>
      <c r="AG56">
        <v>0</v>
      </c>
      <c r="AH56">
        <v>0</v>
      </c>
      <c r="AI56">
        <v>6.11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105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2.5830000000000002</v>
      </c>
      <c r="CY56">
        <f>AA56</f>
        <v>361.47</v>
      </c>
      <c r="CZ56">
        <f>AE56</f>
        <v>59.16</v>
      </c>
      <c r="DA56">
        <f>AI56</f>
        <v>6.11</v>
      </c>
      <c r="DB56">
        <f>ROUND(ROUND(AT56*CZ56,2),2)</f>
        <v>6211.8</v>
      </c>
      <c r="DC56">
        <f>ROUND(ROUND(AT56*AG56,2),2)</f>
        <v>0</v>
      </c>
    </row>
    <row r="57" spans="1:107" x14ac:dyDescent="0.2">
      <c r="A57">
        <f>ROW(Source!A35)</f>
        <v>35</v>
      </c>
      <c r="B57">
        <v>27935368</v>
      </c>
      <c r="C57">
        <v>27935477</v>
      </c>
      <c r="D57">
        <v>25185098</v>
      </c>
      <c r="E57">
        <v>1</v>
      </c>
      <c r="F57">
        <v>1</v>
      </c>
      <c r="G57">
        <v>1</v>
      </c>
      <c r="H57">
        <v>3</v>
      </c>
      <c r="I57" t="s">
        <v>58</v>
      </c>
      <c r="J57" t="s">
        <v>61</v>
      </c>
      <c r="K57" t="s">
        <v>59</v>
      </c>
      <c r="L57">
        <v>1346</v>
      </c>
      <c r="N57">
        <v>1009</v>
      </c>
      <c r="O57" t="s">
        <v>60</v>
      </c>
      <c r="P57" t="s">
        <v>60</v>
      </c>
      <c r="Q57">
        <v>1</v>
      </c>
      <c r="W57">
        <v>0</v>
      </c>
      <c r="X57">
        <v>-89726692</v>
      </c>
      <c r="Y57">
        <v>30</v>
      </c>
      <c r="AA57">
        <v>156.16999999999999</v>
      </c>
      <c r="AB57">
        <v>0</v>
      </c>
      <c r="AC57">
        <v>0</v>
      </c>
      <c r="AD57">
        <v>0</v>
      </c>
      <c r="AE57">
        <v>25.56</v>
      </c>
      <c r="AF57">
        <v>0</v>
      </c>
      <c r="AG57">
        <v>0</v>
      </c>
      <c r="AH57">
        <v>0</v>
      </c>
      <c r="AI57">
        <v>6.11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30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Y57*Source!I35</f>
        <v>0.73799999999999999</v>
      </c>
      <c r="CY57">
        <f>AA57</f>
        <v>156.16999999999999</v>
      </c>
      <c r="CZ57">
        <f>AE57</f>
        <v>25.56</v>
      </c>
      <c r="DA57">
        <f>AI57</f>
        <v>6.11</v>
      </c>
      <c r="DB57">
        <f>ROUND(ROUND(AT57*CZ57,2),2)</f>
        <v>766.8</v>
      </c>
      <c r="DC57">
        <f>ROUND(ROUND(AT57*AG57,2),2)</f>
        <v>0</v>
      </c>
    </row>
    <row r="58" spans="1:107" x14ac:dyDescent="0.2">
      <c r="A58">
        <f>ROW(Source!A35)</f>
        <v>35</v>
      </c>
      <c r="B58">
        <v>27935368</v>
      </c>
      <c r="C58">
        <v>27935477</v>
      </c>
      <c r="D58">
        <v>25185863</v>
      </c>
      <c r="E58">
        <v>1</v>
      </c>
      <c r="F58">
        <v>1</v>
      </c>
      <c r="G58">
        <v>1</v>
      </c>
      <c r="H58">
        <v>3</v>
      </c>
      <c r="I58" t="s">
        <v>63</v>
      </c>
      <c r="J58" t="s">
        <v>66</v>
      </c>
      <c r="K58" t="s">
        <v>64</v>
      </c>
      <c r="L58">
        <v>1348</v>
      </c>
      <c r="N58">
        <v>1009</v>
      </c>
      <c r="O58" t="s">
        <v>65</v>
      </c>
      <c r="P58" t="s">
        <v>65</v>
      </c>
      <c r="Q58">
        <v>1000</v>
      </c>
      <c r="W58">
        <v>0</v>
      </c>
      <c r="X58">
        <v>-1919714308</v>
      </c>
      <c r="Y58">
        <v>8.8999999999999999E-3</v>
      </c>
      <c r="AA58">
        <v>112363.88</v>
      </c>
      <c r="AB58">
        <v>0</v>
      </c>
      <c r="AC58">
        <v>0</v>
      </c>
      <c r="AD58">
        <v>0</v>
      </c>
      <c r="AE58">
        <v>18390.16</v>
      </c>
      <c r="AF58">
        <v>0</v>
      </c>
      <c r="AG58">
        <v>0</v>
      </c>
      <c r="AH58">
        <v>0</v>
      </c>
      <c r="AI58">
        <v>6.11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8.8999999999999999E-3</v>
      </c>
      <c r="AU58" t="s">
        <v>6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Y58*Source!I35</f>
        <v>2.1894000000000001E-4</v>
      </c>
      <c r="CY58">
        <f>AA58</f>
        <v>112363.88</v>
      </c>
      <c r="CZ58">
        <f>AE58</f>
        <v>18390.16</v>
      </c>
      <c r="DA58">
        <f>AI58</f>
        <v>6.11</v>
      </c>
      <c r="DB58">
        <f>ROUND(ROUND(AT58*CZ58,2),2)</f>
        <v>163.66999999999999</v>
      </c>
      <c r="DC58">
        <f>ROUND(ROUND(AT58*AG58,2),2)</f>
        <v>0</v>
      </c>
    </row>
    <row r="59" spans="1:107" x14ac:dyDescent="0.2">
      <c r="A59">
        <f>ROW(Source!A42)</f>
        <v>42</v>
      </c>
      <c r="B59">
        <v>27935367</v>
      </c>
      <c r="C59">
        <v>27935497</v>
      </c>
      <c r="D59">
        <v>25413300</v>
      </c>
      <c r="E59">
        <v>1</v>
      </c>
      <c r="F59">
        <v>1</v>
      </c>
      <c r="G59">
        <v>1</v>
      </c>
      <c r="H59">
        <v>1</v>
      </c>
      <c r="I59" t="s">
        <v>491</v>
      </c>
      <c r="J59" t="s">
        <v>6</v>
      </c>
      <c r="K59" t="s">
        <v>492</v>
      </c>
      <c r="L59">
        <v>1191</v>
      </c>
      <c r="N59">
        <v>1013</v>
      </c>
      <c r="O59" t="s">
        <v>459</v>
      </c>
      <c r="P59" t="s">
        <v>459</v>
      </c>
      <c r="Q59">
        <v>1</v>
      </c>
      <c r="W59">
        <v>0</v>
      </c>
      <c r="X59">
        <v>-400197608</v>
      </c>
      <c r="Y59">
        <v>7.7049999999999992</v>
      </c>
      <c r="AA59">
        <v>0</v>
      </c>
      <c r="AB59">
        <v>0</v>
      </c>
      <c r="AC59">
        <v>0</v>
      </c>
      <c r="AD59">
        <v>8.5299999999999994</v>
      </c>
      <c r="AE59">
        <v>0</v>
      </c>
      <c r="AF59">
        <v>0</v>
      </c>
      <c r="AG59">
        <v>0</v>
      </c>
      <c r="AH59">
        <v>8.5299999999999994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6.7</v>
      </c>
      <c r="AU59" t="s">
        <v>28</v>
      </c>
      <c r="AV59">
        <v>1</v>
      </c>
      <c r="AW59">
        <v>2</v>
      </c>
      <c r="AX59">
        <v>27935501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Y59*Source!I42</f>
        <v>0.94771499999999986</v>
      </c>
      <c r="CY59">
        <f>AD59</f>
        <v>8.5299999999999994</v>
      </c>
      <c r="CZ59">
        <f>AH59</f>
        <v>8.5299999999999994</v>
      </c>
      <c r="DA59">
        <f>AL59</f>
        <v>1</v>
      </c>
      <c r="DB59">
        <f>ROUND((ROUND(AT59*CZ59,2)*1.15),2)</f>
        <v>65.72</v>
      </c>
      <c r="DC59">
        <f>ROUND((ROUND(AT59*AG59,2)*1.15),2)</f>
        <v>0</v>
      </c>
    </row>
    <row r="60" spans="1:107" x14ac:dyDescent="0.2">
      <c r="A60">
        <f>ROW(Source!A42)</f>
        <v>42</v>
      </c>
      <c r="B60">
        <v>27935367</v>
      </c>
      <c r="C60">
        <v>27935497</v>
      </c>
      <c r="D60">
        <v>25180401</v>
      </c>
      <c r="E60">
        <v>1</v>
      </c>
      <c r="F60">
        <v>1</v>
      </c>
      <c r="G60">
        <v>1</v>
      </c>
      <c r="H60">
        <v>3</v>
      </c>
      <c r="I60" t="s">
        <v>72</v>
      </c>
      <c r="J60" t="s">
        <v>75</v>
      </c>
      <c r="K60" t="s">
        <v>73</v>
      </c>
      <c r="L60">
        <v>1302</v>
      </c>
      <c r="N60">
        <v>1003</v>
      </c>
      <c r="O60" t="s">
        <v>74</v>
      </c>
      <c r="P60" t="s">
        <v>74</v>
      </c>
      <c r="Q60">
        <v>10</v>
      </c>
      <c r="W60">
        <v>0</v>
      </c>
      <c r="X60">
        <v>-125809932</v>
      </c>
      <c r="Y60">
        <v>10</v>
      </c>
      <c r="AA60">
        <v>32.4</v>
      </c>
      <c r="AB60">
        <v>0</v>
      </c>
      <c r="AC60">
        <v>0</v>
      </c>
      <c r="AD60">
        <v>0</v>
      </c>
      <c r="AE60">
        <v>32.4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</v>
      </c>
      <c r="AT60">
        <v>10</v>
      </c>
      <c r="AU60" t="s">
        <v>6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Y60*Source!I42</f>
        <v>1.23</v>
      </c>
      <c r="CY60">
        <f>AA60</f>
        <v>32.4</v>
      </c>
      <c r="CZ60">
        <f>AE60</f>
        <v>32.4</v>
      </c>
      <c r="DA60">
        <f>AI60</f>
        <v>1</v>
      </c>
      <c r="DB60">
        <f>ROUND(ROUND(AT60*CZ60,2),2)</f>
        <v>324</v>
      </c>
      <c r="DC60">
        <f>ROUND(ROUND(AT60*AG60,2),2)</f>
        <v>0</v>
      </c>
    </row>
    <row r="61" spans="1:107" x14ac:dyDescent="0.2">
      <c r="A61">
        <f>ROW(Source!A42)</f>
        <v>42</v>
      </c>
      <c r="B61">
        <v>27935367</v>
      </c>
      <c r="C61">
        <v>27935497</v>
      </c>
      <c r="D61">
        <v>25185138</v>
      </c>
      <c r="E61">
        <v>1</v>
      </c>
      <c r="F61">
        <v>1</v>
      </c>
      <c r="G61">
        <v>1</v>
      </c>
      <c r="H61">
        <v>3</v>
      </c>
      <c r="I61" t="s">
        <v>498</v>
      </c>
      <c r="J61" t="s">
        <v>499</v>
      </c>
      <c r="K61" t="s">
        <v>500</v>
      </c>
      <c r="L61">
        <v>1346</v>
      </c>
      <c r="N61">
        <v>1009</v>
      </c>
      <c r="O61" t="s">
        <v>60</v>
      </c>
      <c r="P61" t="s">
        <v>60</v>
      </c>
      <c r="Q61">
        <v>1</v>
      </c>
      <c r="W61">
        <v>0</v>
      </c>
      <c r="X61">
        <v>-1230081286</v>
      </c>
      <c r="Y61">
        <v>0.8</v>
      </c>
      <c r="AA61">
        <v>45</v>
      </c>
      <c r="AB61">
        <v>0</v>
      </c>
      <c r="AC61">
        <v>0</v>
      </c>
      <c r="AD61">
        <v>0</v>
      </c>
      <c r="AE61">
        <v>45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0.8</v>
      </c>
      <c r="AU61" t="s">
        <v>6</v>
      </c>
      <c r="AV61">
        <v>0</v>
      </c>
      <c r="AW61">
        <v>2</v>
      </c>
      <c r="AX61">
        <v>27935503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9.8400000000000001E-2</v>
      </c>
      <c r="CY61">
        <f>AA61</f>
        <v>45</v>
      </c>
      <c r="CZ61">
        <f>AE61</f>
        <v>45</v>
      </c>
      <c r="DA61">
        <f>AI61</f>
        <v>1</v>
      </c>
      <c r="DB61">
        <f>ROUND(ROUND(AT61*CZ61,2),2)</f>
        <v>36</v>
      </c>
      <c r="DC61">
        <f>ROUND(ROUND(AT61*AG61,2),2)</f>
        <v>0</v>
      </c>
    </row>
    <row r="62" spans="1:107" x14ac:dyDescent="0.2">
      <c r="A62">
        <f>ROW(Source!A43)</f>
        <v>43</v>
      </c>
      <c r="B62">
        <v>27935368</v>
      </c>
      <c r="C62">
        <v>27935497</v>
      </c>
      <c r="D62">
        <v>25413300</v>
      </c>
      <c r="E62">
        <v>1</v>
      </c>
      <c r="F62">
        <v>1</v>
      </c>
      <c r="G62">
        <v>1</v>
      </c>
      <c r="H62">
        <v>1</v>
      </c>
      <c r="I62" t="s">
        <v>491</v>
      </c>
      <c r="J62" t="s">
        <v>6</v>
      </c>
      <c r="K62" t="s">
        <v>492</v>
      </c>
      <c r="L62">
        <v>1191</v>
      </c>
      <c r="N62">
        <v>1013</v>
      </c>
      <c r="O62" t="s">
        <v>459</v>
      </c>
      <c r="P62" t="s">
        <v>459</v>
      </c>
      <c r="Q62">
        <v>1</v>
      </c>
      <c r="W62">
        <v>0</v>
      </c>
      <c r="X62">
        <v>-400197608</v>
      </c>
      <c r="Y62">
        <v>7.7049999999999992</v>
      </c>
      <c r="AA62">
        <v>0</v>
      </c>
      <c r="AB62">
        <v>0</v>
      </c>
      <c r="AC62">
        <v>0</v>
      </c>
      <c r="AD62">
        <v>52.12</v>
      </c>
      <c r="AE62">
        <v>0</v>
      </c>
      <c r="AF62">
        <v>0</v>
      </c>
      <c r="AG62">
        <v>0</v>
      </c>
      <c r="AH62">
        <v>8.5299999999999994</v>
      </c>
      <c r="AI62">
        <v>1</v>
      </c>
      <c r="AJ62">
        <v>1</v>
      </c>
      <c r="AK62">
        <v>1</v>
      </c>
      <c r="AL62">
        <v>6.11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6.7</v>
      </c>
      <c r="AU62" t="s">
        <v>28</v>
      </c>
      <c r="AV62">
        <v>1</v>
      </c>
      <c r="AW62">
        <v>2</v>
      </c>
      <c r="AX62">
        <v>27935501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Y62*Source!I43</f>
        <v>0.94771499999999986</v>
      </c>
      <c r="CY62">
        <f>AD62</f>
        <v>52.12</v>
      </c>
      <c r="CZ62">
        <f>AH62</f>
        <v>8.5299999999999994</v>
      </c>
      <c r="DA62">
        <f>AL62</f>
        <v>6.11</v>
      </c>
      <c r="DB62">
        <f>ROUND((ROUND(AT62*CZ62,2)*1.15),2)</f>
        <v>65.72</v>
      </c>
      <c r="DC62">
        <f>ROUND((ROUND(AT62*AG62,2)*1.15),2)</f>
        <v>0</v>
      </c>
    </row>
    <row r="63" spans="1:107" x14ac:dyDescent="0.2">
      <c r="A63">
        <f>ROW(Source!A43)</f>
        <v>43</v>
      </c>
      <c r="B63">
        <v>27935368</v>
      </c>
      <c r="C63">
        <v>27935497</v>
      </c>
      <c r="D63">
        <v>25180401</v>
      </c>
      <c r="E63">
        <v>1</v>
      </c>
      <c r="F63">
        <v>1</v>
      </c>
      <c r="G63">
        <v>1</v>
      </c>
      <c r="H63">
        <v>3</v>
      </c>
      <c r="I63" t="s">
        <v>72</v>
      </c>
      <c r="J63" t="s">
        <v>75</v>
      </c>
      <c r="K63" t="s">
        <v>73</v>
      </c>
      <c r="L63">
        <v>1302</v>
      </c>
      <c r="N63">
        <v>1003</v>
      </c>
      <c r="O63" t="s">
        <v>74</v>
      </c>
      <c r="P63" t="s">
        <v>74</v>
      </c>
      <c r="Q63">
        <v>10</v>
      </c>
      <c r="W63">
        <v>0</v>
      </c>
      <c r="X63">
        <v>-125809932</v>
      </c>
      <c r="Y63">
        <v>10</v>
      </c>
      <c r="AA63">
        <v>197.96</v>
      </c>
      <c r="AB63">
        <v>0</v>
      </c>
      <c r="AC63">
        <v>0</v>
      </c>
      <c r="AD63">
        <v>0</v>
      </c>
      <c r="AE63">
        <v>32.4</v>
      </c>
      <c r="AF63">
        <v>0</v>
      </c>
      <c r="AG63">
        <v>0</v>
      </c>
      <c r="AH63">
        <v>0</v>
      </c>
      <c r="AI63">
        <v>6.11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10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Y63*Source!I43</f>
        <v>1.23</v>
      </c>
      <c r="CY63">
        <f>AA63</f>
        <v>197.96</v>
      </c>
      <c r="CZ63">
        <f>AE63</f>
        <v>32.4</v>
      </c>
      <c r="DA63">
        <f>AI63</f>
        <v>6.11</v>
      </c>
      <c r="DB63">
        <f>ROUND(ROUND(AT63*CZ63,2),2)</f>
        <v>324</v>
      </c>
      <c r="DC63">
        <f>ROUND(ROUND(AT63*AG63,2),2)</f>
        <v>0</v>
      </c>
    </row>
    <row r="64" spans="1:107" x14ac:dyDescent="0.2">
      <c r="A64">
        <f>ROW(Source!A43)</f>
        <v>43</v>
      </c>
      <c r="B64">
        <v>27935368</v>
      </c>
      <c r="C64">
        <v>27935497</v>
      </c>
      <c r="D64">
        <v>25185138</v>
      </c>
      <c r="E64">
        <v>1</v>
      </c>
      <c r="F64">
        <v>1</v>
      </c>
      <c r="G64">
        <v>1</v>
      </c>
      <c r="H64">
        <v>3</v>
      </c>
      <c r="I64" t="s">
        <v>498</v>
      </c>
      <c r="J64" t="s">
        <v>499</v>
      </c>
      <c r="K64" t="s">
        <v>500</v>
      </c>
      <c r="L64">
        <v>1346</v>
      </c>
      <c r="N64">
        <v>1009</v>
      </c>
      <c r="O64" t="s">
        <v>60</v>
      </c>
      <c r="P64" t="s">
        <v>60</v>
      </c>
      <c r="Q64">
        <v>1</v>
      </c>
      <c r="W64">
        <v>0</v>
      </c>
      <c r="X64">
        <v>-1230081286</v>
      </c>
      <c r="Y64">
        <v>0.8</v>
      </c>
      <c r="AA64">
        <v>274.95</v>
      </c>
      <c r="AB64">
        <v>0</v>
      </c>
      <c r="AC64">
        <v>0</v>
      </c>
      <c r="AD64">
        <v>0</v>
      </c>
      <c r="AE64">
        <v>45</v>
      </c>
      <c r="AF64">
        <v>0</v>
      </c>
      <c r="AG64">
        <v>0</v>
      </c>
      <c r="AH64">
        <v>0</v>
      </c>
      <c r="AI64">
        <v>6.11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0.8</v>
      </c>
      <c r="AU64" t="s">
        <v>6</v>
      </c>
      <c r="AV64">
        <v>0</v>
      </c>
      <c r="AW64">
        <v>2</v>
      </c>
      <c r="AX64">
        <v>27935503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Y64*Source!I43</f>
        <v>9.8400000000000001E-2</v>
      </c>
      <c r="CY64">
        <f>AA64</f>
        <v>274.95</v>
      </c>
      <c r="CZ64">
        <f>AE64</f>
        <v>45</v>
      </c>
      <c r="DA64">
        <f>AI64</f>
        <v>6.11</v>
      </c>
      <c r="DB64">
        <f>ROUND(ROUND(AT64*CZ64,2),2)</f>
        <v>36</v>
      </c>
      <c r="DC64">
        <f>ROUND(ROUND(AT64*AG64,2),2)</f>
        <v>0</v>
      </c>
    </row>
    <row r="65" spans="1:107" x14ac:dyDescent="0.2">
      <c r="A65">
        <f>ROW(Source!A46)</f>
        <v>46</v>
      </c>
      <c r="B65">
        <v>27935367</v>
      </c>
      <c r="C65">
        <v>27935505</v>
      </c>
      <c r="D65">
        <v>25413300</v>
      </c>
      <c r="E65">
        <v>1</v>
      </c>
      <c r="F65">
        <v>1</v>
      </c>
      <c r="G65">
        <v>1</v>
      </c>
      <c r="H65">
        <v>1</v>
      </c>
      <c r="I65" t="s">
        <v>491</v>
      </c>
      <c r="J65" t="s">
        <v>6</v>
      </c>
      <c r="K65" t="s">
        <v>492</v>
      </c>
      <c r="L65">
        <v>1191</v>
      </c>
      <c r="N65">
        <v>1013</v>
      </c>
      <c r="O65" t="s">
        <v>459</v>
      </c>
      <c r="P65" t="s">
        <v>459</v>
      </c>
      <c r="Q65">
        <v>1</v>
      </c>
      <c r="W65">
        <v>0</v>
      </c>
      <c r="X65">
        <v>-400197608</v>
      </c>
      <c r="Y65">
        <v>35.552999999999997</v>
      </c>
      <c r="AA65">
        <v>0</v>
      </c>
      <c r="AB65">
        <v>0</v>
      </c>
      <c r="AC65">
        <v>0</v>
      </c>
      <c r="AD65">
        <v>8.5299999999999994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50.79</v>
      </c>
      <c r="AU65" t="s">
        <v>82</v>
      </c>
      <c r="AV65">
        <v>1</v>
      </c>
      <c r="AW65">
        <v>2</v>
      </c>
      <c r="AX65">
        <v>27935524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1.77765</v>
      </c>
      <c r="CY65">
        <f>AD65</f>
        <v>8.5299999999999994</v>
      </c>
      <c r="CZ65">
        <f>AH65</f>
        <v>8.5299999999999994</v>
      </c>
      <c r="DA65">
        <f>AL65</f>
        <v>1</v>
      </c>
      <c r="DB65">
        <f>ROUND((ROUND(AT65*CZ65,2)*0.7),2)</f>
        <v>303.27</v>
      </c>
      <c r="DC65">
        <f>ROUND((ROUND(AT65*AG65,2)*0.7),2)</f>
        <v>0</v>
      </c>
    </row>
    <row r="66" spans="1:107" x14ac:dyDescent="0.2">
      <c r="A66">
        <f>ROW(Source!A46)</f>
        <v>46</v>
      </c>
      <c r="B66">
        <v>27935367</v>
      </c>
      <c r="C66">
        <v>27935505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460</v>
      </c>
      <c r="J66" t="s">
        <v>6</v>
      </c>
      <c r="K66" t="s">
        <v>461</v>
      </c>
      <c r="L66">
        <v>1191</v>
      </c>
      <c r="N66">
        <v>1013</v>
      </c>
      <c r="O66" t="s">
        <v>459</v>
      </c>
      <c r="P66" t="s">
        <v>459</v>
      </c>
      <c r="Q66">
        <v>1</v>
      </c>
      <c r="W66">
        <v>0</v>
      </c>
      <c r="X66">
        <v>-1417349443</v>
      </c>
      <c r="Y66">
        <v>0.31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0.31</v>
      </c>
      <c r="AU66" t="s">
        <v>6</v>
      </c>
      <c r="AV66">
        <v>2</v>
      </c>
      <c r="AW66">
        <v>2</v>
      </c>
      <c r="AX66">
        <v>27935525</v>
      </c>
      <c r="AY66">
        <v>1</v>
      </c>
      <c r="AZ66">
        <v>2048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1.55E-2</v>
      </c>
      <c r="CY66">
        <f>AD66</f>
        <v>0</v>
      </c>
      <c r="CZ66">
        <f>AH66</f>
        <v>0</v>
      </c>
      <c r="DA66">
        <f>AL66</f>
        <v>1</v>
      </c>
      <c r="DB66">
        <f>ROUND(ROUND(AT66*CZ66,2),2)</f>
        <v>0</v>
      </c>
      <c r="DC66">
        <f>ROUND(ROUND(AT66*AG66,2),2)</f>
        <v>0</v>
      </c>
    </row>
    <row r="67" spans="1:107" x14ac:dyDescent="0.2">
      <c r="A67">
        <f>ROW(Source!A46)</f>
        <v>46</v>
      </c>
      <c r="B67">
        <v>27935367</v>
      </c>
      <c r="C67">
        <v>27935505</v>
      </c>
      <c r="D67">
        <v>25230220</v>
      </c>
      <c r="E67">
        <v>1</v>
      </c>
      <c r="F67">
        <v>1</v>
      </c>
      <c r="G67">
        <v>1</v>
      </c>
      <c r="H67">
        <v>2</v>
      </c>
      <c r="I67" t="s">
        <v>501</v>
      </c>
      <c r="J67" t="s">
        <v>502</v>
      </c>
      <c r="K67" t="s">
        <v>503</v>
      </c>
      <c r="L67">
        <v>1368</v>
      </c>
      <c r="N67">
        <v>1011</v>
      </c>
      <c r="O67" t="s">
        <v>465</v>
      </c>
      <c r="P67" t="s">
        <v>465</v>
      </c>
      <c r="Q67">
        <v>1</v>
      </c>
      <c r="W67">
        <v>0</v>
      </c>
      <c r="X67">
        <v>-1718674368</v>
      </c>
      <c r="Y67">
        <v>8.3999999999999991E-2</v>
      </c>
      <c r="AA67">
        <v>0</v>
      </c>
      <c r="AB67">
        <v>111.99</v>
      </c>
      <c r="AC67">
        <v>13.5</v>
      </c>
      <c r="AD67">
        <v>0</v>
      </c>
      <c r="AE67">
        <v>0</v>
      </c>
      <c r="AF67">
        <v>111.99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0.12</v>
      </c>
      <c r="AU67" t="s">
        <v>82</v>
      </c>
      <c r="AV67">
        <v>0</v>
      </c>
      <c r="AW67">
        <v>2</v>
      </c>
      <c r="AX67">
        <v>27935526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4.1999999999999997E-3</v>
      </c>
      <c r="CY67">
        <f>AB67</f>
        <v>111.99</v>
      </c>
      <c r="CZ67">
        <f>AF67</f>
        <v>111.99</v>
      </c>
      <c r="DA67">
        <f>AJ67</f>
        <v>1</v>
      </c>
      <c r="DB67">
        <f>ROUND((ROUND(AT67*CZ67,2)*0.7),2)</f>
        <v>9.41</v>
      </c>
      <c r="DC67">
        <f>ROUND((ROUND(AT67*AG67,2)*0.7),2)</f>
        <v>1.1299999999999999</v>
      </c>
    </row>
    <row r="68" spans="1:107" x14ac:dyDescent="0.2">
      <c r="A68">
        <f>ROW(Source!A46)</f>
        <v>46</v>
      </c>
      <c r="B68">
        <v>27935367</v>
      </c>
      <c r="C68">
        <v>27935505</v>
      </c>
      <c r="D68">
        <v>25230420</v>
      </c>
      <c r="E68">
        <v>1</v>
      </c>
      <c r="F68">
        <v>1</v>
      </c>
      <c r="G68">
        <v>1</v>
      </c>
      <c r="H68">
        <v>2</v>
      </c>
      <c r="I68" t="s">
        <v>504</v>
      </c>
      <c r="J68" t="s">
        <v>505</v>
      </c>
      <c r="K68" t="s">
        <v>506</v>
      </c>
      <c r="L68">
        <v>1368</v>
      </c>
      <c r="N68">
        <v>1011</v>
      </c>
      <c r="O68" t="s">
        <v>465</v>
      </c>
      <c r="P68" t="s">
        <v>465</v>
      </c>
      <c r="Q68">
        <v>1</v>
      </c>
      <c r="W68">
        <v>0</v>
      </c>
      <c r="X68">
        <v>1544661785</v>
      </c>
      <c r="Y68">
        <v>7.3709999999999987</v>
      </c>
      <c r="AA68">
        <v>0</v>
      </c>
      <c r="AB68">
        <v>6.9</v>
      </c>
      <c r="AC68">
        <v>0</v>
      </c>
      <c r="AD68">
        <v>0</v>
      </c>
      <c r="AE68">
        <v>0</v>
      </c>
      <c r="AF68">
        <v>6.9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10.53</v>
      </c>
      <c r="AU68" t="s">
        <v>82</v>
      </c>
      <c r="AV68">
        <v>0</v>
      </c>
      <c r="AW68">
        <v>2</v>
      </c>
      <c r="AX68">
        <v>27935527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0.36854999999999993</v>
      </c>
      <c r="CY68">
        <f>AB68</f>
        <v>6.9</v>
      </c>
      <c r="CZ68">
        <f>AF68</f>
        <v>6.9</v>
      </c>
      <c r="DA68">
        <f>AJ68</f>
        <v>1</v>
      </c>
      <c r="DB68">
        <f>ROUND((ROUND(AT68*CZ68,2)*0.7),2)</f>
        <v>50.86</v>
      </c>
      <c r="DC68">
        <f>ROUND((ROUND(AT68*AG68,2)*0.7),2)</f>
        <v>0</v>
      </c>
    </row>
    <row r="69" spans="1:107" x14ac:dyDescent="0.2">
      <c r="A69">
        <f>ROW(Source!A46)</f>
        <v>46</v>
      </c>
      <c r="B69">
        <v>27935367</v>
      </c>
      <c r="C69">
        <v>27935505</v>
      </c>
      <c r="D69">
        <v>25231607</v>
      </c>
      <c r="E69">
        <v>1</v>
      </c>
      <c r="F69">
        <v>1</v>
      </c>
      <c r="G69">
        <v>1</v>
      </c>
      <c r="H69">
        <v>2</v>
      </c>
      <c r="I69" t="s">
        <v>468</v>
      </c>
      <c r="J69" t="s">
        <v>469</v>
      </c>
      <c r="K69" t="s">
        <v>470</v>
      </c>
      <c r="L69">
        <v>1368</v>
      </c>
      <c r="N69">
        <v>1011</v>
      </c>
      <c r="O69" t="s">
        <v>465</v>
      </c>
      <c r="P69" t="s">
        <v>465</v>
      </c>
      <c r="Q69">
        <v>1</v>
      </c>
      <c r="W69">
        <v>0</v>
      </c>
      <c r="X69">
        <v>1372534845</v>
      </c>
      <c r="Y69">
        <v>0.13299999999999998</v>
      </c>
      <c r="AA69">
        <v>0</v>
      </c>
      <c r="AB69">
        <v>65.709999999999994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0.19</v>
      </c>
      <c r="AU69" t="s">
        <v>82</v>
      </c>
      <c r="AV69">
        <v>0</v>
      </c>
      <c r="AW69">
        <v>2</v>
      </c>
      <c r="AX69">
        <v>27935528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6.6499999999999997E-3</v>
      </c>
      <c r="CY69">
        <f>AB69</f>
        <v>65.709999999999994</v>
      </c>
      <c r="CZ69">
        <f>AF69</f>
        <v>65.709999999999994</v>
      </c>
      <c r="DA69">
        <f>AJ69</f>
        <v>1</v>
      </c>
      <c r="DB69">
        <f>ROUND((ROUND(AT69*CZ69,2)*0.7),2)</f>
        <v>8.74</v>
      </c>
      <c r="DC69">
        <f>ROUND((ROUND(AT69*AG69,2)*0.7),2)</f>
        <v>1.54</v>
      </c>
    </row>
    <row r="70" spans="1:107" x14ac:dyDescent="0.2">
      <c r="A70">
        <f>ROW(Source!A46)</f>
        <v>46</v>
      </c>
      <c r="B70">
        <v>27935367</v>
      </c>
      <c r="C70">
        <v>27935505</v>
      </c>
      <c r="D70">
        <v>25231842</v>
      </c>
      <c r="E70">
        <v>1</v>
      </c>
      <c r="F70">
        <v>1</v>
      </c>
      <c r="G70">
        <v>1</v>
      </c>
      <c r="H70">
        <v>2</v>
      </c>
      <c r="I70" t="s">
        <v>507</v>
      </c>
      <c r="J70" t="s">
        <v>508</v>
      </c>
      <c r="K70" t="s">
        <v>509</v>
      </c>
      <c r="L70">
        <v>1368</v>
      </c>
      <c r="N70">
        <v>1011</v>
      </c>
      <c r="O70" t="s">
        <v>465</v>
      </c>
      <c r="P70" t="s">
        <v>465</v>
      </c>
      <c r="Q70">
        <v>1</v>
      </c>
      <c r="W70">
        <v>0</v>
      </c>
      <c r="X70">
        <v>792402865</v>
      </c>
      <c r="Y70">
        <v>1.302</v>
      </c>
      <c r="AA70">
        <v>0</v>
      </c>
      <c r="AB70">
        <v>1.2</v>
      </c>
      <c r="AC70">
        <v>0</v>
      </c>
      <c r="AD70">
        <v>0</v>
      </c>
      <c r="AE70">
        <v>0</v>
      </c>
      <c r="AF70">
        <v>1.2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1.86</v>
      </c>
      <c r="AU70" t="s">
        <v>82</v>
      </c>
      <c r="AV70">
        <v>0</v>
      </c>
      <c r="AW70">
        <v>2</v>
      </c>
      <c r="AX70">
        <v>27935529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6.5100000000000005E-2</v>
      </c>
      <c r="CY70">
        <f>AB70</f>
        <v>1.2</v>
      </c>
      <c r="CZ70">
        <f>AF70</f>
        <v>1.2</v>
      </c>
      <c r="DA70">
        <f>AJ70</f>
        <v>1</v>
      </c>
      <c r="DB70">
        <f>ROUND((ROUND(AT70*CZ70,2)*0.7),2)</f>
        <v>1.56</v>
      </c>
      <c r="DC70">
        <f>ROUND((ROUND(AT70*AG70,2)*0.7),2)</f>
        <v>0</v>
      </c>
    </row>
    <row r="71" spans="1:107" x14ac:dyDescent="0.2">
      <c r="A71">
        <f>ROW(Source!A46)</f>
        <v>46</v>
      </c>
      <c r="B71">
        <v>27935367</v>
      </c>
      <c r="C71">
        <v>27935505</v>
      </c>
      <c r="D71">
        <v>25231889</v>
      </c>
      <c r="E71">
        <v>1</v>
      </c>
      <c r="F71">
        <v>1</v>
      </c>
      <c r="G71">
        <v>1</v>
      </c>
      <c r="H71">
        <v>2</v>
      </c>
      <c r="I71" t="s">
        <v>510</v>
      </c>
      <c r="J71" t="s">
        <v>511</v>
      </c>
      <c r="K71" t="s">
        <v>512</v>
      </c>
      <c r="L71">
        <v>1368</v>
      </c>
      <c r="N71">
        <v>1011</v>
      </c>
      <c r="O71" t="s">
        <v>465</v>
      </c>
      <c r="P71" t="s">
        <v>465</v>
      </c>
      <c r="Q71">
        <v>1</v>
      </c>
      <c r="W71">
        <v>0</v>
      </c>
      <c r="X71">
        <v>1323835807</v>
      </c>
      <c r="Y71">
        <v>1.4209999999999998</v>
      </c>
      <c r="AA71">
        <v>0</v>
      </c>
      <c r="AB71">
        <v>12.31</v>
      </c>
      <c r="AC71">
        <v>0</v>
      </c>
      <c r="AD71">
        <v>0</v>
      </c>
      <c r="AE71">
        <v>0</v>
      </c>
      <c r="AF71">
        <v>12.31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2.0299999999999998</v>
      </c>
      <c r="AU71" t="s">
        <v>82</v>
      </c>
      <c r="AV71">
        <v>0</v>
      </c>
      <c r="AW71">
        <v>2</v>
      </c>
      <c r="AX71">
        <v>27935530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Y71*Source!I46</f>
        <v>7.1049999999999988E-2</v>
      </c>
      <c r="CY71">
        <f>AB71</f>
        <v>12.31</v>
      </c>
      <c r="CZ71">
        <f>AF71</f>
        <v>12.31</v>
      </c>
      <c r="DA71">
        <f>AJ71</f>
        <v>1</v>
      </c>
      <c r="DB71">
        <f>ROUND((ROUND(AT71*CZ71,2)*0.7),2)</f>
        <v>17.489999999999998</v>
      </c>
      <c r="DC71">
        <f>ROUND((ROUND(AT71*AG71,2)*0.7),2)</f>
        <v>0</v>
      </c>
    </row>
    <row r="72" spans="1:107" x14ac:dyDescent="0.2">
      <c r="A72">
        <f>ROW(Source!A46)</f>
        <v>46</v>
      </c>
      <c r="B72">
        <v>27935367</v>
      </c>
      <c r="C72">
        <v>27935505</v>
      </c>
      <c r="D72">
        <v>25148328</v>
      </c>
      <c r="E72">
        <v>1</v>
      </c>
      <c r="F72">
        <v>1</v>
      </c>
      <c r="G72">
        <v>1</v>
      </c>
      <c r="H72">
        <v>3</v>
      </c>
      <c r="I72" t="s">
        <v>513</v>
      </c>
      <c r="J72" t="s">
        <v>514</v>
      </c>
      <c r="K72" t="s">
        <v>515</v>
      </c>
      <c r="L72">
        <v>1339</v>
      </c>
      <c r="N72">
        <v>1007</v>
      </c>
      <c r="O72" t="s">
        <v>133</v>
      </c>
      <c r="P72" t="s">
        <v>133</v>
      </c>
      <c r="Q72">
        <v>1</v>
      </c>
      <c r="W72">
        <v>0</v>
      </c>
      <c r="X72">
        <v>1262771840</v>
      </c>
      <c r="Y72">
        <v>0</v>
      </c>
      <c r="AA72">
        <v>6.22</v>
      </c>
      <c r="AB72">
        <v>0</v>
      </c>
      <c r="AC72">
        <v>0</v>
      </c>
      <c r="AD72">
        <v>0</v>
      </c>
      <c r="AE72">
        <v>6.22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1.5</v>
      </c>
      <c r="AU72" t="s">
        <v>81</v>
      </c>
      <c r="AV72">
        <v>0</v>
      </c>
      <c r="AW72">
        <v>2</v>
      </c>
      <c r="AX72">
        <v>27935531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Y72*Source!I46</f>
        <v>0</v>
      </c>
      <c r="CY72">
        <f t="shared" ref="CY72:CY82" si="12">AA72</f>
        <v>6.22</v>
      </c>
      <c r="CZ72">
        <f t="shared" ref="CZ72:CZ82" si="13">AE72</f>
        <v>6.22</v>
      </c>
      <c r="DA72">
        <f t="shared" ref="DA72:DA82" si="14">AI72</f>
        <v>1</v>
      </c>
      <c r="DB72">
        <f t="shared" ref="DB72:DB82" si="15">ROUND((ROUND(AT72*CZ72,2)*0),2)</f>
        <v>0</v>
      </c>
      <c r="DC72">
        <f t="shared" ref="DC72:DC82" si="16">ROUND((ROUND(AT72*AG72,2)*0),2)</f>
        <v>0</v>
      </c>
    </row>
    <row r="73" spans="1:107" x14ac:dyDescent="0.2">
      <c r="A73">
        <f>ROW(Source!A46)</f>
        <v>46</v>
      </c>
      <c r="B73">
        <v>27935367</v>
      </c>
      <c r="C73">
        <v>27935505</v>
      </c>
      <c r="D73">
        <v>25148335</v>
      </c>
      <c r="E73">
        <v>1</v>
      </c>
      <c r="F73">
        <v>1</v>
      </c>
      <c r="G73">
        <v>1</v>
      </c>
      <c r="H73">
        <v>3</v>
      </c>
      <c r="I73" t="s">
        <v>516</v>
      </c>
      <c r="J73" t="s">
        <v>517</v>
      </c>
      <c r="K73" t="s">
        <v>518</v>
      </c>
      <c r="L73">
        <v>1346</v>
      </c>
      <c r="N73">
        <v>1009</v>
      </c>
      <c r="O73" t="s">
        <v>60</v>
      </c>
      <c r="P73" t="s">
        <v>60</v>
      </c>
      <c r="Q73">
        <v>1</v>
      </c>
      <c r="W73">
        <v>0</v>
      </c>
      <c r="X73">
        <v>1721895514</v>
      </c>
      <c r="Y73">
        <v>0</v>
      </c>
      <c r="AA73">
        <v>6.09</v>
      </c>
      <c r="AB73">
        <v>0</v>
      </c>
      <c r="AC73">
        <v>0</v>
      </c>
      <c r="AD73">
        <v>0</v>
      </c>
      <c r="AE73">
        <v>6.09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0.45</v>
      </c>
      <c r="AU73" t="s">
        <v>81</v>
      </c>
      <c r="AV73">
        <v>0</v>
      </c>
      <c r="AW73">
        <v>2</v>
      </c>
      <c r="AX73">
        <v>27935532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Y73*Source!I46</f>
        <v>0</v>
      </c>
      <c r="CY73">
        <f t="shared" si="12"/>
        <v>6.09</v>
      </c>
      <c r="CZ73">
        <f t="shared" si="13"/>
        <v>6.09</v>
      </c>
      <c r="DA73">
        <f t="shared" si="14"/>
        <v>1</v>
      </c>
      <c r="DB73">
        <f t="shared" si="15"/>
        <v>0</v>
      </c>
      <c r="DC73">
        <f t="shared" si="16"/>
        <v>0</v>
      </c>
    </row>
    <row r="74" spans="1:107" x14ac:dyDescent="0.2">
      <c r="A74">
        <f>ROW(Source!A46)</f>
        <v>46</v>
      </c>
      <c r="B74">
        <v>27935367</v>
      </c>
      <c r="C74">
        <v>27935505</v>
      </c>
      <c r="D74">
        <v>25151428</v>
      </c>
      <c r="E74">
        <v>1</v>
      </c>
      <c r="F74">
        <v>1</v>
      </c>
      <c r="G74">
        <v>1</v>
      </c>
      <c r="H74">
        <v>3</v>
      </c>
      <c r="I74" t="s">
        <v>519</v>
      </c>
      <c r="J74" t="s">
        <v>520</v>
      </c>
      <c r="K74" t="s">
        <v>521</v>
      </c>
      <c r="L74">
        <v>1348</v>
      </c>
      <c r="N74">
        <v>1009</v>
      </c>
      <c r="O74" t="s">
        <v>65</v>
      </c>
      <c r="P74" t="s">
        <v>65</v>
      </c>
      <c r="Q74">
        <v>1000</v>
      </c>
      <c r="W74">
        <v>0</v>
      </c>
      <c r="X74">
        <v>1225357214</v>
      </c>
      <c r="Y74">
        <v>0</v>
      </c>
      <c r="AA74">
        <v>10749</v>
      </c>
      <c r="AB74">
        <v>0</v>
      </c>
      <c r="AC74">
        <v>0</v>
      </c>
      <c r="AD74">
        <v>0</v>
      </c>
      <c r="AE74">
        <v>10749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1.4E-3</v>
      </c>
      <c r="AU74" t="s">
        <v>81</v>
      </c>
      <c r="AV74">
        <v>0</v>
      </c>
      <c r="AW74">
        <v>2</v>
      </c>
      <c r="AX74">
        <v>27935533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Y74*Source!I46</f>
        <v>0</v>
      </c>
      <c r="CY74">
        <f t="shared" si="12"/>
        <v>10749</v>
      </c>
      <c r="CZ74">
        <f t="shared" si="13"/>
        <v>10749</v>
      </c>
      <c r="DA74">
        <f t="shared" si="14"/>
        <v>1</v>
      </c>
      <c r="DB74">
        <f t="shared" si="15"/>
        <v>0</v>
      </c>
      <c r="DC74">
        <f t="shared" si="16"/>
        <v>0</v>
      </c>
    </row>
    <row r="75" spans="1:107" x14ac:dyDescent="0.2">
      <c r="A75">
        <f>ROW(Source!A46)</f>
        <v>46</v>
      </c>
      <c r="B75">
        <v>27935367</v>
      </c>
      <c r="C75">
        <v>27935505</v>
      </c>
      <c r="D75">
        <v>25152615</v>
      </c>
      <c r="E75">
        <v>1</v>
      </c>
      <c r="F75">
        <v>1</v>
      </c>
      <c r="G75">
        <v>1</v>
      </c>
      <c r="H75">
        <v>3</v>
      </c>
      <c r="I75" t="s">
        <v>522</v>
      </c>
      <c r="J75" t="s">
        <v>523</v>
      </c>
      <c r="K75" t="s">
        <v>524</v>
      </c>
      <c r="L75">
        <v>1348</v>
      </c>
      <c r="N75">
        <v>1009</v>
      </c>
      <c r="O75" t="s">
        <v>65</v>
      </c>
      <c r="P75" t="s">
        <v>65</v>
      </c>
      <c r="Q75">
        <v>1000</v>
      </c>
      <c r="W75">
        <v>0</v>
      </c>
      <c r="X75">
        <v>-437906794</v>
      </c>
      <c r="Y75">
        <v>0</v>
      </c>
      <c r="AA75">
        <v>9040.01</v>
      </c>
      <c r="AB75">
        <v>0</v>
      </c>
      <c r="AC75">
        <v>0</v>
      </c>
      <c r="AD75">
        <v>0</v>
      </c>
      <c r="AE75">
        <v>9040.01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3.3E-3</v>
      </c>
      <c r="AU75" t="s">
        <v>81</v>
      </c>
      <c r="AV75">
        <v>0</v>
      </c>
      <c r="AW75">
        <v>2</v>
      </c>
      <c r="AX75">
        <v>27935534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Y75*Source!I46</f>
        <v>0</v>
      </c>
      <c r="CY75">
        <f t="shared" si="12"/>
        <v>9040.01</v>
      </c>
      <c r="CZ75">
        <f t="shared" si="13"/>
        <v>9040.01</v>
      </c>
      <c r="DA75">
        <f t="shared" si="14"/>
        <v>1</v>
      </c>
      <c r="DB75">
        <f t="shared" si="15"/>
        <v>0</v>
      </c>
      <c r="DC75">
        <f t="shared" si="16"/>
        <v>0</v>
      </c>
    </row>
    <row r="76" spans="1:107" x14ac:dyDescent="0.2">
      <c r="A76">
        <f>ROW(Source!A46)</f>
        <v>46</v>
      </c>
      <c r="B76">
        <v>27935367</v>
      </c>
      <c r="C76">
        <v>27935505</v>
      </c>
      <c r="D76">
        <v>25152713</v>
      </c>
      <c r="E76">
        <v>1</v>
      </c>
      <c r="F76">
        <v>1</v>
      </c>
      <c r="G76">
        <v>1</v>
      </c>
      <c r="H76">
        <v>3</v>
      </c>
      <c r="I76" t="s">
        <v>525</v>
      </c>
      <c r="J76" t="s">
        <v>526</v>
      </c>
      <c r="K76" t="s">
        <v>527</v>
      </c>
      <c r="L76">
        <v>1348</v>
      </c>
      <c r="N76">
        <v>1009</v>
      </c>
      <c r="O76" t="s">
        <v>65</v>
      </c>
      <c r="P76" t="s">
        <v>65</v>
      </c>
      <c r="Q76">
        <v>1000</v>
      </c>
      <c r="W76">
        <v>0</v>
      </c>
      <c r="X76">
        <v>1174701286</v>
      </c>
      <c r="Y76">
        <v>0</v>
      </c>
      <c r="AA76">
        <v>11978</v>
      </c>
      <c r="AB76">
        <v>0</v>
      </c>
      <c r="AC76">
        <v>0</v>
      </c>
      <c r="AD76">
        <v>0</v>
      </c>
      <c r="AE76">
        <v>11978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1.0000000000000001E-5</v>
      </c>
      <c r="AU76" t="s">
        <v>81</v>
      </c>
      <c r="AV76">
        <v>0</v>
      </c>
      <c r="AW76">
        <v>2</v>
      </c>
      <c r="AX76">
        <v>27935535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Y76*Source!I46</f>
        <v>0</v>
      </c>
      <c r="CY76">
        <f t="shared" si="12"/>
        <v>11978</v>
      </c>
      <c r="CZ76">
        <f t="shared" si="13"/>
        <v>11978</v>
      </c>
      <c r="DA76">
        <f t="shared" si="14"/>
        <v>1</v>
      </c>
      <c r="DB76">
        <f t="shared" si="15"/>
        <v>0</v>
      </c>
      <c r="DC76">
        <f t="shared" si="16"/>
        <v>0</v>
      </c>
    </row>
    <row r="77" spans="1:107" x14ac:dyDescent="0.2">
      <c r="A77">
        <f>ROW(Source!A46)</f>
        <v>46</v>
      </c>
      <c r="B77">
        <v>27935367</v>
      </c>
      <c r="C77">
        <v>27935505</v>
      </c>
      <c r="D77">
        <v>25153693</v>
      </c>
      <c r="E77">
        <v>1</v>
      </c>
      <c r="F77">
        <v>1</v>
      </c>
      <c r="G77">
        <v>1</v>
      </c>
      <c r="H77">
        <v>3</v>
      </c>
      <c r="I77" t="s">
        <v>528</v>
      </c>
      <c r="J77" t="s">
        <v>529</v>
      </c>
      <c r="K77" t="s">
        <v>530</v>
      </c>
      <c r="L77">
        <v>1348</v>
      </c>
      <c r="N77">
        <v>1009</v>
      </c>
      <c r="O77" t="s">
        <v>65</v>
      </c>
      <c r="P77" t="s">
        <v>65</v>
      </c>
      <c r="Q77">
        <v>1000</v>
      </c>
      <c r="W77">
        <v>0</v>
      </c>
      <c r="X77">
        <v>-2116243625</v>
      </c>
      <c r="Y77">
        <v>0</v>
      </c>
      <c r="AA77">
        <v>37900</v>
      </c>
      <c r="AB77">
        <v>0</v>
      </c>
      <c r="AC77">
        <v>0</v>
      </c>
      <c r="AD77">
        <v>0</v>
      </c>
      <c r="AE77">
        <v>37900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1E-4</v>
      </c>
      <c r="AU77" t="s">
        <v>81</v>
      </c>
      <c r="AV77">
        <v>0</v>
      </c>
      <c r="AW77">
        <v>2</v>
      </c>
      <c r="AX77">
        <v>27935536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Y77*Source!I46</f>
        <v>0</v>
      </c>
      <c r="CY77">
        <f t="shared" si="12"/>
        <v>37900</v>
      </c>
      <c r="CZ77">
        <f t="shared" si="13"/>
        <v>37900</v>
      </c>
      <c r="DA77">
        <f t="shared" si="14"/>
        <v>1</v>
      </c>
      <c r="DB77">
        <f t="shared" si="15"/>
        <v>0</v>
      </c>
      <c r="DC77">
        <f t="shared" si="16"/>
        <v>0</v>
      </c>
    </row>
    <row r="78" spans="1:107" x14ac:dyDescent="0.2">
      <c r="A78">
        <f>ROW(Source!A46)</f>
        <v>46</v>
      </c>
      <c r="B78">
        <v>27935367</v>
      </c>
      <c r="C78">
        <v>27935505</v>
      </c>
      <c r="D78">
        <v>25173443</v>
      </c>
      <c r="E78">
        <v>1</v>
      </c>
      <c r="F78">
        <v>1</v>
      </c>
      <c r="G78">
        <v>1</v>
      </c>
      <c r="H78">
        <v>3</v>
      </c>
      <c r="I78" t="s">
        <v>531</v>
      </c>
      <c r="J78" t="s">
        <v>532</v>
      </c>
      <c r="K78" t="s">
        <v>533</v>
      </c>
      <c r="L78">
        <v>1302</v>
      </c>
      <c r="N78">
        <v>1003</v>
      </c>
      <c r="O78" t="s">
        <v>74</v>
      </c>
      <c r="P78" t="s">
        <v>74</v>
      </c>
      <c r="Q78">
        <v>10</v>
      </c>
      <c r="W78">
        <v>0</v>
      </c>
      <c r="X78">
        <v>-1640127157</v>
      </c>
      <c r="Y78">
        <v>0</v>
      </c>
      <c r="AA78">
        <v>50.24</v>
      </c>
      <c r="AB78">
        <v>0</v>
      </c>
      <c r="AC78">
        <v>0</v>
      </c>
      <c r="AD78">
        <v>0</v>
      </c>
      <c r="AE78">
        <v>50.24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1.8700000000000001E-2</v>
      </c>
      <c r="AU78" t="s">
        <v>81</v>
      </c>
      <c r="AV78">
        <v>0</v>
      </c>
      <c r="AW78">
        <v>2</v>
      </c>
      <c r="AX78">
        <v>27935538</v>
      </c>
      <c r="AY78">
        <v>1</v>
      </c>
      <c r="AZ78">
        <v>0</v>
      </c>
      <c r="BA78">
        <v>79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Y78*Source!I46</f>
        <v>0</v>
      </c>
      <c r="CY78">
        <f t="shared" si="12"/>
        <v>50.24</v>
      </c>
      <c r="CZ78">
        <f t="shared" si="13"/>
        <v>50.24</v>
      </c>
      <c r="DA78">
        <f t="shared" si="14"/>
        <v>1</v>
      </c>
      <c r="DB78">
        <f t="shared" si="15"/>
        <v>0</v>
      </c>
      <c r="DC78">
        <f t="shared" si="16"/>
        <v>0</v>
      </c>
    </row>
    <row r="79" spans="1:107" x14ac:dyDescent="0.2">
      <c r="A79">
        <f>ROW(Source!A46)</f>
        <v>46</v>
      </c>
      <c r="B79">
        <v>27935367</v>
      </c>
      <c r="C79">
        <v>27935505</v>
      </c>
      <c r="D79">
        <v>25173801</v>
      </c>
      <c r="E79">
        <v>1</v>
      </c>
      <c r="F79">
        <v>1</v>
      </c>
      <c r="G79">
        <v>1</v>
      </c>
      <c r="H79">
        <v>3</v>
      </c>
      <c r="I79" t="s">
        <v>534</v>
      </c>
      <c r="J79" t="s">
        <v>535</v>
      </c>
      <c r="K79" t="s">
        <v>536</v>
      </c>
      <c r="L79">
        <v>1348</v>
      </c>
      <c r="N79">
        <v>1009</v>
      </c>
      <c r="O79" t="s">
        <v>65</v>
      </c>
      <c r="P79" t="s">
        <v>65</v>
      </c>
      <c r="Q79">
        <v>1000</v>
      </c>
      <c r="W79">
        <v>0</v>
      </c>
      <c r="X79">
        <v>-1396314973</v>
      </c>
      <c r="Y79">
        <v>0</v>
      </c>
      <c r="AA79">
        <v>4455.2</v>
      </c>
      <c r="AB79">
        <v>0</v>
      </c>
      <c r="AC79">
        <v>0</v>
      </c>
      <c r="AD79">
        <v>0</v>
      </c>
      <c r="AE79">
        <v>4455.2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3.0000000000000001E-5</v>
      </c>
      <c r="AU79" t="s">
        <v>81</v>
      </c>
      <c r="AV79">
        <v>0</v>
      </c>
      <c r="AW79">
        <v>2</v>
      </c>
      <c r="AX79">
        <v>27935539</v>
      </c>
      <c r="AY79">
        <v>1</v>
      </c>
      <c r="AZ79">
        <v>0</v>
      </c>
      <c r="BA79">
        <v>80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Y79*Source!I46</f>
        <v>0</v>
      </c>
      <c r="CY79">
        <f t="shared" si="12"/>
        <v>4455.2</v>
      </c>
      <c r="CZ79">
        <f t="shared" si="13"/>
        <v>4455.2</v>
      </c>
      <c r="DA79">
        <f t="shared" si="14"/>
        <v>1</v>
      </c>
      <c r="DB79">
        <f t="shared" si="15"/>
        <v>0</v>
      </c>
      <c r="DC79">
        <f t="shared" si="16"/>
        <v>0</v>
      </c>
    </row>
    <row r="80" spans="1:107" x14ac:dyDescent="0.2">
      <c r="A80">
        <f>ROW(Source!A46)</f>
        <v>46</v>
      </c>
      <c r="B80">
        <v>27935367</v>
      </c>
      <c r="C80">
        <v>27935505</v>
      </c>
      <c r="D80">
        <v>25174560</v>
      </c>
      <c r="E80">
        <v>1</v>
      </c>
      <c r="F80">
        <v>1</v>
      </c>
      <c r="G80">
        <v>1</v>
      </c>
      <c r="H80">
        <v>3</v>
      </c>
      <c r="I80" t="s">
        <v>537</v>
      </c>
      <c r="J80" t="s">
        <v>538</v>
      </c>
      <c r="K80" t="s">
        <v>539</v>
      </c>
      <c r="L80">
        <v>1348</v>
      </c>
      <c r="N80">
        <v>1009</v>
      </c>
      <c r="O80" t="s">
        <v>65</v>
      </c>
      <c r="P80" t="s">
        <v>65</v>
      </c>
      <c r="Q80">
        <v>1000</v>
      </c>
      <c r="W80">
        <v>0</v>
      </c>
      <c r="X80">
        <v>900832145</v>
      </c>
      <c r="Y80">
        <v>0</v>
      </c>
      <c r="AA80">
        <v>4920</v>
      </c>
      <c r="AB80">
        <v>0</v>
      </c>
      <c r="AC80">
        <v>0</v>
      </c>
      <c r="AD80">
        <v>0</v>
      </c>
      <c r="AE80">
        <v>4920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1.9400000000000001E-3</v>
      </c>
      <c r="AU80" t="s">
        <v>81</v>
      </c>
      <c r="AV80">
        <v>0</v>
      </c>
      <c r="AW80">
        <v>2</v>
      </c>
      <c r="AX80">
        <v>27935540</v>
      </c>
      <c r="AY80">
        <v>1</v>
      </c>
      <c r="AZ80">
        <v>0</v>
      </c>
      <c r="BA80">
        <v>81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Y80*Source!I46</f>
        <v>0</v>
      </c>
      <c r="CY80">
        <f t="shared" si="12"/>
        <v>4920</v>
      </c>
      <c r="CZ80">
        <f t="shared" si="13"/>
        <v>4920</v>
      </c>
      <c r="DA80">
        <f t="shared" si="14"/>
        <v>1</v>
      </c>
      <c r="DB80">
        <f t="shared" si="15"/>
        <v>0</v>
      </c>
      <c r="DC80">
        <f t="shared" si="16"/>
        <v>0</v>
      </c>
    </row>
    <row r="81" spans="1:107" x14ac:dyDescent="0.2">
      <c r="A81">
        <f>ROW(Source!A46)</f>
        <v>46</v>
      </c>
      <c r="B81">
        <v>27935367</v>
      </c>
      <c r="C81">
        <v>27935505</v>
      </c>
      <c r="D81">
        <v>25186091</v>
      </c>
      <c r="E81">
        <v>1</v>
      </c>
      <c r="F81">
        <v>1</v>
      </c>
      <c r="G81">
        <v>1</v>
      </c>
      <c r="H81">
        <v>3</v>
      </c>
      <c r="I81" t="s">
        <v>540</v>
      </c>
      <c r="J81" t="s">
        <v>541</v>
      </c>
      <c r="K81" t="s">
        <v>542</v>
      </c>
      <c r="L81">
        <v>1348</v>
      </c>
      <c r="N81">
        <v>1009</v>
      </c>
      <c r="O81" t="s">
        <v>65</v>
      </c>
      <c r="P81" t="s">
        <v>65</v>
      </c>
      <c r="Q81">
        <v>1000</v>
      </c>
      <c r="W81">
        <v>0</v>
      </c>
      <c r="X81">
        <v>-1655298345</v>
      </c>
      <c r="Y81">
        <v>0</v>
      </c>
      <c r="AA81">
        <v>15620</v>
      </c>
      <c r="AB81">
        <v>0</v>
      </c>
      <c r="AC81">
        <v>0</v>
      </c>
      <c r="AD81">
        <v>0</v>
      </c>
      <c r="AE81">
        <v>15620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3.1E-4</v>
      </c>
      <c r="AU81" t="s">
        <v>81</v>
      </c>
      <c r="AV81">
        <v>0</v>
      </c>
      <c r="AW81">
        <v>2</v>
      </c>
      <c r="AX81">
        <v>27935541</v>
      </c>
      <c r="AY81">
        <v>1</v>
      </c>
      <c r="AZ81">
        <v>0</v>
      </c>
      <c r="BA81">
        <v>82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Y81*Source!I46</f>
        <v>0</v>
      </c>
      <c r="CY81">
        <f t="shared" si="12"/>
        <v>15620</v>
      </c>
      <c r="CZ81">
        <f t="shared" si="13"/>
        <v>15620</v>
      </c>
      <c r="DA81">
        <f t="shared" si="14"/>
        <v>1</v>
      </c>
      <c r="DB81">
        <f t="shared" si="15"/>
        <v>0</v>
      </c>
      <c r="DC81">
        <f t="shared" si="16"/>
        <v>0</v>
      </c>
    </row>
    <row r="82" spans="1:107" x14ac:dyDescent="0.2">
      <c r="A82">
        <f>ROW(Source!A46)</f>
        <v>46</v>
      </c>
      <c r="B82">
        <v>27935367</v>
      </c>
      <c r="C82">
        <v>27935505</v>
      </c>
      <c r="D82">
        <v>25187286</v>
      </c>
      <c r="E82">
        <v>1</v>
      </c>
      <c r="F82">
        <v>1</v>
      </c>
      <c r="G82">
        <v>1</v>
      </c>
      <c r="H82">
        <v>3</v>
      </c>
      <c r="I82" t="s">
        <v>543</v>
      </c>
      <c r="J82" t="s">
        <v>544</v>
      </c>
      <c r="K82" t="s">
        <v>545</v>
      </c>
      <c r="L82">
        <v>1348</v>
      </c>
      <c r="N82">
        <v>1009</v>
      </c>
      <c r="O82" t="s">
        <v>65</v>
      </c>
      <c r="P82" t="s">
        <v>65</v>
      </c>
      <c r="Q82">
        <v>1000</v>
      </c>
      <c r="W82">
        <v>0</v>
      </c>
      <c r="X82">
        <v>-639604785</v>
      </c>
      <c r="Y82">
        <v>0</v>
      </c>
      <c r="AA82">
        <v>9420</v>
      </c>
      <c r="AB82">
        <v>0</v>
      </c>
      <c r="AC82">
        <v>0</v>
      </c>
      <c r="AD82">
        <v>0</v>
      </c>
      <c r="AE82">
        <v>9420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5.9999999999999995E-4</v>
      </c>
      <c r="AU82" t="s">
        <v>81</v>
      </c>
      <c r="AV82">
        <v>0</v>
      </c>
      <c r="AW82">
        <v>2</v>
      </c>
      <c r="AX82">
        <v>27935542</v>
      </c>
      <c r="AY82">
        <v>1</v>
      </c>
      <c r="AZ82">
        <v>0</v>
      </c>
      <c r="BA82">
        <v>83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Y82*Source!I46</f>
        <v>0</v>
      </c>
      <c r="CY82">
        <f t="shared" si="12"/>
        <v>9420</v>
      </c>
      <c r="CZ82">
        <f t="shared" si="13"/>
        <v>9420</v>
      </c>
      <c r="DA82">
        <f t="shared" si="14"/>
        <v>1</v>
      </c>
      <c r="DB82">
        <f t="shared" si="15"/>
        <v>0</v>
      </c>
      <c r="DC82">
        <f t="shared" si="16"/>
        <v>0</v>
      </c>
    </row>
    <row r="83" spans="1:107" x14ac:dyDescent="0.2">
      <c r="A83">
        <f>ROW(Source!A47)</f>
        <v>47</v>
      </c>
      <c r="B83">
        <v>27935368</v>
      </c>
      <c r="C83">
        <v>27935505</v>
      </c>
      <c r="D83">
        <v>25413300</v>
      </c>
      <c r="E83">
        <v>1</v>
      </c>
      <c r="F83">
        <v>1</v>
      </c>
      <c r="G83">
        <v>1</v>
      </c>
      <c r="H83">
        <v>1</v>
      </c>
      <c r="I83" t="s">
        <v>491</v>
      </c>
      <c r="J83" t="s">
        <v>6</v>
      </c>
      <c r="K83" t="s">
        <v>492</v>
      </c>
      <c r="L83">
        <v>1191</v>
      </c>
      <c r="N83">
        <v>1013</v>
      </c>
      <c r="O83" t="s">
        <v>459</v>
      </c>
      <c r="P83" t="s">
        <v>459</v>
      </c>
      <c r="Q83">
        <v>1</v>
      </c>
      <c r="W83">
        <v>0</v>
      </c>
      <c r="X83">
        <v>-400197608</v>
      </c>
      <c r="Y83">
        <v>35.552999999999997</v>
      </c>
      <c r="AA83">
        <v>0</v>
      </c>
      <c r="AB83">
        <v>0</v>
      </c>
      <c r="AC83">
        <v>0</v>
      </c>
      <c r="AD83">
        <v>52.12</v>
      </c>
      <c r="AE83">
        <v>0</v>
      </c>
      <c r="AF83">
        <v>0</v>
      </c>
      <c r="AG83">
        <v>0</v>
      </c>
      <c r="AH83">
        <v>8.5299999999999994</v>
      </c>
      <c r="AI83">
        <v>1</v>
      </c>
      <c r="AJ83">
        <v>1</v>
      </c>
      <c r="AK83">
        <v>1</v>
      </c>
      <c r="AL83">
        <v>6.11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50.79</v>
      </c>
      <c r="AU83" t="s">
        <v>82</v>
      </c>
      <c r="AV83">
        <v>1</v>
      </c>
      <c r="AW83">
        <v>2</v>
      </c>
      <c r="AX83">
        <v>27935524</v>
      </c>
      <c r="AY83">
        <v>1</v>
      </c>
      <c r="AZ83">
        <v>0</v>
      </c>
      <c r="BA83">
        <v>84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Y83*Source!I47</f>
        <v>1.77765</v>
      </c>
      <c r="CY83">
        <f>AD83</f>
        <v>52.12</v>
      </c>
      <c r="CZ83">
        <f>AH83</f>
        <v>8.5299999999999994</v>
      </c>
      <c r="DA83">
        <f>AL83</f>
        <v>6.11</v>
      </c>
      <c r="DB83">
        <f>ROUND((ROUND(AT83*CZ83,2)*0.7),2)</f>
        <v>303.27</v>
      </c>
      <c r="DC83">
        <f>ROUND((ROUND(AT83*AG83,2)*0.7),2)</f>
        <v>0</v>
      </c>
    </row>
    <row r="84" spans="1:107" x14ac:dyDescent="0.2">
      <c r="A84">
        <f>ROW(Source!A47)</f>
        <v>47</v>
      </c>
      <c r="B84">
        <v>27935368</v>
      </c>
      <c r="C84">
        <v>27935505</v>
      </c>
      <c r="D84">
        <v>25412928</v>
      </c>
      <c r="E84">
        <v>1</v>
      </c>
      <c r="F84">
        <v>1</v>
      </c>
      <c r="G84">
        <v>1</v>
      </c>
      <c r="H84">
        <v>1</v>
      </c>
      <c r="I84" t="s">
        <v>460</v>
      </c>
      <c r="J84" t="s">
        <v>6</v>
      </c>
      <c r="K84" t="s">
        <v>461</v>
      </c>
      <c r="L84">
        <v>1191</v>
      </c>
      <c r="N84">
        <v>1013</v>
      </c>
      <c r="O84" t="s">
        <v>459</v>
      </c>
      <c r="P84" t="s">
        <v>459</v>
      </c>
      <c r="Q84">
        <v>1</v>
      </c>
      <c r="W84">
        <v>0</v>
      </c>
      <c r="X84">
        <v>-1417349443</v>
      </c>
      <c r="Y84">
        <v>0.31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6.11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0.31</v>
      </c>
      <c r="AU84" t="s">
        <v>6</v>
      </c>
      <c r="AV84">
        <v>2</v>
      </c>
      <c r="AW84">
        <v>2</v>
      </c>
      <c r="AX84">
        <v>27935525</v>
      </c>
      <c r="AY84">
        <v>1</v>
      </c>
      <c r="AZ84">
        <v>2048</v>
      </c>
      <c r="BA84">
        <v>85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Y84*Source!I47</f>
        <v>1.55E-2</v>
      </c>
      <c r="CY84">
        <f>AD84</f>
        <v>0</v>
      </c>
      <c r="CZ84">
        <f>AH84</f>
        <v>0</v>
      </c>
      <c r="DA84">
        <f>AL84</f>
        <v>1</v>
      </c>
      <c r="DB84">
        <f>ROUND(ROUND(AT84*CZ84,2),2)</f>
        <v>0</v>
      </c>
      <c r="DC84">
        <f>ROUND(ROUND(AT84*AG84,2),2)</f>
        <v>0</v>
      </c>
    </row>
    <row r="85" spans="1:107" x14ac:dyDescent="0.2">
      <c r="A85">
        <f>ROW(Source!A47)</f>
        <v>47</v>
      </c>
      <c r="B85">
        <v>27935368</v>
      </c>
      <c r="C85">
        <v>27935505</v>
      </c>
      <c r="D85">
        <v>25230220</v>
      </c>
      <c r="E85">
        <v>1</v>
      </c>
      <c r="F85">
        <v>1</v>
      </c>
      <c r="G85">
        <v>1</v>
      </c>
      <c r="H85">
        <v>2</v>
      </c>
      <c r="I85" t="s">
        <v>501</v>
      </c>
      <c r="J85" t="s">
        <v>502</v>
      </c>
      <c r="K85" t="s">
        <v>503</v>
      </c>
      <c r="L85">
        <v>1368</v>
      </c>
      <c r="N85">
        <v>1011</v>
      </c>
      <c r="O85" t="s">
        <v>465</v>
      </c>
      <c r="P85" t="s">
        <v>465</v>
      </c>
      <c r="Q85">
        <v>1</v>
      </c>
      <c r="W85">
        <v>0</v>
      </c>
      <c r="X85">
        <v>-1718674368</v>
      </c>
      <c r="Y85">
        <v>8.3999999999999991E-2</v>
      </c>
      <c r="AA85">
        <v>0</v>
      </c>
      <c r="AB85">
        <v>684.26</v>
      </c>
      <c r="AC85">
        <v>13.5</v>
      </c>
      <c r="AD85">
        <v>0</v>
      </c>
      <c r="AE85">
        <v>0</v>
      </c>
      <c r="AF85">
        <v>111.99</v>
      </c>
      <c r="AG85">
        <v>13.5</v>
      </c>
      <c r="AH85">
        <v>0</v>
      </c>
      <c r="AI85">
        <v>1</v>
      </c>
      <c r="AJ85">
        <v>6.11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0.12</v>
      </c>
      <c r="AU85" t="s">
        <v>82</v>
      </c>
      <c r="AV85">
        <v>0</v>
      </c>
      <c r="AW85">
        <v>2</v>
      </c>
      <c r="AX85">
        <v>27935526</v>
      </c>
      <c r="AY85">
        <v>1</v>
      </c>
      <c r="AZ85">
        <v>0</v>
      </c>
      <c r="BA85">
        <v>86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4.1999999999999997E-3</v>
      </c>
      <c r="CY85">
        <f>AB85</f>
        <v>684.26</v>
      </c>
      <c r="CZ85">
        <f>AF85</f>
        <v>111.99</v>
      </c>
      <c r="DA85">
        <f>AJ85</f>
        <v>6.11</v>
      </c>
      <c r="DB85">
        <f>ROUND((ROUND(AT85*CZ85,2)*0.7),2)</f>
        <v>9.41</v>
      </c>
      <c r="DC85">
        <f>ROUND((ROUND(AT85*AG85,2)*0.7),2)</f>
        <v>1.1299999999999999</v>
      </c>
    </row>
    <row r="86" spans="1:107" x14ac:dyDescent="0.2">
      <c r="A86">
        <f>ROW(Source!A47)</f>
        <v>47</v>
      </c>
      <c r="B86">
        <v>27935368</v>
      </c>
      <c r="C86">
        <v>27935505</v>
      </c>
      <c r="D86">
        <v>25230420</v>
      </c>
      <c r="E86">
        <v>1</v>
      </c>
      <c r="F86">
        <v>1</v>
      </c>
      <c r="G86">
        <v>1</v>
      </c>
      <c r="H86">
        <v>2</v>
      </c>
      <c r="I86" t="s">
        <v>504</v>
      </c>
      <c r="J86" t="s">
        <v>505</v>
      </c>
      <c r="K86" t="s">
        <v>506</v>
      </c>
      <c r="L86">
        <v>1368</v>
      </c>
      <c r="N86">
        <v>1011</v>
      </c>
      <c r="O86" t="s">
        <v>465</v>
      </c>
      <c r="P86" t="s">
        <v>465</v>
      </c>
      <c r="Q86">
        <v>1</v>
      </c>
      <c r="W86">
        <v>0</v>
      </c>
      <c r="X86">
        <v>1544661785</v>
      </c>
      <c r="Y86">
        <v>7.3709999999999987</v>
      </c>
      <c r="AA86">
        <v>0</v>
      </c>
      <c r="AB86">
        <v>42.16</v>
      </c>
      <c r="AC86">
        <v>0</v>
      </c>
      <c r="AD86">
        <v>0</v>
      </c>
      <c r="AE86">
        <v>0</v>
      </c>
      <c r="AF86">
        <v>6.9</v>
      </c>
      <c r="AG86">
        <v>0</v>
      </c>
      <c r="AH86">
        <v>0</v>
      </c>
      <c r="AI86">
        <v>1</v>
      </c>
      <c r="AJ86">
        <v>6.11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10.53</v>
      </c>
      <c r="AU86" t="s">
        <v>82</v>
      </c>
      <c r="AV86">
        <v>0</v>
      </c>
      <c r="AW86">
        <v>2</v>
      </c>
      <c r="AX86">
        <v>27935527</v>
      </c>
      <c r="AY86">
        <v>1</v>
      </c>
      <c r="AZ86">
        <v>0</v>
      </c>
      <c r="BA86">
        <v>87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0.36854999999999993</v>
      </c>
      <c r="CY86">
        <f>AB86</f>
        <v>42.16</v>
      </c>
      <c r="CZ86">
        <f>AF86</f>
        <v>6.9</v>
      </c>
      <c r="DA86">
        <f>AJ86</f>
        <v>6.11</v>
      </c>
      <c r="DB86">
        <f>ROUND((ROUND(AT86*CZ86,2)*0.7),2)</f>
        <v>50.86</v>
      </c>
      <c r="DC86">
        <f>ROUND((ROUND(AT86*AG86,2)*0.7),2)</f>
        <v>0</v>
      </c>
    </row>
    <row r="87" spans="1:107" x14ac:dyDescent="0.2">
      <c r="A87">
        <f>ROW(Source!A47)</f>
        <v>47</v>
      </c>
      <c r="B87">
        <v>27935368</v>
      </c>
      <c r="C87">
        <v>27935505</v>
      </c>
      <c r="D87">
        <v>25231607</v>
      </c>
      <c r="E87">
        <v>1</v>
      </c>
      <c r="F87">
        <v>1</v>
      </c>
      <c r="G87">
        <v>1</v>
      </c>
      <c r="H87">
        <v>2</v>
      </c>
      <c r="I87" t="s">
        <v>468</v>
      </c>
      <c r="J87" t="s">
        <v>469</v>
      </c>
      <c r="K87" t="s">
        <v>470</v>
      </c>
      <c r="L87">
        <v>1368</v>
      </c>
      <c r="N87">
        <v>1011</v>
      </c>
      <c r="O87" t="s">
        <v>465</v>
      </c>
      <c r="P87" t="s">
        <v>465</v>
      </c>
      <c r="Q87">
        <v>1</v>
      </c>
      <c r="W87">
        <v>0</v>
      </c>
      <c r="X87">
        <v>1372534845</v>
      </c>
      <c r="Y87">
        <v>0.13299999999999998</v>
      </c>
      <c r="AA87">
        <v>0</v>
      </c>
      <c r="AB87">
        <v>401.49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6.11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0.19</v>
      </c>
      <c r="AU87" t="s">
        <v>82</v>
      </c>
      <c r="AV87">
        <v>0</v>
      </c>
      <c r="AW87">
        <v>2</v>
      </c>
      <c r="AX87">
        <v>27935528</v>
      </c>
      <c r="AY87">
        <v>1</v>
      </c>
      <c r="AZ87">
        <v>0</v>
      </c>
      <c r="BA87">
        <v>88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Y87*Source!I47</f>
        <v>6.6499999999999997E-3</v>
      </c>
      <c r="CY87">
        <f>AB87</f>
        <v>401.49</v>
      </c>
      <c r="CZ87">
        <f>AF87</f>
        <v>65.709999999999994</v>
      </c>
      <c r="DA87">
        <f>AJ87</f>
        <v>6.11</v>
      </c>
      <c r="DB87">
        <f>ROUND((ROUND(AT87*CZ87,2)*0.7),2)</f>
        <v>8.74</v>
      </c>
      <c r="DC87">
        <f>ROUND((ROUND(AT87*AG87,2)*0.7),2)</f>
        <v>1.54</v>
      </c>
    </row>
    <row r="88" spans="1:107" x14ac:dyDescent="0.2">
      <c r="A88">
        <f>ROW(Source!A47)</f>
        <v>47</v>
      </c>
      <c r="B88">
        <v>27935368</v>
      </c>
      <c r="C88">
        <v>27935505</v>
      </c>
      <c r="D88">
        <v>25231842</v>
      </c>
      <c r="E88">
        <v>1</v>
      </c>
      <c r="F88">
        <v>1</v>
      </c>
      <c r="G88">
        <v>1</v>
      </c>
      <c r="H88">
        <v>2</v>
      </c>
      <c r="I88" t="s">
        <v>507</v>
      </c>
      <c r="J88" t="s">
        <v>508</v>
      </c>
      <c r="K88" t="s">
        <v>509</v>
      </c>
      <c r="L88">
        <v>1368</v>
      </c>
      <c r="N88">
        <v>1011</v>
      </c>
      <c r="O88" t="s">
        <v>465</v>
      </c>
      <c r="P88" t="s">
        <v>465</v>
      </c>
      <c r="Q88">
        <v>1</v>
      </c>
      <c r="W88">
        <v>0</v>
      </c>
      <c r="X88">
        <v>792402865</v>
      </c>
      <c r="Y88">
        <v>1.302</v>
      </c>
      <c r="AA88">
        <v>0</v>
      </c>
      <c r="AB88">
        <v>7.33</v>
      </c>
      <c r="AC88">
        <v>0</v>
      </c>
      <c r="AD88">
        <v>0</v>
      </c>
      <c r="AE88">
        <v>0</v>
      </c>
      <c r="AF88">
        <v>1.2</v>
      </c>
      <c r="AG88">
        <v>0</v>
      </c>
      <c r="AH88">
        <v>0</v>
      </c>
      <c r="AI88">
        <v>1</v>
      </c>
      <c r="AJ88">
        <v>6.11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1.86</v>
      </c>
      <c r="AU88" t="s">
        <v>82</v>
      </c>
      <c r="AV88">
        <v>0</v>
      </c>
      <c r="AW88">
        <v>2</v>
      </c>
      <c r="AX88">
        <v>27935529</v>
      </c>
      <c r="AY88">
        <v>1</v>
      </c>
      <c r="AZ88">
        <v>0</v>
      </c>
      <c r="BA88">
        <v>89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Y88*Source!I47</f>
        <v>6.5100000000000005E-2</v>
      </c>
      <c r="CY88">
        <f>AB88</f>
        <v>7.33</v>
      </c>
      <c r="CZ88">
        <f>AF88</f>
        <v>1.2</v>
      </c>
      <c r="DA88">
        <f>AJ88</f>
        <v>6.11</v>
      </c>
      <c r="DB88">
        <f>ROUND((ROUND(AT88*CZ88,2)*0.7),2)</f>
        <v>1.56</v>
      </c>
      <c r="DC88">
        <f>ROUND((ROUND(AT88*AG88,2)*0.7),2)</f>
        <v>0</v>
      </c>
    </row>
    <row r="89" spans="1:107" x14ac:dyDescent="0.2">
      <c r="A89">
        <f>ROW(Source!A47)</f>
        <v>47</v>
      </c>
      <c r="B89">
        <v>27935368</v>
      </c>
      <c r="C89">
        <v>27935505</v>
      </c>
      <c r="D89">
        <v>25231889</v>
      </c>
      <c r="E89">
        <v>1</v>
      </c>
      <c r="F89">
        <v>1</v>
      </c>
      <c r="G89">
        <v>1</v>
      </c>
      <c r="H89">
        <v>2</v>
      </c>
      <c r="I89" t="s">
        <v>510</v>
      </c>
      <c r="J89" t="s">
        <v>511</v>
      </c>
      <c r="K89" t="s">
        <v>512</v>
      </c>
      <c r="L89">
        <v>1368</v>
      </c>
      <c r="N89">
        <v>1011</v>
      </c>
      <c r="O89" t="s">
        <v>465</v>
      </c>
      <c r="P89" t="s">
        <v>465</v>
      </c>
      <c r="Q89">
        <v>1</v>
      </c>
      <c r="W89">
        <v>0</v>
      </c>
      <c r="X89">
        <v>1323835807</v>
      </c>
      <c r="Y89">
        <v>1.4209999999999998</v>
      </c>
      <c r="AA89">
        <v>0</v>
      </c>
      <c r="AB89">
        <v>75.209999999999994</v>
      </c>
      <c r="AC89">
        <v>0</v>
      </c>
      <c r="AD89">
        <v>0</v>
      </c>
      <c r="AE89">
        <v>0</v>
      </c>
      <c r="AF89">
        <v>12.31</v>
      </c>
      <c r="AG89">
        <v>0</v>
      </c>
      <c r="AH89">
        <v>0</v>
      </c>
      <c r="AI89">
        <v>1</v>
      </c>
      <c r="AJ89">
        <v>6.11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2.0299999999999998</v>
      </c>
      <c r="AU89" t="s">
        <v>82</v>
      </c>
      <c r="AV89">
        <v>0</v>
      </c>
      <c r="AW89">
        <v>2</v>
      </c>
      <c r="AX89">
        <v>27935530</v>
      </c>
      <c r="AY89">
        <v>1</v>
      </c>
      <c r="AZ89">
        <v>0</v>
      </c>
      <c r="BA89">
        <v>90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Y89*Source!I47</f>
        <v>7.1049999999999988E-2</v>
      </c>
      <c r="CY89">
        <f>AB89</f>
        <v>75.209999999999994</v>
      </c>
      <c r="CZ89">
        <f>AF89</f>
        <v>12.31</v>
      </c>
      <c r="DA89">
        <f>AJ89</f>
        <v>6.11</v>
      </c>
      <c r="DB89">
        <f>ROUND((ROUND(AT89*CZ89,2)*0.7),2)</f>
        <v>17.489999999999998</v>
      </c>
      <c r="DC89">
        <f>ROUND((ROUND(AT89*AG89,2)*0.7),2)</f>
        <v>0</v>
      </c>
    </row>
    <row r="90" spans="1:107" x14ac:dyDescent="0.2">
      <c r="A90">
        <f>ROW(Source!A47)</f>
        <v>47</v>
      </c>
      <c r="B90">
        <v>27935368</v>
      </c>
      <c r="C90">
        <v>27935505</v>
      </c>
      <c r="D90">
        <v>25148328</v>
      </c>
      <c r="E90">
        <v>1</v>
      </c>
      <c r="F90">
        <v>1</v>
      </c>
      <c r="G90">
        <v>1</v>
      </c>
      <c r="H90">
        <v>3</v>
      </c>
      <c r="I90" t="s">
        <v>513</v>
      </c>
      <c r="J90" t="s">
        <v>514</v>
      </c>
      <c r="K90" t="s">
        <v>515</v>
      </c>
      <c r="L90">
        <v>1339</v>
      </c>
      <c r="N90">
        <v>1007</v>
      </c>
      <c r="O90" t="s">
        <v>133</v>
      </c>
      <c r="P90" t="s">
        <v>133</v>
      </c>
      <c r="Q90">
        <v>1</v>
      </c>
      <c r="W90">
        <v>0</v>
      </c>
      <c r="X90">
        <v>1262771840</v>
      </c>
      <c r="Y90">
        <v>0</v>
      </c>
      <c r="AA90">
        <v>38</v>
      </c>
      <c r="AB90">
        <v>0</v>
      </c>
      <c r="AC90">
        <v>0</v>
      </c>
      <c r="AD90">
        <v>0</v>
      </c>
      <c r="AE90">
        <v>6.22</v>
      </c>
      <c r="AF90">
        <v>0</v>
      </c>
      <c r="AG90">
        <v>0</v>
      </c>
      <c r="AH90">
        <v>0</v>
      </c>
      <c r="AI90">
        <v>6.11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1.5</v>
      </c>
      <c r="AU90" t="s">
        <v>81</v>
      </c>
      <c r="AV90">
        <v>0</v>
      </c>
      <c r="AW90">
        <v>2</v>
      </c>
      <c r="AX90">
        <v>27935531</v>
      </c>
      <c r="AY90">
        <v>1</v>
      </c>
      <c r="AZ90">
        <v>0</v>
      </c>
      <c r="BA90">
        <v>91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Y90*Source!I47</f>
        <v>0</v>
      </c>
      <c r="CY90">
        <f t="shared" ref="CY90:CY100" si="17">AA90</f>
        <v>38</v>
      </c>
      <c r="CZ90">
        <f t="shared" ref="CZ90:CZ100" si="18">AE90</f>
        <v>6.22</v>
      </c>
      <c r="DA90">
        <f t="shared" ref="DA90:DA100" si="19">AI90</f>
        <v>6.11</v>
      </c>
      <c r="DB90">
        <f t="shared" ref="DB90:DB100" si="20">ROUND((ROUND(AT90*CZ90,2)*0),2)</f>
        <v>0</v>
      </c>
      <c r="DC90">
        <f t="shared" ref="DC90:DC100" si="21">ROUND((ROUND(AT90*AG90,2)*0),2)</f>
        <v>0</v>
      </c>
    </row>
    <row r="91" spans="1:107" x14ac:dyDescent="0.2">
      <c r="A91">
        <f>ROW(Source!A47)</f>
        <v>47</v>
      </c>
      <c r="B91">
        <v>27935368</v>
      </c>
      <c r="C91">
        <v>27935505</v>
      </c>
      <c r="D91">
        <v>25148335</v>
      </c>
      <c r="E91">
        <v>1</v>
      </c>
      <c r="F91">
        <v>1</v>
      </c>
      <c r="G91">
        <v>1</v>
      </c>
      <c r="H91">
        <v>3</v>
      </c>
      <c r="I91" t="s">
        <v>516</v>
      </c>
      <c r="J91" t="s">
        <v>517</v>
      </c>
      <c r="K91" t="s">
        <v>518</v>
      </c>
      <c r="L91">
        <v>1346</v>
      </c>
      <c r="N91">
        <v>1009</v>
      </c>
      <c r="O91" t="s">
        <v>60</v>
      </c>
      <c r="P91" t="s">
        <v>60</v>
      </c>
      <c r="Q91">
        <v>1</v>
      </c>
      <c r="W91">
        <v>0</v>
      </c>
      <c r="X91">
        <v>1721895514</v>
      </c>
      <c r="Y91">
        <v>0</v>
      </c>
      <c r="AA91">
        <v>37.21</v>
      </c>
      <c r="AB91">
        <v>0</v>
      </c>
      <c r="AC91">
        <v>0</v>
      </c>
      <c r="AD91">
        <v>0</v>
      </c>
      <c r="AE91">
        <v>6.09</v>
      </c>
      <c r="AF91">
        <v>0</v>
      </c>
      <c r="AG91">
        <v>0</v>
      </c>
      <c r="AH91">
        <v>0</v>
      </c>
      <c r="AI91">
        <v>6.11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0.45</v>
      </c>
      <c r="AU91" t="s">
        <v>81</v>
      </c>
      <c r="AV91">
        <v>0</v>
      </c>
      <c r="AW91">
        <v>2</v>
      </c>
      <c r="AX91">
        <v>27935532</v>
      </c>
      <c r="AY91">
        <v>1</v>
      </c>
      <c r="AZ91">
        <v>0</v>
      </c>
      <c r="BA91">
        <v>92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Y91*Source!I47</f>
        <v>0</v>
      </c>
      <c r="CY91">
        <f t="shared" si="17"/>
        <v>37.21</v>
      </c>
      <c r="CZ91">
        <f t="shared" si="18"/>
        <v>6.09</v>
      </c>
      <c r="DA91">
        <f t="shared" si="19"/>
        <v>6.11</v>
      </c>
      <c r="DB91">
        <f t="shared" si="20"/>
        <v>0</v>
      </c>
      <c r="DC91">
        <f t="shared" si="21"/>
        <v>0</v>
      </c>
    </row>
    <row r="92" spans="1:107" x14ac:dyDescent="0.2">
      <c r="A92">
        <f>ROW(Source!A47)</f>
        <v>47</v>
      </c>
      <c r="B92">
        <v>27935368</v>
      </c>
      <c r="C92">
        <v>27935505</v>
      </c>
      <c r="D92">
        <v>25151428</v>
      </c>
      <c r="E92">
        <v>1</v>
      </c>
      <c r="F92">
        <v>1</v>
      </c>
      <c r="G92">
        <v>1</v>
      </c>
      <c r="H92">
        <v>3</v>
      </c>
      <c r="I92" t="s">
        <v>519</v>
      </c>
      <c r="J92" t="s">
        <v>520</v>
      </c>
      <c r="K92" t="s">
        <v>521</v>
      </c>
      <c r="L92">
        <v>1348</v>
      </c>
      <c r="N92">
        <v>1009</v>
      </c>
      <c r="O92" t="s">
        <v>65</v>
      </c>
      <c r="P92" t="s">
        <v>65</v>
      </c>
      <c r="Q92">
        <v>1000</v>
      </c>
      <c r="W92">
        <v>0</v>
      </c>
      <c r="X92">
        <v>1225357214</v>
      </c>
      <c r="Y92">
        <v>0</v>
      </c>
      <c r="AA92">
        <v>65676.39</v>
      </c>
      <c r="AB92">
        <v>0</v>
      </c>
      <c r="AC92">
        <v>0</v>
      </c>
      <c r="AD92">
        <v>0</v>
      </c>
      <c r="AE92">
        <v>10749</v>
      </c>
      <c r="AF92">
        <v>0</v>
      </c>
      <c r="AG92">
        <v>0</v>
      </c>
      <c r="AH92">
        <v>0</v>
      </c>
      <c r="AI92">
        <v>6.11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1.4E-3</v>
      </c>
      <c r="AU92" t="s">
        <v>81</v>
      </c>
      <c r="AV92">
        <v>0</v>
      </c>
      <c r="AW92">
        <v>2</v>
      </c>
      <c r="AX92">
        <v>27935533</v>
      </c>
      <c r="AY92">
        <v>1</v>
      </c>
      <c r="AZ92">
        <v>0</v>
      </c>
      <c r="BA92">
        <v>93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Y92*Source!I47</f>
        <v>0</v>
      </c>
      <c r="CY92">
        <f t="shared" si="17"/>
        <v>65676.39</v>
      </c>
      <c r="CZ92">
        <f t="shared" si="18"/>
        <v>10749</v>
      </c>
      <c r="DA92">
        <f t="shared" si="19"/>
        <v>6.11</v>
      </c>
      <c r="DB92">
        <f t="shared" si="20"/>
        <v>0</v>
      </c>
      <c r="DC92">
        <f t="shared" si="21"/>
        <v>0</v>
      </c>
    </row>
    <row r="93" spans="1:107" x14ac:dyDescent="0.2">
      <c r="A93">
        <f>ROW(Source!A47)</f>
        <v>47</v>
      </c>
      <c r="B93">
        <v>27935368</v>
      </c>
      <c r="C93">
        <v>27935505</v>
      </c>
      <c r="D93">
        <v>25152615</v>
      </c>
      <c r="E93">
        <v>1</v>
      </c>
      <c r="F93">
        <v>1</v>
      </c>
      <c r="G93">
        <v>1</v>
      </c>
      <c r="H93">
        <v>3</v>
      </c>
      <c r="I93" t="s">
        <v>522</v>
      </c>
      <c r="J93" t="s">
        <v>523</v>
      </c>
      <c r="K93" t="s">
        <v>524</v>
      </c>
      <c r="L93">
        <v>1348</v>
      </c>
      <c r="N93">
        <v>1009</v>
      </c>
      <c r="O93" t="s">
        <v>65</v>
      </c>
      <c r="P93" t="s">
        <v>65</v>
      </c>
      <c r="Q93">
        <v>1000</v>
      </c>
      <c r="W93">
        <v>0</v>
      </c>
      <c r="X93">
        <v>-437906794</v>
      </c>
      <c r="Y93">
        <v>0</v>
      </c>
      <c r="AA93">
        <v>55234.46</v>
      </c>
      <c r="AB93">
        <v>0</v>
      </c>
      <c r="AC93">
        <v>0</v>
      </c>
      <c r="AD93">
        <v>0</v>
      </c>
      <c r="AE93">
        <v>9040.01</v>
      </c>
      <c r="AF93">
        <v>0</v>
      </c>
      <c r="AG93">
        <v>0</v>
      </c>
      <c r="AH93">
        <v>0</v>
      </c>
      <c r="AI93">
        <v>6.11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3.3E-3</v>
      </c>
      <c r="AU93" t="s">
        <v>81</v>
      </c>
      <c r="AV93">
        <v>0</v>
      </c>
      <c r="AW93">
        <v>2</v>
      </c>
      <c r="AX93">
        <v>27935534</v>
      </c>
      <c r="AY93">
        <v>1</v>
      </c>
      <c r="AZ93">
        <v>0</v>
      </c>
      <c r="BA93">
        <v>94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Y93*Source!I47</f>
        <v>0</v>
      </c>
      <c r="CY93">
        <f t="shared" si="17"/>
        <v>55234.46</v>
      </c>
      <c r="CZ93">
        <f t="shared" si="18"/>
        <v>9040.01</v>
      </c>
      <c r="DA93">
        <f t="shared" si="19"/>
        <v>6.11</v>
      </c>
      <c r="DB93">
        <f t="shared" si="20"/>
        <v>0</v>
      </c>
      <c r="DC93">
        <f t="shared" si="21"/>
        <v>0</v>
      </c>
    </row>
    <row r="94" spans="1:107" x14ac:dyDescent="0.2">
      <c r="A94">
        <f>ROW(Source!A47)</f>
        <v>47</v>
      </c>
      <c r="B94">
        <v>27935368</v>
      </c>
      <c r="C94">
        <v>27935505</v>
      </c>
      <c r="D94">
        <v>25152713</v>
      </c>
      <c r="E94">
        <v>1</v>
      </c>
      <c r="F94">
        <v>1</v>
      </c>
      <c r="G94">
        <v>1</v>
      </c>
      <c r="H94">
        <v>3</v>
      </c>
      <c r="I94" t="s">
        <v>525</v>
      </c>
      <c r="J94" t="s">
        <v>526</v>
      </c>
      <c r="K94" t="s">
        <v>527</v>
      </c>
      <c r="L94">
        <v>1348</v>
      </c>
      <c r="N94">
        <v>1009</v>
      </c>
      <c r="O94" t="s">
        <v>65</v>
      </c>
      <c r="P94" t="s">
        <v>65</v>
      </c>
      <c r="Q94">
        <v>1000</v>
      </c>
      <c r="W94">
        <v>0</v>
      </c>
      <c r="X94">
        <v>1174701286</v>
      </c>
      <c r="Y94">
        <v>0</v>
      </c>
      <c r="AA94">
        <v>73185.58</v>
      </c>
      <c r="AB94">
        <v>0</v>
      </c>
      <c r="AC94">
        <v>0</v>
      </c>
      <c r="AD94">
        <v>0</v>
      </c>
      <c r="AE94">
        <v>11978</v>
      </c>
      <c r="AF94">
        <v>0</v>
      </c>
      <c r="AG94">
        <v>0</v>
      </c>
      <c r="AH94">
        <v>0</v>
      </c>
      <c r="AI94">
        <v>6.11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1.0000000000000001E-5</v>
      </c>
      <c r="AU94" t="s">
        <v>81</v>
      </c>
      <c r="AV94">
        <v>0</v>
      </c>
      <c r="AW94">
        <v>2</v>
      </c>
      <c r="AX94">
        <v>27935535</v>
      </c>
      <c r="AY94">
        <v>1</v>
      </c>
      <c r="AZ94">
        <v>0</v>
      </c>
      <c r="BA94">
        <v>95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Y94*Source!I47</f>
        <v>0</v>
      </c>
      <c r="CY94">
        <f t="shared" si="17"/>
        <v>73185.58</v>
      </c>
      <c r="CZ94">
        <f t="shared" si="18"/>
        <v>11978</v>
      </c>
      <c r="DA94">
        <f t="shared" si="19"/>
        <v>6.11</v>
      </c>
      <c r="DB94">
        <f t="shared" si="20"/>
        <v>0</v>
      </c>
      <c r="DC94">
        <f t="shared" si="21"/>
        <v>0</v>
      </c>
    </row>
    <row r="95" spans="1:107" x14ac:dyDescent="0.2">
      <c r="A95">
        <f>ROW(Source!A47)</f>
        <v>47</v>
      </c>
      <c r="B95">
        <v>27935368</v>
      </c>
      <c r="C95">
        <v>27935505</v>
      </c>
      <c r="D95">
        <v>25153693</v>
      </c>
      <c r="E95">
        <v>1</v>
      </c>
      <c r="F95">
        <v>1</v>
      </c>
      <c r="G95">
        <v>1</v>
      </c>
      <c r="H95">
        <v>3</v>
      </c>
      <c r="I95" t="s">
        <v>528</v>
      </c>
      <c r="J95" t="s">
        <v>529</v>
      </c>
      <c r="K95" t="s">
        <v>530</v>
      </c>
      <c r="L95">
        <v>1348</v>
      </c>
      <c r="N95">
        <v>1009</v>
      </c>
      <c r="O95" t="s">
        <v>65</v>
      </c>
      <c r="P95" t="s">
        <v>65</v>
      </c>
      <c r="Q95">
        <v>1000</v>
      </c>
      <c r="W95">
        <v>0</v>
      </c>
      <c r="X95">
        <v>-2116243625</v>
      </c>
      <c r="Y95">
        <v>0</v>
      </c>
      <c r="AA95">
        <v>231569</v>
      </c>
      <c r="AB95">
        <v>0</v>
      </c>
      <c r="AC95">
        <v>0</v>
      </c>
      <c r="AD95">
        <v>0</v>
      </c>
      <c r="AE95">
        <v>37900</v>
      </c>
      <c r="AF95">
        <v>0</v>
      </c>
      <c r="AG95">
        <v>0</v>
      </c>
      <c r="AH95">
        <v>0</v>
      </c>
      <c r="AI95">
        <v>6.11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1E-4</v>
      </c>
      <c r="AU95" t="s">
        <v>81</v>
      </c>
      <c r="AV95">
        <v>0</v>
      </c>
      <c r="AW95">
        <v>2</v>
      </c>
      <c r="AX95">
        <v>27935536</v>
      </c>
      <c r="AY95">
        <v>1</v>
      </c>
      <c r="AZ95">
        <v>0</v>
      </c>
      <c r="BA95">
        <v>96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Y95*Source!I47</f>
        <v>0</v>
      </c>
      <c r="CY95">
        <f t="shared" si="17"/>
        <v>231569</v>
      </c>
      <c r="CZ95">
        <f t="shared" si="18"/>
        <v>37900</v>
      </c>
      <c r="DA95">
        <f t="shared" si="19"/>
        <v>6.11</v>
      </c>
      <c r="DB95">
        <f t="shared" si="20"/>
        <v>0</v>
      </c>
      <c r="DC95">
        <f t="shared" si="21"/>
        <v>0</v>
      </c>
    </row>
    <row r="96" spans="1:107" x14ac:dyDescent="0.2">
      <c r="A96">
        <f>ROW(Source!A47)</f>
        <v>47</v>
      </c>
      <c r="B96">
        <v>27935368</v>
      </c>
      <c r="C96">
        <v>27935505</v>
      </c>
      <c r="D96">
        <v>25173443</v>
      </c>
      <c r="E96">
        <v>1</v>
      </c>
      <c r="F96">
        <v>1</v>
      </c>
      <c r="G96">
        <v>1</v>
      </c>
      <c r="H96">
        <v>3</v>
      </c>
      <c r="I96" t="s">
        <v>531</v>
      </c>
      <c r="J96" t="s">
        <v>532</v>
      </c>
      <c r="K96" t="s">
        <v>533</v>
      </c>
      <c r="L96">
        <v>1302</v>
      </c>
      <c r="N96">
        <v>1003</v>
      </c>
      <c r="O96" t="s">
        <v>74</v>
      </c>
      <c r="P96" t="s">
        <v>74</v>
      </c>
      <c r="Q96">
        <v>10</v>
      </c>
      <c r="W96">
        <v>0</v>
      </c>
      <c r="X96">
        <v>-1640127157</v>
      </c>
      <c r="Y96">
        <v>0</v>
      </c>
      <c r="AA96">
        <v>306.97000000000003</v>
      </c>
      <c r="AB96">
        <v>0</v>
      </c>
      <c r="AC96">
        <v>0</v>
      </c>
      <c r="AD96">
        <v>0</v>
      </c>
      <c r="AE96">
        <v>50.24</v>
      </c>
      <c r="AF96">
        <v>0</v>
      </c>
      <c r="AG96">
        <v>0</v>
      </c>
      <c r="AH96">
        <v>0</v>
      </c>
      <c r="AI96">
        <v>6.11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1.8700000000000001E-2</v>
      </c>
      <c r="AU96" t="s">
        <v>81</v>
      </c>
      <c r="AV96">
        <v>0</v>
      </c>
      <c r="AW96">
        <v>2</v>
      </c>
      <c r="AX96">
        <v>27935538</v>
      </c>
      <c r="AY96">
        <v>1</v>
      </c>
      <c r="AZ96">
        <v>0</v>
      </c>
      <c r="BA96">
        <v>98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Y96*Source!I47</f>
        <v>0</v>
      </c>
      <c r="CY96">
        <f t="shared" si="17"/>
        <v>306.97000000000003</v>
      </c>
      <c r="CZ96">
        <f t="shared" si="18"/>
        <v>50.24</v>
      </c>
      <c r="DA96">
        <f t="shared" si="19"/>
        <v>6.11</v>
      </c>
      <c r="DB96">
        <f t="shared" si="20"/>
        <v>0</v>
      </c>
      <c r="DC96">
        <f t="shared" si="21"/>
        <v>0</v>
      </c>
    </row>
    <row r="97" spans="1:107" x14ac:dyDescent="0.2">
      <c r="A97">
        <f>ROW(Source!A47)</f>
        <v>47</v>
      </c>
      <c r="B97">
        <v>27935368</v>
      </c>
      <c r="C97">
        <v>27935505</v>
      </c>
      <c r="D97">
        <v>25173801</v>
      </c>
      <c r="E97">
        <v>1</v>
      </c>
      <c r="F97">
        <v>1</v>
      </c>
      <c r="G97">
        <v>1</v>
      </c>
      <c r="H97">
        <v>3</v>
      </c>
      <c r="I97" t="s">
        <v>534</v>
      </c>
      <c r="J97" t="s">
        <v>535</v>
      </c>
      <c r="K97" t="s">
        <v>536</v>
      </c>
      <c r="L97">
        <v>1348</v>
      </c>
      <c r="N97">
        <v>1009</v>
      </c>
      <c r="O97" t="s">
        <v>65</v>
      </c>
      <c r="P97" t="s">
        <v>65</v>
      </c>
      <c r="Q97">
        <v>1000</v>
      </c>
      <c r="W97">
        <v>0</v>
      </c>
      <c r="X97">
        <v>-1396314973</v>
      </c>
      <c r="Y97">
        <v>0</v>
      </c>
      <c r="AA97">
        <v>27221.27</v>
      </c>
      <c r="AB97">
        <v>0</v>
      </c>
      <c r="AC97">
        <v>0</v>
      </c>
      <c r="AD97">
        <v>0</v>
      </c>
      <c r="AE97">
        <v>4455.2</v>
      </c>
      <c r="AF97">
        <v>0</v>
      </c>
      <c r="AG97">
        <v>0</v>
      </c>
      <c r="AH97">
        <v>0</v>
      </c>
      <c r="AI97">
        <v>6.11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3.0000000000000001E-5</v>
      </c>
      <c r="AU97" t="s">
        <v>81</v>
      </c>
      <c r="AV97">
        <v>0</v>
      </c>
      <c r="AW97">
        <v>2</v>
      </c>
      <c r="AX97">
        <v>27935539</v>
      </c>
      <c r="AY97">
        <v>1</v>
      </c>
      <c r="AZ97">
        <v>0</v>
      </c>
      <c r="BA97">
        <v>99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Y97*Source!I47</f>
        <v>0</v>
      </c>
      <c r="CY97">
        <f t="shared" si="17"/>
        <v>27221.27</v>
      </c>
      <c r="CZ97">
        <f t="shared" si="18"/>
        <v>4455.2</v>
      </c>
      <c r="DA97">
        <f t="shared" si="19"/>
        <v>6.11</v>
      </c>
      <c r="DB97">
        <f t="shared" si="20"/>
        <v>0</v>
      </c>
      <c r="DC97">
        <f t="shared" si="21"/>
        <v>0</v>
      </c>
    </row>
    <row r="98" spans="1:107" x14ac:dyDescent="0.2">
      <c r="A98">
        <f>ROW(Source!A47)</f>
        <v>47</v>
      </c>
      <c r="B98">
        <v>27935368</v>
      </c>
      <c r="C98">
        <v>27935505</v>
      </c>
      <c r="D98">
        <v>25174560</v>
      </c>
      <c r="E98">
        <v>1</v>
      </c>
      <c r="F98">
        <v>1</v>
      </c>
      <c r="G98">
        <v>1</v>
      </c>
      <c r="H98">
        <v>3</v>
      </c>
      <c r="I98" t="s">
        <v>537</v>
      </c>
      <c r="J98" t="s">
        <v>538</v>
      </c>
      <c r="K98" t="s">
        <v>539</v>
      </c>
      <c r="L98">
        <v>1348</v>
      </c>
      <c r="N98">
        <v>1009</v>
      </c>
      <c r="O98" t="s">
        <v>65</v>
      </c>
      <c r="P98" t="s">
        <v>65</v>
      </c>
      <c r="Q98">
        <v>1000</v>
      </c>
      <c r="W98">
        <v>0</v>
      </c>
      <c r="X98">
        <v>900832145</v>
      </c>
      <c r="Y98">
        <v>0</v>
      </c>
      <c r="AA98">
        <v>30061.200000000001</v>
      </c>
      <c r="AB98">
        <v>0</v>
      </c>
      <c r="AC98">
        <v>0</v>
      </c>
      <c r="AD98">
        <v>0</v>
      </c>
      <c r="AE98">
        <v>4920</v>
      </c>
      <c r="AF98">
        <v>0</v>
      </c>
      <c r="AG98">
        <v>0</v>
      </c>
      <c r="AH98">
        <v>0</v>
      </c>
      <c r="AI98">
        <v>6.11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1.9400000000000001E-3</v>
      </c>
      <c r="AU98" t="s">
        <v>81</v>
      </c>
      <c r="AV98">
        <v>0</v>
      </c>
      <c r="AW98">
        <v>2</v>
      </c>
      <c r="AX98">
        <v>27935540</v>
      </c>
      <c r="AY98">
        <v>1</v>
      </c>
      <c r="AZ98">
        <v>0</v>
      </c>
      <c r="BA98">
        <v>100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Y98*Source!I47</f>
        <v>0</v>
      </c>
      <c r="CY98">
        <f t="shared" si="17"/>
        <v>30061.200000000001</v>
      </c>
      <c r="CZ98">
        <f t="shared" si="18"/>
        <v>4920</v>
      </c>
      <c r="DA98">
        <f t="shared" si="19"/>
        <v>6.11</v>
      </c>
      <c r="DB98">
        <f t="shared" si="20"/>
        <v>0</v>
      </c>
      <c r="DC98">
        <f t="shared" si="21"/>
        <v>0</v>
      </c>
    </row>
    <row r="99" spans="1:107" x14ac:dyDescent="0.2">
      <c r="A99">
        <f>ROW(Source!A47)</f>
        <v>47</v>
      </c>
      <c r="B99">
        <v>27935368</v>
      </c>
      <c r="C99">
        <v>27935505</v>
      </c>
      <c r="D99">
        <v>25186091</v>
      </c>
      <c r="E99">
        <v>1</v>
      </c>
      <c r="F99">
        <v>1</v>
      </c>
      <c r="G99">
        <v>1</v>
      </c>
      <c r="H99">
        <v>3</v>
      </c>
      <c r="I99" t="s">
        <v>540</v>
      </c>
      <c r="J99" t="s">
        <v>541</v>
      </c>
      <c r="K99" t="s">
        <v>542</v>
      </c>
      <c r="L99">
        <v>1348</v>
      </c>
      <c r="N99">
        <v>1009</v>
      </c>
      <c r="O99" t="s">
        <v>65</v>
      </c>
      <c r="P99" t="s">
        <v>65</v>
      </c>
      <c r="Q99">
        <v>1000</v>
      </c>
      <c r="W99">
        <v>0</v>
      </c>
      <c r="X99">
        <v>-1655298345</v>
      </c>
      <c r="Y99">
        <v>0</v>
      </c>
      <c r="AA99">
        <v>95438.2</v>
      </c>
      <c r="AB99">
        <v>0</v>
      </c>
      <c r="AC99">
        <v>0</v>
      </c>
      <c r="AD99">
        <v>0</v>
      </c>
      <c r="AE99">
        <v>15620</v>
      </c>
      <c r="AF99">
        <v>0</v>
      </c>
      <c r="AG99">
        <v>0</v>
      </c>
      <c r="AH99">
        <v>0</v>
      </c>
      <c r="AI99">
        <v>6.11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3.1E-4</v>
      </c>
      <c r="AU99" t="s">
        <v>81</v>
      </c>
      <c r="AV99">
        <v>0</v>
      </c>
      <c r="AW99">
        <v>2</v>
      </c>
      <c r="AX99">
        <v>27935541</v>
      </c>
      <c r="AY99">
        <v>1</v>
      </c>
      <c r="AZ99">
        <v>0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Y99*Source!I47</f>
        <v>0</v>
      </c>
      <c r="CY99">
        <f t="shared" si="17"/>
        <v>95438.2</v>
      </c>
      <c r="CZ99">
        <f t="shared" si="18"/>
        <v>15620</v>
      </c>
      <c r="DA99">
        <f t="shared" si="19"/>
        <v>6.11</v>
      </c>
      <c r="DB99">
        <f t="shared" si="20"/>
        <v>0</v>
      </c>
      <c r="DC99">
        <f t="shared" si="21"/>
        <v>0</v>
      </c>
    </row>
    <row r="100" spans="1:107" x14ac:dyDescent="0.2">
      <c r="A100">
        <f>ROW(Source!A47)</f>
        <v>47</v>
      </c>
      <c r="B100">
        <v>27935368</v>
      </c>
      <c r="C100">
        <v>27935505</v>
      </c>
      <c r="D100">
        <v>25187286</v>
      </c>
      <c r="E100">
        <v>1</v>
      </c>
      <c r="F100">
        <v>1</v>
      </c>
      <c r="G100">
        <v>1</v>
      </c>
      <c r="H100">
        <v>3</v>
      </c>
      <c r="I100" t="s">
        <v>543</v>
      </c>
      <c r="J100" t="s">
        <v>544</v>
      </c>
      <c r="K100" t="s">
        <v>545</v>
      </c>
      <c r="L100">
        <v>1348</v>
      </c>
      <c r="N100">
        <v>1009</v>
      </c>
      <c r="O100" t="s">
        <v>65</v>
      </c>
      <c r="P100" t="s">
        <v>65</v>
      </c>
      <c r="Q100">
        <v>1000</v>
      </c>
      <c r="W100">
        <v>0</v>
      </c>
      <c r="X100">
        <v>-639604785</v>
      </c>
      <c r="Y100">
        <v>0</v>
      </c>
      <c r="AA100">
        <v>57556.2</v>
      </c>
      <c r="AB100">
        <v>0</v>
      </c>
      <c r="AC100">
        <v>0</v>
      </c>
      <c r="AD100">
        <v>0</v>
      </c>
      <c r="AE100">
        <v>9420</v>
      </c>
      <c r="AF100">
        <v>0</v>
      </c>
      <c r="AG100">
        <v>0</v>
      </c>
      <c r="AH100">
        <v>0</v>
      </c>
      <c r="AI100">
        <v>6.11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5.9999999999999995E-4</v>
      </c>
      <c r="AU100" t="s">
        <v>81</v>
      </c>
      <c r="AV100">
        <v>0</v>
      </c>
      <c r="AW100">
        <v>2</v>
      </c>
      <c r="AX100">
        <v>27935542</v>
      </c>
      <c r="AY100">
        <v>1</v>
      </c>
      <c r="AZ100">
        <v>0</v>
      </c>
      <c r="BA100">
        <v>102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Y100*Source!I47</f>
        <v>0</v>
      </c>
      <c r="CY100">
        <f t="shared" si="17"/>
        <v>57556.2</v>
      </c>
      <c r="CZ100">
        <f t="shared" si="18"/>
        <v>9420</v>
      </c>
      <c r="DA100">
        <f t="shared" si="19"/>
        <v>6.11</v>
      </c>
      <c r="DB100">
        <f t="shared" si="20"/>
        <v>0</v>
      </c>
      <c r="DC100">
        <f t="shared" si="21"/>
        <v>0</v>
      </c>
    </row>
    <row r="101" spans="1:107" x14ac:dyDescent="0.2">
      <c r="A101">
        <f>ROW(Source!A48)</f>
        <v>48</v>
      </c>
      <c r="B101">
        <v>27935367</v>
      </c>
      <c r="C101">
        <v>27935543</v>
      </c>
      <c r="D101">
        <v>25413300</v>
      </c>
      <c r="E101">
        <v>1</v>
      </c>
      <c r="F101">
        <v>1</v>
      </c>
      <c r="G101">
        <v>1</v>
      </c>
      <c r="H101">
        <v>1</v>
      </c>
      <c r="I101" t="s">
        <v>491</v>
      </c>
      <c r="J101" t="s">
        <v>6</v>
      </c>
      <c r="K101" t="s">
        <v>492</v>
      </c>
      <c r="L101">
        <v>1191</v>
      </c>
      <c r="N101">
        <v>1013</v>
      </c>
      <c r="O101" t="s">
        <v>459</v>
      </c>
      <c r="P101" t="s">
        <v>459</v>
      </c>
      <c r="Q101">
        <v>1</v>
      </c>
      <c r="W101">
        <v>0</v>
      </c>
      <c r="X101">
        <v>-400197608</v>
      </c>
      <c r="Y101">
        <v>41.41</v>
      </c>
      <c r="AA101">
        <v>0</v>
      </c>
      <c r="AB101">
        <v>0</v>
      </c>
      <c r="AC101">
        <v>0</v>
      </c>
      <c r="AD101">
        <v>8.5299999999999994</v>
      </c>
      <c r="AE101">
        <v>0</v>
      </c>
      <c r="AF101">
        <v>0</v>
      </c>
      <c r="AG101">
        <v>0</v>
      </c>
      <c r="AH101">
        <v>8.5299999999999994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41.41</v>
      </c>
      <c r="AU101" t="s">
        <v>6</v>
      </c>
      <c r="AV101">
        <v>1</v>
      </c>
      <c r="AW101">
        <v>2</v>
      </c>
      <c r="AX101">
        <v>27935552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Y101*Source!I48</f>
        <v>1.1594799999999998</v>
      </c>
      <c r="CY101">
        <f>AD101</f>
        <v>8.5299999999999994</v>
      </c>
      <c r="CZ101">
        <f>AH101</f>
        <v>8.5299999999999994</v>
      </c>
      <c r="DA101">
        <f>AL101</f>
        <v>1</v>
      </c>
      <c r="DB101">
        <f t="shared" ref="DB101:DB136" si="22">ROUND(ROUND(AT101*CZ101,2),2)</f>
        <v>353.23</v>
      </c>
      <c r="DC101">
        <f t="shared" ref="DC101:DC136" si="23">ROUND(ROUND(AT101*AG101,2),2)</f>
        <v>0</v>
      </c>
    </row>
    <row r="102" spans="1:107" x14ac:dyDescent="0.2">
      <c r="A102">
        <f>ROW(Source!A48)</f>
        <v>48</v>
      </c>
      <c r="B102">
        <v>27935367</v>
      </c>
      <c r="C102">
        <v>27935543</v>
      </c>
      <c r="D102">
        <v>25412928</v>
      </c>
      <c r="E102">
        <v>1</v>
      </c>
      <c r="F102">
        <v>1</v>
      </c>
      <c r="G102">
        <v>1</v>
      </c>
      <c r="H102">
        <v>1</v>
      </c>
      <c r="I102" t="s">
        <v>460</v>
      </c>
      <c r="J102" t="s">
        <v>6</v>
      </c>
      <c r="K102" t="s">
        <v>461</v>
      </c>
      <c r="L102">
        <v>1191</v>
      </c>
      <c r="N102">
        <v>1013</v>
      </c>
      <c r="O102" t="s">
        <v>459</v>
      </c>
      <c r="P102" t="s">
        <v>459</v>
      </c>
      <c r="Q102">
        <v>1</v>
      </c>
      <c r="W102">
        <v>0</v>
      </c>
      <c r="X102">
        <v>-1417349443</v>
      </c>
      <c r="Y102">
        <v>0.12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0.12</v>
      </c>
      <c r="AU102" t="s">
        <v>6</v>
      </c>
      <c r="AV102">
        <v>2</v>
      </c>
      <c r="AW102">
        <v>2</v>
      </c>
      <c r="AX102">
        <v>27935553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Y102*Source!I48</f>
        <v>3.3600000000000001E-3</v>
      </c>
      <c r="CY102">
        <f>AD102</f>
        <v>0</v>
      </c>
      <c r="CZ102">
        <f>AH102</f>
        <v>0</v>
      </c>
      <c r="DA102">
        <f>AL102</f>
        <v>1</v>
      </c>
      <c r="DB102">
        <f t="shared" si="22"/>
        <v>0</v>
      </c>
      <c r="DC102">
        <f t="shared" si="23"/>
        <v>0</v>
      </c>
    </row>
    <row r="103" spans="1:107" x14ac:dyDescent="0.2">
      <c r="A103">
        <f>ROW(Source!A48)</f>
        <v>48</v>
      </c>
      <c r="B103">
        <v>27935367</v>
      </c>
      <c r="C103">
        <v>27935543</v>
      </c>
      <c r="D103">
        <v>25230514</v>
      </c>
      <c r="E103">
        <v>1</v>
      </c>
      <c r="F103">
        <v>1</v>
      </c>
      <c r="G103">
        <v>1</v>
      </c>
      <c r="H103">
        <v>2</v>
      </c>
      <c r="I103" t="s">
        <v>462</v>
      </c>
      <c r="J103" t="s">
        <v>463</v>
      </c>
      <c r="K103" t="s">
        <v>464</v>
      </c>
      <c r="L103">
        <v>1368</v>
      </c>
      <c r="N103">
        <v>1011</v>
      </c>
      <c r="O103" t="s">
        <v>465</v>
      </c>
      <c r="P103" t="s">
        <v>465</v>
      </c>
      <c r="Q103">
        <v>1</v>
      </c>
      <c r="W103">
        <v>0</v>
      </c>
      <c r="X103">
        <v>1188625873</v>
      </c>
      <c r="Y103">
        <v>0.08</v>
      </c>
      <c r="AA103">
        <v>0</v>
      </c>
      <c r="AB103">
        <v>31.26</v>
      </c>
      <c r="AC103">
        <v>13.5</v>
      </c>
      <c r="AD103">
        <v>0</v>
      </c>
      <c r="AE103">
        <v>0</v>
      </c>
      <c r="AF103">
        <v>31.26</v>
      </c>
      <c r="AG103">
        <v>13.5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0.08</v>
      </c>
      <c r="AU103" t="s">
        <v>6</v>
      </c>
      <c r="AV103">
        <v>0</v>
      </c>
      <c r="AW103">
        <v>2</v>
      </c>
      <c r="AX103">
        <v>27935554</v>
      </c>
      <c r="AY103">
        <v>1</v>
      </c>
      <c r="AZ103">
        <v>0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Y103*Source!I48</f>
        <v>2.2400000000000002E-3</v>
      </c>
      <c r="CY103">
        <f>AB103</f>
        <v>31.26</v>
      </c>
      <c r="CZ103">
        <f>AF103</f>
        <v>31.26</v>
      </c>
      <c r="DA103">
        <f>AJ103</f>
        <v>1</v>
      </c>
      <c r="DB103">
        <f t="shared" si="22"/>
        <v>2.5</v>
      </c>
      <c r="DC103">
        <f t="shared" si="23"/>
        <v>1.08</v>
      </c>
    </row>
    <row r="104" spans="1:107" x14ac:dyDescent="0.2">
      <c r="A104">
        <f>ROW(Source!A48)</f>
        <v>48</v>
      </c>
      <c r="B104">
        <v>27935367</v>
      </c>
      <c r="C104">
        <v>27935543</v>
      </c>
      <c r="D104">
        <v>25231607</v>
      </c>
      <c r="E104">
        <v>1</v>
      </c>
      <c r="F104">
        <v>1</v>
      </c>
      <c r="G104">
        <v>1</v>
      </c>
      <c r="H104">
        <v>2</v>
      </c>
      <c r="I104" t="s">
        <v>468</v>
      </c>
      <c r="J104" t="s">
        <v>469</v>
      </c>
      <c r="K104" t="s">
        <v>470</v>
      </c>
      <c r="L104">
        <v>1368</v>
      </c>
      <c r="N104">
        <v>1011</v>
      </c>
      <c r="O104" t="s">
        <v>465</v>
      </c>
      <c r="P104" t="s">
        <v>465</v>
      </c>
      <c r="Q104">
        <v>1</v>
      </c>
      <c r="W104">
        <v>0</v>
      </c>
      <c r="X104">
        <v>1372534845</v>
      </c>
      <c r="Y104">
        <v>0.04</v>
      </c>
      <c r="AA104">
        <v>0</v>
      </c>
      <c r="AB104">
        <v>65.709999999999994</v>
      </c>
      <c r="AC104">
        <v>11.6</v>
      </c>
      <c r="AD104">
        <v>0</v>
      </c>
      <c r="AE104">
        <v>0</v>
      </c>
      <c r="AF104">
        <v>65.709999999999994</v>
      </c>
      <c r="AG104">
        <v>11.6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0.04</v>
      </c>
      <c r="AU104" t="s">
        <v>6</v>
      </c>
      <c r="AV104">
        <v>0</v>
      </c>
      <c r="AW104">
        <v>2</v>
      </c>
      <c r="AX104">
        <v>27935555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Y104*Source!I48</f>
        <v>1.1200000000000001E-3</v>
      </c>
      <c r="CY104">
        <f>AB104</f>
        <v>65.709999999999994</v>
      </c>
      <c r="CZ104">
        <f>AF104</f>
        <v>65.709999999999994</v>
      </c>
      <c r="DA104">
        <f>AJ104</f>
        <v>1</v>
      </c>
      <c r="DB104">
        <f t="shared" si="22"/>
        <v>2.63</v>
      </c>
      <c r="DC104">
        <f t="shared" si="23"/>
        <v>0.46</v>
      </c>
    </row>
    <row r="105" spans="1:107" x14ac:dyDescent="0.2">
      <c r="A105">
        <f>ROW(Source!A48)</f>
        <v>48</v>
      </c>
      <c r="B105">
        <v>27935367</v>
      </c>
      <c r="C105">
        <v>27935543</v>
      </c>
      <c r="D105">
        <v>25152713</v>
      </c>
      <c r="E105">
        <v>1</v>
      </c>
      <c r="F105">
        <v>1</v>
      </c>
      <c r="G105">
        <v>1</v>
      </c>
      <c r="H105">
        <v>3</v>
      </c>
      <c r="I105" t="s">
        <v>525</v>
      </c>
      <c r="J105" t="s">
        <v>526</v>
      </c>
      <c r="K105" t="s">
        <v>527</v>
      </c>
      <c r="L105">
        <v>1348</v>
      </c>
      <c r="N105">
        <v>1009</v>
      </c>
      <c r="O105" t="s">
        <v>65</v>
      </c>
      <c r="P105" t="s">
        <v>65</v>
      </c>
      <c r="Q105">
        <v>1000</v>
      </c>
      <c r="W105">
        <v>0</v>
      </c>
      <c r="X105">
        <v>1174701286</v>
      </c>
      <c r="Y105">
        <v>4.0000000000000001E-3</v>
      </c>
      <c r="AA105">
        <v>11978</v>
      </c>
      <c r="AB105">
        <v>0</v>
      </c>
      <c r="AC105">
        <v>0</v>
      </c>
      <c r="AD105">
        <v>0</v>
      </c>
      <c r="AE105">
        <v>11978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4.0000000000000001E-3</v>
      </c>
      <c r="AU105" t="s">
        <v>6</v>
      </c>
      <c r="AV105">
        <v>0</v>
      </c>
      <c r="AW105">
        <v>2</v>
      </c>
      <c r="AX105">
        <v>27935557</v>
      </c>
      <c r="AY105">
        <v>1</v>
      </c>
      <c r="AZ105">
        <v>0</v>
      </c>
      <c r="BA105">
        <v>108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Y105*Source!I48</f>
        <v>1.12E-4</v>
      </c>
      <c r="CY105">
        <f>AA105</f>
        <v>11978</v>
      </c>
      <c r="CZ105">
        <f>AE105</f>
        <v>11978</v>
      </c>
      <c r="DA105">
        <f>AI105</f>
        <v>1</v>
      </c>
      <c r="DB105">
        <f t="shared" si="22"/>
        <v>47.91</v>
      </c>
      <c r="DC105">
        <f t="shared" si="23"/>
        <v>0</v>
      </c>
    </row>
    <row r="106" spans="1:107" x14ac:dyDescent="0.2">
      <c r="A106">
        <f>ROW(Source!A48)</f>
        <v>48</v>
      </c>
      <c r="B106">
        <v>27935367</v>
      </c>
      <c r="C106">
        <v>27935543</v>
      </c>
      <c r="D106">
        <v>25172289</v>
      </c>
      <c r="E106">
        <v>1</v>
      </c>
      <c r="F106">
        <v>1</v>
      </c>
      <c r="G106">
        <v>1</v>
      </c>
      <c r="H106">
        <v>3</v>
      </c>
      <c r="I106" t="s">
        <v>97</v>
      </c>
      <c r="J106" t="s">
        <v>100</v>
      </c>
      <c r="K106" t="s">
        <v>98</v>
      </c>
      <c r="L106">
        <v>2233</v>
      </c>
      <c r="N106">
        <v>1013</v>
      </c>
      <c r="O106" t="s">
        <v>99</v>
      </c>
      <c r="P106" t="s">
        <v>99</v>
      </c>
      <c r="Q106">
        <v>1</v>
      </c>
      <c r="W106">
        <v>0</v>
      </c>
      <c r="X106">
        <v>-892718151</v>
      </c>
      <c r="Y106">
        <v>100</v>
      </c>
      <c r="AA106">
        <v>26.41</v>
      </c>
      <c r="AB106">
        <v>0</v>
      </c>
      <c r="AC106">
        <v>0</v>
      </c>
      <c r="AD106">
        <v>0</v>
      </c>
      <c r="AE106">
        <v>26.41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100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Y106*Source!I48</f>
        <v>2.8000000000000003</v>
      </c>
      <c r="CY106">
        <f>AA106</f>
        <v>26.41</v>
      </c>
      <c r="CZ106">
        <f>AE106</f>
        <v>26.41</v>
      </c>
      <c r="DA106">
        <f>AI106</f>
        <v>1</v>
      </c>
      <c r="DB106">
        <f t="shared" si="22"/>
        <v>2641</v>
      </c>
      <c r="DC106">
        <f t="shared" si="23"/>
        <v>0</v>
      </c>
    </row>
    <row r="107" spans="1:107" x14ac:dyDescent="0.2">
      <c r="A107">
        <f>ROW(Source!A48)</f>
        <v>48</v>
      </c>
      <c r="B107">
        <v>27935367</v>
      </c>
      <c r="C107">
        <v>27935543</v>
      </c>
      <c r="D107">
        <v>25173787</v>
      </c>
      <c r="E107">
        <v>1</v>
      </c>
      <c r="F107">
        <v>1</v>
      </c>
      <c r="G107">
        <v>1</v>
      </c>
      <c r="H107">
        <v>3</v>
      </c>
      <c r="I107" t="s">
        <v>546</v>
      </c>
      <c r="J107" t="s">
        <v>547</v>
      </c>
      <c r="K107" t="s">
        <v>548</v>
      </c>
      <c r="L107">
        <v>1348</v>
      </c>
      <c r="N107">
        <v>1009</v>
      </c>
      <c r="O107" t="s">
        <v>65</v>
      </c>
      <c r="P107" t="s">
        <v>65</v>
      </c>
      <c r="Q107">
        <v>1000</v>
      </c>
      <c r="W107">
        <v>0</v>
      </c>
      <c r="X107">
        <v>-740471490</v>
      </c>
      <c r="Y107">
        <v>6.0000000000000001E-3</v>
      </c>
      <c r="AA107">
        <v>8023</v>
      </c>
      <c r="AB107">
        <v>0</v>
      </c>
      <c r="AC107">
        <v>0</v>
      </c>
      <c r="AD107">
        <v>0</v>
      </c>
      <c r="AE107">
        <v>8023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6.0000000000000001E-3</v>
      </c>
      <c r="AU107" t="s">
        <v>6</v>
      </c>
      <c r="AV107">
        <v>0</v>
      </c>
      <c r="AW107">
        <v>2</v>
      </c>
      <c r="AX107">
        <v>27935558</v>
      </c>
      <c r="AY107">
        <v>1</v>
      </c>
      <c r="AZ107">
        <v>0</v>
      </c>
      <c r="BA107">
        <v>109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Y107*Source!I48</f>
        <v>1.6800000000000002E-4</v>
      </c>
      <c r="CY107">
        <f>AA107</f>
        <v>8023</v>
      </c>
      <c r="CZ107">
        <f>AE107</f>
        <v>8023</v>
      </c>
      <c r="DA107">
        <f>AI107</f>
        <v>1</v>
      </c>
      <c r="DB107">
        <f t="shared" si="22"/>
        <v>48.14</v>
      </c>
      <c r="DC107">
        <f t="shared" si="23"/>
        <v>0</v>
      </c>
    </row>
    <row r="108" spans="1:107" x14ac:dyDescent="0.2">
      <c r="A108">
        <f>ROW(Source!A48)</f>
        <v>48</v>
      </c>
      <c r="B108">
        <v>27935367</v>
      </c>
      <c r="C108">
        <v>27935543</v>
      </c>
      <c r="D108">
        <v>25147246</v>
      </c>
      <c r="E108">
        <v>17</v>
      </c>
      <c r="F108">
        <v>1</v>
      </c>
      <c r="G108">
        <v>1</v>
      </c>
      <c r="H108">
        <v>3</v>
      </c>
      <c r="I108" t="s">
        <v>94</v>
      </c>
      <c r="J108" t="s">
        <v>6</v>
      </c>
      <c r="K108" t="s">
        <v>95</v>
      </c>
      <c r="L108">
        <v>1348</v>
      </c>
      <c r="N108">
        <v>1009</v>
      </c>
      <c r="O108" t="s">
        <v>65</v>
      </c>
      <c r="P108" t="s">
        <v>65</v>
      </c>
      <c r="Q108">
        <v>1000</v>
      </c>
      <c r="W108">
        <v>0</v>
      </c>
      <c r="X108">
        <v>789990620</v>
      </c>
      <c r="Y108">
        <v>0.184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</v>
      </c>
      <c r="AT108">
        <v>0.184</v>
      </c>
      <c r="AU108" t="s">
        <v>6</v>
      </c>
      <c r="AV108">
        <v>0</v>
      </c>
      <c r="AW108">
        <v>2</v>
      </c>
      <c r="AX108">
        <v>27935559</v>
      </c>
      <c r="AY108">
        <v>1</v>
      </c>
      <c r="AZ108">
        <v>0</v>
      </c>
      <c r="BA108">
        <v>110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Y108*Source!I48</f>
        <v>5.1520000000000003E-3</v>
      </c>
      <c r="CY108">
        <f>AA108</f>
        <v>0</v>
      </c>
      <c r="CZ108">
        <f>AE108</f>
        <v>0</v>
      </c>
      <c r="DA108">
        <f>AI108</f>
        <v>1</v>
      </c>
      <c r="DB108">
        <f t="shared" si="22"/>
        <v>0</v>
      </c>
      <c r="DC108">
        <f t="shared" si="23"/>
        <v>0</v>
      </c>
    </row>
    <row r="109" spans="1:107" x14ac:dyDescent="0.2">
      <c r="A109">
        <f>ROW(Source!A49)</f>
        <v>49</v>
      </c>
      <c r="B109">
        <v>27935368</v>
      </c>
      <c r="C109">
        <v>27935543</v>
      </c>
      <c r="D109">
        <v>25413300</v>
      </c>
      <c r="E109">
        <v>1</v>
      </c>
      <c r="F109">
        <v>1</v>
      </c>
      <c r="G109">
        <v>1</v>
      </c>
      <c r="H109">
        <v>1</v>
      </c>
      <c r="I109" t="s">
        <v>491</v>
      </c>
      <c r="J109" t="s">
        <v>6</v>
      </c>
      <c r="K109" t="s">
        <v>492</v>
      </c>
      <c r="L109">
        <v>1191</v>
      </c>
      <c r="N109">
        <v>1013</v>
      </c>
      <c r="O109" t="s">
        <v>459</v>
      </c>
      <c r="P109" t="s">
        <v>459</v>
      </c>
      <c r="Q109">
        <v>1</v>
      </c>
      <c r="W109">
        <v>0</v>
      </c>
      <c r="X109">
        <v>-400197608</v>
      </c>
      <c r="Y109">
        <v>41.41</v>
      </c>
      <c r="AA109">
        <v>0</v>
      </c>
      <c r="AB109">
        <v>0</v>
      </c>
      <c r="AC109">
        <v>0</v>
      </c>
      <c r="AD109">
        <v>52.12</v>
      </c>
      <c r="AE109">
        <v>0</v>
      </c>
      <c r="AF109">
        <v>0</v>
      </c>
      <c r="AG109">
        <v>0</v>
      </c>
      <c r="AH109">
        <v>8.5299999999999994</v>
      </c>
      <c r="AI109">
        <v>1</v>
      </c>
      <c r="AJ109">
        <v>1</v>
      </c>
      <c r="AK109">
        <v>1</v>
      </c>
      <c r="AL109">
        <v>6.11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41.41</v>
      </c>
      <c r="AU109" t="s">
        <v>6</v>
      </c>
      <c r="AV109">
        <v>1</v>
      </c>
      <c r="AW109">
        <v>2</v>
      </c>
      <c r="AX109">
        <v>27935552</v>
      </c>
      <c r="AY109">
        <v>1</v>
      </c>
      <c r="AZ109">
        <v>0</v>
      </c>
      <c r="BA109">
        <v>111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Y109*Source!I49</f>
        <v>1.1594799999999998</v>
      </c>
      <c r="CY109">
        <f>AD109</f>
        <v>52.12</v>
      </c>
      <c r="CZ109">
        <f>AH109</f>
        <v>8.5299999999999994</v>
      </c>
      <c r="DA109">
        <f>AL109</f>
        <v>6.11</v>
      </c>
      <c r="DB109">
        <f t="shared" si="22"/>
        <v>353.23</v>
      </c>
      <c r="DC109">
        <f t="shared" si="23"/>
        <v>0</v>
      </c>
    </row>
    <row r="110" spans="1:107" x14ac:dyDescent="0.2">
      <c r="A110">
        <f>ROW(Source!A49)</f>
        <v>49</v>
      </c>
      <c r="B110">
        <v>27935368</v>
      </c>
      <c r="C110">
        <v>27935543</v>
      </c>
      <c r="D110">
        <v>25412928</v>
      </c>
      <c r="E110">
        <v>1</v>
      </c>
      <c r="F110">
        <v>1</v>
      </c>
      <c r="G110">
        <v>1</v>
      </c>
      <c r="H110">
        <v>1</v>
      </c>
      <c r="I110" t="s">
        <v>460</v>
      </c>
      <c r="J110" t="s">
        <v>6</v>
      </c>
      <c r="K110" t="s">
        <v>461</v>
      </c>
      <c r="L110">
        <v>1191</v>
      </c>
      <c r="N110">
        <v>1013</v>
      </c>
      <c r="O110" t="s">
        <v>459</v>
      </c>
      <c r="P110" t="s">
        <v>459</v>
      </c>
      <c r="Q110">
        <v>1</v>
      </c>
      <c r="W110">
        <v>0</v>
      </c>
      <c r="X110">
        <v>-1417349443</v>
      </c>
      <c r="Y110">
        <v>0.12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6.11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0.12</v>
      </c>
      <c r="AU110" t="s">
        <v>6</v>
      </c>
      <c r="AV110">
        <v>2</v>
      </c>
      <c r="AW110">
        <v>2</v>
      </c>
      <c r="AX110">
        <v>27935553</v>
      </c>
      <c r="AY110">
        <v>1</v>
      </c>
      <c r="AZ110">
        <v>0</v>
      </c>
      <c r="BA110">
        <v>112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Y110*Source!I49</f>
        <v>3.3600000000000001E-3</v>
      </c>
      <c r="CY110">
        <f>AD110</f>
        <v>0</v>
      </c>
      <c r="CZ110">
        <f>AH110</f>
        <v>0</v>
      </c>
      <c r="DA110">
        <f>AL110</f>
        <v>1</v>
      </c>
      <c r="DB110">
        <f t="shared" si="22"/>
        <v>0</v>
      </c>
      <c r="DC110">
        <f t="shared" si="23"/>
        <v>0</v>
      </c>
    </row>
    <row r="111" spans="1:107" x14ac:dyDescent="0.2">
      <c r="A111">
        <f>ROW(Source!A49)</f>
        <v>49</v>
      </c>
      <c r="B111">
        <v>27935368</v>
      </c>
      <c r="C111">
        <v>27935543</v>
      </c>
      <c r="D111">
        <v>25230514</v>
      </c>
      <c r="E111">
        <v>1</v>
      </c>
      <c r="F111">
        <v>1</v>
      </c>
      <c r="G111">
        <v>1</v>
      </c>
      <c r="H111">
        <v>2</v>
      </c>
      <c r="I111" t="s">
        <v>462</v>
      </c>
      <c r="J111" t="s">
        <v>463</v>
      </c>
      <c r="K111" t="s">
        <v>464</v>
      </c>
      <c r="L111">
        <v>1368</v>
      </c>
      <c r="N111">
        <v>1011</v>
      </c>
      <c r="O111" t="s">
        <v>465</v>
      </c>
      <c r="P111" t="s">
        <v>465</v>
      </c>
      <c r="Q111">
        <v>1</v>
      </c>
      <c r="W111">
        <v>0</v>
      </c>
      <c r="X111">
        <v>1188625873</v>
      </c>
      <c r="Y111">
        <v>0.08</v>
      </c>
      <c r="AA111">
        <v>0</v>
      </c>
      <c r="AB111">
        <v>191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6.11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0.08</v>
      </c>
      <c r="AU111" t="s">
        <v>6</v>
      </c>
      <c r="AV111">
        <v>0</v>
      </c>
      <c r="AW111">
        <v>2</v>
      </c>
      <c r="AX111">
        <v>27935554</v>
      </c>
      <c r="AY111">
        <v>1</v>
      </c>
      <c r="AZ111">
        <v>0</v>
      </c>
      <c r="BA111">
        <v>113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Y111*Source!I49</f>
        <v>2.2400000000000002E-3</v>
      </c>
      <c r="CY111">
        <f>AB111</f>
        <v>191</v>
      </c>
      <c r="CZ111">
        <f>AF111</f>
        <v>31.26</v>
      </c>
      <c r="DA111">
        <f>AJ111</f>
        <v>6.11</v>
      </c>
      <c r="DB111">
        <f t="shared" si="22"/>
        <v>2.5</v>
      </c>
      <c r="DC111">
        <f t="shared" si="23"/>
        <v>1.08</v>
      </c>
    </row>
    <row r="112" spans="1:107" x14ac:dyDescent="0.2">
      <c r="A112">
        <f>ROW(Source!A49)</f>
        <v>49</v>
      </c>
      <c r="B112">
        <v>27935368</v>
      </c>
      <c r="C112">
        <v>27935543</v>
      </c>
      <c r="D112">
        <v>25231607</v>
      </c>
      <c r="E112">
        <v>1</v>
      </c>
      <c r="F112">
        <v>1</v>
      </c>
      <c r="G112">
        <v>1</v>
      </c>
      <c r="H112">
        <v>2</v>
      </c>
      <c r="I112" t="s">
        <v>468</v>
      </c>
      <c r="J112" t="s">
        <v>469</v>
      </c>
      <c r="K112" t="s">
        <v>470</v>
      </c>
      <c r="L112">
        <v>1368</v>
      </c>
      <c r="N112">
        <v>1011</v>
      </c>
      <c r="O112" t="s">
        <v>465</v>
      </c>
      <c r="P112" t="s">
        <v>465</v>
      </c>
      <c r="Q112">
        <v>1</v>
      </c>
      <c r="W112">
        <v>0</v>
      </c>
      <c r="X112">
        <v>1372534845</v>
      </c>
      <c r="Y112">
        <v>0.04</v>
      </c>
      <c r="AA112">
        <v>0</v>
      </c>
      <c r="AB112">
        <v>401.49</v>
      </c>
      <c r="AC112">
        <v>11.6</v>
      </c>
      <c r="AD112">
        <v>0</v>
      </c>
      <c r="AE112">
        <v>0</v>
      </c>
      <c r="AF112">
        <v>65.709999999999994</v>
      </c>
      <c r="AG112">
        <v>11.6</v>
      </c>
      <c r="AH112">
        <v>0</v>
      </c>
      <c r="AI112">
        <v>1</v>
      </c>
      <c r="AJ112">
        <v>6.11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0.04</v>
      </c>
      <c r="AU112" t="s">
        <v>6</v>
      </c>
      <c r="AV112">
        <v>0</v>
      </c>
      <c r="AW112">
        <v>2</v>
      </c>
      <c r="AX112">
        <v>27935555</v>
      </c>
      <c r="AY112">
        <v>1</v>
      </c>
      <c r="AZ112">
        <v>0</v>
      </c>
      <c r="BA112">
        <v>114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Y112*Source!I49</f>
        <v>1.1200000000000001E-3</v>
      </c>
      <c r="CY112">
        <f>AB112</f>
        <v>401.49</v>
      </c>
      <c r="CZ112">
        <f>AF112</f>
        <v>65.709999999999994</v>
      </c>
      <c r="DA112">
        <f>AJ112</f>
        <v>6.11</v>
      </c>
      <c r="DB112">
        <f t="shared" si="22"/>
        <v>2.63</v>
      </c>
      <c r="DC112">
        <f t="shared" si="23"/>
        <v>0.46</v>
      </c>
    </row>
    <row r="113" spans="1:107" x14ac:dyDescent="0.2">
      <c r="A113">
        <f>ROW(Source!A49)</f>
        <v>49</v>
      </c>
      <c r="B113">
        <v>27935368</v>
      </c>
      <c r="C113">
        <v>27935543</v>
      </c>
      <c r="D113">
        <v>25152713</v>
      </c>
      <c r="E113">
        <v>1</v>
      </c>
      <c r="F113">
        <v>1</v>
      </c>
      <c r="G113">
        <v>1</v>
      </c>
      <c r="H113">
        <v>3</v>
      </c>
      <c r="I113" t="s">
        <v>525</v>
      </c>
      <c r="J113" t="s">
        <v>526</v>
      </c>
      <c r="K113" t="s">
        <v>527</v>
      </c>
      <c r="L113">
        <v>1348</v>
      </c>
      <c r="N113">
        <v>1009</v>
      </c>
      <c r="O113" t="s">
        <v>65</v>
      </c>
      <c r="P113" t="s">
        <v>65</v>
      </c>
      <c r="Q113">
        <v>1000</v>
      </c>
      <c r="W113">
        <v>0</v>
      </c>
      <c r="X113">
        <v>1174701286</v>
      </c>
      <c r="Y113">
        <v>4.0000000000000001E-3</v>
      </c>
      <c r="AA113">
        <v>73185.58</v>
      </c>
      <c r="AB113">
        <v>0</v>
      </c>
      <c r="AC113">
        <v>0</v>
      </c>
      <c r="AD113">
        <v>0</v>
      </c>
      <c r="AE113">
        <v>11978</v>
      </c>
      <c r="AF113">
        <v>0</v>
      </c>
      <c r="AG113">
        <v>0</v>
      </c>
      <c r="AH113">
        <v>0</v>
      </c>
      <c r="AI113">
        <v>6.11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4.0000000000000001E-3</v>
      </c>
      <c r="AU113" t="s">
        <v>6</v>
      </c>
      <c r="AV113">
        <v>0</v>
      </c>
      <c r="AW113">
        <v>2</v>
      </c>
      <c r="AX113">
        <v>27935557</v>
      </c>
      <c r="AY113">
        <v>1</v>
      </c>
      <c r="AZ113">
        <v>0</v>
      </c>
      <c r="BA113">
        <v>116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Y113*Source!I49</f>
        <v>1.12E-4</v>
      </c>
      <c r="CY113">
        <f>AA113</f>
        <v>73185.58</v>
      </c>
      <c r="CZ113">
        <f>AE113</f>
        <v>11978</v>
      </c>
      <c r="DA113">
        <f>AI113</f>
        <v>6.11</v>
      </c>
      <c r="DB113">
        <f t="shared" si="22"/>
        <v>47.91</v>
      </c>
      <c r="DC113">
        <f t="shared" si="23"/>
        <v>0</v>
      </c>
    </row>
    <row r="114" spans="1:107" x14ac:dyDescent="0.2">
      <c r="A114">
        <f>ROW(Source!A49)</f>
        <v>49</v>
      </c>
      <c r="B114">
        <v>27935368</v>
      </c>
      <c r="C114">
        <v>27935543</v>
      </c>
      <c r="D114">
        <v>25172289</v>
      </c>
      <c r="E114">
        <v>1</v>
      </c>
      <c r="F114">
        <v>1</v>
      </c>
      <c r="G114">
        <v>1</v>
      </c>
      <c r="H114">
        <v>3</v>
      </c>
      <c r="I114" t="s">
        <v>97</v>
      </c>
      <c r="J114" t="s">
        <v>100</v>
      </c>
      <c r="K114" t="s">
        <v>98</v>
      </c>
      <c r="L114">
        <v>2233</v>
      </c>
      <c r="N114">
        <v>1013</v>
      </c>
      <c r="O114" t="s">
        <v>99</v>
      </c>
      <c r="P114" t="s">
        <v>99</v>
      </c>
      <c r="Q114">
        <v>1</v>
      </c>
      <c r="W114">
        <v>0</v>
      </c>
      <c r="X114">
        <v>-892718151</v>
      </c>
      <c r="Y114">
        <v>100</v>
      </c>
      <c r="AA114">
        <v>161.37</v>
      </c>
      <c r="AB114">
        <v>0</v>
      </c>
      <c r="AC114">
        <v>0</v>
      </c>
      <c r="AD114">
        <v>0</v>
      </c>
      <c r="AE114">
        <v>26.41</v>
      </c>
      <c r="AF114">
        <v>0</v>
      </c>
      <c r="AG114">
        <v>0</v>
      </c>
      <c r="AH114">
        <v>0</v>
      </c>
      <c r="AI114">
        <v>6.11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100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Y114*Source!I49</f>
        <v>2.8000000000000003</v>
      </c>
      <c r="CY114">
        <f>AA114</f>
        <v>161.37</v>
      </c>
      <c r="CZ114">
        <f>AE114</f>
        <v>26.41</v>
      </c>
      <c r="DA114">
        <f>AI114</f>
        <v>6.11</v>
      </c>
      <c r="DB114">
        <f t="shared" si="22"/>
        <v>2641</v>
      </c>
      <c r="DC114">
        <f t="shared" si="23"/>
        <v>0</v>
      </c>
    </row>
    <row r="115" spans="1:107" x14ac:dyDescent="0.2">
      <c r="A115">
        <f>ROW(Source!A49)</f>
        <v>49</v>
      </c>
      <c r="B115">
        <v>27935368</v>
      </c>
      <c r="C115">
        <v>27935543</v>
      </c>
      <c r="D115">
        <v>25173787</v>
      </c>
      <c r="E115">
        <v>1</v>
      </c>
      <c r="F115">
        <v>1</v>
      </c>
      <c r="G115">
        <v>1</v>
      </c>
      <c r="H115">
        <v>3</v>
      </c>
      <c r="I115" t="s">
        <v>546</v>
      </c>
      <c r="J115" t="s">
        <v>547</v>
      </c>
      <c r="K115" t="s">
        <v>548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W115">
        <v>0</v>
      </c>
      <c r="X115">
        <v>-740471490</v>
      </c>
      <c r="Y115">
        <v>6.0000000000000001E-3</v>
      </c>
      <c r="AA115">
        <v>49020.53</v>
      </c>
      <c r="AB115">
        <v>0</v>
      </c>
      <c r="AC115">
        <v>0</v>
      </c>
      <c r="AD115">
        <v>0</v>
      </c>
      <c r="AE115">
        <v>8023</v>
      </c>
      <c r="AF115">
        <v>0</v>
      </c>
      <c r="AG115">
        <v>0</v>
      </c>
      <c r="AH115">
        <v>0</v>
      </c>
      <c r="AI115">
        <v>6.11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6.0000000000000001E-3</v>
      </c>
      <c r="AU115" t="s">
        <v>6</v>
      </c>
      <c r="AV115">
        <v>0</v>
      </c>
      <c r="AW115">
        <v>2</v>
      </c>
      <c r="AX115">
        <v>27935558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Y115*Source!I49</f>
        <v>1.6800000000000002E-4</v>
      </c>
      <c r="CY115">
        <f>AA115</f>
        <v>49020.53</v>
      </c>
      <c r="CZ115">
        <f>AE115</f>
        <v>8023</v>
      </c>
      <c r="DA115">
        <f>AI115</f>
        <v>6.11</v>
      </c>
      <c r="DB115">
        <f t="shared" si="22"/>
        <v>48.14</v>
      </c>
      <c r="DC115">
        <f t="shared" si="23"/>
        <v>0</v>
      </c>
    </row>
    <row r="116" spans="1:107" x14ac:dyDescent="0.2">
      <c r="A116">
        <f>ROW(Source!A49)</f>
        <v>49</v>
      </c>
      <c r="B116">
        <v>27935368</v>
      </c>
      <c r="C116">
        <v>27935543</v>
      </c>
      <c r="D116">
        <v>25147246</v>
      </c>
      <c r="E116">
        <v>17</v>
      </c>
      <c r="F116">
        <v>1</v>
      </c>
      <c r="G116">
        <v>1</v>
      </c>
      <c r="H116">
        <v>3</v>
      </c>
      <c r="I116" t="s">
        <v>94</v>
      </c>
      <c r="J116" t="s">
        <v>6</v>
      </c>
      <c r="K116" t="s">
        <v>95</v>
      </c>
      <c r="L116">
        <v>1348</v>
      </c>
      <c r="N116">
        <v>1009</v>
      </c>
      <c r="O116" t="s">
        <v>65</v>
      </c>
      <c r="P116" t="s">
        <v>65</v>
      </c>
      <c r="Q116">
        <v>1000</v>
      </c>
      <c r="W116">
        <v>0</v>
      </c>
      <c r="X116">
        <v>789990620</v>
      </c>
      <c r="Y116">
        <v>0.184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6.11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0.184</v>
      </c>
      <c r="AU116" t="s">
        <v>6</v>
      </c>
      <c r="AV116">
        <v>0</v>
      </c>
      <c r="AW116">
        <v>2</v>
      </c>
      <c r="AX116">
        <v>27935559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Y116*Source!I49</f>
        <v>5.1520000000000003E-3</v>
      </c>
      <c r="CY116">
        <f>AA116</f>
        <v>0</v>
      </c>
      <c r="CZ116">
        <f>AE116</f>
        <v>0</v>
      </c>
      <c r="DA116">
        <f>AI116</f>
        <v>6.11</v>
      </c>
      <c r="DB116">
        <f t="shared" si="22"/>
        <v>0</v>
      </c>
      <c r="DC116">
        <f t="shared" si="23"/>
        <v>0</v>
      </c>
    </row>
    <row r="117" spans="1:107" x14ac:dyDescent="0.2">
      <c r="A117">
        <f>ROW(Source!A54)</f>
        <v>54</v>
      </c>
      <c r="B117">
        <v>27935367</v>
      </c>
      <c r="C117">
        <v>27935562</v>
      </c>
      <c r="D117">
        <v>25412980</v>
      </c>
      <c r="E117">
        <v>1</v>
      </c>
      <c r="F117">
        <v>1</v>
      </c>
      <c r="G117">
        <v>1</v>
      </c>
      <c r="H117">
        <v>1</v>
      </c>
      <c r="I117" t="s">
        <v>549</v>
      </c>
      <c r="J117" t="s">
        <v>6</v>
      </c>
      <c r="K117" t="s">
        <v>550</v>
      </c>
      <c r="L117">
        <v>1191</v>
      </c>
      <c r="N117">
        <v>1013</v>
      </c>
      <c r="O117" t="s">
        <v>459</v>
      </c>
      <c r="P117" t="s">
        <v>459</v>
      </c>
      <c r="Q117">
        <v>1</v>
      </c>
      <c r="W117">
        <v>0</v>
      </c>
      <c r="X117">
        <v>145020957</v>
      </c>
      <c r="Y117">
        <v>69.28</v>
      </c>
      <c r="AA117">
        <v>0</v>
      </c>
      <c r="AB117">
        <v>0</v>
      </c>
      <c r="AC117">
        <v>0</v>
      </c>
      <c r="AD117">
        <v>9.07</v>
      </c>
      <c r="AE117">
        <v>0</v>
      </c>
      <c r="AF117">
        <v>0</v>
      </c>
      <c r="AG117">
        <v>0</v>
      </c>
      <c r="AH117">
        <v>9.07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69.28</v>
      </c>
      <c r="AU117" t="s">
        <v>6</v>
      </c>
      <c r="AV117">
        <v>1</v>
      </c>
      <c r="AW117">
        <v>2</v>
      </c>
      <c r="AX117">
        <v>27936102</v>
      </c>
      <c r="AY117">
        <v>1</v>
      </c>
      <c r="AZ117">
        <v>0</v>
      </c>
      <c r="BA117">
        <v>119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Y117*Source!I54</f>
        <v>7.48224</v>
      </c>
      <c r="CY117">
        <f>AD117</f>
        <v>9.07</v>
      </c>
      <c r="CZ117">
        <f>AH117</f>
        <v>9.07</v>
      </c>
      <c r="DA117">
        <f>AL117</f>
        <v>1</v>
      </c>
      <c r="DB117">
        <f t="shared" si="22"/>
        <v>628.37</v>
      </c>
      <c r="DC117">
        <f t="shared" si="23"/>
        <v>0</v>
      </c>
    </row>
    <row r="118" spans="1:107" x14ac:dyDescent="0.2">
      <c r="A118">
        <f>ROW(Source!A54)</f>
        <v>54</v>
      </c>
      <c r="B118">
        <v>27935367</v>
      </c>
      <c r="C118">
        <v>27935562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460</v>
      </c>
      <c r="J118" t="s">
        <v>6</v>
      </c>
      <c r="K118" t="s">
        <v>461</v>
      </c>
      <c r="L118">
        <v>1191</v>
      </c>
      <c r="N118">
        <v>1013</v>
      </c>
      <c r="O118" t="s">
        <v>459</v>
      </c>
      <c r="P118" t="s">
        <v>459</v>
      </c>
      <c r="Q118">
        <v>1</v>
      </c>
      <c r="W118">
        <v>0</v>
      </c>
      <c r="X118">
        <v>-1417349443</v>
      </c>
      <c r="Y118">
        <v>0.02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0.02</v>
      </c>
      <c r="AU118" t="s">
        <v>6</v>
      </c>
      <c r="AV118">
        <v>2</v>
      </c>
      <c r="AW118">
        <v>2</v>
      </c>
      <c r="AX118">
        <v>27936103</v>
      </c>
      <c r="AY118">
        <v>1</v>
      </c>
      <c r="AZ118">
        <v>0</v>
      </c>
      <c r="BA118">
        <v>120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Y118*Source!I54</f>
        <v>2.16E-3</v>
      </c>
      <c r="CY118">
        <f>AD118</f>
        <v>0</v>
      </c>
      <c r="CZ118">
        <f>AH118</f>
        <v>0</v>
      </c>
      <c r="DA118">
        <f>AL118</f>
        <v>1</v>
      </c>
      <c r="DB118">
        <f t="shared" si="22"/>
        <v>0</v>
      </c>
      <c r="DC118">
        <f t="shared" si="23"/>
        <v>0</v>
      </c>
    </row>
    <row r="119" spans="1:107" x14ac:dyDescent="0.2">
      <c r="A119">
        <f>ROW(Source!A54)</f>
        <v>54</v>
      </c>
      <c r="B119">
        <v>27935367</v>
      </c>
      <c r="C119">
        <v>27935562</v>
      </c>
      <c r="D119">
        <v>25230514</v>
      </c>
      <c r="E119">
        <v>1</v>
      </c>
      <c r="F119">
        <v>1</v>
      </c>
      <c r="G119">
        <v>1</v>
      </c>
      <c r="H119">
        <v>2</v>
      </c>
      <c r="I119" t="s">
        <v>462</v>
      </c>
      <c r="J119" t="s">
        <v>463</v>
      </c>
      <c r="K119" t="s">
        <v>464</v>
      </c>
      <c r="L119">
        <v>1368</v>
      </c>
      <c r="N119">
        <v>1011</v>
      </c>
      <c r="O119" t="s">
        <v>465</v>
      </c>
      <c r="P119" t="s">
        <v>465</v>
      </c>
      <c r="Q119">
        <v>1</v>
      </c>
      <c r="W119">
        <v>0</v>
      </c>
      <c r="X119">
        <v>1188625873</v>
      </c>
      <c r="Y119">
        <v>0.02</v>
      </c>
      <c r="AA119">
        <v>0</v>
      </c>
      <c r="AB119">
        <v>31.26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0.02</v>
      </c>
      <c r="AU119" t="s">
        <v>6</v>
      </c>
      <c r="AV119">
        <v>0</v>
      </c>
      <c r="AW119">
        <v>2</v>
      </c>
      <c r="AX119">
        <v>27936104</v>
      </c>
      <c r="AY119">
        <v>1</v>
      </c>
      <c r="AZ119">
        <v>0</v>
      </c>
      <c r="BA119">
        <v>121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Y119*Source!I54</f>
        <v>2.16E-3</v>
      </c>
      <c r="CY119">
        <f>AB119</f>
        <v>31.26</v>
      </c>
      <c r="CZ119">
        <f>AF119</f>
        <v>31.26</v>
      </c>
      <c r="DA119">
        <f>AJ119</f>
        <v>1</v>
      </c>
      <c r="DB119">
        <f t="shared" si="22"/>
        <v>0.63</v>
      </c>
      <c r="DC119">
        <f t="shared" si="23"/>
        <v>0.27</v>
      </c>
    </row>
    <row r="120" spans="1:107" x14ac:dyDescent="0.2">
      <c r="A120">
        <f>ROW(Source!A54)</f>
        <v>54</v>
      </c>
      <c r="B120">
        <v>27935367</v>
      </c>
      <c r="C120">
        <v>27935562</v>
      </c>
      <c r="D120">
        <v>25231607</v>
      </c>
      <c r="E120">
        <v>1</v>
      </c>
      <c r="F120">
        <v>1</v>
      </c>
      <c r="G120">
        <v>1</v>
      </c>
      <c r="H120">
        <v>2</v>
      </c>
      <c r="I120" t="s">
        <v>468</v>
      </c>
      <c r="J120" t="s">
        <v>469</v>
      </c>
      <c r="K120" t="s">
        <v>470</v>
      </c>
      <c r="L120">
        <v>1368</v>
      </c>
      <c r="N120">
        <v>1011</v>
      </c>
      <c r="O120" t="s">
        <v>465</v>
      </c>
      <c r="P120" t="s">
        <v>465</v>
      </c>
      <c r="Q120">
        <v>1</v>
      </c>
      <c r="W120">
        <v>0</v>
      </c>
      <c r="X120">
        <v>1372534845</v>
      </c>
      <c r="Y120">
        <v>2E-3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2E-3</v>
      </c>
      <c r="AU120" t="s">
        <v>6</v>
      </c>
      <c r="AV120">
        <v>0</v>
      </c>
      <c r="AW120">
        <v>2</v>
      </c>
      <c r="AX120">
        <v>27936105</v>
      </c>
      <c r="AY120">
        <v>1</v>
      </c>
      <c r="AZ120">
        <v>0</v>
      </c>
      <c r="BA120">
        <v>122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Y120*Source!I54</f>
        <v>2.1599999999999999E-4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f t="shared" si="22"/>
        <v>0.13</v>
      </c>
      <c r="DC120">
        <f t="shared" si="23"/>
        <v>0.02</v>
      </c>
    </row>
    <row r="121" spans="1:107" x14ac:dyDescent="0.2">
      <c r="A121">
        <f>ROW(Source!A54)</f>
        <v>54</v>
      </c>
      <c r="B121">
        <v>27935367</v>
      </c>
      <c r="C121">
        <v>27935562</v>
      </c>
      <c r="D121">
        <v>25149812</v>
      </c>
      <c r="E121">
        <v>1</v>
      </c>
      <c r="F121">
        <v>1</v>
      </c>
      <c r="G121">
        <v>1</v>
      </c>
      <c r="H121">
        <v>3</v>
      </c>
      <c r="I121" t="s">
        <v>112</v>
      </c>
      <c r="J121" t="s">
        <v>114</v>
      </c>
      <c r="K121" t="s">
        <v>113</v>
      </c>
      <c r="L121">
        <v>1327</v>
      </c>
      <c r="N121">
        <v>1005</v>
      </c>
      <c r="O121" t="s">
        <v>35</v>
      </c>
      <c r="P121" t="s">
        <v>35</v>
      </c>
      <c r="Q121">
        <v>1</v>
      </c>
      <c r="W121">
        <v>0</v>
      </c>
      <c r="X121">
        <v>-1442549120</v>
      </c>
      <c r="Y121">
        <v>100</v>
      </c>
      <c r="AA121">
        <v>54.72</v>
      </c>
      <c r="AB121">
        <v>0</v>
      </c>
      <c r="AC121">
        <v>0</v>
      </c>
      <c r="AD121">
        <v>0</v>
      </c>
      <c r="AE121">
        <v>54.72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100</v>
      </c>
      <c r="AU121" t="s">
        <v>6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Y121*Source!I54</f>
        <v>10.8</v>
      </c>
      <c r="CY121">
        <f>AA121</f>
        <v>54.72</v>
      </c>
      <c r="CZ121">
        <f>AE121</f>
        <v>54.72</v>
      </c>
      <c r="DA121">
        <f>AI121</f>
        <v>1</v>
      </c>
      <c r="DB121">
        <f t="shared" si="22"/>
        <v>5472</v>
      </c>
      <c r="DC121">
        <f t="shared" si="23"/>
        <v>0</v>
      </c>
    </row>
    <row r="122" spans="1:107" x14ac:dyDescent="0.2">
      <c r="A122">
        <f>ROW(Source!A54)</f>
        <v>54</v>
      </c>
      <c r="B122">
        <v>27935367</v>
      </c>
      <c r="C122">
        <v>27935562</v>
      </c>
      <c r="D122">
        <v>25175512</v>
      </c>
      <c r="E122">
        <v>1</v>
      </c>
      <c r="F122">
        <v>1</v>
      </c>
      <c r="G122">
        <v>1</v>
      </c>
      <c r="H122">
        <v>3</v>
      </c>
      <c r="I122" t="s">
        <v>108</v>
      </c>
      <c r="J122" t="s">
        <v>110</v>
      </c>
      <c r="K122" t="s">
        <v>109</v>
      </c>
      <c r="L122">
        <v>1301</v>
      </c>
      <c r="N122">
        <v>1003</v>
      </c>
      <c r="O122" t="s">
        <v>45</v>
      </c>
      <c r="P122" t="s">
        <v>45</v>
      </c>
      <c r="Q122">
        <v>1</v>
      </c>
      <c r="W122">
        <v>1</v>
      </c>
      <c r="X122">
        <v>1265826934</v>
      </c>
      <c r="Y122">
        <v>-1050</v>
      </c>
      <c r="AA122">
        <v>24.71</v>
      </c>
      <c r="AB122">
        <v>0</v>
      </c>
      <c r="AC122">
        <v>0</v>
      </c>
      <c r="AD122">
        <v>0</v>
      </c>
      <c r="AE122">
        <v>24.71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-1050</v>
      </c>
      <c r="AU122" t="s">
        <v>6</v>
      </c>
      <c r="AV122">
        <v>0</v>
      </c>
      <c r="AW122">
        <v>2</v>
      </c>
      <c r="AX122">
        <v>27936106</v>
      </c>
      <c r="AY122">
        <v>1</v>
      </c>
      <c r="AZ122">
        <v>6144</v>
      </c>
      <c r="BA122">
        <v>123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Y122*Source!I54</f>
        <v>-113.4</v>
      </c>
      <c r="CY122">
        <f>AA122</f>
        <v>24.71</v>
      </c>
      <c r="CZ122">
        <f>AE122</f>
        <v>24.71</v>
      </c>
      <c r="DA122">
        <f>AI122</f>
        <v>1</v>
      </c>
      <c r="DB122">
        <f t="shared" si="22"/>
        <v>-25945.5</v>
      </c>
      <c r="DC122">
        <f t="shared" si="23"/>
        <v>0</v>
      </c>
    </row>
    <row r="123" spans="1:107" x14ac:dyDescent="0.2">
      <c r="A123">
        <f>ROW(Source!A55)</f>
        <v>55</v>
      </c>
      <c r="B123">
        <v>27935368</v>
      </c>
      <c r="C123">
        <v>27935562</v>
      </c>
      <c r="D123">
        <v>25412980</v>
      </c>
      <c r="E123">
        <v>1</v>
      </c>
      <c r="F123">
        <v>1</v>
      </c>
      <c r="G123">
        <v>1</v>
      </c>
      <c r="H123">
        <v>1</v>
      </c>
      <c r="I123" t="s">
        <v>549</v>
      </c>
      <c r="J123" t="s">
        <v>6</v>
      </c>
      <c r="K123" t="s">
        <v>550</v>
      </c>
      <c r="L123">
        <v>1191</v>
      </c>
      <c r="N123">
        <v>1013</v>
      </c>
      <c r="O123" t="s">
        <v>459</v>
      </c>
      <c r="P123" t="s">
        <v>459</v>
      </c>
      <c r="Q123">
        <v>1</v>
      </c>
      <c r="W123">
        <v>0</v>
      </c>
      <c r="X123">
        <v>145020957</v>
      </c>
      <c r="Y123">
        <v>69.28</v>
      </c>
      <c r="AA123">
        <v>0</v>
      </c>
      <c r="AB123">
        <v>0</v>
      </c>
      <c r="AC123">
        <v>0</v>
      </c>
      <c r="AD123">
        <v>55.42</v>
      </c>
      <c r="AE123">
        <v>0</v>
      </c>
      <c r="AF123">
        <v>0</v>
      </c>
      <c r="AG123">
        <v>0</v>
      </c>
      <c r="AH123">
        <v>9.07</v>
      </c>
      <c r="AI123">
        <v>1</v>
      </c>
      <c r="AJ123">
        <v>1</v>
      </c>
      <c r="AK123">
        <v>1</v>
      </c>
      <c r="AL123">
        <v>6.11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69.28</v>
      </c>
      <c r="AU123" t="s">
        <v>6</v>
      </c>
      <c r="AV123">
        <v>1</v>
      </c>
      <c r="AW123">
        <v>2</v>
      </c>
      <c r="AX123">
        <v>27936102</v>
      </c>
      <c r="AY123">
        <v>1</v>
      </c>
      <c r="AZ123">
        <v>0</v>
      </c>
      <c r="BA123">
        <v>124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Y123*Source!I55</f>
        <v>7.48224</v>
      </c>
      <c r="CY123">
        <f>AD123</f>
        <v>55.42</v>
      </c>
      <c r="CZ123">
        <f>AH123</f>
        <v>9.07</v>
      </c>
      <c r="DA123">
        <f>AL123</f>
        <v>6.11</v>
      </c>
      <c r="DB123">
        <f t="shared" si="22"/>
        <v>628.37</v>
      </c>
      <c r="DC123">
        <f t="shared" si="23"/>
        <v>0</v>
      </c>
    </row>
    <row r="124" spans="1:107" x14ac:dyDescent="0.2">
      <c r="A124">
        <f>ROW(Source!A55)</f>
        <v>55</v>
      </c>
      <c r="B124">
        <v>27935368</v>
      </c>
      <c r="C124">
        <v>27935562</v>
      </c>
      <c r="D124">
        <v>25412928</v>
      </c>
      <c r="E124">
        <v>1</v>
      </c>
      <c r="F124">
        <v>1</v>
      </c>
      <c r="G124">
        <v>1</v>
      </c>
      <c r="H124">
        <v>1</v>
      </c>
      <c r="I124" t="s">
        <v>460</v>
      </c>
      <c r="J124" t="s">
        <v>6</v>
      </c>
      <c r="K124" t="s">
        <v>461</v>
      </c>
      <c r="L124">
        <v>1191</v>
      </c>
      <c r="N124">
        <v>1013</v>
      </c>
      <c r="O124" t="s">
        <v>459</v>
      </c>
      <c r="P124" t="s">
        <v>459</v>
      </c>
      <c r="Q124">
        <v>1</v>
      </c>
      <c r="W124">
        <v>0</v>
      </c>
      <c r="X124">
        <v>-1417349443</v>
      </c>
      <c r="Y124">
        <v>0.02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6.11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0.02</v>
      </c>
      <c r="AU124" t="s">
        <v>6</v>
      </c>
      <c r="AV124">
        <v>2</v>
      </c>
      <c r="AW124">
        <v>2</v>
      </c>
      <c r="AX124">
        <v>27936103</v>
      </c>
      <c r="AY124">
        <v>1</v>
      </c>
      <c r="AZ124">
        <v>0</v>
      </c>
      <c r="BA124">
        <v>125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Y124*Source!I55</f>
        <v>2.16E-3</v>
      </c>
      <c r="CY124">
        <f>AD124</f>
        <v>0</v>
      </c>
      <c r="CZ124">
        <f>AH124</f>
        <v>0</v>
      </c>
      <c r="DA124">
        <f>AL124</f>
        <v>1</v>
      </c>
      <c r="DB124">
        <f t="shared" si="22"/>
        <v>0</v>
      </c>
      <c r="DC124">
        <f t="shared" si="23"/>
        <v>0</v>
      </c>
    </row>
    <row r="125" spans="1:107" x14ac:dyDescent="0.2">
      <c r="A125">
        <f>ROW(Source!A55)</f>
        <v>55</v>
      </c>
      <c r="B125">
        <v>27935368</v>
      </c>
      <c r="C125">
        <v>27935562</v>
      </c>
      <c r="D125">
        <v>25230514</v>
      </c>
      <c r="E125">
        <v>1</v>
      </c>
      <c r="F125">
        <v>1</v>
      </c>
      <c r="G125">
        <v>1</v>
      </c>
      <c r="H125">
        <v>2</v>
      </c>
      <c r="I125" t="s">
        <v>462</v>
      </c>
      <c r="J125" t="s">
        <v>463</v>
      </c>
      <c r="K125" t="s">
        <v>464</v>
      </c>
      <c r="L125">
        <v>1368</v>
      </c>
      <c r="N125">
        <v>1011</v>
      </c>
      <c r="O125" t="s">
        <v>465</v>
      </c>
      <c r="P125" t="s">
        <v>465</v>
      </c>
      <c r="Q125">
        <v>1</v>
      </c>
      <c r="W125">
        <v>0</v>
      </c>
      <c r="X125">
        <v>1188625873</v>
      </c>
      <c r="Y125">
        <v>0.02</v>
      </c>
      <c r="AA125">
        <v>0</v>
      </c>
      <c r="AB125">
        <v>191</v>
      </c>
      <c r="AC125">
        <v>13.5</v>
      </c>
      <c r="AD125">
        <v>0</v>
      </c>
      <c r="AE125">
        <v>0</v>
      </c>
      <c r="AF125">
        <v>31.26</v>
      </c>
      <c r="AG125">
        <v>13.5</v>
      </c>
      <c r="AH125">
        <v>0</v>
      </c>
      <c r="AI125">
        <v>1</v>
      </c>
      <c r="AJ125">
        <v>6.11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0.02</v>
      </c>
      <c r="AU125" t="s">
        <v>6</v>
      </c>
      <c r="AV125">
        <v>0</v>
      </c>
      <c r="AW125">
        <v>2</v>
      </c>
      <c r="AX125">
        <v>27936104</v>
      </c>
      <c r="AY125">
        <v>1</v>
      </c>
      <c r="AZ125">
        <v>0</v>
      </c>
      <c r="BA125">
        <v>126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Y125*Source!I55</f>
        <v>2.16E-3</v>
      </c>
      <c r="CY125">
        <f>AB125</f>
        <v>191</v>
      </c>
      <c r="CZ125">
        <f>AF125</f>
        <v>31.26</v>
      </c>
      <c r="DA125">
        <f>AJ125</f>
        <v>6.11</v>
      </c>
      <c r="DB125">
        <f t="shared" si="22"/>
        <v>0.63</v>
      </c>
      <c r="DC125">
        <f t="shared" si="23"/>
        <v>0.27</v>
      </c>
    </row>
    <row r="126" spans="1:107" x14ac:dyDescent="0.2">
      <c r="A126">
        <f>ROW(Source!A55)</f>
        <v>55</v>
      </c>
      <c r="B126">
        <v>27935368</v>
      </c>
      <c r="C126">
        <v>27935562</v>
      </c>
      <c r="D126">
        <v>25231607</v>
      </c>
      <c r="E126">
        <v>1</v>
      </c>
      <c r="F126">
        <v>1</v>
      </c>
      <c r="G126">
        <v>1</v>
      </c>
      <c r="H126">
        <v>2</v>
      </c>
      <c r="I126" t="s">
        <v>468</v>
      </c>
      <c r="J126" t="s">
        <v>469</v>
      </c>
      <c r="K126" t="s">
        <v>470</v>
      </c>
      <c r="L126">
        <v>1368</v>
      </c>
      <c r="N126">
        <v>1011</v>
      </c>
      <c r="O126" t="s">
        <v>465</v>
      </c>
      <c r="P126" t="s">
        <v>465</v>
      </c>
      <c r="Q126">
        <v>1</v>
      </c>
      <c r="W126">
        <v>0</v>
      </c>
      <c r="X126">
        <v>1372534845</v>
      </c>
      <c r="Y126">
        <v>2E-3</v>
      </c>
      <c r="AA126">
        <v>0</v>
      </c>
      <c r="AB126">
        <v>401.49</v>
      </c>
      <c r="AC126">
        <v>11.6</v>
      </c>
      <c r="AD126">
        <v>0</v>
      </c>
      <c r="AE126">
        <v>0</v>
      </c>
      <c r="AF126">
        <v>65.709999999999994</v>
      </c>
      <c r="AG126">
        <v>11.6</v>
      </c>
      <c r="AH126">
        <v>0</v>
      </c>
      <c r="AI126">
        <v>1</v>
      </c>
      <c r="AJ126">
        <v>6.11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2E-3</v>
      </c>
      <c r="AU126" t="s">
        <v>6</v>
      </c>
      <c r="AV126">
        <v>0</v>
      </c>
      <c r="AW126">
        <v>2</v>
      </c>
      <c r="AX126">
        <v>27936105</v>
      </c>
      <c r="AY126">
        <v>1</v>
      </c>
      <c r="AZ126">
        <v>0</v>
      </c>
      <c r="BA126">
        <v>127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Y126*Source!I55</f>
        <v>2.1599999999999999E-4</v>
      </c>
      <c r="CY126">
        <f>AB126</f>
        <v>401.49</v>
      </c>
      <c r="CZ126">
        <f>AF126</f>
        <v>65.709999999999994</v>
      </c>
      <c r="DA126">
        <f>AJ126</f>
        <v>6.11</v>
      </c>
      <c r="DB126">
        <f t="shared" si="22"/>
        <v>0.13</v>
      </c>
      <c r="DC126">
        <f t="shared" si="23"/>
        <v>0.02</v>
      </c>
    </row>
    <row r="127" spans="1:107" x14ac:dyDescent="0.2">
      <c r="A127">
        <f>ROW(Source!A55)</f>
        <v>55</v>
      </c>
      <c r="B127">
        <v>27935368</v>
      </c>
      <c r="C127">
        <v>27935562</v>
      </c>
      <c r="D127">
        <v>25149812</v>
      </c>
      <c r="E127">
        <v>1</v>
      </c>
      <c r="F127">
        <v>1</v>
      </c>
      <c r="G127">
        <v>1</v>
      </c>
      <c r="H127">
        <v>3</v>
      </c>
      <c r="I127" t="s">
        <v>112</v>
      </c>
      <c r="J127" t="s">
        <v>114</v>
      </c>
      <c r="K127" t="s">
        <v>113</v>
      </c>
      <c r="L127">
        <v>1327</v>
      </c>
      <c r="N127">
        <v>1005</v>
      </c>
      <c r="O127" t="s">
        <v>35</v>
      </c>
      <c r="P127" t="s">
        <v>35</v>
      </c>
      <c r="Q127">
        <v>1</v>
      </c>
      <c r="W127">
        <v>0</v>
      </c>
      <c r="X127">
        <v>-1442549120</v>
      </c>
      <c r="Y127">
        <v>100</v>
      </c>
      <c r="AA127">
        <v>334.34</v>
      </c>
      <c r="AB127">
        <v>0</v>
      </c>
      <c r="AC127">
        <v>0</v>
      </c>
      <c r="AD127">
        <v>0</v>
      </c>
      <c r="AE127">
        <v>54.72</v>
      </c>
      <c r="AF127">
        <v>0</v>
      </c>
      <c r="AG127">
        <v>0</v>
      </c>
      <c r="AH127">
        <v>0</v>
      </c>
      <c r="AI127">
        <v>6.11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6</v>
      </c>
      <c r="AT127">
        <v>100</v>
      </c>
      <c r="AU127" t="s">
        <v>6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Y127*Source!I55</f>
        <v>10.8</v>
      </c>
      <c r="CY127">
        <f>AA127</f>
        <v>334.34</v>
      </c>
      <c r="CZ127">
        <f>AE127</f>
        <v>54.72</v>
      </c>
      <c r="DA127">
        <f>AI127</f>
        <v>6.11</v>
      </c>
      <c r="DB127">
        <f t="shared" si="22"/>
        <v>5472</v>
      </c>
      <c r="DC127">
        <f t="shared" si="23"/>
        <v>0</v>
      </c>
    </row>
    <row r="128" spans="1:107" x14ac:dyDescent="0.2">
      <c r="A128">
        <f>ROW(Source!A55)</f>
        <v>55</v>
      </c>
      <c r="B128">
        <v>27935368</v>
      </c>
      <c r="C128">
        <v>27935562</v>
      </c>
      <c r="D128">
        <v>25175512</v>
      </c>
      <c r="E128">
        <v>1</v>
      </c>
      <c r="F128">
        <v>1</v>
      </c>
      <c r="G128">
        <v>1</v>
      </c>
      <c r="H128">
        <v>3</v>
      </c>
      <c r="I128" t="s">
        <v>108</v>
      </c>
      <c r="J128" t="s">
        <v>110</v>
      </c>
      <c r="K128" t="s">
        <v>109</v>
      </c>
      <c r="L128">
        <v>1301</v>
      </c>
      <c r="N128">
        <v>1003</v>
      </c>
      <c r="O128" t="s">
        <v>45</v>
      </c>
      <c r="P128" t="s">
        <v>45</v>
      </c>
      <c r="Q128">
        <v>1</v>
      </c>
      <c r="W128">
        <v>1</v>
      </c>
      <c r="X128">
        <v>1265826934</v>
      </c>
      <c r="Y128">
        <v>-1050</v>
      </c>
      <c r="AA128">
        <v>150.97999999999999</v>
      </c>
      <c r="AB128">
        <v>0</v>
      </c>
      <c r="AC128">
        <v>0</v>
      </c>
      <c r="AD128">
        <v>0</v>
      </c>
      <c r="AE128">
        <v>24.71</v>
      </c>
      <c r="AF128">
        <v>0</v>
      </c>
      <c r="AG128">
        <v>0</v>
      </c>
      <c r="AH128">
        <v>0</v>
      </c>
      <c r="AI128">
        <v>6.11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-1050</v>
      </c>
      <c r="AU128" t="s">
        <v>6</v>
      </c>
      <c r="AV128">
        <v>0</v>
      </c>
      <c r="AW128">
        <v>2</v>
      </c>
      <c r="AX128">
        <v>27936106</v>
      </c>
      <c r="AY128">
        <v>1</v>
      </c>
      <c r="AZ128">
        <v>6144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Y128*Source!I55</f>
        <v>-113.4</v>
      </c>
      <c r="CY128">
        <f>AA128</f>
        <v>150.97999999999999</v>
      </c>
      <c r="CZ128">
        <f>AE128</f>
        <v>24.71</v>
      </c>
      <c r="DA128">
        <f>AI128</f>
        <v>6.11</v>
      </c>
      <c r="DB128">
        <f t="shared" si="22"/>
        <v>-25945.5</v>
      </c>
      <c r="DC128">
        <f t="shared" si="23"/>
        <v>0</v>
      </c>
    </row>
    <row r="129" spans="1:107" x14ac:dyDescent="0.2">
      <c r="A129">
        <f>ROW(Source!A60)</f>
        <v>60</v>
      </c>
      <c r="B129">
        <v>27935367</v>
      </c>
      <c r="C129">
        <v>27935579</v>
      </c>
      <c r="D129">
        <v>25413300</v>
      </c>
      <c r="E129">
        <v>1</v>
      </c>
      <c r="F129">
        <v>1</v>
      </c>
      <c r="G129">
        <v>1</v>
      </c>
      <c r="H129">
        <v>1</v>
      </c>
      <c r="I129" t="s">
        <v>491</v>
      </c>
      <c r="J129" t="s">
        <v>6</v>
      </c>
      <c r="K129" t="s">
        <v>492</v>
      </c>
      <c r="L129">
        <v>1191</v>
      </c>
      <c r="N129">
        <v>1013</v>
      </c>
      <c r="O129" t="s">
        <v>459</v>
      </c>
      <c r="P129" t="s">
        <v>459</v>
      </c>
      <c r="Q129">
        <v>1</v>
      </c>
      <c r="W129">
        <v>0</v>
      </c>
      <c r="X129">
        <v>-400197608</v>
      </c>
      <c r="Y129">
        <v>69.87</v>
      </c>
      <c r="AA129">
        <v>0</v>
      </c>
      <c r="AB129">
        <v>0</v>
      </c>
      <c r="AC129">
        <v>0</v>
      </c>
      <c r="AD129">
        <v>8.5299999999999994</v>
      </c>
      <c r="AE129">
        <v>0</v>
      </c>
      <c r="AF129">
        <v>0</v>
      </c>
      <c r="AG129">
        <v>0</v>
      </c>
      <c r="AH129">
        <v>8.5299999999999994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69.87</v>
      </c>
      <c r="AU129" t="s">
        <v>6</v>
      </c>
      <c r="AV129">
        <v>1</v>
      </c>
      <c r="AW129">
        <v>2</v>
      </c>
      <c r="AX129">
        <v>27935583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Y129*Source!I60</f>
        <v>29.065920000000002</v>
      </c>
      <c r="CY129">
        <f>AD129</f>
        <v>8.5299999999999994</v>
      </c>
      <c r="CZ129">
        <f>AH129</f>
        <v>8.5299999999999994</v>
      </c>
      <c r="DA129">
        <f>AL129</f>
        <v>1</v>
      </c>
      <c r="DB129">
        <f t="shared" si="22"/>
        <v>595.99</v>
      </c>
      <c r="DC129">
        <f t="shared" si="23"/>
        <v>0</v>
      </c>
    </row>
    <row r="130" spans="1:107" x14ac:dyDescent="0.2">
      <c r="A130">
        <f>ROW(Source!A60)</f>
        <v>60</v>
      </c>
      <c r="B130">
        <v>27935367</v>
      </c>
      <c r="C130">
        <v>27935579</v>
      </c>
      <c r="D130">
        <v>25412928</v>
      </c>
      <c r="E130">
        <v>1</v>
      </c>
      <c r="F130">
        <v>1</v>
      </c>
      <c r="G130">
        <v>1</v>
      </c>
      <c r="H130">
        <v>1</v>
      </c>
      <c r="I130" t="s">
        <v>460</v>
      </c>
      <c r="J130" t="s">
        <v>6</v>
      </c>
      <c r="K130" t="s">
        <v>461</v>
      </c>
      <c r="L130">
        <v>1191</v>
      </c>
      <c r="N130">
        <v>1013</v>
      </c>
      <c r="O130" t="s">
        <v>459</v>
      </c>
      <c r="P130" t="s">
        <v>459</v>
      </c>
      <c r="Q130">
        <v>1</v>
      </c>
      <c r="W130">
        <v>0</v>
      </c>
      <c r="X130">
        <v>-1417349443</v>
      </c>
      <c r="Y130">
        <v>1.44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1.44</v>
      </c>
      <c r="AU130" t="s">
        <v>6</v>
      </c>
      <c r="AV130">
        <v>2</v>
      </c>
      <c r="AW130">
        <v>2</v>
      </c>
      <c r="AX130">
        <v>27935584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Y130*Source!I60</f>
        <v>0.59903999999999991</v>
      </c>
      <c r="CY130">
        <f>AD130</f>
        <v>0</v>
      </c>
      <c r="CZ130">
        <f>AH130</f>
        <v>0</v>
      </c>
      <c r="DA130">
        <f>AL130</f>
        <v>1</v>
      </c>
      <c r="DB130">
        <f t="shared" si="22"/>
        <v>0</v>
      </c>
      <c r="DC130">
        <f t="shared" si="23"/>
        <v>0</v>
      </c>
    </row>
    <row r="131" spans="1:107" x14ac:dyDescent="0.2">
      <c r="A131">
        <f>ROW(Source!A60)</f>
        <v>60</v>
      </c>
      <c r="B131">
        <v>27935367</v>
      </c>
      <c r="C131">
        <v>27935579</v>
      </c>
      <c r="D131">
        <v>25230514</v>
      </c>
      <c r="E131">
        <v>1</v>
      </c>
      <c r="F131">
        <v>1</v>
      </c>
      <c r="G131">
        <v>1</v>
      </c>
      <c r="H131">
        <v>2</v>
      </c>
      <c r="I131" t="s">
        <v>462</v>
      </c>
      <c r="J131" t="s">
        <v>463</v>
      </c>
      <c r="K131" t="s">
        <v>464</v>
      </c>
      <c r="L131">
        <v>1368</v>
      </c>
      <c r="N131">
        <v>1011</v>
      </c>
      <c r="O131" t="s">
        <v>465</v>
      </c>
      <c r="P131" t="s">
        <v>465</v>
      </c>
      <c r="Q131">
        <v>1</v>
      </c>
      <c r="W131">
        <v>0</v>
      </c>
      <c r="X131">
        <v>1188625873</v>
      </c>
      <c r="Y131">
        <v>1.44</v>
      </c>
      <c r="AA131">
        <v>0</v>
      </c>
      <c r="AB131">
        <v>31.26</v>
      </c>
      <c r="AC131">
        <v>13.5</v>
      </c>
      <c r="AD131">
        <v>0</v>
      </c>
      <c r="AE131">
        <v>0</v>
      </c>
      <c r="AF131">
        <v>31.26</v>
      </c>
      <c r="AG131">
        <v>13.5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1.44</v>
      </c>
      <c r="AU131" t="s">
        <v>6</v>
      </c>
      <c r="AV131">
        <v>0</v>
      </c>
      <c r="AW131">
        <v>2</v>
      </c>
      <c r="AX131">
        <v>27935585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Y131*Source!I60</f>
        <v>0.59903999999999991</v>
      </c>
      <c r="CY131">
        <f>AB131</f>
        <v>31.26</v>
      </c>
      <c r="CZ131">
        <f>AF131</f>
        <v>31.26</v>
      </c>
      <c r="DA131">
        <f>AJ131</f>
        <v>1</v>
      </c>
      <c r="DB131">
        <f t="shared" si="22"/>
        <v>45.01</v>
      </c>
      <c r="DC131">
        <f t="shared" si="23"/>
        <v>19.440000000000001</v>
      </c>
    </row>
    <row r="132" spans="1:107" x14ac:dyDescent="0.2">
      <c r="A132">
        <f>ROW(Source!A61)</f>
        <v>61</v>
      </c>
      <c r="B132">
        <v>27935368</v>
      </c>
      <c r="C132">
        <v>27935579</v>
      </c>
      <c r="D132">
        <v>25413300</v>
      </c>
      <c r="E132">
        <v>1</v>
      </c>
      <c r="F132">
        <v>1</v>
      </c>
      <c r="G132">
        <v>1</v>
      </c>
      <c r="H132">
        <v>1</v>
      </c>
      <c r="I132" t="s">
        <v>491</v>
      </c>
      <c r="J132" t="s">
        <v>6</v>
      </c>
      <c r="K132" t="s">
        <v>492</v>
      </c>
      <c r="L132">
        <v>1191</v>
      </c>
      <c r="N132">
        <v>1013</v>
      </c>
      <c r="O132" t="s">
        <v>459</v>
      </c>
      <c r="P132" t="s">
        <v>459</v>
      </c>
      <c r="Q132">
        <v>1</v>
      </c>
      <c r="W132">
        <v>0</v>
      </c>
      <c r="X132">
        <v>-400197608</v>
      </c>
      <c r="Y132">
        <v>69.87</v>
      </c>
      <c r="AA132">
        <v>0</v>
      </c>
      <c r="AB132">
        <v>0</v>
      </c>
      <c r="AC132">
        <v>0</v>
      </c>
      <c r="AD132">
        <v>52.12</v>
      </c>
      <c r="AE132">
        <v>0</v>
      </c>
      <c r="AF132">
        <v>0</v>
      </c>
      <c r="AG132">
        <v>0</v>
      </c>
      <c r="AH132">
        <v>8.5299999999999994</v>
      </c>
      <c r="AI132">
        <v>1</v>
      </c>
      <c r="AJ132">
        <v>1</v>
      </c>
      <c r="AK132">
        <v>1</v>
      </c>
      <c r="AL132">
        <v>6.11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69.87</v>
      </c>
      <c r="AU132" t="s">
        <v>6</v>
      </c>
      <c r="AV132">
        <v>1</v>
      </c>
      <c r="AW132">
        <v>2</v>
      </c>
      <c r="AX132">
        <v>27935583</v>
      </c>
      <c r="AY132">
        <v>1</v>
      </c>
      <c r="AZ132">
        <v>0</v>
      </c>
      <c r="BA132">
        <v>133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Y132*Source!I61</f>
        <v>29.065920000000002</v>
      </c>
      <c r="CY132">
        <f>AD132</f>
        <v>52.12</v>
      </c>
      <c r="CZ132">
        <f>AH132</f>
        <v>8.5299999999999994</v>
      </c>
      <c r="DA132">
        <f>AL132</f>
        <v>6.11</v>
      </c>
      <c r="DB132">
        <f t="shared" si="22"/>
        <v>595.99</v>
      </c>
      <c r="DC132">
        <f t="shared" si="23"/>
        <v>0</v>
      </c>
    </row>
    <row r="133" spans="1:107" x14ac:dyDescent="0.2">
      <c r="A133">
        <f>ROW(Source!A61)</f>
        <v>61</v>
      </c>
      <c r="B133">
        <v>27935368</v>
      </c>
      <c r="C133">
        <v>27935579</v>
      </c>
      <c r="D133">
        <v>25412928</v>
      </c>
      <c r="E133">
        <v>1</v>
      </c>
      <c r="F133">
        <v>1</v>
      </c>
      <c r="G133">
        <v>1</v>
      </c>
      <c r="H133">
        <v>1</v>
      </c>
      <c r="I133" t="s">
        <v>460</v>
      </c>
      <c r="J133" t="s">
        <v>6</v>
      </c>
      <c r="K133" t="s">
        <v>461</v>
      </c>
      <c r="L133">
        <v>1191</v>
      </c>
      <c r="N133">
        <v>1013</v>
      </c>
      <c r="O133" t="s">
        <v>459</v>
      </c>
      <c r="P133" t="s">
        <v>459</v>
      </c>
      <c r="Q133">
        <v>1</v>
      </c>
      <c r="W133">
        <v>0</v>
      </c>
      <c r="X133">
        <v>-1417349443</v>
      </c>
      <c r="Y133">
        <v>1.44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6.11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1.44</v>
      </c>
      <c r="AU133" t="s">
        <v>6</v>
      </c>
      <c r="AV133">
        <v>2</v>
      </c>
      <c r="AW133">
        <v>2</v>
      </c>
      <c r="AX133">
        <v>27935584</v>
      </c>
      <c r="AY133">
        <v>1</v>
      </c>
      <c r="AZ133">
        <v>0</v>
      </c>
      <c r="BA133">
        <v>134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Y133*Source!I61</f>
        <v>0.59903999999999991</v>
      </c>
      <c r="CY133">
        <f>AD133</f>
        <v>0</v>
      </c>
      <c r="CZ133">
        <f>AH133</f>
        <v>0</v>
      </c>
      <c r="DA133">
        <f>AL133</f>
        <v>1</v>
      </c>
      <c r="DB133">
        <f t="shared" si="22"/>
        <v>0</v>
      </c>
      <c r="DC133">
        <f t="shared" si="23"/>
        <v>0</v>
      </c>
    </row>
    <row r="134" spans="1:107" x14ac:dyDescent="0.2">
      <c r="A134">
        <f>ROW(Source!A61)</f>
        <v>61</v>
      </c>
      <c r="B134">
        <v>27935368</v>
      </c>
      <c r="C134">
        <v>27935579</v>
      </c>
      <c r="D134">
        <v>25230514</v>
      </c>
      <c r="E134">
        <v>1</v>
      </c>
      <c r="F134">
        <v>1</v>
      </c>
      <c r="G134">
        <v>1</v>
      </c>
      <c r="H134">
        <v>2</v>
      </c>
      <c r="I134" t="s">
        <v>462</v>
      </c>
      <c r="J134" t="s">
        <v>463</v>
      </c>
      <c r="K134" t="s">
        <v>464</v>
      </c>
      <c r="L134">
        <v>1368</v>
      </c>
      <c r="N134">
        <v>1011</v>
      </c>
      <c r="O134" t="s">
        <v>465</v>
      </c>
      <c r="P134" t="s">
        <v>465</v>
      </c>
      <c r="Q134">
        <v>1</v>
      </c>
      <c r="W134">
        <v>0</v>
      </c>
      <c r="X134">
        <v>1188625873</v>
      </c>
      <c r="Y134">
        <v>1.44</v>
      </c>
      <c r="AA134">
        <v>0</v>
      </c>
      <c r="AB134">
        <v>191</v>
      </c>
      <c r="AC134">
        <v>13.5</v>
      </c>
      <c r="AD134">
        <v>0</v>
      </c>
      <c r="AE134">
        <v>0</v>
      </c>
      <c r="AF134">
        <v>31.26</v>
      </c>
      <c r="AG134">
        <v>13.5</v>
      </c>
      <c r="AH134">
        <v>0</v>
      </c>
      <c r="AI134">
        <v>1</v>
      </c>
      <c r="AJ134">
        <v>6.11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1.44</v>
      </c>
      <c r="AU134" t="s">
        <v>6</v>
      </c>
      <c r="AV134">
        <v>0</v>
      </c>
      <c r="AW134">
        <v>2</v>
      </c>
      <c r="AX134">
        <v>27935585</v>
      </c>
      <c r="AY134">
        <v>1</v>
      </c>
      <c r="AZ134">
        <v>0</v>
      </c>
      <c r="BA134">
        <v>135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Y134*Source!I61</f>
        <v>0.59903999999999991</v>
      </c>
      <c r="CY134">
        <f>AB134</f>
        <v>191</v>
      </c>
      <c r="CZ134">
        <f>AF134</f>
        <v>31.26</v>
      </c>
      <c r="DA134">
        <f>AJ134</f>
        <v>6.11</v>
      </c>
      <c r="DB134">
        <f t="shared" si="22"/>
        <v>45.01</v>
      </c>
      <c r="DC134">
        <f t="shared" si="23"/>
        <v>19.440000000000001</v>
      </c>
    </row>
    <row r="135" spans="1:107" x14ac:dyDescent="0.2">
      <c r="A135">
        <f>ROW(Source!A62)</f>
        <v>62</v>
      </c>
      <c r="B135">
        <v>27935367</v>
      </c>
      <c r="C135">
        <v>27935587</v>
      </c>
      <c r="D135">
        <v>25413050</v>
      </c>
      <c r="E135">
        <v>1</v>
      </c>
      <c r="F135">
        <v>1</v>
      </c>
      <c r="G135">
        <v>1</v>
      </c>
      <c r="H135">
        <v>1</v>
      </c>
      <c r="I135" t="s">
        <v>551</v>
      </c>
      <c r="J135" t="s">
        <v>6</v>
      </c>
      <c r="K135" t="s">
        <v>552</v>
      </c>
      <c r="L135">
        <v>1191</v>
      </c>
      <c r="N135">
        <v>1013</v>
      </c>
      <c r="O135" t="s">
        <v>459</v>
      </c>
      <c r="P135" t="s">
        <v>459</v>
      </c>
      <c r="Q135">
        <v>1</v>
      </c>
      <c r="W135">
        <v>0</v>
      </c>
      <c r="X135">
        <v>735429535</v>
      </c>
      <c r="Y135">
        <v>3.77</v>
      </c>
      <c r="AA135">
        <v>0</v>
      </c>
      <c r="AB135">
        <v>0</v>
      </c>
      <c r="AC135">
        <v>0</v>
      </c>
      <c r="AD135">
        <v>7.8</v>
      </c>
      <c r="AE135">
        <v>0</v>
      </c>
      <c r="AF135">
        <v>0</v>
      </c>
      <c r="AG135">
        <v>0</v>
      </c>
      <c r="AH135">
        <v>7.8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3.77</v>
      </c>
      <c r="AU135" t="s">
        <v>6</v>
      </c>
      <c r="AV135">
        <v>1</v>
      </c>
      <c r="AW135">
        <v>2</v>
      </c>
      <c r="AX135">
        <v>27935589</v>
      </c>
      <c r="AY135">
        <v>1</v>
      </c>
      <c r="AZ135">
        <v>0</v>
      </c>
      <c r="BA135">
        <v>137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Y135*Source!I62</f>
        <v>0.52780000000000005</v>
      </c>
      <c r="CY135">
        <f>AD135</f>
        <v>7.8</v>
      </c>
      <c r="CZ135">
        <f>AH135</f>
        <v>7.8</v>
      </c>
      <c r="DA135">
        <f>AL135</f>
        <v>1</v>
      </c>
      <c r="DB135">
        <f t="shared" si="22"/>
        <v>29.41</v>
      </c>
      <c r="DC135">
        <f t="shared" si="23"/>
        <v>0</v>
      </c>
    </row>
    <row r="136" spans="1:107" x14ac:dyDescent="0.2">
      <c r="A136">
        <f>ROW(Source!A63)</f>
        <v>63</v>
      </c>
      <c r="B136">
        <v>27935368</v>
      </c>
      <c r="C136">
        <v>27935587</v>
      </c>
      <c r="D136">
        <v>25413050</v>
      </c>
      <c r="E136">
        <v>1</v>
      </c>
      <c r="F136">
        <v>1</v>
      </c>
      <c r="G136">
        <v>1</v>
      </c>
      <c r="H136">
        <v>1</v>
      </c>
      <c r="I136" t="s">
        <v>551</v>
      </c>
      <c r="J136" t="s">
        <v>6</v>
      </c>
      <c r="K136" t="s">
        <v>552</v>
      </c>
      <c r="L136">
        <v>1191</v>
      </c>
      <c r="N136">
        <v>1013</v>
      </c>
      <c r="O136" t="s">
        <v>459</v>
      </c>
      <c r="P136" t="s">
        <v>459</v>
      </c>
      <c r="Q136">
        <v>1</v>
      </c>
      <c r="W136">
        <v>0</v>
      </c>
      <c r="X136">
        <v>735429535</v>
      </c>
      <c r="Y136">
        <v>3.77</v>
      </c>
      <c r="AA136">
        <v>0</v>
      </c>
      <c r="AB136">
        <v>0</v>
      </c>
      <c r="AC136">
        <v>0</v>
      </c>
      <c r="AD136">
        <v>47.66</v>
      </c>
      <c r="AE136">
        <v>0</v>
      </c>
      <c r="AF136">
        <v>0</v>
      </c>
      <c r="AG136">
        <v>0</v>
      </c>
      <c r="AH136">
        <v>7.8</v>
      </c>
      <c r="AI136">
        <v>1</v>
      </c>
      <c r="AJ136">
        <v>1</v>
      </c>
      <c r="AK136">
        <v>1</v>
      </c>
      <c r="AL136">
        <v>6.11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3.77</v>
      </c>
      <c r="AU136" t="s">
        <v>6</v>
      </c>
      <c r="AV136">
        <v>1</v>
      </c>
      <c r="AW136">
        <v>2</v>
      </c>
      <c r="AX136">
        <v>27935589</v>
      </c>
      <c r="AY136">
        <v>1</v>
      </c>
      <c r="AZ136">
        <v>0</v>
      </c>
      <c r="BA136">
        <v>139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Y136*Source!I63</f>
        <v>0.52780000000000005</v>
      </c>
      <c r="CY136">
        <f>AD136</f>
        <v>47.66</v>
      </c>
      <c r="CZ136">
        <f>AH136</f>
        <v>7.8</v>
      </c>
      <c r="DA136">
        <f>AL136</f>
        <v>6.11</v>
      </c>
      <c r="DB136">
        <f t="shared" si="22"/>
        <v>29.41</v>
      </c>
      <c r="DC136">
        <f t="shared" si="23"/>
        <v>0</v>
      </c>
    </row>
    <row r="137" spans="1:107" x14ac:dyDescent="0.2">
      <c r="A137">
        <f>ROW(Source!A64)</f>
        <v>64</v>
      </c>
      <c r="B137">
        <v>27935367</v>
      </c>
      <c r="C137">
        <v>27935591</v>
      </c>
      <c r="D137">
        <v>25416173</v>
      </c>
      <c r="E137">
        <v>1</v>
      </c>
      <c r="F137">
        <v>1</v>
      </c>
      <c r="G137">
        <v>1</v>
      </c>
      <c r="H137">
        <v>1</v>
      </c>
      <c r="I137" t="s">
        <v>553</v>
      </c>
      <c r="J137" t="s">
        <v>6</v>
      </c>
      <c r="K137" t="s">
        <v>554</v>
      </c>
      <c r="L137">
        <v>1191</v>
      </c>
      <c r="N137">
        <v>1013</v>
      </c>
      <c r="O137" t="s">
        <v>459</v>
      </c>
      <c r="P137" t="s">
        <v>459</v>
      </c>
      <c r="Q137">
        <v>1</v>
      </c>
      <c r="W137">
        <v>0</v>
      </c>
      <c r="X137">
        <v>-1366118074</v>
      </c>
      <c r="Y137">
        <v>45.436499999999995</v>
      </c>
      <c r="AA137">
        <v>0</v>
      </c>
      <c r="AB137">
        <v>0</v>
      </c>
      <c r="AC137">
        <v>0</v>
      </c>
      <c r="AD137">
        <v>7.94</v>
      </c>
      <c r="AE137">
        <v>0</v>
      </c>
      <c r="AF137">
        <v>0</v>
      </c>
      <c r="AG137">
        <v>0</v>
      </c>
      <c r="AH137">
        <v>7.94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39.51</v>
      </c>
      <c r="AU137" t="s">
        <v>28</v>
      </c>
      <c r="AV137">
        <v>1</v>
      </c>
      <c r="AW137">
        <v>2</v>
      </c>
      <c r="AX137">
        <v>27935598</v>
      </c>
      <c r="AY137">
        <v>1</v>
      </c>
      <c r="AZ137">
        <v>0</v>
      </c>
      <c r="BA137">
        <v>141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Y137*Source!I64</f>
        <v>18.901583999999996</v>
      </c>
      <c r="CY137">
        <f>AD137</f>
        <v>7.94</v>
      </c>
      <c r="CZ137">
        <f>AH137</f>
        <v>7.94</v>
      </c>
      <c r="DA137">
        <f>AL137</f>
        <v>1</v>
      </c>
      <c r="DB137">
        <f>ROUND((ROUND(AT137*CZ137,2)*1.15),2)</f>
        <v>360.77</v>
      </c>
      <c r="DC137">
        <f>ROUND((ROUND(AT137*AG137,2)*1.15),2)</f>
        <v>0</v>
      </c>
    </row>
    <row r="138" spans="1:107" x14ac:dyDescent="0.2">
      <c r="A138">
        <f>ROW(Source!A64)</f>
        <v>64</v>
      </c>
      <c r="B138">
        <v>27935367</v>
      </c>
      <c r="C138">
        <v>27935591</v>
      </c>
      <c r="D138">
        <v>25412928</v>
      </c>
      <c r="E138">
        <v>1</v>
      </c>
      <c r="F138">
        <v>1</v>
      </c>
      <c r="G138">
        <v>1</v>
      </c>
      <c r="H138">
        <v>1</v>
      </c>
      <c r="I138" t="s">
        <v>460</v>
      </c>
      <c r="J138" t="s">
        <v>6</v>
      </c>
      <c r="K138" t="s">
        <v>461</v>
      </c>
      <c r="L138">
        <v>1191</v>
      </c>
      <c r="N138">
        <v>1013</v>
      </c>
      <c r="O138" t="s">
        <v>459</v>
      </c>
      <c r="P138" t="s">
        <v>459</v>
      </c>
      <c r="Q138">
        <v>1</v>
      </c>
      <c r="W138">
        <v>0</v>
      </c>
      <c r="X138">
        <v>-1417349443</v>
      </c>
      <c r="Y138">
        <v>1.27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1.27</v>
      </c>
      <c r="AU138" t="s">
        <v>6</v>
      </c>
      <c r="AV138">
        <v>2</v>
      </c>
      <c r="AW138">
        <v>2</v>
      </c>
      <c r="AX138">
        <v>27935599</v>
      </c>
      <c r="AY138">
        <v>1</v>
      </c>
      <c r="AZ138">
        <v>2048</v>
      </c>
      <c r="BA138">
        <v>142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Y138*Source!I64</f>
        <v>0.52832000000000001</v>
      </c>
      <c r="CY138">
        <f>AD138</f>
        <v>0</v>
      </c>
      <c r="CZ138">
        <f>AH138</f>
        <v>0</v>
      </c>
      <c r="DA138">
        <f>AL138</f>
        <v>1</v>
      </c>
      <c r="DB138">
        <f>ROUND(ROUND(AT138*CZ138,2),2)</f>
        <v>0</v>
      </c>
      <c r="DC138">
        <f>ROUND(ROUND(AT138*AG138,2),2)</f>
        <v>0</v>
      </c>
    </row>
    <row r="139" spans="1:107" x14ac:dyDescent="0.2">
      <c r="A139">
        <f>ROW(Source!A64)</f>
        <v>64</v>
      </c>
      <c r="B139">
        <v>27935367</v>
      </c>
      <c r="C139">
        <v>27935591</v>
      </c>
      <c r="D139">
        <v>25230514</v>
      </c>
      <c r="E139">
        <v>1</v>
      </c>
      <c r="F139">
        <v>1</v>
      </c>
      <c r="G139">
        <v>1</v>
      </c>
      <c r="H139">
        <v>2</v>
      </c>
      <c r="I139" t="s">
        <v>462</v>
      </c>
      <c r="J139" t="s">
        <v>463</v>
      </c>
      <c r="K139" t="s">
        <v>464</v>
      </c>
      <c r="L139">
        <v>1368</v>
      </c>
      <c r="N139">
        <v>1011</v>
      </c>
      <c r="O139" t="s">
        <v>465</v>
      </c>
      <c r="P139" t="s">
        <v>465</v>
      </c>
      <c r="Q139">
        <v>1</v>
      </c>
      <c r="W139">
        <v>0</v>
      </c>
      <c r="X139">
        <v>1188625873</v>
      </c>
      <c r="Y139">
        <v>1.5874999999999999</v>
      </c>
      <c r="AA139">
        <v>0</v>
      </c>
      <c r="AB139">
        <v>31.26</v>
      </c>
      <c r="AC139">
        <v>13.5</v>
      </c>
      <c r="AD139">
        <v>0</v>
      </c>
      <c r="AE139">
        <v>0</v>
      </c>
      <c r="AF139">
        <v>31.26</v>
      </c>
      <c r="AG139">
        <v>13.5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1.27</v>
      </c>
      <c r="AU139" t="s">
        <v>27</v>
      </c>
      <c r="AV139">
        <v>0</v>
      </c>
      <c r="AW139">
        <v>2</v>
      </c>
      <c r="AX139">
        <v>27935600</v>
      </c>
      <c r="AY139">
        <v>1</v>
      </c>
      <c r="AZ139">
        <v>0</v>
      </c>
      <c r="BA139">
        <v>143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Y139*Source!I64</f>
        <v>0.66039999999999999</v>
      </c>
      <c r="CY139">
        <f>AB139</f>
        <v>31.26</v>
      </c>
      <c r="CZ139">
        <f>AF139</f>
        <v>31.26</v>
      </c>
      <c r="DA139">
        <f>AJ139</f>
        <v>1</v>
      </c>
      <c r="DB139">
        <f>ROUND((ROUND(AT139*CZ139,2)*1.25),2)</f>
        <v>49.63</v>
      </c>
      <c r="DC139">
        <f>ROUND((ROUND(AT139*AG139,2)*1.25),2)</f>
        <v>21.44</v>
      </c>
    </row>
    <row r="140" spans="1:107" x14ac:dyDescent="0.2">
      <c r="A140">
        <f>ROW(Source!A64)</f>
        <v>64</v>
      </c>
      <c r="B140">
        <v>27935367</v>
      </c>
      <c r="C140">
        <v>27935591</v>
      </c>
      <c r="D140">
        <v>25230627</v>
      </c>
      <c r="E140">
        <v>1</v>
      </c>
      <c r="F140">
        <v>1</v>
      </c>
      <c r="G140">
        <v>1</v>
      </c>
      <c r="H140">
        <v>2</v>
      </c>
      <c r="I140" t="s">
        <v>555</v>
      </c>
      <c r="J140" t="s">
        <v>556</v>
      </c>
      <c r="K140" t="s">
        <v>557</v>
      </c>
      <c r="L140">
        <v>1368</v>
      </c>
      <c r="N140">
        <v>1011</v>
      </c>
      <c r="O140" t="s">
        <v>465</v>
      </c>
      <c r="P140" t="s">
        <v>465</v>
      </c>
      <c r="Q140">
        <v>1</v>
      </c>
      <c r="W140">
        <v>0</v>
      </c>
      <c r="X140">
        <v>126902709</v>
      </c>
      <c r="Y140">
        <v>11.3375</v>
      </c>
      <c r="AA140">
        <v>0</v>
      </c>
      <c r="AB140">
        <v>0.5</v>
      </c>
      <c r="AC140">
        <v>0</v>
      </c>
      <c r="AD140">
        <v>0</v>
      </c>
      <c r="AE140">
        <v>0</v>
      </c>
      <c r="AF140">
        <v>0.5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9.07</v>
      </c>
      <c r="AU140" t="s">
        <v>27</v>
      </c>
      <c r="AV140">
        <v>0</v>
      </c>
      <c r="AW140">
        <v>2</v>
      </c>
      <c r="AX140">
        <v>27935601</v>
      </c>
      <c r="AY140">
        <v>1</v>
      </c>
      <c r="AZ140">
        <v>0</v>
      </c>
      <c r="BA140">
        <v>144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Y140*Source!I64</f>
        <v>4.7164000000000001</v>
      </c>
      <c r="CY140">
        <f>AB140</f>
        <v>0.5</v>
      </c>
      <c r="CZ140">
        <f>AF140</f>
        <v>0.5</v>
      </c>
      <c r="DA140">
        <f>AJ140</f>
        <v>1</v>
      </c>
      <c r="DB140">
        <f>ROUND((ROUND(AT140*CZ140,2)*1.25),2)</f>
        <v>5.68</v>
      </c>
      <c r="DC140">
        <f>ROUND((ROUND(AT140*AG140,2)*1.25),2)</f>
        <v>0</v>
      </c>
    </row>
    <row r="141" spans="1:107" x14ac:dyDescent="0.2">
      <c r="A141">
        <f>ROW(Source!A64)</f>
        <v>64</v>
      </c>
      <c r="B141">
        <v>27935367</v>
      </c>
      <c r="C141">
        <v>27935591</v>
      </c>
      <c r="D141">
        <v>25149961</v>
      </c>
      <c r="E141">
        <v>1</v>
      </c>
      <c r="F141">
        <v>1</v>
      </c>
      <c r="G141">
        <v>1</v>
      </c>
      <c r="H141">
        <v>3</v>
      </c>
      <c r="I141" t="s">
        <v>558</v>
      </c>
      <c r="J141" t="s">
        <v>559</v>
      </c>
      <c r="K141" t="s">
        <v>560</v>
      </c>
      <c r="L141">
        <v>1339</v>
      </c>
      <c r="N141">
        <v>1007</v>
      </c>
      <c r="O141" t="s">
        <v>133</v>
      </c>
      <c r="P141" t="s">
        <v>133</v>
      </c>
      <c r="Q141">
        <v>1</v>
      </c>
      <c r="W141">
        <v>0</v>
      </c>
      <c r="X141">
        <v>-1660354250</v>
      </c>
      <c r="Y141">
        <v>3.5</v>
      </c>
      <c r="AA141">
        <v>2.44</v>
      </c>
      <c r="AB141">
        <v>0</v>
      </c>
      <c r="AC141">
        <v>0</v>
      </c>
      <c r="AD141">
        <v>0</v>
      </c>
      <c r="AE141">
        <v>2.44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3.5</v>
      </c>
      <c r="AU141" t="s">
        <v>6</v>
      </c>
      <c r="AV141">
        <v>0</v>
      </c>
      <c r="AW141">
        <v>2</v>
      </c>
      <c r="AX141">
        <v>27935602</v>
      </c>
      <c r="AY141">
        <v>1</v>
      </c>
      <c r="AZ141">
        <v>0</v>
      </c>
      <c r="BA141">
        <v>145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Y141*Source!I64</f>
        <v>1.456</v>
      </c>
      <c r="CY141">
        <f>AA141</f>
        <v>2.44</v>
      </c>
      <c r="CZ141">
        <f>AE141</f>
        <v>2.44</v>
      </c>
      <c r="DA141">
        <f>AI141</f>
        <v>1</v>
      </c>
      <c r="DB141">
        <f>ROUND(ROUND(AT141*CZ141,2),2)</f>
        <v>8.5399999999999991</v>
      </c>
      <c r="DC141">
        <f>ROUND(ROUND(AT141*AG141,2),2)</f>
        <v>0</v>
      </c>
    </row>
    <row r="142" spans="1:107" x14ac:dyDescent="0.2">
      <c r="A142">
        <f>ROW(Source!A64)</f>
        <v>64</v>
      </c>
      <c r="B142">
        <v>27935367</v>
      </c>
      <c r="C142">
        <v>27935591</v>
      </c>
      <c r="D142">
        <v>25155506</v>
      </c>
      <c r="E142">
        <v>1</v>
      </c>
      <c r="F142">
        <v>1</v>
      </c>
      <c r="G142">
        <v>1</v>
      </c>
      <c r="H142">
        <v>3</v>
      </c>
      <c r="I142" t="s">
        <v>131</v>
      </c>
      <c r="J142" t="s">
        <v>134</v>
      </c>
      <c r="K142" t="s">
        <v>132</v>
      </c>
      <c r="L142">
        <v>1339</v>
      </c>
      <c r="N142">
        <v>1007</v>
      </c>
      <c r="O142" t="s">
        <v>133</v>
      </c>
      <c r="P142" t="s">
        <v>133</v>
      </c>
      <c r="Q142">
        <v>1</v>
      </c>
      <c r="W142">
        <v>0</v>
      </c>
      <c r="X142">
        <v>-1970722706</v>
      </c>
      <c r="Y142">
        <v>2.04</v>
      </c>
      <c r="AA142">
        <v>548.29999999999995</v>
      </c>
      <c r="AB142">
        <v>0</v>
      </c>
      <c r="AC142">
        <v>0</v>
      </c>
      <c r="AD142">
        <v>0</v>
      </c>
      <c r="AE142">
        <v>548.29999999999995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2.04</v>
      </c>
      <c r="AU142" t="s">
        <v>6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Y142*Source!I64</f>
        <v>0.84863999999999995</v>
      </c>
      <c r="CY142">
        <f>AA142</f>
        <v>548.29999999999995</v>
      </c>
      <c r="CZ142">
        <f>AE142</f>
        <v>548.29999999999995</v>
      </c>
      <c r="DA142">
        <f>AI142</f>
        <v>1</v>
      </c>
      <c r="DB142">
        <f>ROUND(ROUND(AT142*CZ142,2),2)</f>
        <v>1118.53</v>
      </c>
      <c r="DC142">
        <f>ROUND(ROUND(AT142*AG142,2),2)</f>
        <v>0</v>
      </c>
    </row>
    <row r="143" spans="1:107" x14ac:dyDescent="0.2">
      <c r="A143">
        <f>ROW(Source!A65)</f>
        <v>65</v>
      </c>
      <c r="B143">
        <v>27935368</v>
      </c>
      <c r="C143">
        <v>27935591</v>
      </c>
      <c r="D143">
        <v>25416173</v>
      </c>
      <c r="E143">
        <v>1</v>
      </c>
      <c r="F143">
        <v>1</v>
      </c>
      <c r="G143">
        <v>1</v>
      </c>
      <c r="H143">
        <v>1</v>
      </c>
      <c r="I143" t="s">
        <v>553</v>
      </c>
      <c r="J143" t="s">
        <v>6</v>
      </c>
      <c r="K143" t="s">
        <v>554</v>
      </c>
      <c r="L143">
        <v>1191</v>
      </c>
      <c r="N143">
        <v>1013</v>
      </c>
      <c r="O143" t="s">
        <v>459</v>
      </c>
      <c r="P143" t="s">
        <v>459</v>
      </c>
      <c r="Q143">
        <v>1</v>
      </c>
      <c r="W143">
        <v>0</v>
      </c>
      <c r="X143">
        <v>-1366118074</v>
      </c>
      <c r="Y143">
        <v>45.436499999999995</v>
      </c>
      <c r="AA143">
        <v>0</v>
      </c>
      <c r="AB143">
        <v>0</v>
      </c>
      <c r="AC143">
        <v>0</v>
      </c>
      <c r="AD143">
        <v>48.51</v>
      </c>
      <c r="AE143">
        <v>0</v>
      </c>
      <c r="AF143">
        <v>0</v>
      </c>
      <c r="AG143">
        <v>0</v>
      </c>
      <c r="AH143">
        <v>7.94</v>
      </c>
      <c r="AI143">
        <v>1</v>
      </c>
      <c r="AJ143">
        <v>1</v>
      </c>
      <c r="AK143">
        <v>1</v>
      </c>
      <c r="AL143">
        <v>6.11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39.51</v>
      </c>
      <c r="AU143" t="s">
        <v>28</v>
      </c>
      <c r="AV143">
        <v>1</v>
      </c>
      <c r="AW143">
        <v>2</v>
      </c>
      <c r="AX143">
        <v>27935598</v>
      </c>
      <c r="AY143">
        <v>1</v>
      </c>
      <c r="AZ143">
        <v>0</v>
      </c>
      <c r="BA143">
        <v>147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Y143*Source!I65</f>
        <v>18.901583999999996</v>
      </c>
      <c r="CY143">
        <f>AD143</f>
        <v>48.51</v>
      </c>
      <c r="CZ143">
        <f>AH143</f>
        <v>7.94</v>
      </c>
      <c r="DA143">
        <f>AL143</f>
        <v>6.11</v>
      </c>
      <c r="DB143">
        <f>ROUND((ROUND(AT143*CZ143,2)*1.15),2)</f>
        <v>360.77</v>
      </c>
      <c r="DC143">
        <f>ROUND((ROUND(AT143*AG143,2)*1.15),2)</f>
        <v>0</v>
      </c>
    </row>
    <row r="144" spans="1:107" x14ac:dyDescent="0.2">
      <c r="A144">
        <f>ROW(Source!A65)</f>
        <v>65</v>
      </c>
      <c r="B144">
        <v>27935368</v>
      </c>
      <c r="C144">
        <v>27935591</v>
      </c>
      <c r="D144">
        <v>25412928</v>
      </c>
      <c r="E144">
        <v>1</v>
      </c>
      <c r="F144">
        <v>1</v>
      </c>
      <c r="G144">
        <v>1</v>
      </c>
      <c r="H144">
        <v>1</v>
      </c>
      <c r="I144" t="s">
        <v>460</v>
      </c>
      <c r="J144" t="s">
        <v>6</v>
      </c>
      <c r="K144" t="s">
        <v>461</v>
      </c>
      <c r="L144">
        <v>1191</v>
      </c>
      <c r="N144">
        <v>1013</v>
      </c>
      <c r="O144" t="s">
        <v>459</v>
      </c>
      <c r="P144" t="s">
        <v>459</v>
      </c>
      <c r="Q144">
        <v>1</v>
      </c>
      <c r="W144">
        <v>0</v>
      </c>
      <c r="X144">
        <v>-1417349443</v>
      </c>
      <c r="Y144">
        <v>1.27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1</v>
      </c>
      <c r="AJ144">
        <v>1</v>
      </c>
      <c r="AK144">
        <v>6.11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1.27</v>
      </c>
      <c r="AU144" t="s">
        <v>6</v>
      </c>
      <c r="AV144">
        <v>2</v>
      </c>
      <c r="AW144">
        <v>2</v>
      </c>
      <c r="AX144">
        <v>27935599</v>
      </c>
      <c r="AY144">
        <v>1</v>
      </c>
      <c r="AZ144">
        <v>2048</v>
      </c>
      <c r="BA144">
        <v>148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Y144*Source!I65</f>
        <v>0.52832000000000001</v>
      </c>
      <c r="CY144">
        <f>AD144</f>
        <v>0</v>
      </c>
      <c r="CZ144">
        <f>AH144</f>
        <v>0</v>
      </c>
      <c r="DA144">
        <f>AL144</f>
        <v>1</v>
      </c>
      <c r="DB144">
        <f>ROUND(ROUND(AT144*CZ144,2),2)</f>
        <v>0</v>
      </c>
      <c r="DC144">
        <f>ROUND(ROUND(AT144*AG144,2),2)</f>
        <v>0</v>
      </c>
    </row>
    <row r="145" spans="1:107" x14ac:dyDescent="0.2">
      <c r="A145">
        <f>ROW(Source!A65)</f>
        <v>65</v>
      </c>
      <c r="B145">
        <v>27935368</v>
      </c>
      <c r="C145">
        <v>27935591</v>
      </c>
      <c r="D145">
        <v>25230514</v>
      </c>
      <c r="E145">
        <v>1</v>
      </c>
      <c r="F145">
        <v>1</v>
      </c>
      <c r="G145">
        <v>1</v>
      </c>
      <c r="H145">
        <v>2</v>
      </c>
      <c r="I145" t="s">
        <v>462</v>
      </c>
      <c r="J145" t="s">
        <v>463</v>
      </c>
      <c r="K145" t="s">
        <v>464</v>
      </c>
      <c r="L145">
        <v>1368</v>
      </c>
      <c r="N145">
        <v>1011</v>
      </c>
      <c r="O145" t="s">
        <v>465</v>
      </c>
      <c r="P145" t="s">
        <v>465</v>
      </c>
      <c r="Q145">
        <v>1</v>
      </c>
      <c r="W145">
        <v>0</v>
      </c>
      <c r="X145">
        <v>1188625873</v>
      </c>
      <c r="Y145">
        <v>1.5874999999999999</v>
      </c>
      <c r="AA145">
        <v>0</v>
      </c>
      <c r="AB145">
        <v>191</v>
      </c>
      <c r="AC145">
        <v>13.5</v>
      </c>
      <c r="AD145">
        <v>0</v>
      </c>
      <c r="AE145">
        <v>0</v>
      </c>
      <c r="AF145">
        <v>31.26</v>
      </c>
      <c r="AG145">
        <v>13.5</v>
      </c>
      <c r="AH145">
        <v>0</v>
      </c>
      <c r="AI145">
        <v>1</v>
      </c>
      <c r="AJ145">
        <v>6.11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1.27</v>
      </c>
      <c r="AU145" t="s">
        <v>27</v>
      </c>
      <c r="AV145">
        <v>0</v>
      </c>
      <c r="AW145">
        <v>2</v>
      </c>
      <c r="AX145">
        <v>27935600</v>
      </c>
      <c r="AY145">
        <v>1</v>
      </c>
      <c r="AZ145">
        <v>0</v>
      </c>
      <c r="BA145">
        <v>149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Y145*Source!I65</f>
        <v>0.66039999999999999</v>
      </c>
      <c r="CY145">
        <f>AB145</f>
        <v>191</v>
      </c>
      <c r="CZ145">
        <f>AF145</f>
        <v>31.26</v>
      </c>
      <c r="DA145">
        <f>AJ145</f>
        <v>6.11</v>
      </c>
      <c r="DB145">
        <f>ROUND((ROUND(AT145*CZ145,2)*1.25),2)</f>
        <v>49.63</v>
      </c>
      <c r="DC145">
        <f>ROUND((ROUND(AT145*AG145,2)*1.25),2)</f>
        <v>21.44</v>
      </c>
    </row>
    <row r="146" spans="1:107" x14ac:dyDescent="0.2">
      <c r="A146">
        <f>ROW(Source!A65)</f>
        <v>65</v>
      </c>
      <c r="B146">
        <v>27935368</v>
      </c>
      <c r="C146">
        <v>27935591</v>
      </c>
      <c r="D146">
        <v>25230627</v>
      </c>
      <c r="E146">
        <v>1</v>
      </c>
      <c r="F146">
        <v>1</v>
      </c>
      <c r="G146">
        <v>1</v>
      </c>
      <c r="H146">
        <v>2</v>
      </c>
      <c r="I146" t="s">
        <v>555</v>
      </c>
      <c r="J146" t="s">
        <v>556</v>
      </c>
      <c r="K146" t="s">
        <v>557</v>
      </c>
      <c r="L146">
        <v>1368</v>
      </c>
      <c r="N146">
        <v>1011</v>
      </c>
      <c r="O146" t="s">
        <v>465</v>
      </c>
      <c r="P146" t="s">
        <v>465</v>
      </c>
      <c r="Q146">
        <v>1</v>
      </c>
      <c r="W146">
        <v>0</v>
      </c>
      <c r="X146">
        <v>126902709</v>
      </c>
      <c r="Y146">
        <v>11.3375</v>
      </c>
      <c r="AA146">
        <v>0</v>
      </c>
      <c r="AB146">
        <v>3.06</v>
      </c>
      <c r="AC146">
        <v>0</v>
      </c>
      <c r="AD146">
        <v>0</v>
      </c>
      <c r="AE146">
        <v>0</v>
      </c>
      <c r="AF146">
        <v>0.5</v>
      </c>
      <c r="AG146">
        <v>0</v>
      </c>
      <c r="AH146">
        <v>0</v>
      </c>
      <c r="AI146">
        <v>1</v>
      </c>
      <c r="AJ146">
        <v>6.11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9.07</v>
      </c>
      <c r="AU146" t="s">
        <v>27</v>
      </c>
      <c r="AV146">
        <v>0</v>
      </c>
      <c r="AW146">
        <v>2</v>
      </c>
      <c r="AX146">
        <v>27935601</v>
      </c>
      <c r="AY146">
        <v>1</v>
      </c>
      <c r="AZ146">
        <v>0</v>
      </c>
      <c r="BA146">
        <v>150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Y146*Source!I65</f>
        <v>4.7164000000000001</v>
      </c>
      <c r="CY146">
        <f>AB146</f>
        <v>3.06</v>
      </c>
      <c r="CZ146">
        <f>AF146</f>
        <v>0.5</v>
      </c>
      <c r="DA146">
        <f>AJ146</f>
        <v>6.11</v>
      </c>
      <c r="DB146">
        <f>ROUND((ROUND(AT146*CZ146,2)*1.25),2)</f>
        <v>5.68</v>
      </c>
      <c r="DC146">
        <f>ROUND((ROUND(AT146*AG146,2)*1.25),2)</f>
        <v>0</v>
      </c>
    </row>
    <row r="147" spans="1:107" x14ac:dyDescent="0.2">
      <c r="A147">
        <f>ROW(Source!A65)</f>
        <v>65</v>
      </c>
      <c r="B147">
        <v>27935368</v>
      </c>
      <c r="C147">
        <v>27935591</v>
      </c>
      <c r="D147">
        <v>25149961</v>
      </c>
      <c r="E147">
        <v>1</v>
      </c>
      <c r="F147">
        <v>1</v>
      </c>
      <c r="G147">
        <v>1</v>
      </c>
      <c r="H147">
        <v>3</v>
      </c>
      <c r="I147" t="s">
        <v>558</v>
      </c>
      <c r="J147" t="s">
        <v>559</v>
      </c>
      <c r="K147" t="s">
        <v>560</v>
      </c>
      <c r="L147">
        <v>1339</v>
      </c>
      <c r="N147">
        <v>1007</v>
      </c>
      <c r="O147" t="s">
        <v>133</v>
      </c>
      <c r="P147" t="s">
        <v>133</v>
      </c>
      <c r="Q147">
        <v>1</v>
      </c>
      <c r="W147">
        <v>0</v>
      </c>
      <c r="X147">
        <v>-1660354250</v>
      </c>
      <c r="Y147">
        <v>3.5</v>
      </c>
      <c r="AA147">
        <v>14.91</v>
      </c>
      <c r="AB147">
        <v>0</v>
      </c>
      <c r="AC147">
        <v>0</v>
      </c>
      <c r="AD147">
        <v>0</v>
      </c>
      <c r="AE147">
        <v>2.44</v>
      </c>
      <c r="AF147">
        <v>0</v>
      </c>
      <c r="AG147">
        <v>0</v>
      </c>
      <c r="AH147">
        <v>0</v>
      </c>
      <c r="AI147">
        <v>6.11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3.5</v>
      </c>
      <c r="AU147" t="s">
        <v>6</v>
      </c>
      <c r="AV147">
        <v>0</v>
      </c>
      <c r="AW147">
        <v>2</v>
      </c>
      <c r="AX147">
        <v>27935602</v>
      </c>
      <c r="AY147">
        <v>1</v>
      </c>
      <c r="AZ147">
        <v>0</v>
      </c>
      <c r="BA147">
        <v>151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Y147*Source!I65</f>
        <v>1.456</v>
      </c>
      <c r="CY147">
        <f>AA147</f>
        <v>14.91</v>
      </c>
      <c r="CZ147">
        <f>AE147</f>
        <v>2.44</v>
      </c>
      <c r="DA147">
        <f>AI147</f>
        <v>6.11</v>
      </c>
      <c r="DB147">
        <f>ROUND(ROUND(AT147*CZ147,2),2)</f>
        <v>8.5399999999999991</v>
      </c>
      <c r="DC147">
        <f>ROUND(ROUND(AT147*AG147,2),2)</f>
        <v>0</v>
      </c>
    </row>
    <row r="148" spans="1:107" x14ac:dyDescent="0.2">
      <c r="A148">
        <f>ROW(Source!A65)</f>
        <v>65</v>
      </c>
      <c r="B148">
        <v>27935368</v>
      </c>
      <c r="C148">
        <v>27935591</v>
      </c>
      <c r="D148">
        <v>25155506</v>
      </c>
      <c r="E148">
        <v>1</v>
      </c>
      <c r="F148">
        <v>1</v>
      </c>
      <c r="G148">
        <v>1</v>
      </c>
      <c r="H148">
        <v>3</v>
      </c>
      <c r="I148" t="s">
        <v>131</v>
      </c>
      <c r="J148" t="s">
        <v>134</v>
      </c>
      <c r="K148" t="s">
        <v>132</v>
      </c>
      <c r="L148">
        <v>1339</v>
      </c>
      <c r="N148">
        <v>1007</v>
      </c>
      <c r="O148" t="s">
        <v>133</v>
      </c>
      <c r="P148" t="s">
        <v>133</v>
      </c>
      <c r="Q148">
        <v>1</v>
      </c>
      <c r="W148">
        <v>0</v>
      </c>
      <c r="X148">
        <v>-1970722706</v>
      </c>
      <c r="Y148">
        <v>2.04</v>
      </c>
      <c r="AA148">
        <v>3350.11</v>
      </c>
      <c r="AB148">
        <v>0</v>
      </c>
      <c r="AC148">
        <v>0</v>
      </c>
      <c r="AD148">
        <v>0</v>
      </c>
      <c r="AE148">
        <v>548.29999999999995</v>
      </c>
      <c r="AF148">
        <v>0</v>
      </c>
      <c r="AG148">
        <v>0</v>
      </c>
      <c r="AH148">
        <v>0</v>
      </c>
      <c r="AI148">
        <v>6.11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2.04</v>
      </c>
      <c r="AU148" t="s">
        <v>6</v>
      </c>
      <c r="AV148">
        <v>0</v>
      </c>
      <c r="AW148">
        <v>1</v>
      </c>
      <c r="AX148">
        <v>-1</v>
      </c>
      <c r="AY148">
        <v>0</v>
      </c>
      <c r="AZ148">
        <v>0</v>
      </c>
      <c r="BA148" t="s">
        <v>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Y148*Source!I65</f>
        <v>0.84863999999999995</v>
      </c>
      <c r="CY148">
        <f>AA148</f>
        <v>3350.11</v>
      </c>
      <c r="CZ148">
        <f>AE148</f>
        <v>548.29999999999995</v>
      </c>
      <c r="DA148">
        <f>AI148</f>
        <v>6.11</v>
      </c>
      <c r="DB148">
        <f>ROUND(ROUND(AT148*CZ148,2),2)</f>
        <v>1118.53</v>
      </c>
      <c r="DC148">
        <f>ROUND(ROUND(AT148*AG148,2),2)</f>
        <v>0</v>
      </c>
    </row>
    <row r="149" spans="1:107" x14ac:dyDescent="0.2">
      <c r="A149">
        <f>ROW(Source!A68)</f>
        <v>68</v>
      </c>
      <c r="B149">
        <v>27935367</v>
      </c>
      <c r="C149">
        <v>27935605</v>
      </c>
      <c r="D149">
        <v>25413300</v>
      </c>
      <c r="E149">
        <v>1</v>
      </c>
      <c r="F149">
        <v>1</v>
      </c>
      <c r="G149">
        <v>1</v>
      </c>
      <c r="H149">
        <v>1</v>
      </c>
      <c r="I149" t="s">
        <v>491</v>
      </c>
      <c r="J149" t="s">
        <v>6</v>
      </c>
      <c r="K149" t="s">
        <v>492</v>
      </c>
      <c r="L149">
        <v>1191</v>
      </c>
      <c r="N149">
        <v>1013</v>
      </c>
      <c r="O149" t="s">
        <v>459</v>
      </c>
      <c r="P149" t="s">
        <v>459</v>
      </c>
      <c r="Q149">
        <v>1</v>
      </c>
      <c r="W149">
        <v>0</v>
      </c>
      <c r="X149">
        <v>-400197608</v>
      </c>
      <c r="Y149">
        <v>43.320499999999996</v>
      </c>
      <c r="AA149">
        <v>0</v>
      </c>
      <c r="AB149">
        <v>0</v>
      </c>
      <c r="AC149">
        <v>0</v>
      </c>
      <c r="AD149">
        <v>8.5299999999999994</v>
      </c>
      <c r="AE149">
        <v>0</v>
      </c>
      <c r="AF149">
        <v>0</v>
      </c>
      <c r="AG149">
        <v>0</v>
      </c>
      <c r="AH149">
        <v>8.5299999999999994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37.67</v>
      </c>
      <c r="AU149" t="s">
        <v>28</v>
      </c>
      <c r="AV149">
        <v>1</v>
      </c>
      <c r="AW149">
        <v>2</v>
      </c>
      <c r="AX149">
        <v>27935613</v>
      </c>
      <c r="AY149">
        <v>1</v>
      </c>
      <c r="AZ149">
        <v>0</v>
      </c>
      <c r="BA149">
        <v>153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Y149*Source!I68</f>
        <v>18.021327999999997</v>
      </c>
      <c r="CY149">
        <f>AD149</f>
        <v>8.5299999999999994</v>
      </c>
      <c r="CZ149">
        <f>AH149</f>
        <v>8.5299999999999994</v>
      </c>
      <c r="DA149">
        <f>AL149</f>
        <v>1</v>
      </c>
      <c r="DB149">
        <f>ROUND((ROUND(AT149*CZ149,2)*1.15),2)</f>
        <v>369.53</v>
      </c>
      <c r="DC149">
        <f>ROUND((ROUND(AT149*AG149,2)*1.15),2)</f>
        <v>0</v>
      </c>
    </row>
    <row r="150" spans="1:107" x14ac:dyDescent="0.2">
      <c r="A150">
        <f>ROW(Source!A68)</f>
        <v>68</v>
      </c>
      <c r="B150">
        <v>27935367</v>
      </c>
      <c r="C150">
        <v>27935605</v>
      </c>
      <c r="D150">
        <v>25412928</v>
      </c>
      <c r="E150">
        <v>1</v>
      </c>
      <c r="F150">
        <v>1</v>
      </c>
      <c r="G150">
        <v>1</v>
      </c>
      <c r="H150">
        <v>1</v>
      </c>
      <c r="I150" t="s">
        <v>460</v>
      </c>
      <c r="J150" t="s">
        <v>6</v>
      </c>
      <c r="K150" t="s">
        <v>461</v>
      </c>
      <c r="L150">
        <v>1191</v>
      </c>
      <c r="N150">
        <v>1013</v>
      </c>
      <c r="O150" t="s">
        <v>459</v>
      </c>
      <c r="P150" t="s">
        <v>459</v>
      </c>
      <c r="Q150">
        <v>1</v>
      </c>
      <c r="W150">
        <v>0</v>
      </c>
      <c r="X150">
        <v>-1417349443</v>
      </c>
      <c r="Y150">
        <v>0.17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0.17</v>
      </c>
      <c r="AU150" t="s">
        <v>6</v>
      </c>
      <c r="AV150">
        <v>2</v>
      </c>
      <c r="AW150">
        <v>2</v>
      </c>
      <c r="AX150">
        <v>27935614</v>
      </c>
      <c r="AY150">
        <v>1</v>
      </c>
      <c r="AZ150">
        <v>2048</v>
      </c>
      <c r="BA150">
        <v>154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Y150*Source!I68</f>
        <v>7.0720000000000005E-2</v>
      </c>
      <c r="CY150">
        <f>AD150</f>
        <v>0</v>
      </c>
      <c r="CZ150">
        <f>AH150</f>
        <v>0</v>
      </c>
      <c r="DA150">
        <f>AL150</f>
        <v>1</v>
      </c>
      <c r="DB150">
        <f>ROUND(ROUND(AT150*CZ150,2),2)</f>
        <v>0</v>
      </c>
      <c r="DC150">
        <f>ROUND(ROUND(AT150*AG150,2),2)</f>
        <v>0</v>
      </c>
    </row>
    <row r="151" spans="1:107" x14ac:dyDescent="0.2">
      <c r="A151">
        <f>ROW(Source!A68)</f>
        <v>68</v>
      </c>
      <c r="B151">
        <v>27935367</v>
      </c>
      <c r="C151">
        <v>27935605</v>
      </c>
      <c r="D151">
        <v>25230510</v>
      </c>
      <c r="E151">
        <v>1</v>
      </c>
      <c r="F151">
        <v>1</v>
      </c>
      <c r="G151">
        <v>1</v>
      </c>
      <c r="H151">
        <v>2</v>
      </c>
      <c r="I151" t="s">
        <v>561</v>
      </c>
      <c r="J151" t="s">
        <v>562</v>
      </c>
      <c r="K151" t="s">
        <v>563</v>
      </c>
      <c r="L151">
        <v>1368</v>
      </c>
      <c r="N151">
        <v>1011</v>
      </c>
      <c r="O151" t="s">
        <v>465</v>
      </c>
      <c r="P151" t="s">
        <v>465</v>
      </c>
      <c r="Q151">
        <v>1</v>
      </c>
      <c r="W151">
        <v>0</v>
      </c>
      <c r="X151">
        <v>368031958</v>
      </c>
      <c r="Y151">
        <v>0.16250000000000001</v>
      </c>
      <c r="AA151">
        <v>0</v>
      </c>
      <c r="AB151">
        <v>27.66</v>
      </c>
      <c r="AC151">
        <v>11.6</v>
      </c>
      <c r="AD151">
        <v>0</v>
      </c>
      <c r="AE151">
        <v>0</v>
      </c>
      <c r="AF151">
        <v>27.66</v>
      </c>
      <c r="AG151">
        <v>11.6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0.13</v>
      </c>
      <c r="AU151" t="s">
        <v>27</v>
      </c>
      <c r="AV151">
        <v>0</v>
      </c>
      <c r="AW151">
        <v>2</v>
      </c>
      <c r="AX151">
        <v>27935615</v>
      </c>
      <c r="AY151">
        <v>1</v>
      </c>
      <c r="AZ151">
        <v>0</v>
      </c>
      <c r="BA151">
        <v>155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Y151*Source!I68</f>
        <v>6.7599999999999993E-2</v>
      </c>
      <c r="CY151">
        <f>AB151</f>
        <v>27.66</v>
      </c>
      <c r="CZ151">
        <f>AF151</f>
        <v>27.66</v>
      </c>
      <c r="DA151">
        <f>AJ151</f>
        <v>1</v>
      </c>
      <c r="DB151">
        <f>ROUND((ROUND(AT151*CZ151,2)*1.25),2)</f>
        <v>4.5</v>
      </c>
      <c r="DC151">
        <f>ROUND((ROUND(AT151*AG151,2)*1.25),2)</f>
        <v>1.89</v>
      </c>
    </row>
    <row r="152" spans="1:107" x14ac:dyDescent="0.2">
      <c r="A152">
        <f>ROW(Source!A68)</f>
        <v>68</v>
      </c>
      <c r="B152">
        <v>27935367</v>
      </c>
      <c r="C152">
        <v>27935605</v>
      </c>
      <c r="D152">
        <v>25231607</v>
      </c>
      <c r="E152">
        <v>1</v>
      </c>
      <c r="F152">
        <v>1</v>
      </c>
      <c r="G152">
        <v>1</v>
      </c>
      <c r="H152">
        <v>2</v>
      </c>
      <c r="I152" t="s">
        <v>468</v>
      </c>
      <c r="J152" t="s">
        <v>469</v>
      </c>
      <c r="K152" t="s">
        <v>470</v>
      </c>
      <c r="L152">
        <v>1368</v>
      </c>
      <c r="N152">
        <v>1011</v>
      </c>
      <c r="O152" t="s">
        <v>465</v>
      </c>
      <c r="P152" t="s">
        <v>465</v>
      </c>
      <c r="Q152">
        <v>1</v>
      </c>
      <c r="W152">
        <v>0</v>
      </c>
      <c r="X152">
        <v>1372534845</v>
      </c>
      <c r="Y152">
        <v>0.05</v>
      </c>
      <c r="AA152">
        <v>0</v>
      </c>
      <c r="AB152">
        <v>65.709999999999994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0.04</v>
      </c>
      <c r="AU152" t="s">
        <v>27</v>
      </c>
      <c r="AV152">
        <v>0</v>
      </c>
      <c r="AW152">
        <v>2</v>
      </c>
      <c r="AX152">
        <v>27935616</v>
      </c>
      <c r="AY152">
        <v>1</v>
      </c>
      <c r="AZ152">
        <v>0</v>
      </c>
      <c r="BA152">
        <v>156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Y152*Source!I68</f>
        <v>2.0799999999999999E-2</v>
      </c>
      <c r="CY152">
        <f>AB152</f>
        <v>65.709999999999994</v>
      </c>
      <c r="CZ152">
        <f>AF152</f>
        <v>65.709999999999994</v>
      </c>
      <c r="DA152">
        <f>AJ152</f>
        <v>1</v>
      </c>
      <c r="DB152">
        <f>ROUND((ROUND(AT152*CZ152,2)*1.25),2)</f>
        <v>3.29</v>
      </c>
      <c r="DC152">
        <f>ROUND((ROUND(AT152*AG152,2)*1.25),2)</f>
        <v>0.57999999999999996</v>
      </c>
    </row>
    <row r="153" spans="1:107" x14ac:dyDescent="0.2">
      <c r="A153">
        <f>ROW(Source!A68)</f>
        <v>68</v>
      </c>
      <c r="B153">
        <v>27935367</v>
      </c>
      <c r="C153">
        <v>27935605</v>
      </c>
      <c r="D153">
        <v>25149961</v>
      </c>
      <c r="E153">
        <v>1</v>
      </c>
      <c r="F153">
        <v>1</v>
      </c>
      <c r="G153">
        <v>1</v>
      </c>
      <c r="H153">
        <v>3</v>
      </c>
      <c r="I153" t="s">
        <v>558</v>
      </c>
      <c r="J153" t="s">
        <v>559</v>
      </c>
      <c r="K153" t="s">
        <v>560</v>
      </c>
      <c r="L153">
        <v>1339</v>
      </c>
      <c r="N153">
        <v>1007</v>
      </c>
      <c r="O153" t="s">
        <v>133</v>
      </c>
      <c r="P153" t="s">
        <v>133</v>
      </c>
      <c r="Q153">
        <v>1</v>
      </c>
      <c r="W153">
        <v>0</v>
      </c>
      <c r="X153">
        <v>-1660354250</v>
      </c>
      <c r="Y153">
        <v>0.17399999999999999</v>
      </c>
      <c r="AA153">
        <v>2.44</v>
      </c>
      <c r="AB153">
        <v>0</v>
      </c>
      <c r="AC153">
        <v>0</v>
      </c>
      <c r="AD153">
        <v>0</v>
      </c>
      <c r="AE153">
        <v>2.44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0.17399999999999999</v>
      </c>
      <c r="AU153" t="s">
        <v>6</v>
      </c>
      <c r="AV153">
        <v>0</v>
      </c>
      <c r="AW153">
        <v>2</v>
      </c>
      <c r="AX153">
        <v>27935617</v>
      </c>
      <c r="AY153">
        <v>1</v>
      </c>
      <c r="AZ153">
        <v>0</v>
      </c>
      <c r="BA153">
        <v>157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Y153*Source!I68</f>
        <v>7.238399999999999E-2</v>
      </c>
      <c r="CY153">
        <f>AA153</f>
        <v>2.44</v>
      </c>
      <c r="CZ153">
        <f>AE153</f>
        <v>2.44</v>
      </c>
      <c r="DA153">
        <f>AI153</f>
        <v>1</v>
      </c>
      <c r="DB153">
        <f>ROUND(ROUND(AT153*CZ153,2),2)</f>
        <v>0.42</v>
      </c>
      <c r="DC153">
        <f>ROUND(ROUND(AT153*AG153,2),2)</f>
        <v>0</v>
      </c>
    </row>
    <row r="154" spans="1:107" x14ac:dyDescent="0.2">
      <c r="A154">
        <f>ROW(Source!A68)</f>
        <v>68</v>
      </c>
      <c r="B154">
        <v>27935367</v>
      </c>
      <c r="C154">
        <v>27935605</v>
      </c>
      <c r="D154">
        <v>25155574</v>
      </c>
      <c r="E154">
        <v>1</v>
      </c>
      <c r="F154">
        <v>1</v>
      </c>
      <c r="G154">
        <v>1</v>
      </c>
      <c r="H154">
        <v>3</v>
      </c>
      <c r="I154" t="s">
        <v>564</v>
      </c>
      <c r="J154" t="s">
        <v>565</v>
      </c>
      <c r="K154" t="s">
        <v>566</v>
      </c>
      <c r="L154">
        <v>1348</v>
      </c>
      <c r="N154">
        <v>1009</v>
      </c>
      <c r="O154" t="s">
        <v>65</v>
      </c>
      <c r="P154" t="s">
        <v>65</v>
      </c>
      <c r="Q154">
        <v>1000</v>
      </c>
      <c r="W154">
        <v>0</v>
      </c>
      <c r="X154">
        <v>-2114578287</v>
      </c>
      <c r="Y154">
        <v>0.9</v>
      </c>
      <c r="AA154">
        <v>11381.57</v>
      </c>
      <c r="AB154">
        <v>0</v>
      </c>
      <c r="AC154">
        <v>0</v>
      </c>
      <c r="AD154">
        <v>0</v>
      </c>
      <c r="AE154">
        <v>11381.57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0.9</v>
      </c>
      <c r="AU154" t="s">
        <v>6</v>
      </c>
      <c r="AV154">
        <v>0</v>
      </c>
      <c r="AW154">
        <v>2</v>
      </c>
      <c r="AX154">
        <v>27935618</v>
      </c>
      <c r="AY154">
        <v>1</v>
      </c>
      <c r="AZ154">
        <v>0</v>
      </c>
      <c r="BA154">
        <v>158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Y154*Source!I68</f>
        <v>0.37440000000000001</v>
      </c>
      <c r="CY154">
        <f>AA154</f>
        <v>11381.57</v>
      </c>
      <c r="CZ154">
        <f>AE154</f>
        <v>11381.57</v>
      </c>
      <c r="DA154">
        <f>AI154</f>
        <v>1</v>
      </c>
      <c r="DB154">
        <f>ROUND(ROUND(AT154*CZ154,2),2)</f>
        <v>10243.41</v>
      </c>
      <c r="DC154">
        <f>ROUND(ROUND(AT154*AG154,2),2)</f>
        <v>0</v>
      </c>
    </row>
    <row r="155" spans="1:107" x14ac:dyDescent="0.2">
      <c r="A155">
        <f>ROW(Source!A68)</f>
        <v>68</v>
      </c>
      <c r="B155">
        <v>27935367</v>
      </c>
      <c r="C155">
        <v>27935605</v>
      </c>
      <c r="D155">
        <v>25186115</v>
      </c>
      <c r="E155">
        <v>1</v>
      </c>
      <c r="F155">
        <v>1</v>
      </c>
      <c r="G155">
        <v>1</v>
      </c>
      <c r="H155">
        <v>3</v>
      </c>
      <c r="I155" t="s">
        <v>144</v>
      </c>
      <c r="J155" t="s">
        <v>146</v>
      </c>
      <c r="K155" t="s">
        <v>145</v>
      </c>
      <c r="L155">
        <v>1346</v>
      </c>
      <c r="N155">
        <v>1009</v>
      </c>
      <c r="O155" t="s">
        <v>60</v>
      </c>
      <c r="P155" t="s">
        <v>60</v>
      </c>
      <c r="Q155">
        <v>1</v>
      </c>
      <c r="W155">
        <v>0</v>
      </c>
      <c r="X155">
        <v>303141801</v>
      </c>
      <c r="Y155">
        <v>30</v>
      </c>
      <c r="AA155">
        <v>15.25</v>
      </c>
      <c r="AB155">
        <v>0</v>
      </c>
      <c r="AC155">
        <v>0</v>
      </c>
      <c r="AD155">
        <v>0</v>
      </c>
      <c r="AE155">
        <v>15.25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30</v>
      </c>
      <c r="AU155" t="s">
        <v>6</v>
      </c>
      <c r="AV155">
        <v>0</v>
      </c>
      <c r="AW155">
        <v>2</v>
      </c>
      <c r="AX155">
        <v>27935619</v>
      </c>
      <c r="AY155">
        <v>1</v>
      </c>
      <c r="AZ155">
        <v>0</v>
      </c>
      <c r="BA155">
        <v>159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Y155*Source!I68</f>
        <v>12.479999999999999</v>
      </c>
      <c r="CY155">
        <f>AA155</f>
        <v>15.25</v>
      </c>
      <c r="CZ155">
        <f>AE155</f>
        <v>15.25</v>
      </c>
      <c r="DA155">
        <f>AI155</f>
        <v>1</v>
      </c>
      <c r="DB155">
        <f>ROUND(ROUND(AT155*CZ155,2),2)</f>
        <v>457.5</v>
      </c>
      <c r="DC155">
        <f>ROUND(ROUND(AT155*AG155,2),2)</f>
        <v>0</v>
      </c>
    </row>
    <row r="156" spans="1:107" x14ac:dyDescent="0.2">
      <c r="A156">
        <f>ROW(Source!A69)</f>
        <v>69</v>
      </c>
      <c r="B156">
        <v>27935368</v>
      </c>
      <c r="C156">
        <v>27935605</v>
      </c>
      <c r="D156">
        <v>25413300</v>
      </c>
      <c r="E156">
        <v>1</v>
      </c>
      <c r="F156">
        <v>1</v>
      </c>
      <c r="G156">
        <v>1</v>
      </c>
      <c r="H156">
        <v>1</v>
      </c>
      <c r="I156" t="s">
        <v>491</v>
      </c>
      <c r="J156" t="s">
        <v>6</v>
      </c>
      <c r="K156" t="s">
        <v>492</v>
      </c>
      <c r="L156">
        <v>1191</v>
      </c>
      <c r="N156">
        <v>1013</v>
      </c>
      <c r="O156" t="s">
        <v>459</v>
      </c>
      <c r="P156" t="s">
        <v>459</v>
      </c>
      <c r="Q156">
        <v>1</v>
      </c>
      <c r="W156">
        <v>0</v>
      </c>
      <c r="X156">
        <v>-400197608</v>
      </c>
      <c r="Y156">
        <v>43.320499999999996</v>
      </c>
      <c r="AA156">
        <v>0</v>
      </c>
      <c r="AB156">
        <v>0</v>
      </c>
      <c r="AC156">
        <v>0</v>
      </c>
      <c r="AD156">
        <v>52.12</v>
      </c>
      <c r="AE156">
        <v>0</v>
      </c>
      <c r="AF156">
        <v>0</v>
      </c>
      <c r="AG156">
        <v>0</v>
      </c>
      <c r="AH156">
        <v>8.5299999999999994</v>
      </c>
      <c r="AI156">
        <v>1</v>
      </c>
      <c r="AJ156">
        <v>1</v>
      </c>
      <c r="AK156">
        <v>1</v>
      </c>
      <c r="AL156">
        <v>6.11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37.67</v>
      </c>
      <c r="AU156" t="s">
        <v>28</v>
      </c>
      <c r="AV156">
        <v>1</v>
      </c>
      <c r="AW156">
        <v>2</v>
      </c>
      <c r="AX156">
        <v>27935613</v>
      </c>
      <c r="AY156">
        <v>1</v>
      </c>
      <c r="AZ156">
        <v>0</v>
      </c>
      <c r="BA156">
        <v>160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Y156*Source!I69</f>
        <v>18.021327999999997</v>
      </c>
      <c r="CY156">
        <f>AD156</f>
        <v>52.12</v>
      </c>
      <c r="CZ156">
        <f>AH156</f>
        <v>8.5299999999999994</v>
      </c>
      <c r="DA156">
        <f>AL156</f>
        <v>6.11</v>
      </c>
      <c r="DB156">
        <f>ROUND((ROUND(AT156*CZ156,2)*1.15),2)</f>
        <v>369.53</v>
      </c>
      <c r="DC156">
        <f>ROUND((ROUND(AT156*AG156,2)*1.15),2)</f>
        <v>0</v>
      </c>
    </row>
    <row r="157" spans="1:107" x14ac:dyDescent="0.2">
      <c r="A157">
        <f>ROW(Source!A69)</f>
        <v>69</v>
      </c>
      <c r="B157">
        <v>27935368</v>
      </c>
      <c r="C157">
        <v>27935605</v>
      </c>
      <c r="D157">
        <v>25412928</v>
      </c>
      <c r="E157">
        <v>1</v>
      </c>
      <c r="F157">
        <v>1</v>
      </c>
      <c r="G157">
        <v>1</v>
      </c>
      <c r="H157">
        <v>1</v>
      </c>
      <c r="I157" t="s">
        <v>460</v>
      </c>
      <c r="J157" t="s">
        <v>6</v>
      </c>
      <c r="K157" t="s">
        <v>461</v>
      </c>
      <c r="L157">
        <v>1191</v>
      </c>
      <c r="N157">
        <v>1013</v>
      </c>
      <c r="O157" t="s">
        <v>459</v>
      </c>
      <c r="P157" t="s">
        <v>459</v>
      </c>
      <c r="Q157">
        <v>1</v>
      </c>
      <c r="W157">
        <v>0</v>
      </c>
      <c r="X157">
        <v>-1417349443</v>
      </c>
      <c r="Y157">
        <v>0.17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6.11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0.17</v>
      </c>
      <c r="AU157" t="s">
        <v>6</v>
      </c>
      <c r="AV157">
        <v>2</v>
      </c>
      <c r="AW157">
        <v>2</v>
      </c>
      <c r="AX157">
        <v>27935614</v>
      </c>
      <c r="AY157">
        <v>1</v>
      </c>
      <c r="AZ157">
        <v>2048</v>
      </c>
      <c r="BA157">
        <v>161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Y157*Source!I69</f>
        <v>7.0720000000000005E-2</v>
      </c>
      <c r="CY157">
        <f>AD157</f>
        <v>0</v>
      </c>
      <c r="CZ157">
        <f>AH157</f>
        <v>0</v>
      </c>
      <c r="DA157">
        <f>AL157</f>
        <v>1</v>
      </c>
      <c r="DB157">
        <f>ROUND(ROUND(AT157*CZ157,2),2)</f>
        <v>0</v>
      </c>
      <c r="DC157">
        <f>ROUND(ROUND(AT157*AG157,2),2)</f>
        <v>0</v>
      </c>
    </row>
    <row r="158" spans="1:107" x14ac:dyDescent="0.2">
      <c r="A158">
        <f>ROW(Source!A69)</f>
        <v>69</v>
      </c>
      <c r="B158">
        <v>27935368</v>
      </c>
      <c r="C158">
        <v>27935605</v>
      </c>
      <c r="D158">
        <v>25230510</v>
      </c>
      <c r="E158">
        <v>1</v>
      </c>
      <c r="F158">
        <v>1</v>
      </c>
      <c r="G158">
        <v>1</v>
      </c>
      <c r="H158">
        <v>2</v>
      </c>
      <c r="I158" t="s">
        <v>561</v>
      </c>
      <c r="J158" t="s">
        <v>562</v>
      </c>
      <c r="K158" t="s">
        <v>563</v>
      </c>
      <c r="L158">
        <v>1368</v>
      </c>
      <c r="N158">
        <v>1011</v>
      </c>
      <c r="O158" t="s">
        <v>465</v>
      </c>
      <c r="P158" t="s">
        <v>465</v>
      </c>
      <c r="Q158">
        <v>1</v>
      </c>
      <c r="W158">
        <v>0</v>
      </c>
      <c r="X158">
        <v>368031958</v>
      </c>
      <c r="Y158">
        <v>0.16250000000000001</v>
      </c>
      <c r="AA158">
        <v>0</v>
      </c>
      <c r="AB158">
        <v>169</v>
      </c>
      <c r="AC158">
        <v>11.6</v>
      </c>
      <c r="AD158">
        <v>0</v>
      </c>
      <c r="AE158">
        <v>0</v>
      </c>
      <c r="AF158">
        <v>27.66</v>
      </c>
      <c r="AG158">
        <v>11.6</v>
      </c>
      <c r="AH158">
        <v>0</v>
      </c>
      <c r="AI158">
        <v>1</v>
      </c>
      <c r="AJ158">
        <v>6.11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0.13</v>
      </c>
      <c r="AU158" t="s">
        <v>27</v>
      </c>
      <c r="AV158">
        <v>0</v>
      </c>
      <c r="AW158">
        <v>2</v>
      </c>
      <c r="AX158">
        <v>27935615</v>
      </c>
      <c r="AY158">
        <v>1</v>
      </c>
      <c r="AZ158">
        <v>0</v>
      </c>
      <c r="BA158">
        <v>162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Y158*Source!I69</f>
        <v>6.7599999999999993E-2</v>
      </c>
      <c r="CY158">
        <f>AB158</f>
        <v>169</v>
      </c>
      <c r="CZ158">
        <f>AF158</f>
        <v>27.66</v>
      </c>
      <c r="DA158">
        <f>AJ158</f>
        <v>6.11</v>
      </c>
      <c r="DB158">
        <f>ROUND((ROUND(AT158*CZ158,2)*1.25),2)</f>
        <v>4.5</v>
      </c>
      <c r="DC158">
        <f>ROUND((ROUND(AT158*AG158,2)*1.25),2)</f>
        <v>1.89</v>
      </c>
    </row>
    <row r="159" spans="1:107" x14ac:dyDescent="0.2">
      <c r="A159">
        <f>ROW(Source!A69)</f>
        <v>69</v>
      </c>
      <c r="B159">
        <v>27935368</v>
      </c>
      <c r="C159">
        <v>27935605</v>
      </c>
      <c r="D159">
        <v>25231607</v>
      </c>
      <c r="E159">
        <v>1</v>
      </c>
      <c r="F159">
        <v>1</v>
      </c>
      <c r="G159">
        <v>1</v>
      </c>
      <c r="H159">
        <v>2</v>
      </c>
      <c r="I159" t="s">
        <v>468</v>
      </c>
      <c r="J159" t="s">
        <v>469</v>
      </c>
      <c r="K159" t="s">
        <v>470</v>
      </c>
      <c r="L159">
        <v>1368</v>
      </c>
      <c r="N159">
        <v>1011</v>
      </c>
      <c r="O159" t="s">
        <v>465</v>
      </c>
      <c r="P159" t="s">
        <v>465</v>
      </c>
      <c r="Q159">
        <v>1</v>
      </c>
      <c r="W159">
        <v>0</v>
      </c>
      <c r="X159">
        <v>1372534845</v>
      </c>
      <c r="Y159">
        <v>0.05</v>
      </c>
      <c r="AA159">
        <v>0</v>
      </c>
      <c r="AB159">
        <v>401.49</v>
      </c>
      <c r="AC159">
        <v>11.6</v>
      </c>
      <c r="AD159">
        <v>0</v>
      </c>
      <c r="AE159">
        <v>0</v>
      </c>
      <c r="AF159">
        <v>65.709999999999994</v>
      </c>
      <c r="AG159">
        <v>11.6</v>
      </c>
      <c r="AH159">
        <v>0</v>
      </c>
      <c r="AI159">
        <v>1</v>
      </c>
      <c r="AJ159">
        <v>6.11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0.04</v>
      </c>
      <c r="AU159" t="s">
        <v>27</v>
      </c>
      <c r="AV159">
        <v>0</v>
      </c>
      <c r="AW159">
        <v>2</v>
      </c>
      <c r="AX159">
        <v>27935616</v>
      </c>
      <c r="AY159">
        <v>1</v>
      </c>
      <c r="AZ159">
        <v>0</v>
      </c>
      <c r="BA159">
        <v>163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Y159*Source!I69</f>
        <v>2.0799999999999999E-2</v>
      </c>
      <c r="CY159">
        <f>AB159</f>
        <v>401.49</v>
      </c>
      <c r="CZ159">
        <f>AF159</f>
        <v>65.709999999999994</v>
      </c>
      <c r="DA159">
        <f>AJ159</f>
        <v>6.11</v>
      </c>
      <c r="DB159">
        <f>ROUND((ROUND(AT159*CZ159,2)*1.25),2)</f>
        <v>3.29</v>
      </c>
      <c r="DC159">
        <f>ROUND((ROUND(AT159*AG159,2)*1.25),2)</f>
        <v>0.57999999999999996</v>
      </c>
    </row>
    <row r="160" spans="1:107" x14ac:dyDescent="0.2">
      <c r="A160">
        <f>ROW(Source!A69)</f>
        <v>69</v>
      </c>
      <c r="B160">
        <v>27935368</v>
      </c>
      <c r="C160">
        <v>27935605</v>
      </c>
      <c r="D160">
        <v>25149961</v>
      </c>
      <c r="E160">
        <v>1</v>
      </c>
      <c r="F160">
        <v>1</v>
      </c>
      <c r="G160">
        <v>1</v>
      </c>
      <c r="H160">
        <v>3</v>
      </c>
      <c r="I160" t="s">
        <v>558</v>
      </c>
      <c r="J160" t="s">
        <v>559</v>
      </c>
      <c r="K160" t="s">
        <v>560</v>
      </c>
      <c r="L160">
        <v>1339</v>
      </c>
      <c r="N160">
        <v>1007</v>
      </c>
      <c r="O160" t="s">
        <v>133</v>
      </c>
      <c r="P160" t="s">
        <v>133</v>
      </c>
      <c r="Q160">
        <v>1</v>
      </c>
      <c r="W160">
        <v>0</v>
      </c>
      <c r="X160">
        <v>-1660354250</v>
      </c>
      <c r="Y160">
        <v>0.17399999999999999</v>
      </c>
      <c r="AA160">
        <v>14.91</v>
      </c>
      <c r="AB160">
        <v>0</v>
      </c>
      <c r="AC160">
        <v>0</v>
      </c>
      <c r="AD160">
        <v>0</v>
      </c>
      <c r="AE160">
        <v>2.44</v>
      </c>
      <c r="AF160">
        <v>0</v>
      </c>
      <c r="AG160">
        <v>0</v>
      </c>
      <c r="AH160">
        <v>0</v>
      </c>
      <c r="AI160">
        <v>6.11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0.17399999999999999</v>
      </c>
      <c r="AU160" t="s">
        <v>6</v>
      </c>
      <c r="AV160">
        <v>0</v>
      </c>
      <c r="AW160">
        <v>2</v>
      </c>
      <c r="AX160">
        <v>27935617</v>
      </c>
      <c r="AY160">
        <v>1</v>
      </c>
      <c r="AZ160">
        <v>0</v>
      </c>
      <c r="BA160">
        <v>164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Y160*Source!I69</f>
        <v>7.238399999999999E-2</v>
      </c>
      <c r="CY160">
        <f>AA160</f>
        <v>14.91</v>
      </c>
      <c r="CZ160">
        <f>AE160</f>
        <v>2.44</v>
      </c>
      <c r="DA160">
        <f>AI160</f>
        <v>6.11</v>
      </c>
      <c r="DB160">
        <f>ROUND(ROUND(AT160*CZ160,2),2)</f>
        <v>0.42</v>
      </c>
      <c r="DC160">
        <f>ROUND(ROUND(AT160*AG160,2),2)</f>
        <v>0</v>
      </c>
    </row>
    <row r="161" spans="1:107" x14ac:dyDescent="0.2">
      <c r="A161">
        <f>ROW(Source!A69)</f>
        <v>69</v>
      </c>
      <c r="B161">
        <v>27935368</v>
      </c>
      <c r="C161">
        <v>27935605</v>
      </c>
      <c r="D161">
        <v>25155574</v>
      </c>
      <c r="E161">
        <v>1</v>
      </c>
      <c r="F161">
        <v>1</v>
      </c>
      <c r="G161">
        <v>1</v>
      </c>
      <c r="H161">
        <v>3</v>
      </c>
      <c r="I161" t="s">
        <v>564</v>
      </c>
      <c r="J161" t="s">
        <v>565</v>
      </c>
      <c r="K161" t="s">
        <v>566</v>
      </c>
      <c r="L161">
        <v>1348</v>
      </c>
      <c r="N161">
        <v>1009</v>
      </c>
      <c r="O161" t="s">
        <v>65</v>
      </c>
      <c r="P161" t="s">
        <v>65</v>
      </c>
      <c r="Q161">
        <v>1000</v>
      </c>
      <c r="W161">
        <v>0</v>
      </c>
      <c r="X161">
        <v>-2114578287</v>
      </c>
      <c r="Y161">
        <v>0.9</v>
      </c>
      <c r="AA161">
        <v>69541.39</v>
      </c>
      <c r="AB161">
        <v>0</v>
      </c>
      <c r="AC161">
        <v>0</v>
      </c>
      <c r="AD161">
        <v>0</v>
      </c>
      <c r="AE161">
        <v>11381.57</v>
      </c>
      <c r="AF161">
        <v>0</v>
      </c>
      <c r="AG161">
        <v>0</v>
      </c>
      <c r="AH161">
        <v>0</v>
      </c>
      <c r="AI161">
        <v>6.11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0.9</v>
      </c>
      <c r="AU161" t="s">
        <v>6</v>
      </c>
      <c r="AV161">
        <v>0</v>
      </c>
      <c r="AW161">
        <v>2</v>
      </c>
      <c r="AX161">
        <v>27935618</v>
      </c>
      <c r="AY161">
        <v>1</v>
      </c>
      <c r="AZ161">
        <v>0</v>
      </c>
      <c r="BA161">
        <v>165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Y161*Source!I69</f>
        <v>0.37440000000000001</v>
      </c>
      <c r="CY161">
        <f>AA161</f>
        <v>69541.39</v>
      </c>
      <c r="CZ161">
        <f>AE161</f>
        <v>11381.57</v>
      </c>
      <c r="DA161">
        <f>AI161</f>
        <v>6.11</v>
      </c>
      <c r="DB161">
        <f>ROUND(ROUND(AT161*CZ161,2),2)</f>
        <v>10243.41</v>
      </c>
      <c r="DC161">
        <f>ROUND(ROUND(AT161*AG161,2),2)</f>
        <v>0</v>
      </c>
    </row>
    <row r="162" spans="1:107" x14ac:dyDescent="0.2">
      <c r="A162">
        <f>ROW(Source!A69)</f>
        <v>69</v>
      </c>
      <c r="B162">
        <v>27935368</v>
      </c>
      <c r="C162">
        <v>27935605</v>
      </c>
      <c r="D162">
        <v>25186115</v>
      </c>
      <c r="E162">
        <v>1</v>
      </c>
      <c r="F162">
        <v>1</v>
      </c>
      <c r="G162">
        <v>1</v>
      </c>
      <c r="H162">
        <v>3</v>
      </c>
      <c r="I162" t="s">
        <v>144</v>
      </c>
      <c r="J162" t="s">
        <v>146</v>
      </c>
      <c r="K162" t="s">
        <v>145</v>
      </c>
      <c r="L162">
        <v>1346</v>
      </c>
      <c r="N162">
        <v>1009</v>
      </c>
      <c r="O162" t="s">
        <v>60</v>
      </c>
      <c r="P162" t="s">
        <v>60</v>
      </c>
      <c r="Q162">
        <v>1</v>
      </c>
      <c r="W162">
        <v>0</v>
      </c>
      <c r="X162">
        <v>303141801</v>
      </c>
      <c r="Y162">
        <v>30</v>
      </c>
      <c r="AA162">
        <v>93.18</v>
      </c>
      <c r="AB162">
        <v>0</v>
      </c>
      <c r="AC162">
        <v>0</v>
      </c>
      <c r="AD162">
        <v>0</v>
      </c>
      <c r="AE162">
        <v>15.25</v>
      </c>
      <c r="AF162">
        <v>0</v>
      </c>
      <c r="AG162">
        <v>0</v>
      </c>
      <c r="AH162">
        <v>0</v>
      </c>
      <c r="AI162">
        <v>6.11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30</v>
      </c>
      <c r="AU162" t="s">
        <v>6</v>
      </c>
      <c r="AV162">
        <v>0</v>
      </c>
      <c r="AW162">
        <v>2</v>
      </c>
      <c r="AX162">
        <v>27935619</v>
      </c>
      <c r="AY162">
        <v>1</v>
      </c>
      <c r="AZ162">
        <v>0</v>
      </c>
      <c r="BA162">
        <v>166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Y162*Source!I69</f>
        <v>12.479999999999999</v>
      </c>
      <c r="CY162">
        <f>AA162</f>
        <v>93.18</v>
      </c>
      <c r="CZ162">
        <f>AE162</f>
        <v>15.25</v>
      </c>
      <c r="DA162">
        <f>AI162</f>
        <v>6.11</v>
      </c>
      <c r="DB162">
        <f>ROUND(ROUND(AT162*CZ162,2),2)</f>
        <v>457.5</v>
      </c>
      <c r="DC162">
        <f>ROUND(ROUND(AT162*AG162,2),2)</f>
        <v>0</v>
      </c>
    </row>
    <row r="163" spans="1:107" x14ac:dyDescent="0.2">
      <c r="A163">
        <f>ROW(Source!A70)</f>
        <v>70</v>
      </c>
      <c r="B163">
        <v>27935367</v>
      </c>
      <c r="C163">
        <v>27935620</v>
      </c>
      <c r="D163">
        <v>25418547</v>
      </c>
      <c r="E163">
        <v>1</v>
      </c>
      <c r="F163">
        <v>1</v>
      </c>
      <c r="G163">
        <v>1</v>
      </c>
      <c r="H163">
        <v>1</v>
      </c>
      <c r="I163" t="s">
        <v>466</v>
      </c>
      <c r="J163" t="s">
        <v>6</v>
      </c>
      <c r="K163" t="s">
        <v>467</v>
      </c>
      <c r="L163">
        <v>1191</v>
      </c>
      <c r="N163">
        <v>1013</v>
      </c>
      <c r="O163" t="s">
        <v>459</v>
      </c>
      <c r="P163" t="s">
        <v>459</v>
      </c>
      <c r="Q163">
        <v>1</v>
      </c>
      <c r="W163">
        <v>0</v>
      </c>
      <c r="X163">
        <v>-784637506</v>
      </c>
      <c r="Y163">
        <v>356.983</v>
      </c>
      <c r="AA163">
        <v>0</v>
      </c>
      <c r="AB163">
        <v>0</v>
      </c>
      <c r="AC163">
        <v>0</v>
      </c>
      <c r="AD163">
        <v>8.74</v>
      </c>
      <c r="AE163">
        <v>0</v>
      </c>
      <c r="AF163">
        <v>0</v>
      </c>
      <c r="AG163">
        <v>0</v>
      </c>
      <c r="AH163">
        <v>8.74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310.42</v>
      </c>
      <c r="AU163" t="s">
        <v>28</v>
      </c>
      <c r="AV163">
        <v>1</v>
      </c>
      <c r="AW163">
        <v>2</v>
      </c>
      <c r="AX163">
        <v>27935633</v>
      </c>
      <c r="AY163">
        <v>1</v>
      </c>
      <c r="AZ163">
        <v>0</v>
      </c>
      <c r="BA163">
        <v>167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Y163*Source!I70</f>
        <v>148.50492800000001</v>
      </c>
      <c r="CY163">
        <f>AD163</f>
        <v>8.74</v>
      </c>
      <c r="CZ163">
        <f>AH163</f>
        <v>8.74</v>
      </c>
      <c r="DA163">
        <f>AL163</f>
        <v>1</v>
      </c>
      <c r="DB163">
        <f>ROUND((ROUND(AT163*CZ163,2)*1.15),2)</f>
        <v>3120.03</v>
      </c>
      <c r="DC163">
        <f>ROUND((ROUND(AT163*AG163,2)*1.15),2)</f>
        <v>0</v>
      </c>
    </row>
    <row r="164" spans="1:107" x14ac:dyDescent="0.2">
      <c r="A164">
        <f>ROW(Source!A70)</f>
        <v>70</v>
      </c>
      <c r="B164">
        <v>27935367</v>
      </c>
      <c r="C164">
        <v>27935620</v>
      </c>
      <c r="D164">
        <v>25412928</v>
      </c>
      <c r="E164">
        <v>1</v>
      </c>
      <c r="F164">
        <v>1</v>
      </c>
      <c r="G164">
        <v>1</v>
      </c>
      <c r="H164">
        <v>1</v>
      </c>
      <c r="I164" t="s">
        <v>460</v>
      </c>
      <c r="J164" t="s">
        <v>6</v>
      </c>
      <c r="K164" t="s">
        <v>461</v>
      </c>
      <c r="L164">
        <v>1191</v>
      </c>
      <c r="N164">
        <v>1013</v>
      </c>
      <c r="O164" t="s">
        <v>459</v>
      </c>
      <c r="P164" t="s">
        <v>459</v>
      </c>
      <c r="Q164">
        <v>1</v>
      </c>
      <c r="W164">
        <v>0</v>
      </c>
      <c r="X164">
        <v>-1417349443</v>
      </c>
      <c r="Y164">
        <v>1.73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1.73</v>
      </c>
      <c r="AU164" t="s">
        <v>6</v>
      </c>
      <c r="AV164">
        <v>2</v>
      </c>
      <c r="AW164">
        <v>2</v>
      </c>
      <c r="AX164">
        <v>27935634</v>
      </c>
      <c r="AY164">
        <v>1</v>
      </c>
      <c r="AZ164">
        <v>2048</v>
      </c>
      <c r="BA164">
        <v>168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Y164*Source!I70</f>
        <v>0.71967999999999999</v>
      </c>
      <c r="CY164">
        <f>AD164</f>
        <v>0</v>
      </c>
      <c r="CZ164">
        <f>AH164</f>
        <v>0</v>
      </c>
      <c r="DA164">
        <f>AL164</f>
        <v>1</v>
      </c>
      <c r="DB164">
        <f>ROUND(ROUND(AT164*CZ164,2),2)</f>
        <v>0</v>
      </c>
      <c r="DC164">
        <f>ROUND(ROUND(AT164*AG164,2),2)</f>
        <v>0</v>
      </c>
    </row>
    <row r="165" spans="1:107" x14ac:dyDescent="0.2">
      <c r="A165">
        <f>ROW(Source!A70)</f>
        <v>70</v>
      </c>
      <c r="B165">
        <v>27935367</v>
      </c>
      <c r="C165">
        <v>27935620</v>
      </c>
      <c r="D165">
        <v>25230116</v>
      </c>
      <c r="E165">
        <v>1</v>
      </c>
      <c r="F165">
        <v>1</v>
      </c>
      <c r="G165">
        <v>1</v>
      </c>
      <c r="H165">
        <v>2</v>
      </c>
      <c r="I165" t="s">
        <v>567</v>
      </c>
      <c r="J165" t="s">
        <v>568</v>
      </c>
      <c r="K165" t="s">
        <v>569</v>
      </c>
      <c r="L165">
        <v>1368</v>
      </c>
      <c r="N165">
        <v>1011</v>
      </c>
      <c r="O165" t="s">
        <v>465</v>
      </c>
      <c r="P165" t="s">
        <v>465</v>
      </c>
      <c r="Q165">
        <v>1</v>
      </c>
      <c r="W165">
        <v>0</v>
      </c>
      <c r="X165">
        <v>257150282</v>
      </c>
      <c r="Y165">
        <v>2.5000000000000001E-2</v>
      </c>
      <c r="AA165">
        <v>0</v>
      </c>
      <c r="AB165">
        <v>83.43</v>
      </c>
      <c r="AC165">
        <v>13.5</v>
      </c>
      <c r="AD165">
        <v>0</v>
      </c>
      <c r="AE165">
        <v>0</v>
      </c>
      <c r="AF165">
        <v>83.43</v>
      </c>
      <c r="AG165">
        <v>13.5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0.02</v>
      </c>
      <c r="AU165" t="s">
        <v>27</v>
      </c>
      <c r="AV165">
        <v>0</v>
      </c>
      <c r="AW165">
        <v>2</v>
      </c>
      <c r="AX165">
        <v>27935635</v>
      </c>
      <c r="AY165">
        <v>1</v>
      </c>
      <c r="AZ165">
        <v>0</v>
      </c>
      <c r="BA165">
        <v>169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Y165*Source!I70</f>
        <v>1.04E-2</v>
      </c>
      <c r="CY165">
        <f>AB165</f>
        <v>83.43</v>
      </c>
      <c r="CZ165">
        <f>AF165</f>
        <v>83.43</v>
      </c>
      <c r="DA165">
        <f>AJ165</f>
        <v>1</v>
      </c>
      <c r="DB165">
        <f>ROUND((ROUND(AT165*CZ165,2)*1.25),2)</f>
        <v>2.09</v>
      </c>
      <c r="DC165">
        <f>ROUND((ROUND(AT165*AG165,2)*1.25),2)</f>
        <v>0.34</v>
      </c>
    </row>
    <row r="166" spans="1:107" x14ac:dyDescent="0.2">
      <c r="A166">
        <f>ROW(Source!A70)</f>
        <v>70</v>
      </c>
      <c r="B166">
        <v>27935367</v>
      </c>
      <c r="C166">
        <v>27935620</v>
      </c>
      <c r="D166">
        <v>25230218</v>
      </c>
      <c r="E166">
        <v>1</v>
      </c>
      <c r="F166">
        <v>1</v>
      </c>
      <c r="G166">
        <v>1</v>
      </c>
      <c r="H166">
        <v>2</v>
      </c>
      <c r="I166" t="s">
        <v>570</v>
      </c>
      <c r="J166" t="s">
        <v>571</v>
      </c>
      <c r="K166" t="s">
        <v>572</v>
      </c>
      <c r="L166">
        <v>1368</v>
      </c>
      <c r="N166">
        <v>1011</v>
      </c>
      <c r="O166" t="s">
        <v>465</v>
      </c>
      <c r="P166" t="s">
        <v>465</v>
      </c>
      <c r="Q166">
        <v>1</v>
      </c>
      <c r="W166">
        <v>0</v>
      </c>
      <c r="X166">
        <v>1330025190</v>
      </c>
      <c r="Y166">
        <v>1.2500000000000001E-2</v>
      </c>
      <c r="AA166">
        <v>0</v>
      </c>
      <c r="AB166">
        <v>88.01</v>
      </c>
      <c r="AC166">
        <v>11.6</v>
      </c>
      <c r="AD166">
        <v>0</v>
      </c>
      <c r="AE166">
        <v>0</v>
      </c>
      <c r="AF166">
        <v>88.01</v>
      </c>
      <c r="AG166">
        <v>11.6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0.01</v>
      </c>
      <c r="AU166" t="s">
        <v>27</v>
      </c>
      <c r="AV166">
        <v>0</v>
      </c>
      <c r="AW166">
        <v>2</v>
      </c>
      <c r="AX166">
        <v>27935636</v>
      </c>
      <c r="AY166">
        <v>1</v>
      </c>
      <c r="AZ166">
        <v>0</v>
      </c>
      <c r="BA166">
        <v>170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Y166*Source!I70</f>
        <v>5.1999999999999998E-3</v>
      </c>
      <c r="CY166">
        <f>AB166</f>
        <v>88.01</v>
      </c>
      <c r="CZ166">
        <f>AF166</f>
        <v>88.01</v>
      </c>
      <c r="DA166">
        <f>AJ166</f>
        <v>1</v>
      </c>
      <c r="DB166">
        <f>ROUND((ROUND(AT166*CZ166,2)*1.25),2)</f>
        <v>1.1000000000000001</v>
      </c>
      <c r="DC166">
        <f>ROUND((ROUND(AT166*AG166,2)*1.25),2)</f>
        <v>0.15</v>
      </c>
    </row>
    <row r="167" spans="1:107" x14ac:dyDescent="0.2">
      <c r="A167">
        <f>ROW(Source!A70)</f>
        <v>70</v>
      </c>
      <c r="B167">
        <v>27935367</v>
      </c>
      <c r="C167">
        <v>27935620</v>
      </c>
      <c r="D167">
        <v>25230679</v>
      </c>
      <c r="E167">
        <v>1</v>
      </c>
      <c r="F167">
        <v>1</v>
      </c>
      <c r="G167">
        <v>1</v>
      </c>
      <c r="H167">
        <v>2</v>
      </c>
      <c r="I167" t="s">
        <v>573</v>
      </c>
      <c r="J167" t="s">
        <v>574</v>
      </c>
      <c r="K167" t="s">
        <v>575</v>
      </c>
      <c r="L167">
        <v>1368</v>
      </c>
      <c r="N167">
        <v>1011</v>
      </c>
      <c r="O167" t="s">
        <v>465</v>
      </c>
      <c r="P167" t="s">
        <v>465</v>
      </c>
      <c r="Q167">
        <v>1</v>
      </c>
      <c r="W167">
        <v>0</v>
      </c>
      <c r="X167">
        <v>983187852</v>
      </c>
      <c r="Y167">
        <v>2.1124999999999998</v>
      </c>
      <c r="AA167">
        <v>0</v>
      </c>
      <c r="AB167">
        <v>12.39</v>
      </c>
      <c r="AC167">
        <v>10.06</v>
      </c>
      <c r="AD167">
        <v>0</v>
      </c>
      <c r="AE167">
        <v>0</v>
      </c>
      <c r="AF167">
        <v>12.39</v>
      </c>
      <c r="AG167">
        <v>10.06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1.69</v>
      </c>
      <c r="AU167" t="s">
        <v>27</v>
      </c>
      <c r="AV167">
        <v>0</v>
      </c>
      <c r="AW167">
        <v>2</v>
      </c>
      <c r="AX167">
        <v>27935637</v>
      </c>
      <c r="AY167">
        <v>1</v>
      </c>
      <c r="AZ167">
        <v>0</v>
      </c>
      <c r="BA167">
        <v>171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Y167*Source!I70</f>
        <v>0.87879999999999991</v>
      </c>
      <c r="CY167">
        <f>AB167</f>
        <v>12.39</v>
      </c>
      <c r="CZ167">
        <f>AF167</f>
        <v>12.39</v>
      </c>
      <c r="DA167">
        <f>AJ167</f>
        <v>1</v>
      </c>
      <c r="DB167">
        <f>ROUND((ROUND(AT167*CZ167,2)*1.25),2)</f>
        <v>26.18</v>
      </c>
      <c r="DC167">
        <f>ROUND((ROUND(AT167*AG167,2)*1.25),2)</f>
        <v>21.25</v>
      </c>
    </row>
    <row r="168" spans="1:107" x14ac:dyDescent="0.2">
      <c r="A168">
        <f>ROW(Source!A70)</f>
        <v>70</v>
      </c>
      <c r="B168">
        <v>27935367</v>
      </c>
      <c r="C168">
        <v>27935620</v>
      </c>
      <c r="D168">
        <v>25231607</v>
      </c>
      <c r="E168">
        <v>1</v>
      </c>
      <c r="F168">
        <v>1</v>
      </c>
      <c r="G168">
        <v>1</v>
      </c>
      <c r="H168">
        <v>2</v>
      </c>
      <c r="I168" t="s">
        <v>468</v>
      </c>
      <c r="J168" t="s">
        <v>469</v>
      </c>
      <c r="K168" t="s">
        <v>470</v>
      </c>
      <c r="L168">
        <v>1368</v>
      </c>
      <c r="N168">
        <v>1011</v>
      </c>
      <c r="O168" t="s">
        <v>465</v>
      </c>
      <c r="P168" t="s">
        <v>465</v>
      </c>
      <c r="Q168">
        <v>1</v>
      </c>
      <c r="W168">
        <v>0</v>
      </c>
      <c r="X168">
        <v>1372534845</v>
      </c>
      <c r="Y168">
        <v>1.2500000000000001E-2</v>
      </c>
      <c r="AA168">
        <v>0</v>
      </c>
      <c r="AB168">
        <v>65.709999999999994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0.01</v>
      </c>
      <c r="AU168" t="s">
        <v>27</v>
      </c>
      <c r="AV168">
        <v>0</v>
      </c>
      <c r="AW168">
        <v>2</v>
      </c>
      <c r="AX168">
        <v>27935638</v>
      </c>
      <c r="AY168">
        <v>1</v>
      </c>
      <c r="AZ168">
        <v>0</v>
      </c>
      <c r="BA168">
        <v>172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Y168*Source!I70</f>
        <v>5.1999999999999998E-3</v>
      </c>
      <c r="CY168">
        <f>AB168</f>
        <v>65.709999999999994</v>
      </c>
      <c r="CZ168">
        <f>AF168</f>
        <v>65.709999999999994</v>
      </c>
      <c r="DA168">
        <f>AJ168</f>
        <v>1</v>
      </c>
      <c r="DB168">
        <f>ROUND((ROUND(AT168*CZ168,2)*1.25),2)</f>
        <v>0.83</v>
      </c>
      <c r="DC168">
        <f>ROUND((ROUND(AT168*AG168,2)*1.25),2)</f>
        <v>0.15</v>
      </c>
    </row>
    <row r="169" spans="1:107" x14ac:dyDescent="0.2">
      <c r="A169">
        <f>ROW(Source!A70)</f>
        <v>70</v>
      </c>
      <c r="B169">
        <v>27935367</v>
      </c>
      <c r="C169">
        <v>27935620</v>
      </c>
      <c r="D169">
        <v>25149961</v>
      </c>
      <c r="E169">
        <v>1</v>
      </c>
      <c r="F169">
        <v>1</v>
      </c>
      <c r="G169">
        <v>1</v>
      </c>
      <c r="H169">
        <v>3</v>
      </c>
      <c r="I169" t="s">
        <v>558</v>
      </c>
      <c r="J169" t="s">
        <v>559</v>
      </c>
      <c r="K169" t="s">
        <v>560</v>
      </c>
      <c r="L169">
        <v>1339</v>
      </c>
      <c r="N169">
        <v>1007</v>
      </c>
      <c r="O169" t="s">
        <v>133</v>
      </c>
      <c r="P169" t="s">
        <v>133</v>
      </c>
      <c r="Q169">
        <v>1</v>
      </c>
      <c r="W169">
        <v>0</v>
      </c>
      <c r="X169">
        <v>-1660354250</v>
      </c>
      <c r="Y169">
        <v>0.44</v>
      </c>
      <c r="AA169">
        <v>2.44</v>
      </c>
      <c r="AB169">
        <v>0</v>
      </c>
      <c r="AC169">
        <v>0</v>
      </c>
      <c r="AD169">
        <v>0</v>
      </c>
      <c r="AE169">
        <v>2.44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0.44</v>
      </c>
      <c r="AU169" t="s">
        <v>6</v>
      </c>
      <c r="AV169">
        <v>0</v>
      </c>
      <c r="AW169">
        <v>2</v>
      </c>
      <c r="AX169">
        <v>27935639</v>
      </c>
      <c r="AY169">
        <v>1</v>
      </c>
      <c r="AZ169">
        <v>0</v>
      </c>
      <c r="BA169">
        <v>173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Y169*Source!I70</f>
        <v>0.18303999999999998</v>
      </c>
      <c r="CY169">
        <f t="shared" ref="CY169:CY174" si="24">AA169</f>
        <v>2.44</v>
      </c>
      <c r="CZ169">
        <f t="shared" ref="CZ169:CZ174" si="25">AE169</f>
        <v>2.44</v>
      </c>
      <c r="DA169">
        <f t="shared" ref="DA169:DA174" si="26">AI169</f>
        <v>1</v>
      </c>
      <c r="DB169">
        <f t="shared" ref="DB169:DB174" si="27">ROUND(ROUND(AT169*CZ169,2),2)</f>
        <v>1.07</v>
      </c>
      <c r="DC169">
        <f t="shared" ref="DC169:DC174" si="28">ROUND(ROUND(AT169*AG169,2),2)</f>
        <v>0</v>
      </c>
    </row>
    <row r="170" spans="1:107" x14ac:dyDescent="0.2">
      <c r="A170">
        <f>ROW(Source!A70)</f>
        <v>70</v>
      </c>
      <c r="B170">
        <v>27935367</v>
      </c>
      <c r="C170">
        <v>27935620</v>
      </c>
      <c r="D170">
        <v>25155711</v>
      </c>
      <c r="E170">
        <v>1</v>
      </c>
      <c r="F170">
        <v>1</v>
      </c>
      <c r="G170">
        <v>1</v>
      </c>
      <c r="H170">
        <v>3</v>
      </c>
      <c r="I170" t="s">
        <v>576</v>
      </c>
      <c r="J170" t="s">
        <v>577</v>
      </c>
      <c r="K170" t="s">
        <v>578</v>
      </c>
      <c r="L170">
        <v>1348</v>
      </c>
      <c r="N170">
        <v>1009</v>
      </c>
      <c r="O170" t="s">
        <v>65</v>
      </c>
      <c r="P170" t="s">
        <v>65</v>
      </c>
      <c r="Q170">
        <v>1000</v>
      </c>
      <c r="W170">
        <v>0</v>
      </c>
      <c r="X170">
        <v>2108657288</v>
      </c>
      <c r="Y170">
        <v>1.2999999999999999E-2</v>
      </c>
      <c r="AA170">
        <v>6513</v>
      </c>
      <c r="AB170">
        <v>0</v>
      </c>
      <c r="AC170">
        <v>0</v>
      </c>
      <c r="AD170">
        <v>0</v>
      </c>
      <c r="AE170">
        <v>6513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1.2999999999999999E-2</v>
      </c>
      <c r="AU170" t="s">
        <v>6</v>
      </c>
      <c r="AV170">
        <v>0</v>
      </c>
      <c r="AW170">
        <v>2</v>
      </c>
      <c r="AX170">
        <v>27935640</v>
      </c>
      <c r="AY170">
        <v>1</v>
      </c>
      <c r="AZ170">
        <v>0</v>
      </c>
      <c r="BA170">
        <v>174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Y170*Source!I70</f>
        <v>5.4079999999999996E-3</v>
      </c>
      <c r="CY170">
        <f t="shared" si="24"/>
        <v>6513</v>
      </c>
      <c r="CZ170">
        <f t="shared" si="25"/>
        <v>6513</v>
      </c>
      <c r="DA170">
        <f t="shared" si="26"/>
        <v>1</v>
      </c>
      <c r="DB170">
        <f t="shared" si="27"/>
        <v>84.67</v>
      </c>
      <c r="DC170">
        <f t="shared" si="28"/>
        <v>0</v>
      </c>
    </row>
    <row r="171" spans="1:107" x14ac:dyDescent="0.2">
      <c r="A171">
        <f>ROW(Source!A70)</f>
        <v>70</v>
      </c>
      <c r="B171">
        <v>27935367</v>
      </c>
      <c r="C171">
        <v>27935620</v>
      </c>
      <c r="D171">
        <v>25169756</v>
      </c>
      <c r="E171">
        <v>1</v>
      </c>
      <c r="F171">
        <v>1</v>
      </c>
      <c r="G171">
        <v>1</v>
      </c>
      <c r="H171">
        <v>3</v>
      </c>
      <c r="I171" t="s">
        <v>148</v>
      </c>
      <c r="J171" t="s">
        <v>150</v>
      </c>
      <c r="K171" t="s">
        <v>149</v>
      </c>
      <c r="L171">
        <v>1327</v>
      </c>
      <c r="N171">
        <v>1005</v>
      </c>
      <c r="O171" t="s">
        <v>35</v>
      </c>
      <c r="P171" t="s">
        <v>35</v>
      </c>
      <c r="Q171">
        <v>1</v>
      </c>
      <c r="W171">
        <v>1</v>
      </c>
      <c r="X171">
        <v>2046761779</v>
      </c>
      <c r="Y171">
        <v>-102</v>
      </c>
      <c r="AA171">
        <v>140.44999999999999</v>
      </c>
      <c r="AB171">
        <v>0</v>
      </c>
      <c r="AC171">
        <v>0</v>
      </c>
      <c r="AD171">
        <v>0</v>
      </c>
      <c r="AE171">
        <v>140.44999999999999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-102</v>
      </c>
      <c r="AU171" t="s">
        <v>6</v>
      </c>
      <c r="AV171">
        <v>0</v>
      </c>
      <c r="AW171">
        <v>2</v>
      </c>
      <c r="AX171">
        <v>27935641</v>
      </c>
      <c r="AY171">
        <v>1</v>
      </c>
      <c r="AZ171">
        <v>6144</v>
      </c>
      <c r="BA171">
        <v>175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Y171*Source!I70</f>
        <v>-42.431999999999995</v>
      </c>
      <c r="CY171">
        <f t="shared" si="24"/>
        <v>140.44999999999999</v>
      </c>
      <c r="CZ171">
        <f t="shared" si="25"/>
        <v>140.44999999999999</v>
      </c>
      <c r="DA171">
        <f t="shared" si="26"/>
        <v>1</v>
      </c>
      <c r="DB171">
        <f t="shared" si="27"/>
        <v>-14325.9</v>
      </c>
      <c r="DC171">
        <f t="shared" si="28"/>
        <v>0</v>
      </c>
    </row>
    <row r="172" spans="1:107" x14ac:dyDescent="0.2">
      <c r="A172">
        <f>ROW(Source!A70)</f>
        <v>70</v>
      </c>
      <c r="B172">
        <v>27935367</v>
      </c>
      <c r="C172">
        <v>27935620</v>
      </c>
      <c r="D172">
        <v>25169770</v>
      </c>
      <c r="E172">
        <v>1</v>
      </c>
      <c r="F172">
        <v>1</v>
      </c>
      <c r="G172">
        <v>1</v>
      </c>
      <c r="H172">
        <v>3</v>
      </c>
      <c r="I172" t="s">
        <v>152</v>
      </c>
      <c r="J172" t="s">
        <v>154</v>
      </c>
      <c r="K172" t="s">
        <v>153</v>
      </c>
      <c r="L172">
        <v>1327</v>
      </c>
      <c r="N172">
        <v>1005</v>
      </c>
      <c r="O172" t="s">
        <v>35</v>
      </c>
      <c r="P172" t="s">
        <v>35</v>
      </c>
      <c r="Q172">
        <v>1</v>
      </c>
      <c r="W172">
        <v>0</v>
      </c>
      <c r="X172">
        <v>1925995961</v>
      </c>
      <c r="Y172">
        <v>102</v>
      </c>
      <c r="AA172">
        <v>83.2</v>
      </c>
      <c r="AB172">
        <v>0</v>
      </c>
      <c r="AC172">
        <v>0</v>
      </c>
      <c r="AD172">
        <v>0</v>
      </c>
      <c r="AE172">
        <v>83.2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102</v>
      </c>
      <c r="AU172" t="s">
        <v>6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Y172*Source!I70</f>
        <v>42.431999999999995</v>
      </c>
      <c r="CY172">
        <f t="shared" si="24"/>
        <v>83.2</v>
      </c>
      <c r="CZ172">
        <f t="shared" si="25"/>
        <v>83.2</v>
      </c>
      <c r="DA172">
        <f t="shared" si="26"/>
        <v>1</v>
      </c>
      <c r="DB172">
        <f t="shared" si="27"/>
        <v>8486.4</v>
      </c>
      <c r="DC172">
        <f t="shared" si="28"/>
        <v>0</v>
      </c>
    </row>
    <row r="173" spans="1:107" x14ac:dyDescent="0.2">
      <c r="A173">
        <f>ROW(Source!A70)</f>
        <v>70</v>
      </c>
      <c r="B173">
        <v>27935367</v>
      </c>
      <c r="C173">
        <v>27935620</v>
      </c>
      <c r="D173">
        <v>25185231</v>
      </c>
      <c r="E173">
        <v>1</v>
      </c>
      <c r="F173">
        <v>1</v>
      </c>
      <c r="G173">
        <v>1</v>
      </c>
      <c r="H173">
        <v>3</v>
      </c>
      <c r="I173" t="s">
        <v>579</v>
      </c>
      <c r="J173" t="s">
        <v>580</v>
      </c>
      <c r="K173" t="s">
        <v>581</v>
      </c>
      <c r="L173">
        <v>1346</v>
      </c>
      <c r="N173">
        <v>1009</v>
      </c>
      <c r="O173" t="s">
        <v>60</v>
      </c>
      <c r="P173" t="s">
        <v>60</v>
      </c>
      <c r="Q173">
        <v>1</v>
      </c>
      <c r="W173">
        <v>0</v>
      </c>
      <c r="X173">
        <v>830044740</v>
      </c>
      <c r="Y173">
        <v>1200</v>
      </c>
      <c r="AA173">
        <v>3.69</v>
      </c>
      <c r="AB173">
        <v>0</v>
      </c>
      <c r="AC173">
        <v>0</v>
      </c>
      <c r="AD173">
        <v>0</v>
      </c>
      <c r="AE173">
        <v>3.69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1200</v>
      </c>
      <c r="AU173" t="s">
        <v>6</v>
      </c>
      <c r="AV173">
        <v>0</v>
      </c>
      <c r="AW173">
        <v>2</v>
      </c>
      <c r="AX173">
        <v>27935643</v>
      </c>
      <c r="AY173">
        <v>1</v>
      </c>
      <c r="AZ173">
        <v>0</v>
      </c>
      <c r="BA173">
        <v>177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Y173*Source!I70</f>
        <v>499.2</v>
      </c>
      <c r="CY173">
        <f t="shared" si="24"/>
        <v>3.69</v>
      </c>
      <c r="CZ173">
        <f t="shared" si="25"/>
        <v>3.69</v>
      </c>
      <c r="DA173">
        <f t="shared" si="26"/>
        <v>1</v>
      </c>
      <c r="DB173">
        <f t="shared" si="27"/>
        <v>4428</v>
      </c>
      <c r="DC173">
        <f t="shared" si="28"/>
        <v>0</v>
      </c>
    </row>
    <row r="174" spans="1:107" x14ac:dyDescent="0.2">
      <c r="A174">
        <f>ROW(Source!A70)</f>
        <v>70</v>
      </c>
      <c r="B174">
        <v>27935367</v>
      </c>
      <c r="C174">
        <v>27935620</v>
      </c>
      <c r="D174">
        <v>25186115</v>
      </c>
      <c r="E174">
        <v>1</v>
      </c>
      <c r="F174">
        <v>1</v>
      </c>
      <c r="G174">
        <v>1</v>
      </c>
      <c r="H174">
        <v>3</v>
      </c>
      <c r="I174" t="s">
        <v>144</v>
      </c>
      <c r="J174" t="s">
        <v>146</v>
      </c>
      <c r="K174" t="s">
        <v>145</v>
      </c>
      <c r="L174">
        <v>1346</v>
      </c>
      <c r="N174">
        <v>1009</v>
      </c>
      <c r="O174" t="s">
        <v>60</v>
      </c>
      <c r="P174" t="s">
        <v>60</v>
      </c>
      <c r="Q174">
        <v>1</v>
      </c>
      <c r="W174">
        <v>0</v>
      </c>
      <c r="X174">
        <v>303141801</v>
      </c>
      <c r="Y174">
        <v>13</v>
      </c>
      <c r="AA174">
        <v>15.25</v>
      </c>
      <c r="AB174">
        <v>0</v>
      </c>
      <c r="AC174">
        <v>0</v>
      </c>
      <c r="AD174">
        <v>0</v>
      </c>
      <c r="AE174">
        <v>15.25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13</v>
      </c>
      <c r="AU174" t="s">
        <v>6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Y174*Source!I70</f>
        <v>5.4079999999999995</v>
      </c>
      <c r="CY174">
        <f t="shared" si="24"/>
        <v>15.25</v>
      </c>
      <c r="CZ174">
        <f t="shared" si="25"/>
        <v>15.25</v>
      </c>
      <c r="DA174">
        <f t="shared" si="26"/>
        <v>1</v>
      </c>
      <c r="DB174">
        <f t="shared" si="27"/>
        <v>198.25</v>
      </c>
      <c r="DC174">
        <f t="shared" si="28"/>
        <v>0</v>
      </c>
    </row>
    <row r="175" spans="1:107" x14ac:dyDescent="0.2">
      <c r="A175">
        <f>ROW(Source!A71)</f>
        <v>71</v>
      </c>
      <c r="B175">
        <v>27935368</v>
      </c>
      <c r="C175">
        <v>27935620</v>
      </c>
      <c r="D175">
        <v>25418547</v>
      </c>
      <c r="E175">
        <v>1</v>
      </c>
      <c r="F175">
        <v>1</v>
      </c>
      <c r="G175">
        <v>1</v>
      </c>
      <c r="H175">
        <v>1</v>
      </c>
      <c r="I175" t="s">
        <v>466</v>
      </c>
      <c r="J175" t="s">
        <v>6</v>
      </c>
      <c r="K175" t="s">
        <v>467</v>
      </c>
      <c r="L175">
        <v>1191</v>
      </c>
      <c r="N175">
        <v>1013</v>
      </c>
      <c r="O175" t="s">
        <v>459</v>
      </c>
      <c r="P175" t="s">
        <v>459</v>
      </c>
      <c r="Q175">
        <v>1</v>
      </c>
      <c r="W175">
        <v>0</v>
      </c>
      <c r="X175">
        <v>-784637506</v>
      </c>
      <c r="Y175">
        <v>356.983</v>
      </c>
      <c r="AA175">
        <v>0</v>
      </c>
      <c r="AB175">
        <v>0</v>
      </c>
      <c r="AC175">
        <v>0</v>
      </c>
      <c r="AD175">
        <v>53.4</v>
      </c>
      <c r="AE175">
        <v>0</v>
      </c>
      <c r="AF175">
        <v>0</v>
      </c>
      <c r="AG175">
        <v>0</v>
      </c>
      <c r="AH175">
        <v>8.74</v>
      </c>
      <c r="AI175">
        <v>1</v>
      </c>
      <c r="AJ175">
        <v>1</v>
      </c>
      <c r="AK175">
        <v>1</v>
      </c>
      <c r="AL175">
        <v>6.11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310.42</v>
      </c>
      <c r="AU175" t="s">
        <v>28</v>
      </c>
      <c r="AV175">
        <v>1</v>
      </c>
      <c r="AW175">
        <v>2</v>
      </c>
      <c r="AX175">
        <v>27935633</v>
      </c>
      <c r="AY175">
        <v>1</v>
      </c>
      <c r="AZ175">
        <v>0</v>
      </c>
      <c r="BA175">
        <v>179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Y175*Source!I71</f>
        <v>148.50492800000001</v>
      </c>
      <c r="CY175">
        <f>AD175</f>
        <v>53.4</v>
      </c>
      <c r="CZ175">
        <f>AH175</f>
        <v>8.74</v>
      </c>
      <c r="DA175">
        <f>AL175</f>
        <v>6.11</v>
      </c>
      <c r="DB175">
        <f>ROUND((ROUND(AT175*CZ175,2)*1.15),2)</f>
        <v>3120.03</v>
      </c>
      <c r="DC175">
        <f>ROUND((ROUND(AT175*AG175,2)*1.15),2)</f>
        <v>0</v>
      </c>
    </row>
    <row r="176" spans="1:107" x14ac:dyDescent="0.2">
      <c r="A176">
        <f>ROW(Source!A71)</f>
        <v>71</v>
      </c>
      <c r="B176">
        <v>27935368</v>
      </c>
      <c r="C176">
        <v>27935620</v>
      </c>
      <c r="D176">
        <v>25412928</v>
      </c>
      <c r="E176">
        <v>1</v>
      </c>
      <c r="F176">
        <v>1</v>
      </c>
      <c r="G176">
        <v>1</v>
      </c>
      <c r="H176">
        <v>1</v>
      </c>
      <c r="I176" t="s">
        <v>460</v>
      </c>
      <c r="J176" t="s">
        <v>6</v>
      </c>
      <c r="K176" t="s">
        <v>461</v>
      </c>
      <c r="L176">
        <v>1191</v>
      </c>
      <c r="N176">
        <v>1013</v>
      </c>
      <c r="O176" t="s">
        <v>459</v>
      </c>
      <c r="P176" t="s">
        <v>459</v>
      </c>
      <c r="Q176">
        <v>1</v>
      </c>
      <c r="W176">
        <v>0</v>
      </c>
      <c r="X176">
        <v>-1417349443</v>
      </c>
      <c r="Y176">
        <v>1.73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6.11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1.73</v>
      </c>
      <c r="AU176" t="s">
        <v>6</v>
      </c>
      <c r="AV176">
        <v>2</v>
      </c>
      <c r="AW176">
        <v>2</v>
      </c>
      <c r="AX176">
        <v>27935634</v>
      </c>
      <c r="AY176">
        <v>1</v>
      </c>
      <c r="AZ176">
        <v>2048</v>
      </c>
      <c r="BA176">
        <v>180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Y176*Source!I71</f>
        <v>0.71967999999999999</v>
      </c>
      <c r="CY176">
        <f>AD176</f>
        <v>0</v>
      </c>
      <c r="CZ176">
        <f>AH176</f>
        <v>0</v>
      </c>
      <c r="DA176">
        <f>AL176</f>
        <v>1</v>
      </c>
      <c r="DB176">
        <f>ROUND(ROUND(AT176*CZ176,2),2)</f>
        <v>0</v>
      </c>
      <c r="DC176">
        <f>ROUND(ROUND(AT176*AG176,2),2)</f>
        <v>0</v>
      </c>
    </row>
    <row r="177" spans="1:107" x14ac:dyDescent="0.2">
      <c r="A177">
        <f>ROW(Source!A71)</f>
        <v>71</v>
      </c>
      <c r="B177">
        <v>27935368</v>
      </c>
      <c r="C177">
        <v>27935620</v>
      </c>
      <c r="D177">
        <v>25230116</v>
      </c>
      <c r="E177">
        <v>1</v>
      </c>
      <c r="F177">
        <v>1</v>
      </c>
      <c r="G177">
        <v>1</v>
      </c>
      <c r="H177">
        <v>2</v>
      </c>
      <c r="I177" t="s">
        <v>567</v>
      </c>
      <c r="J177" t="s">
        <v>568</v>
      </c>
      <c r="K177" t="s">
        <v>569</v>
      </c>
      <c r="L177">
        <v>1368</v>
      </c>
      <c r="N177">
        <v>1011</v>
      </c>
      <c r="O177" t="s">
        <v>465</v>
      </c>
      <c r="P177" t="s">
        <v>465</v>
      </c>
      <c r="Q177">
        <v>1</v>
      </c>
      <c r="W177">
        <v>0</v>
      </c>
      <c r="X177">
        <v>257150282</v>
      </c>
      <c r="Y177">
        <v>2.5000000000000001E-2</v>
      </c>
      <c r="AA177">
        <v>0</v>
      </c>
      <c r="AB177">
        <v>509.76</v>
      </c>
      <c r="AC177">
        <v>13.5</v>
      </c>
      <c r="AD177">
        <v>0</v>
      </c>
      <c r="AE177">
        <v>0</v>
      </c>
      <c r="AF177">
        <v>83.43</v>
      </c>
      <c r="AG177">
        <v>13.5</v>
      </c>
      <c r="AH177">
        <v>0</v>
      </c>
      <c r="AI177">
        <v>1</v>
      </c>
      <c r="AJ177">
        <v>6.11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0.02</v>
      </c>
      <c r="AU177" t="s">
        <v>27</v>
      </c>
      <c r="AV177">
        <v>0</v>
      </c>
      <c r="AW177">
        <v>2</v>
      </c>
      <c r="AX177">
        <v>27935635</v>
      </c>
      <c r="AY177">
        <v>1</v>
      </c>
      <c r="AZ177">
        <v>0</v>
      </c>
      <c r="BA177">
        <v>181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Y177*Source!I71</f>
        <v>1.04E-2</v>
      </c>
      <c r="CY177">
        <f>AB177</f>
        <v>509.76</v>
      </c>
      <c r="CZ177">
        <f>AF177</f>
        <v>83.43</v>
      </c>
      <c r="DA177">
        <f>AJ177</f>
        <v>6.11</v>
      </c>
      <c r="DB177">
        <f>ROUND((ROUND(AT177*CZ177,2)*1.25),2)</f>
        <v>2.09</v>
      </c>
      <c r="DC177">
        <f>ROUND((ROUND(AT177*AG177,2)*1.25),2)</f>
        <v>0.34</v>
      </c>
    </row>
    <row r="178" spans="1:107" x14ac:dyDescent="0.2">
      <c r="A178">
        <f>ROW(Source!A71)</f>
        <v>71</v>
      </c>
      <c r="B178">
        <v>27935368</v>
      </c>
      <c r="C178">
        <v>27935620</v>
      </c>
      <c r="D178">
        <v>25230218</v>
      </c>
      <c r="E178">
        <v>1</v>
      </c>
      <c r="F178">
        <v>1</v>
      </c>
      <c r="G178">
        <v>1</v>
      </c>
      <c r="H178">
        <v>2</v>
      </c>
      <c r="I178" t="s">
        <v>570</v>
      </c>
      <c r="J178" t="s">
        <v>571</v>
      </c>
      <c r="K178" t="s">
        <v>572</v>
      </c>
      <c r="L178">
        <v>1368</v>
      </c>
      <c r="N178">
        <v>1011</v>
      </c>
      <c r="O178" t="s">
        <v>465</v>
      </c>
      <c r="P178" t="s">
        <v>465</v>
      </c>
      <c r="Q178">
        <v>1</v>
      </c>
      <c r="W178">
        <v>0</v>
      </c>
      <c r="X178">
        <v>1330025190</v>
      </c>
      <c r="Y178">
        <v>1.2500000000000001E-2</v>
      </c>
      <c r="AA178">
        <v>0</v>
      </c>
      <c r="AB178">
        <v>537.74</v>
      </c>
      <c r="AC178">
        <v>11.6</v>
      </c>
      <c r="AD178">
        <v>0</v>
      </c>
      <c r="AE178">
        <v>0</v>
      </c>
      <c r="AF178">
        <v>88.01</v>
      </c>
      <c r="AG178">
        <v>11.6</v>
      </c>
      <c r="AH178">
        <v>0</v>
      </c>
      <c r="AI178">
        <v>1</v>
      </c>
      <c r="AJ178">
        <v>6.11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0.01</v>
      </c>
      <c r="AU178" t="s">
        <v>27</v>
      </c>
      <c r="AV178">
        <v>0</v>
      </c>
      <c r="AW178">
        <v>2</v>
      </c>
      <c r="AX178">
        <v>27935636</v>
      </c>
      <c r="AY178">
        <v>1</v>
      </c>
      <c r="AZ178">
        <v>0</v>
      </c>
      <c r="BA178">
        <v>182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Y178*Source!I71</f>
        <v>5.1999999999999998E-3</v>
      </c>
      <c r="CY178">
        <f>AB178</f>
        <v>537.74</v>
      </c>
      <c r="CZ178">
        <f>AF178</f>
        <v>88.01</v>
      </c>
      <c r="DA178">
        <f>AJ178</f>
        <v>6.11</v>
      </c>
      <c r="DB178">
        <f>ROUND((ROUND(AT178*CZ178,2)*1.25),2)</f>
        <v>1.1000000000000001</v>
      </c>
      <c r="DC178">
        <f>ROUND((ROUND(AT178*AG178,2)*1.25),2)</f>
        <v>0.15</v>
      </c>
    </row>
    <row r="179" spans="1:107" x14ac:dyDescent="0.2">
      <c r="A179">
        <f>ROW(Source!A71)</f>
        <v>71</v>
      </c>
      <c r="B179">
        <v>27935368</v>
      </c>
      <c r="C179">
        <v>27935620</v>
      </c>
      <c r="D179">
        <v>25230679</v>
      </c>
      <c r="E179">
        <v>1</v>
      </c>
      <c r="F179">
        <v>1</v>
      </c>
      <c r="G179">
        <v>1</v>
      </c>
      <c r="H179">
        <v>2</v>
      </c>
      <c r="I179" t="s">
        <v>573</v>
      </c>
      <c r="J179" t="s">
        <v>574</v>
      </c>
      <c r="K179" t="s">
        <v>575</v>
      </c>
      <c r="L179">
        <v>1368</v>
      </c>
      <c r="N179">
        <v>1011</v>
      </c>
      <c r="O179" t="s">
        <v>465</v>
      </c>
      <c r="P179" t="s">
        <v>465</v>
      </c>
      <c r="Q179">
        <v>1</v>
      </c>
      <c r="W179">
        <v>0</v>
      </c>
      <c r="X179">
        <v>983187852</v>
      </c>
      <c r="Y179">
        <v>2.1124999999999998</v>
      </c>
      <c r="AA179">
        <v>0</v>
      </c>
      <c r="AB179">
        <v>75.7</v>
      </c>
      <c r="AC179">
        <v>10.06</v>
      </c>
      <c r="AD179">
        <v>0</v>
      </c>
      <c r="AE179">
        <v>0</v>
      </c>
      <c r="AF179">
        <v>12.39</v>
      </c>
      <c r="AG179">
        <v>10.06</v>
      </c>
      <c r="AH179">
        <v>0</v>
      </c>
      <c r="AI179">
        <v>1</v>
      </c>
      <c r="AJ179">
        <v>6.11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1.69</v>
      </c>
      <c r="AU179" t="s">
        <v>27</v>
      </c>
      <c r="AV179">
        <v>0</v>
      </c>
      <c r="AW179">
        <v>2</v>
      </c>
      <c r="AX179">
        <v>27935637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Y179*Source!I71</f>
        <v>0.87879999999999991</v>
      </c>
      <c r="CY179">
        <f>AB179</f>
        <v>75.7</v>
      </c>
      <c r="CZ179">
        <f>AF179</f>
        <v>12.39</v>
      </c>
      <c r="DA179">
        <f>AJ179</f>
        <v>6.11</v>
      </c>
      <c r="DB179">
        <f>ROUND((ROUND(AT179*CZ179,2)*1.25),2)</f>
        <v>26.18</v>
      </c>
      <c r="DC179">
        <f>ROUND((ROUND(AT179*AG179,2)*1.25),2)</f>
        <v>21.25</v>
      </c>
    </row>
    <row r="180" spans="1:107" x14ac:dyDescent="0.2">
      <c r="A180">
        <f>ROW(Source!A71)</f>
        <v>71</v>
      </c>
      <c r="B180">
        <v>27935368</v>
      </c>
      <c r="C180">
        <v>27935620</v>
      </c>
      <c r="D180">
        <v>25231607</v>
      </c>
      <c r="E180">
        <v>1</v>
      </c>
      <c r="F180">
        <v>1</v>
      </c>
      <c r="G180">
        <v>1</v>
      </c>
      <c r="H180">
        <v>2</v>
      </c>
      <c r="I180" t="s">
        <v>468</v>
      </c>
      <c r="J180" t="s">
        <v>469</v>
      </c>
      <c r="K180" t="s">
        <v>470</v>
      </c>
      <c r="L180">
        <v>1368</v>
      </c>
      <c r="N180">
        <v>1011</v>
      </c>
      <c r="O180" t="s">
        <v>465</v>
      </c>
      <c r="P180" t="s">
        <v>465</v>
      </c>
      <c r="Q180">
        <v>1</v>
      </c>
      <c r="W180">
        <v>0</v>
      </c>
      <c r="X180">
        <v>1372534845</v>
      </c>
      <c r="Y180">
        <v>1.2500000000000001E-2</v>
      </c>
      <c r="AA180">
        <v>0</v>
      </c>
      <c r="AB180">
        <v>401.49</v>
      </c>
      <c r="AC180">
        <v>11.6</v>
      </c>
      <c r="AD180">
        <v>0</v>
      </c>
      <c r="AE180">
        <v>0</v>
      </c>
      <c r="AF180">
        <v>65.709999999999994</v>
      </c>
      <c r="AG180">
        <v>11.6</v>
      </c>
      <c r="AH180">
        <v>0</v>
      </c>
      <c r="AI180">
        <v>1</v>
      </c>
      <c r="AJ180">
        <v>6.11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0.01</v>
      </c>
      <c r="AU180" t="s">
        <v>27</v>
      </c>
      <c r="AV180">
        <v>0</v>
      </c>
      <c r="AW180">
        <v>2</v>
      </c>
      <c r="AX180">
        <v>27935638</v>
      </c>
      <c r="AY180">
        <v>1</v>
      </c>
      <c r="AZ180">
        <v>0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Y180*Source!I71</f>
        <v>5.1999999999999998E-3</v>
      </c>
      <c r="CY180">
        <f>AB180</f>
        <v>401.49</v>
      </c>
      <c r="CZ180">
        <f>AF180</f>
        <v>65.709999999999994</v>
      </c>
      <c r="DA180">
        <f>AJ180</f>
        <v>6.11</v>
      </c>
      <c r="DB180">
        <f>ROUND((ROUND(AT180*CZ180,2)*1.25),2)</f>
        <v>0.83</v>
      </c>
      <c r="DC180">
        <f>ROUND((ROUND(AT180*AG180,2)*1.25),2)</f>
        <v>0.15</v>
      </c>
    </row>
    <row r="181" spans="1:107" x14ac:dyDescent="0.2">
      <c r="A181">
        <f>ROW(Source!A71)</f>
        <v>71</v>
      </c>
      <c r="B181">
        <v>27935368</v>
      </c>
      <c r="C181">
        <v>27935620</v>
      </c>
      <c r="D181">
        <v>25149961</v>
      </c>
      <c r="E181">
        <v>1</v>
      </c>
      <c r="F181">
        <v>1</v>
      </c>
      <c r="G181">
        <v>1</v>
      </c>
      <c r="H181">
        <v>3</v>
      </c>
      <c r="I181" t="s">
        <v>558</v>
      </c>
      <c r="J181" t="s">
        <v>559</v>
      </c>
      <c r="K181" t="s">
        <v>560</v>
      </c>
      <c r="L181">
        <v>1339</v>
      </c>
      <c r="N181">
        <v>1007</v>
      </c>
      <c r="O181" t="s">
        <v>133</v>
      </c>
      <c r="P181" t="s">
        <v>133</v>
      </c>
      <c r="Q181">
        <v>1</v>
      </c>
      <c r="W181">
        <v>0</v>
      </c>
      <c r="X181">
        <v>-1660354250</v>
      </c>
      <c r="Y181">
        <v>0.44</v>
      </c>
      <c r="AA181">
        <v>14.91</v>
      </c>
      <c r="AB181">
        <v>0</v>
      </c>
      <c r="AC181">
        <v>0</v>
      </c>
      <c r="AD181">
        <v>0</v>
      </c>
      <c r="AE181">
        <v>2.44</v>
      </c>
      <c r="AF181">
        <v>0</v>
      </c>
      <c r="AG181">
        <v>0</v>
      </c>
      <c r="AH181">
        <v>0</v>
      </c>
      <c r="AI181">
        <v>6.11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0.44</v>
      </c>
      <c r="AU181" t="s">
        <v>6</v>
      </c>
      <c r="AV181">
        <v>0</v>
      </c>
      <c r="AW181">
        <v>2</v>
      </c>
      <c r="AX181">
        <v>27935639</v>
      </c>
      <c r="AY181">
        <v>1</v>
      </c>
      <c r="AZ181">
        <v>0</v>
      </c>
      <c r="BA181">
        <v>185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Y181*Source!I71</f>
        <v>0.18303999999999998</v>
      </c>
      <c r="CY181">
        <f t="shared" ref="CY181:CY186" si="29">AA181</f>
        <v>14.91</v>
      </c>
      <c r="CZ181">
        <f t="shared" ref="CZ181:CZ186" si="30">AE181</f>
        <v>2.44</v>
      </c>
      <c r="DA181">
        <f t="shared" ref="DA181:DA186" si="31">AI181</f>
        <v>6.11</v>
      </c>
      <c r="DB181">
        <f t="shared" ref="DB181:DB188" si="32">ROUND(ROUND(AT181*CZ181,2),2)</f>
        <v>1.07</v>
      </c>
      <c r="DC181">
        <f t="shared" ref="DC181:DC188" si="33">ROUND(ROUND(AT181*AG181,2),2)</f>
        <v>0</v>
      </c>
    </row>
    <row r="182" spans="1:107" x14ac:dyDescent="0.2">
      <c r="A182">
        <f>ROW(Source!A71)</f>
        <v>71</v>
      </c>
      <c r="B182">
        <v>27935368</v>
      </c>
      <c r="C182">
        <v>27935620</v>
      </c>
      <c r="D182">
        <v>25155711</v>
      </c>
      <c r="E182">
        <v>1</v>
      </c>
      <c r="F182">
        <v>1</v>
      </c>
      <c r="G182">
        <v>1</v>
      </c>
      <c r="H182">
        <v>3</v>
      </c>
      <c r="I182" t="s">
        <v>576</v>
      </c>
      <c r="J182" t="s">
        <v>577</v>
      </c>
      <c r="K182" t="s">
        <v>578</v>
      </c>
      <c r="L182">
        <v>1348</v>
      </c>
      <c r="N182">
        <v>1009</v>
      </c>
      <c r="O182" t="s">
        <v>65</v>
      </c>
      <c r="P182" t="s">
        <v>65</v>
      </c>
      <c r="Q182">
        <v>1000</v>
      </c>
      <c r="W182">
        <v>0</v>
      </c>
      <c r="X182">
        <v>2108657288</v>
      </c>
      <c r="Y182">
        <v>1.2999999999999999E-2</v>
      </c>
      <c r="AA182">
        <v>39794.43</v>
      </c>
      <c r="AB182">
        <v>0</v>
      </c>
      <c r="AC182">
        <v>0</v>
      </c>
      <c r="AD182">
        <v>0</v>
      </c>
      <c r="AE182">
        <v>6513</v>
      </c>
      <c r="AF182">
        <v>0</v>
      </c>
      <c r="AG182">
        <v>0</v>
      </c>
      <c r="AH182">
        <v>0</v>
      </c>
      <c r="AI182">
        <v>6.11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1.2999999999999999E-2</v>
      </c>
      <c r="AU182" t="s">
        <v>6</v>
      </c>
      <c r="AV182">
        <v>0</v>
      </c>
      <c r="AW182">
        <v>2</v>
      </c>
      <c r="AX182">
        <v>27935640</v>
      </c>
      <c r="AY182">
        <v>1</v>
      </c>
      <c r="AZ182">
        <v>0</v>
      </c>
      <c r="BA182">
        <v>186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Y182*Source!I71</f>
        <v>5.4079999999999996E-3</v>
      </c>
      <c r="CY182">
        <f t="shared" si="29"/>
        <v>39794.43</v>
      </c>
      <c r="CZ182">
        <f t="shared" si="30"/>
        <v>6513</v>
      </c>
      <c r="DA182">
        <f t="shared" si="31"/>
        <v>6.11</v>
      </c>
      <c r="DB182">
        <f t="shared" si="32"/>
        <v>84.67</v>
      </c>
      <c r="DC182">
        <f t="shared" si="33"/>
        <v>0</v>
      </c>
    </row>
    <row r="183" spans="1:107" x14ac:dyDescent="0.2">
      <c r="A183">
        <f>ROW(Source!A71)</f>
        <v>71</v>
      </c>
      <c r="B183">
        <v>27935368</v>
      </c>
      <c r="C183">
        <v>27935620</v>
      </c>
      <c r="D183">
        <v>25169756</v>
      </c>
      <c r="E183">
        <v>1</v>
      </c>
      <c r="F183">
        <v>1</v>
      </c>
      <c r="G183">
        <v>1</v>
      </c>
      <c r="H183">
        <v>3</v>
      </c>
      <c r="I183" t="s">
        <v>148</v>
      </c>
      <c r="J183" t="s">
        <v>150</v>
      </c>
      <c r="K183" t="s">
        <v>149</v>
      </c>
      <c r="L183">
        <v>1327</v>
      </c>
      <c r="N183">
        <v>1005</v>
      </c>
      <c r="O183" t="s">
        <v>35</v>
      </c>
      <c r="P183" t="s">
        <v>35</v>
      </c>
      <c r="Q183">
        <v>1</v>
      </c>
      <c r="W183">
        <v>1</v>
      </c>
      <c r="X183">
        <v>2046761779</v>
      </c>
      <c r="Y183">
        <v>-102</v>
      </c>
      <c r="AA183">
        <v>858.15</v>
      </c>
      <c r="AB183">
        <v>0</v>
      </c>
      <c r="AC183">
        <v>0</v>
      </c>
      <c r="AD183">
        <v>0</v>
      </c>
      <c r="AE183">
        <v>140.44999999999999</v>
      </c>
      <c r="AF183">
        <v>0</v>
      </c>
      <c r="AG183">
        <v>0</v>
      </c>
      <c r="AH183">
        <v>0</v>
      </c>
      <c r="AI183">
        <v>6.11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-102</v>
      </c>
      <c r="AU183" t="s">
        <v>6</v>
      </c>
      <c r="AV183">
        <v>0</v>
      </c>
      <c r="AW183">
        <v>2</v>
      </c>
      <c r="AX183">
        <v>27935641</v>
      </c>
      <c r="AY183">
        <v>1</v>
      </c>
      <c r="AZ183">
        <v>6144</v>
      </c>
      <c r="BA183">
        <v>187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Y183*Source!I71</f>
        <v>-42.431999999999995</v>
      </c>
      <c r="CY183">
        <f t="shared" si="29"/>
        <v>858.15</v>
      </c>
      <c r="CZ183">
        <f t="shared" si="30"/>
        <v>140.44999999999999</v>
      </c>
      <c r="DA183">
        <f t="shared" si="31"/>
        <v>6.11</v>
      </c>
      <c r="DB183">
        <f t="shared" si="32"/>
        <v>-14325.9</v>
      </c>
      <c r="DC183">
        <f t="shared" si="33"/>
        <v>0</v>
      </c>
    </row>
    <row r="184" spans="1:107" x14ac:dyDescent="0.2">
      <c r="A184">
        <f>ROW(Source!A71)</f>
        <v>71</v>
      </c>
      <c r="B184">
        <v>27935368</v>
      </c>
      <c r="C184">
        <v>27935620</v>
      </c>
      <c r="D184">
        <v>25169770</v>
      </c>
      <c r="E184">
        <v>1</v>
      </c>
      <c r="F184">
        <v>1</v>
      </c>
      <c r="G184">
        <v>1</v>
      </c>
      <c r="H184">
        <v>3</v>
      </c>
      <c r="I184" t="s">
        <v>152</v>
      </c>
      <c r="J184" t="s">
        <v>154</v>
      </c>
      <c r="K184" t="s">
        <v>153</v>
      </c>
      <c r="L184">
        <v>1327</v>
      </c>
      <c r="N184">
        <v>1005</v>
      </c>
      <c r="O184" t="s">
        <v>35</v>
      </c>
      <c r="P184" t="s">
        <v>35</v>
      </c>
      <c r="Q184">
        <v>1</v>
      </c>
      <c r="W184">
        <v>0</v>
      </c>
      <c r="X184">
        <v>1925995961</v>
      </c>
      <c r="Y184">
        <v>102</v>
      </c>
      <c r="AA184">
        <v>508.35</v>
      </c>
      <c r="AB184">
        <v>0</v>
      </c>
      <c r="AC184">
        <v>0</v>
      </c>
      <c r="AD184">
        <v>0</v>
      </c>
      <c r="AE184">
        <v>83.2</v>
      </c>
      <c r="AF184">
        <v>0</v>
      </c>
      <c r="AG184">
        <v>0</v>
      </c>
      <c r="AH184">
        <v>0</v>
      </c>
      <c r="AI184">
        <v>6.11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102</v>
      </c>
      <c r="AU184" t="s">
        <v>6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Y184*Source!I71</f>
        <v>42.431999999999995</v>
      </c>
      <c r="CY184">
        <f t="shared" si="29"/>
        <v>508.35</v>
      </c>
      <c r="CZ184">
        <f t="shared" si="30"/>
        <v>83.2</v>
      </c>
      <c r="DA184">
        <f t="shared" si="31"/>
        <v>6.11</v>
      </c>
      <c r="DB184">
        <f t="shared" si="32"/>
        <v>8486.4</v>
      </c>
      <c r="DC184">
        <f t="shared" si="33"/>
        <v>0</v>
      </c>
    </row>
    <row r="185" spans="1:107" x14ac:dyDescent="0.2">
      <c r="A185">
        <f>ROW(Source!A71)</f>
        <v>71</v>
      </c>
      <c r="B185">
        <v>27935368</v>
      </c>
      <c r="C185">
        <v>27935620</v>
      </c>
      <c r="D185">
        <v>25185231</v>
      </c>
      <c r="E185">
        <v>1</v>
      </c>
      <c r="F185">
        <v>1</v>
      </c>
      <c r="G185">
        <v>1</v>
      </c>
      <c r="H185">
        <v>3</v>
      </c>
      <c r="I185" t="s">
        <v>579</v>
      </c>
      <c r="J185" t="s">
        <v>580</v>
      </c>
      <c r="K185" t="s">
        <v>581</v>
      </c>
      <c r="L185">
        <v>1346</v>
      </c>
      <c r="N185">
        <v>1009</v>
      </c>
      <c r="O185" t="s">
        <v>60</v>
      </c>
      <c r="P185" t="s">
        <v>60</v>
      </c>
      <c r="Q185">
        <v>1</v>
      </c>
      <c r="W185">
        <v>0</v>
      </c>
      <c r="X185">
        <v>830044740</v>
      </c>
      <c r="Y185">
        <v>1200</v>
      </c>
      <c r="AA185">
        <v>22.55</v>
      </c>
      <c r="AB185">
        <v>0</v>
      </c>
      <c r="AC185">
        <v>0</v>
      </c>
      <c r="AD185">
        <v>0</v>
      </c>
      <c r="AE185">
        <v>3.69</v>
      </c>
      <c r="AF185">
        <v>0</v>
      </c>
      <c r="AG185">
        <v>0</v>
      </c>
      <c r="AH185">
        <v>0</v>
      </c>
      <c r="AI185">
        <v>6.11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1200</v>
      </c>
      <c r="AU185" t="s">
        <v>6</v>
      </c>
      <c r="AV185">
        <v>0</v>
      </c>
      <c r="AW185">
        <v>2</v>
      </c>
      <c r="AX185">
        <v>27935643</v>
      </c>
      <c r="AY185">
        <v>1</v>
      </c>
      <c r="AZ185">
        <v>0</v>
      </c>
      <c r="BA185">
        <v>189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Y185*Source!I71</f>
        <v>499.2</v>
      </c>
      <c r="CY185">
        <f t="shared" si="29"/>
        <v>22.55</v>
      </c>
      <c r="CZ185">
        <f t="shared" si="30"/>
        <v>3.69</v>
      </c>
      <c r="DA185">
        <f t="shared" si="31"/>
        <v>6.11</v>
      </c>
      <c r="DB185">
        <f t="shared" si="32"/>
        <v>4428</v>
      </c>
      <c r="DC185">
        <f t="shared" si="33"/>
        <v>0</v>
      </c>
    </row>
    <row r="186" spans="1:107" x14ac:dyDescent="0.2">
      <c r="A186">
        <f>ROW(Source!A71)</f>
        <v>71</v>
      </c>
      <c r="B186">
        <v>27935368</v>
      </c>
      <c r="C186">
        <v>27935620</v>
      </c>
      <c r="D186">
        <v>25186115</v>
      </c>
      <c r="E186">
        <v>1</v>
      </c>
      <c r="F186">
        <v>1</v>
      </c>
      <c r="G186">
        <v>1</v>
      </c>
      <c r="H186">
        <v>3</v>
      </c>
      <c r="I186" t="s">
        <v>144</v>
      </c>
      <c r="J186" t="s">
        <v>146</v>
      </c>
      <c r="K186" t="s">
        <v>145</v>
      </c>
      <c r="L186">
        <v>1346</v>
      </c>
      <c r="N186">
        <v>1009</v>
      </c>
      <c r="O186" t="s">
        <v>60</v>
      </c>
      <c r="P186" t="s">
        <v>60</v>
      </c>
      <c r="Q186">
        <v>1</v>
      </c>
      <c r="W186">
        <v>0</v>
      </c>
      <c r="X186">
        <v>303141801</v>
      </c>
      <c r="Y186">
        <v>13</v>
      </c>
      <c r="AA186">
        <v>93.18</v>
      </c>
      <c r="AB186">
        <v>0</v>
      </c>
      <c r="AC186">
        <v>0</v>
      </c>
      <c r="AD186">
        <v>0</v>
      </c>
      <c r="AE186">
        <v>15.25</v>
      </c>
      <c r="AF186">
        <v>0</v>
      </c>
      <c r="AG186">
        <v>0</v>
      </c>
      <c r="AH186">
        <v>0</v>
      </c>
      <c r="AI186">
        <v>6.11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6</v>
      </c>
      <c r="AT186">
        <v>13</v>
      </c>
      <c r="AU186" t="s">
        <v>6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Y186*Source!I71</f>
        <v>5.4079999999999995</v>
      </c>
      <c r="CY186">
        <f t="shared" si="29"/>
        <v>93.18</v>
      </c>
      <c r="CZ186">
        <f t="shared" si="30"/>
        <v>15.25</v>
      </c>
      <c r="DA186">
        <f t="shared" si="31"/>
        <v>6.11</v>
      </c>
      <c r="DB186">
        <f t="shared" si="32"/>
        <v>198.25</v>
      </c>
      <c r="DC186">
        <f t="shared" si="33"/>
        <v>0</v>
      </c>
    </row>
    <row r="187" spans="1:107" x14ac:dyDescent="0.2">
      <c r="A187">
        <f>ROW(Source!A78)</f>
        <v>78</v>
      </c>
      <c r="B187">
        <v>27935367</v>
      </c>
      <c r="C187">
        <v>27935648</v>
      </c>
      <c r="D187">
        <v>25413050</v>
      </c>
      <c r="E187">
        <v>1</v>
      </c>
      <c r="F187">
        <v>1</v>
      </c>
      <c r="G187">
        <v>1</v>
      </c>
      <c r="H187">
        <v>1</v>
      </c>
      <c r="I187" t="s">
        <v>551</v>
      </c>
      <c r="J187" t="s">
        <v>6</v>
      </c>
      <c r="K187" t="s">
        <v>552</v>
      </c>
      <c r="L187">
        <v>1191</v>
      </c>
      <c r="N187">
        <v>1013</v>
      </c>
      <c r="O187" t="s">
        <v>459</v>
      </c>
      <c r="P187" t="s">
        <v>459</v>
      </c>
      <c r="Q187">
        <v>1</v>
      </c>
      <c r="W187">
        <v>0</v>
      </c>
      <c r="X187">
        <v>735429535</v>
      </c>
      <c r="Y187">
        <v>10.4</v>
      </c>
      <c r="AA187">
        <v>0</v>
      </c>
      <c r="AB187">
        <v>0</v>
      </c>
      <c r="AC187">
        <v>0</v>
      </c>
      <c r="AD187">
        <v>7.8</v>
      </c>
      <c r="AE187">
        <v>0</v>
      </c>
      <c r="AF187">
        <v>0</v>
      </c>
      <c r="AG187">
        <v>0</v>
      </c>
      <c r="AH187">
        <v>7.8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10.4</v>
      </c>
      <c r="AU187" t="s">
        <v>6</v>
      </c>
      <c r="AV187">
        <v>1</v>
      </c>
      <c r="AW187">
        <v>2</v>
      </c>
      <c r="AX187">
        <v>27935650</v>
      </c>
      <c r="AY187">
        <v>1</v>
      </c>
      <c r="AZ187">
        <v>0</v>
      </c>
      <c r="BA187">
        <v>191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Y187*Source!I78</f>
        <v>1.77216</v>
      </c>
      <c r="CY187">
        <f>AD187</f>
        <v>7.8</v>
      </c>
      <c r="CZ187">
        <f>AH187</f>
        <v>7.8</v>
      </c>
      <c r="DA187">
        <f>AL187</f>
        <v>1</v>
      </c>
      <c r="DB187">
        <f t="shared" si="32"/>
        <v>81.12</v>
      </c>
      <c r="DC187">
        <f t="shared" si="33"/>
        <v>0</v>
      </c>
    </row>
    <row r="188" spans="1:107" x14ac:dyDescent="0.2">
      <c r="A188">
        <f>ROW(Source!A79)</f>
        <v>79</v>
      </c>
      <c r="B188">
        <v>27935368</v>
      </c>
      <c r="C188">
        <v>27935648</v>
      </c>
      <c r="D188">
        <v>25413050</v>
      </c>
      <c r="E188">
        <v>1</v>
      </c>
      <c r="F188">
        <v>1</v>
      </c>
      <c r="G188">
        <v>1</v>
      </c>
      <c r="H188">
        <v>1</v>
      </c>
      <c r="I188" t="s">
        <v>551</v>
      </c>
      <c r="J188" t="s">
        <v>6</v>
      </c>
      <c r="K188" t="s">
        <v>552</v>
      </c>
      <c r="L188">
        <v>1191</v>
      </c>
      <c r="N188">
        <v>1013</v>
      </c>
      <c r="O188" t="s">
        <v>459</v>
      </c>
      <c r="P188" t="s">
        <v>459</v>
      </c>
      <c r="Q188">
        <v>1</v>
      </c>
      <c r="W188">
        <v>0</v>
      </c>
      <c r="X188">
        <v>735429535</v>
      </c>
      <c r="Y188">
        <v>10.4</v>
      </c>
      <c r="AA188">
        <v>0</v>
      </c>
      <c r="AB188">
        <v>0</v>
      </c>
      <c r="AC188">
        <v>0</v>
      </c>
      <c r="AD188">
        <v>47.66</v>
      </c>
      <c r="AE188">
        <v>0</v>
      </c>
      <c r="AF188">
        <v>0</v>
      </c>
      <c r="AG188">
        <v>0</v>
      </c>
      <c r="AH188">
        <v>7.8</v>
      </c>
      <c r="AI188">
        <v>1</v>
      </c>
      <c r="AJ188">
        <v>1</v>
      </c>
      <c r="AK188">
        <v>1</v>
      </c>
      <c r="AL188">
        <v>6.11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10.4</v>
      </c>
      <c r="AU188" t="s">
        <v>6</v>
      </c>
      <c r="AV188">
        <v>1</v>
      </c>
      <c r="AW188">
        <v>2</v>
      </c>
      <c r="AX188">
        <v>27935650</v>
      </c>
      <c r="AY188">
        <v>1</v>
      </c>
      <c r="AZ188">
        <v>0</v>
      </c>
      <c r="BA188">
        <v>193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Y188*Source!I79</f>
        <v>1.77216</v>
      </c>
      <c r="CY188">
        <f>AD188</f>
        <v>47.66</v>
      </c>
      <c r="CZ188">
        <f>AH188</f>
        <v>7.8</v>
      </c>
      <c r="DA188">
        <f>AL188</f>
        <v>6.11</v>
      </c>
      <c r="DB188">
        <f t="shared" si="32"/>
        <v>81.12</v>
      </c>
      <c r="DC188">
        <f t="shared" si="33"/>
        <v>0</v>
      </c>
    </row>
    <row r="189" spans="1:107" x14ac:dyDescent="0.2">
      <c r="A189">
        <f>ROW(Source!A80)</f>
        <v>80</v>
      </c>
      <c r="B189">
        <v>27935367</v>
      </c>
      <c r="C189">
        <v>27935652</v>
      </c>
      <c r="D189">
        <v>25419089</v>
      </c>
      <c r="E189">
        <v>1</v>
      </c>
      <c r="F189">
        <v>1</v>
      </c>
      <c r="G189">
        <v>1</v>
      </c>
      <c r="H189">
        <v>1</v>
      </c>
      <c r="I189" t="s">
        <v>582</v>
      </c>
      <c r="J189" t="s">
        <v>6</v>
      </c>
      <c r="K189" t="s">
        <v>583</v>
      </c>
      <c r="L189">
        <v>1191</v>
      </c>
      <c r="N189">
        <v>1013</v>
      </c>
      <c r="O189" t="s">
        <v>459</v>
      </c>
      <c r="P189" t="s">
        <v>459</v>
      </c>
      <c r="Q189">
        <v>1</v>
      </c>
      <c r="W189">
        <v>0</v>
      </c>
      <c r="X189">
        <v>1069510174</v>
      </c>
      <c r="Y189">
        <v>18.767999999999997</v>
      </c>
      <c r="AA189">
        <v>0</v>
      </c>
      <c r="AB189">
        <v>0</v>
      </c>
      <c r="AC189">
        <v>0</v>
      </c>
      <c r="AD189">
        <v>9.6199999999999992</v>
      </c>
      <c r="AE189">
        <v>0</v>
      </c>
      <c r="AF189">
        <v>0</v>
      </c>
      <c r="AG189">
        <v>0</v>
      </c>
      <c r="AH189">
        <v>9.6199999999999992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16.32</v>
      </c>
      <c r="AU189" t="s">
        <v>28</v>
      </c>
      <c r="AV189">
        <v>1</v>
      </c>
      <c r="AW189">
        <v>2</v>
      </c>
      <c r="AX189">
        <v>27935659</v>
      </c>
      <c r="AY189">
        <v>1</v>
      </c>
      <c r="AZ189">
        <v>0</v>
      </c>
      <c r="BA189">
        <v>195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Y189*Source!I80</f>
        <v>3.1980671999999992</v>
      </c>
      <c r="CY189">
        <f>AD189</f>
        <v>9.6199999999999992</v>
      </c>
      <c r="CZ189">
        <f>AH189</f>
        <v>9.6199999999999992</v>
      </c>
      <c r="DA189">
        <f>AL189</f>
        <v>1</v>
      </c>
      <c r="DB189">
        <f>ROUND((ROUND(AT189*CZ189,2)*1.15),2)</f>
        <v>180.55</v>
      </c>
      <c r="DC189">
        <f>ROUND((ROUND(AT189*AG189,2)*1.15),2)</f>
        <v>0</v>
      </c>
    </row>
    <row r="190" spans="1:107" x14ac:dyDescent="0.2">
      <c r="A190">
        <f>ROW(Source!A80)</f>
        <v>80</v>
      </c>
      <c r="B190">
        <v>27935367</v>
      </c>
      <c r="C190">
        <v>27935652</v>
      </c>
      <c r="D190">
        <v>25412928</v>
      </c>
      <c r="E190">
        <v>1</v>
      </c>
      <c r="F190">
        <v>1</v>
      </c>
      <c r="G190">
        <v>1</v>
      </c>
      <c r="H190">
        <v>1</v>
      </c>
      <c r="I190" t="s">
        <v>460</v>
      </c>
      <c r="J190" t="s">
        <v>6</v>
      </c>
      <c r="K190" t="s">
        <v>461</v>
      </c>
      <c r="L190">
        <v>1191</v>
      </c>
      <c r="N190">
        <v>1013</v>
      </c>
      <c r="O190" t="s">
        <v>459</v>
      </c>
      <c r="P190" t="s">
        <v>459</v>
      </c>
      <c r="Q190">
        <v>1</v>
      </c>
      <c r="W190">
        <v>0</v>
      </c>
      <c r="X190">
        <v>-1417349443</v>
      </c>
      <c r="Y190">
        <v>0.03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0.03</v>
      </c>
      <c r="AU190" t="s">
        <v>6</v>
      </c>
      <c r="AV190">
        <v>2</v>
      </c>
      <c r="AW190">
        <v>2</v>
      </c>
      <c r="AX190">
        <v>27935660</v>
      </c>
      <c r="AY190">
        <v>1</v>
      </c>
      <c r="AZ190">
        <v>2048</v>
      </c>
      <c r="BA190">
        <v>196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Y190*Source!I80</f>
        <v>5.1119999999999994E-3</v>
      </c>
      <c r="CY190">
        <f>AD190</f>
        <v>0</v>
      </c>
      <c r="CZ190">
        <f>AH190</f>
        <v>0</v>
      </c>
      <c r="DA190">
        <f>AL190</f>
        <v>1</v>
      </c>
      <c r="DB190">
        <f>ROUND(ROUND(AT190*CZ190,2),2)</f>
        <v>0</v>
      </c>
      <c r="DC190">
        <f>ROUND(ROUND(AT190*AG190,2),2)</f>
        <v>0</v>
      </c>
    </row>
    <row r="191" spans="1:107" x14ac:dyDescent="0.2">
      <c r="A191">
        <f>ROW(Source!A80)</f>
        <v>80</v>
      </c>
      <c r="B191">
        <v>27935367</v>
      </c>
      <c r="C191">
        <v>27935652</v>
      </c>
      <c r="D191">
        <v>25230514</v>
      </c>
      <c r="E191">
        <v>1</v>
      </c>
      <c r="F191">
        <v>1</v>
      </c>
      <c r="G191">
        <v>1</v>
      </c>
      <c r="H191">
        <v>2</v>
      </c>
      <c r="I191" t="s">
        <v>462</v>
      </c>
      <c r="J191" t="s">
        <v>463</v>
      </c>
      <c r="K191" t="s">
        <v>464</v>
      </c>
      <c r="L191">
        <v>1368</v>
      </c>
      <c r="N191">
        <v>1011</v>
      </c>
      <c r="O191" t="s">
        <v>465</v>
      </c>
      <c r="P191" t="s">
        <v>465</v>
      </c>
      <c r="Q191">
        <v>1</v>
      </c>
      <c r="W191">
        <v>0</v>
      </c>
      <c r="X191">
        <v>1188625873</v>
      </c>
      <c r="Y191">
        <v>1.2500000000000001E-2</v>
      </c>
      <c r="AA191">
        <v>0</v>
      </c>
      <c r="AB191">
        <v>31.26</v>
      </c>
      <c r="AC191">
        <v>13.5</v>
      </c>
      <c r="AD191">
        <v>0</v>
      </c>
      <c r="AE191">
        <v>0</v>
      </c>
      <c r="AF191">
        <v>31.26</v>
      </c>
      <c r="AG191">
        <v>13.5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0.01</v>
      </c>
      <c r="AU191" t="s">
        <v>27</v>
      </c>
      <c r="AV191">
        <v>0</v>
      </c>
      <c r="AW191">
        <v>2</v>
      </c>
      <c r="AX191">
        <v>27935661</v>
      </c>
      <c r="AY191">
        <v>1</v>
      </c>
      <c r="AZ191">
        <v>0</v>
      </c>
      <c r="BA191">
        <v>197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Y191*Source!I80</f>
        <v>2.1299999999999999E-3</v>
      </c>
      <c r="CY191">
        <f>AB191</f>
        <v>31.26</v>
      </c>
      <c r="CZ191">
        <f>AF191</f>
        <v>31.26</v>
      </c>
      <c r="DA191">
        <f>AJ191</f>
        <v>1</v>
      </c>
      <c r="DB191">
        <f>ROUND((ROUND(AT191*CZ191,2)*1.25),2)</f>
        <v>0.39</v>
      </c>
      <c r="DC191">
        <f>ROUND((ROUND(AT191*AG191,2)*1.25),2)</f>
        <v>0.18</v>
      </c>
    </row>
    <row r="192" spans="1:107" x14ac:dyDescent="0.2">
      <c r="A192">
        <f>ROW(Source!A80)</f>
        <v>80</v>
      </c>
      <c r="B192">
        <v>27935367</v>
      </c>
      <c r="C192">
        <v>27935652</v>
      </c>
      <c r="D192">
        <v>25231607</v>
      </c>
      <c r="E192">
        <v>1</v>
      </c>
      <c r="F192">
        <v>1</v>
      </c>
      <c r="G192">
        <v>1</v>
      </c>
      <c r="H192">
        <v>2</v>
      </c>
      <c r="I192" t="s">
        <v>468</v>
      </c>
      <c r="J192" t="s">
        <v>469</v>
      </c>
      <c r="K192" t="s">
        <v>470</v>
      </c>
      <c r="L192">
        <v>1368</v>
      </c>
      <c r="N192">
        <v>1011</v>
      </c>
      <c r="O192" t="s">
        <v>465</v>
      </c>
      <c r="P192" t="s">
        <v>465</v>
      </c>
      <c r="Q192">
        <v>1</v>
      </c>
      <c r="W192">
        <v>0</v>
      </c>
      <c r="X192">
        <v>1372534845</v>
      </c>
      <c r="Y192">
        <v>2.5000000000000001E-2</v>
      </c>
      <c r="AA192">
        <v>0</v>
      </c>
      <c r="AB192">
        <v>65.709999999999994</v>
      </c>
      <c r="AC192">
        <v>11.6</v>
      </c>
      <c r="AD192">
        <v>0</v>
      </c>
      <c r="AE192">
        <v>0</v>
      </c>
      <c r="AF192">
        <v>65.709999999999994</v>
      </c>
      <c r="AG192">
        <v>11.6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0.02</v>
      </c>
      <c r="AU192" t="s">
        <v>27</v>
      </c>
      <c r="AV192">
        <v>0</v>
      </c>
      <c r="AW192">
        <v>2</v>
      </c>
      <c r="AX192">
        <v>27935662</v>
      </c>
      <c r="AY192">
        <v>1</v>
      </c>
      <c r="AZ192">
        <v>0</v>
      </c>
      <c r="BA192">
        <v>198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Y192*Source!I80</f>
        <v>4.2599999999999999E-3</v>
      </c>
      <c r="CY192">
        <f>AB192</f>
        <v>65.709999999999994</v>
      </c>
      <c r="CZ192">
        <f>AF192</f>
        <v>65.709999999999994</v>
      </c>
      <c r="DA192">
        <f>AJ192</f>
        <v>1</v>
      </c>
      <c r="DB192">
        <f>ROUND((ROUND(AT192*CZ192,2)*1.25),2)</f>
        <v>1.64</v>
      </c>
      <c r="DC192">
        <f>ROUND((ROUND(AT192*AG192,2)*1.25),2)</f>
        <v>0.28999999999999998</v>
      </c>
    </row>
    <row r="193" spans="1:107" x14ac:dyDescent="0.2">
      <c r="A193">
        <f>ROW(Source!A80)</f>
        <v>80</v>
      </c>
      <c r="B193">
        <v>27935367</v>
      </c>
      <c r="C193">
        <v>27935652</v>
      </c>
      <c r="D193">
        <v>25153690</v>
      </c>
      <c r="E193">
        <v>1</v>
      </c>
      <c r="F193">
        <v>1</v>
      </c>
      <c r="G193">
        <v>1</v>
      </c>
      <c r="H193">
        <v>3</v>
      </c>
      <c r="I193" t="s">
        <v>495</v>
      </c>
      <c r="J193" t="s">
        <v>496</v>
      </c>
      <c r="K193" t="s">
        <v>497</v>
      </c>
      <c r="L193">
        <v>1346</v>
      </c>
      <c r="N193">
        <v>1009</v>
      </c>
      <c r="O193" t="s">
        <v>60</v>
      </c>
      <c r="P193" t="s">
        <v>60</v>
      </c>
      <c r="Q193">
        <v>1</v>
      </c>
      <c r="W193">
        <v>0</v>
      </c>
      <c r="X193">
        <v>813963326</v>
      </c>
      <c r="Y193">
        <v>0.2</v>
      </c>
      <c r="AA193">
        <v>1.82</v>
      </c>
      <c r="AB193">
        <v>0</v>
      </c>
      <c r="AC193">
        <v>0</v>
      </c>
      <c r="AD193">
        <v>0</v>
      </c>
      <c r="AE193">
        <v>1.82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0.2</v>
      </c>
      <c r="AU193" t="s">
        <v>6</v>
      </c>
      <c r="AV193">
        <v>0</v>
      </c>
      <c r="AW193">
        <v>2</v>
      </c>
      <c r="AX193">
        <v>27935663</v>
      </c>
      <c r="AY193">
        <v>1</v>
      </c>
      <c r="AZ193">
        <v>0</v>
      </c>
      <c r="BA193">
        <v>199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Y193*Source!I80</f>
        <v>3.4079999999999999E-2</v>
      </c>
      <c r="CY193">
        <f>AA193</f>
        <v>1.82</v>
      </c>
      <c r="CZ193">
        <f>AE193</f>
        <v>1.82</v>
      </c>
      <c r="DA193">
        <f>AI193</f>
        <v>1</v>
      </c>
      <c r="DB193">
        <f>ROUND(ROUND(AT193*CZ193,2),2)</f>
        <v>0.36</v>
      </c>
      <c r="DC193">
        <f>ROUND(ROUND(AT193*AG193,2),2)</f>
        <v>0</v>
      </c>
    </row>
    <row r="194" spans="1:107" x14ac:dyDescent="0.2">
      <c r="A194">
        <f>ROW(Source!A80)</f>
        <v>80</v>
      </c>
      <c r="B194">
        <v>27935367</v>
      </c>
      <c r="C194">
        <v>27935652</v>
      </c>
      <c r="D194">
        <v>25186129</v>
      </c>
      <c r="E194">
        <v>1</v>
      </c>
      <c r="F194">
        <v>1</v>
      </c>
      <c r="G194">
        <v>1</v>
      </c>
      <c r="H194">
        <v>3</v>
      </c>
      <c r="I194" t="s">
        <v>164</v>
      </c>
      <c r="J194" t="s">
        <v>166</v>
      </c>
      <c r="K194" t="s">
        <v>165</v>
      </c>
      <c r="L194">
        <v>1348</v>
      </c>
      <c r="N194">
        <v>1009</v>
      </c>
      <c r="O194" t="s">
        <v>65</v>
      </c>
      <c r="P194" t="s">
        <v>65</v>
      </c>
      <c r="Q194">
        <v>1000</v>
      </c>
      <c r="W194">
        <v>0</v>
      </c>
      <c r="X194">
        <v>-1036077714</v>
      </c>
      <c r="Y194">
        <v>0.02</v>
      </c>
      <c r="AA194">
        <v>11300</v>
      </c>
      <c r="AB194">
        <v>0</v>
      </c>
      <c r="AC194">
        <v>0</v>
      </c>
      <c r="AD194">
        <v>0</v>
      </c>
      <c r="AE194">
        <v>11300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0</v>
      </c>
      <c r="AP194">
        <v>0</v>
      </c>
      <c r="AQ194">
        <v>0</v>
      </c>
      <c r="AR194">
        <v>0</v>
      </c>
      <c r="AS194" t="s">
        <v>6</v>
      </c>
      <c r="AT194">
        <v>0.02</v>
      </c>
      <c r="AU194" t="s">
        <v>6</v>
      </c>
      <c r="AV194">
        <v>0</v>
      </c>
      <c r="AW194">
        <v>1</v>
      </c>
      <c r="AX194">
        <v>-1</v>
      </c>
      <c r="AY194">
        <v>0</v>
      </c>
      <c r="AZ194">
        <v>0</v>
      </c>
      <c r="BA194" t="s">
        <v>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Y194*Source!I80</f>
        <v>3.408E-3</v>
      </c>
      <c r="CY194">
        <f>AA194</f>
        <v>11300</v>
      </c>
      <c r="CZ194">
        <f>AE194</f>
        <v>11300</v>
      </c>
      <c r="DA194">
        <f>AI194</f>
        <v>1</v>
      </c>
      <c r="DB194">
        <f>ROUND(ROUND(AT194*CZ194,2),2)</f>
        <v>226</v>
      </c>
      <c r="DC194">
        <f>ROUND(ROUND(AT194*AG194,2),2)</f>
        <v>0</v>
      </c>
    </row>
    <row r="195" spans="1:107" x14ac:dyDescent="0.2">
      <c r="A195">
        <f>ROW(Source!A81)</f>
        <v>81</v>
      </c>
      <c r="B195">
        <v>27935368</v>
      </c>
      <c r="C195">
        <v>27935652</v>
      </c>
      <c r="D195">
        <v>25419089</v>
      </c>
      <c r="E195">
        <v>1</v>
      </c>
      <c r="F195">
        <v>1</v>
      </c>
      <c r="G195">
        <v>1</v>
      </c>
      <c r="H195">
        <v>1</v>
      </c>
      <c r="I195" t="s">
        <v>582</v>
      </c>
      <c r="J195" t="s">
        <v>6</v>
      </c>
      <c r="K195" t="s">
        <v>583</v>
      </c>
      <c r="L195">
        <v>1191</v>
      </c>
      <c r="N195">
        <v>1013</v>
      </c>
      <c r="O195" t="s">
        <v>459</v>
      </c>
      <c r="P195" t="s">
        <v>459</v>
      </c>
      <c r="Q195">
        <v>1</v>
      </c>
      <c r="W195">
        <v>0</v>
      </c>
      <c r="X195">
        <v>1069510174</v>
      </c>
      <c r="Y195">
        <v>18.767999999999997</v>
      </c>
      <c r="AA195">
        <v>0</v>
      </c>
      <c r="AB195">
        <v>0</v>
      </c>
      <c r="AC195">
        <v>0</v>
      </c>
      <c r="AD195">
        <v>58.78</v>
      </c>
      <c r="AE195">
        <v>0</v>
      </c>
      <c r="AF195">
        <v>0</v>
      </c>
      <c r="AG195">
        <v>0</v>
      </c>
      <c r="AH195">
        <v>9.6199999999999992</v>
      </c>
      <c r="AI195">
        <v>1</v>
      </c>
      <c r="AJ195">
        <v>1</v>
      </c>
      <c r="AK195">
        <v>1</v>
      </c>
      <c r="AL195">
        <v>6.11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16.32</v>
      </c>
      <c r="AU195" t="s">
        <v>28</v>
      </c>
      <c r="AV195">
        <v>1</v>
      </c>
      <c r="AW195">
        <v>2</v>
      </c>
      <c r="AX195">
        <v>27935659</v>
      </c>
      <c r="AY195">
        <v>1</v>
      </c>
      <c r="AZ195">
        <v>0</v>
      </c>
      <c r="BA195">
        <v>201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Y195*Source!I81</f>
        <v>3.1980671999999992</v>
      </c>
      <c r="CY195">
        <f>AD195</f>
        <v>58.78</v>
      </c>
      <c r="CZ195">
        <f>AH195</f>
        <v>9.6199999999999992</v>
      </c>
      <c r="DA195">
        <f>AL195</f>
        <v>6.11</v>
      </c>
      <c r="DB195">
        <f>ROUND((ROUND(AT195*CZ195,2)*1.15),2)</f>
        <v>180.55</v>
      </c>
      <c r="DC195">
        <f>ROUND((ROUND(AT195*AG195,2)*1.15),2)</f>
        <v>0</v>
      </c>
    </row>
    <row r="196" spans="1:107" x14ac:dyDescent="0.2">
      <c r="A196">
        <f>ROW(Source!A81)</f>
        <v>81</v>
      </c>
      <c r="B196">
        <v>27935368</v>
      </c>
      <c r="C196">
        <v>27935652</v>
      </c>
      <c r="D196">
        <v>25412928</v>
      </c>
      <c r="E196">
        <v>1</v>
      </c>
      <c r="F196">
        <v>1</v>
      </c>
      <c r="G196">
        <v>1</v>
      </c>
      <c r="H196">
        <v>1</v>
      </c>
      <c r="I196" t="s">
        <v>460</v>
      </c>
      <c r="J196" t="s">
        <v>6</v>
      </c>
      <c r="K196" t="s">
        <v>461</v>
      </c>
      <c r="L196">
        <v>1191</v>
      </c>
      <c r="N196">
        <v>1013</v>
      </c>
      <c r="O196" t="s">
        <v>459</v>
      </c>
      <c r="P196" t="s">
        <v>459</v>
      </c>
      <c r="Q196">
        <v>1</v>
      </c>
      <c r="W196">
        <v>0</v>
      </c>
      <c r="X196">
        <v>-1417349443</v>
      </c>
      <c r="Y196">
        <v>0.03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6.11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0.03</v>
      </c>
      <c r="AU196" t="s">
        <v>6</v>
      </c>
      <c r="AV196">
        <v>2</v>
      </c>
      <c r="AW196">
        <v>2</v>
      </c>
      <c r="AX196">
        <v>27935660</v>
      </c>
      <c r="AY196">
        <v>1</v>
      </c>
      <c r="AZ196">
        <v>2048</v>
      </c>
      <c r="BA196">
        <v>202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Y196*Source!I81</f>
        <v>5.1119999999999994E-3</v>
      </c>
      <c r="CY196">
        <f>AD196</f>
        <v>0</v>
      </c>
      <c r="CZ196">
        <f>AH196</f>
        <v>0</v>
      </c>
      <c r="DA196">
        <f>AL196</f>
        <v>1</v>
      </c>
      <c r="DB196">
        <f>ROUND(ROUND(AT196*CZ196,2),2)</f>
        <v>0</v>
      </c>
      <c r="DC196">
        <f>ROUND(ROUND(AT196*AG196,2),2)</f>
        <v>0</v>
      </c>
    </row>
    <row r="197" spans="1:107" x14ac:dyDescent="0.2">
      <c r="A197">
        <f>ROW(Source!A81)</f>
        <v>81</v>
      </c>
      <c r="B197">
        <v>27935368</v>
      </c>
      <c r="C197">
        <v>27935652</v>
      </c>
      <c r="D197">
        <v>25230514</v>
      </c>
      <c r="E197">
        <v>1</v>
      </c>
      <c r="F197">
        <v>1</v>
      </c>
      <c r="G197">
        <v>1</v>
      </c>
      <c r="H197">
        <v>2</v>
      </c>
      <c r="I197" t="s">
        <v>462</v>
      </c>
      <c r="J197" t="s">
        <v>463</v>
      </c>
      <c r="K197" t="s">
        <v>464</v>
      </c>
      <c r="L197">
        <v>1368</v>
      </c>
      <c r="N197">
        <v>1011</v>
      </c>
      <c r="O197" t="s">
        <v>465</v>
      </c>
      <c r="P197" t="s">
        <v>465</v>
      </c>
      <c r="Q197">
        <v>1</v>
      </c>
      <c r="W197">
        <v>0</v>
      </c>
      <c r="X197">
        <v>1188625873</v>
      </c>
      <c r="Y197">
        <v>1.2500000000000001E-2</v>
      </c>
      <c r="AA197">
        <v>0</v>
      </c>
      <c r="AB197">
        <v>191</v>
      </c>
      <c r="AC197">
        <v>13.5</v>
      </c>
      <c r="AD197">
        <v>0</v>
      </c>
      <c r="AE197">
        <v>0</v>
      </c>
      <c r="AF197">
        <v>31.26</v>
      </c>
      <c r="AG197">
        <v>13.5</v>
      </c>
      <c r="AH197">
        <v>0</v>
      </c>
      <c r="AI197">
        <v>1</v>
      </c>
      <c r="AJ197">
        <v>6.11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0.01</v>
      </c>
      <c r="AU197" t="s">
        <v>27</v>
      </c>
      <c r="AV197">
        <v>0</v>
      </c>
      <c r="AW197">
        <v>2</v>
      </c>
      <c r="AX197">
        <v>27935661</v>
      </c>
      <c r="AY197">
        <v>1</v>
      </c>
      <c r="AZ197">
        <v>0</v>
      </c>
      <c r="BA197">
        <v>203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Y197*Source!I81</f>
        <v>2.1299999999999999E-3</v>
      </c>
      <c r="CY197">
        <f>AB197</f>
        <v>191</v>
      </c>
      <c r="CZ197">
        <f>AF197</f>
        <v>31.26</v>
      </c>
      <c r="DA197">
        <f>AJ197</f>
        <v>6.11</v>
      </c>
      <c r="DB197">
        <f>ROUND((ROUND(AT197*CZ197,2)*1.25),2)</f>
        <v>0.39</v>
      </c>
      <c r="DC197">
        <f>ROUND((ROUND(AT197*AG197,2)*1.25),2)</f>
        <v>0.18</v>
      </c>
    </row>
    <row r="198" spans="1:107" x14ac:dyDescent="0.2">
      <c r="A198">
        <f>ROW(Source!A81)</f>
        <v>81</v>
      </c>
      <c r="B198">
        <v>27935368</v>
      </c>
      <c r="C198">
        <v>27935652</v>
      </c>
      <c r="D198">
        <v>25231607</v>
      </c>
      <c r="E198">
        <v>1</v>
      </c>
      <c r="F198">
        <v>1</v>
      </c>
      <c r="G198">
        <v>1</v>
      </c>
      <c r="H198">
        <v>2</v>
      </c>
      <c r="I198" t="s">
        <v>468</v>
      </c>
      <c r="J198" t="s">
        <v>469</v>
      </c>
      <c r="K198" t="s">
        <v>470</v>
      </c>
      <c r="L198">
        <v>1368</v>
      </c>
      <c r="N198">
        <v>1011</v>
      </c>
      <c r="O198" t="s">
        <v>465</v>
      </c>
      <c r="P198" t="s">
        <v>465</v>
      </c>
      <c r="Q198">
        <v>1</v>
      </c>
      <c r="W198">
        <v>0</v>
      </c>
      <c r="X198">
        <v>1372534845</v>
      </c>
      <c r="Y198">
        <v>2.5000000000000001E-2</v>
      </c>
      <c r="AA198">
        <v>0</v>
      </c>
      <c r="AB198">
        <v>401.49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6.11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0.02</v>
      </c>
      <c r="AU198" t="s">
        <v>27</v>
      </c>
      <c r="AV198">
        <v>0</v>
      </c>
      <c r="AW198">
        <v>2</v>
      </c>
      <c r="AX198">
        <v>27935662</v>
      </c>
      <c r="AY198">
        <v>1</v>
      </c>
      <c r="AZ198">
        <v>0</v>
      </c>
      <c r="BA198">
        <v>204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Y198*Source!I81</f>
        <v>4.2599999999999999E-3</v>
      </c>
      <c r="CY198">
        <f>AB198</f>
        <v>401.49</v>
      </c>
      <c r="CZ198">
        <f>AF198</f>
        <v>65.709999999999994</v>
      </c>
      <c r="DA198">
        <f>AJ198</f>
        <v>6.11</v>
      </c>
      <c r="DB198">
        <f>ROUND((ROUND(AT198*CZ198,2)*1.25),2)</f>
        <v>1.64</v>
      </c>
      <c r="DC198">
        <f>ROUND((ROUND(AT198*AG198,2)*1.25),2)</f>
        <v>0.28999999999999998</v>
      </c>
    </row>
    <row r="199" spans="1:107" x14ac:dyDescent="0.2">
      <c r="A199">
        <f>ROW(Source!A81)</f>
        <v>81</v>
      </c>
      <c r="B199">
        <v>27935368</v>
      </c>
      <c r="C199">
        <v>27935652</v>
      </c>
      <c r="D199">
        <v>25153690</v>
      </c>
      <c r="E199">
        <v>1</v>
      </c>
      <c r="F199">
        <v>1</v>
      </c>
      <c r="G199">
        <v>1</v>
      </c>
      <c r="H199">
        <v>3</v>
      </c>
      <c r="I199" t="s">
        <v>495</v>
      </c>
      <c r="J199" t="s">
        <v>496</v>
      </c>
      <c r="K199" t="s">
        <v>497</v>
      </c>
      <c r="L199">
        <v>1346</v>
      </c>
      <c r="N199">
        <v>1009</v>
      </c>
      <c r="O199" t="s">
        <v>60</v>
      </c>
      <c r="P199" t="s">
        <v>60</v>
      </c>
      <c r="Q199">
        <v>1</v>
      </c>
      <c r="W199">
        <v>0</v>
      </c>
      <c r="X199">
        <v>813963326</v>
      </c>
      <c r="Y199">
        <v>0.2</v>
      </c>
      <c r="AA199">
        <v>11.12</v>
      </c>
      <c r="AB199">
        <v>0</v>
      </c>
      <c r="AC199">
        <v>0</v>
      </c>
      <c r="AD199">
        <v>0</v>
      </c>
      <c r="AE199">
        <v>1.82</v>
      </c>
      <c r="AF199">
        <v>0</v>
      </c>
      <c r="AG199">
        <v>0</v>
      </c>
      <c r="AH199">
        <v>0</v>
      </c>
      <c r="AI199">
        <v>6.11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0.2</v>
      </c>
      <c r="AU199" t="s">
        <v>6</v>
      </c>
      <c r="AV199">
        <v>0</v>
      </c>
      <c r="AW199">
        <v>2</v>
      </c>
      <c r="AX199">
        <v>27935663</v>
      </c>
      <c r="AY199">
        <v>1</v>
      </c>
      <c r="AZ199">
        <v>0</v>
      </c>
      <c r="BA199">
        <v>205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Y199*Source!I81</f>
        <v>3.4079999999999999E-2</v>
      </c>
      <c r="CY199">
        <f>AA199</f>
        <v>11.12</v>
      </c>
      <c r="CZ199">
        <f>AE199</f>
        <v>1.82</v>
      </c>
      <c r="DA199">
        <f>AI199</f>
        <v>6.11</v>
      </c>
      <c r="DB199">
        <f t="shared" ref="DB199:DB234" si="34">ROUND(ROUND(AT199*CZ199,2),2)</f>
        <v>0.36</v>
      </c>
      <c r="DC199">
        <f t="shared" ref="DC199:DC234" si="35">ROUND(ROUND(AT199*AG199,2),2)</f>
        <v>0</v>
      </c>
    </row>
    <row r="200" spans="1:107" x14ac:dyDescent="0.2">
      <c r="A200">
        <f>ROW(Source!A81)</f>
        <v>81</v>
      </c>
      <c r="B200">
        <v>27935368</v>
      </c>
      <c r="C200">
        <v>27935652</v>
      </c>
      <c r="D200">
        <v>25186129</v>
      </c>
      <c r="E200">
        <v>1</v>
      </c>
      <c r="F200">
        <v>1</v>
      </c>
      <c r="G200">
        <v>1</v>
      </c>
      <c r="H200">
        <v>3</v>
      </c>
      <c r="I200" t="s">
        <v>164</v>
      </c>
      <c r="J200" t="s">
        <v>166</v>
      </c>
      <c r="K200" t="s">
        <v>165</v>
      </c>
      <c r="L200">
        <v>1348</v>
      </c>
      <c r="N200">
        <v>1009</v>
      </c>
      <c r="O200" t="s">
        <v>65</v>
      </c>
      <c r="P200" t="s">
        <v>65</v>
      </c>
      <c r="Q200">
        <v>1000</v>
      </c>
      <c r="W200">
        <v>0</v>
      </c>
      <c r="X200">
        <v>-1036077714</v>
      </c>
      <c r="Y200">
        <v>0.02</v>
      </c>
      <c r="AA200">
        <v>69043</v>
      </c>
      <c r="AB200">
        <v>0</v>
      </c>
      <c r="AC200">
        <v>0</v>
      </c>
      <c r="AD200">
        <v>0</v>
      </c>
      <c r="AE200">
        <v>11300</v>
      </c>
      <c r="AF200">
        <v>0</v>
      </c>
      <c r="AG200">
        <v>0</v>
      </c>
      <c r="AH200">
        <v>0</v>
      </c>
      <c r="AI200">
        <v>6.11</v>
      </c>
      <c r="AJ200">
        <v>1</v>
      </c>
      <c r="AK200">
        <v>1</v>
      </c>
      <c r="AL200">
        <v>1</v>
      </c>
      <c r="AN200">
        <v>0</v>
      </c>
      <c r="AO200">
        <v>0</v>
      </c>
      <c r="AP200">
        <v>0</v>
      </c>
      <c r="AQ200">
        <v>0</v>
      </c>
      <c r="AR200">
        <v>0</v>
      </c>
      <c r="AS200" t="s">
        <v>6</v>
      </c>
      <c r="AT200">
        <v>0.02</v>
      </c>
      <c r="AU200" t="s">
        <v>6</v>
      </c>
      <c r="AV200">
        <v>0</v>
      </c>
      <c r="AW200">
        <v>1</v>
      </c>
      <c r="AX200">
        <v>-1</v>
      </c>
      <c r="AY200">
        <v>0</v>
      </c>
      <c r="AZ200">
        <v>0</v>
      </c>
      <c r="BA200" t="s">
        <v>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Y200*Source!I81</f>
        <v>3.408E-3</v>
      </c>
      <c r="CY200">
        <f>AA200</f>
        <v>69043</v>
      </c>
      <c r="CZ200">
        <f>AE200</f>
        <v>11300</v>
      </c>
      <c r="DA200">
        <f>AI200</f>
        <v>6.11</v>
      </c>
      <c r="DB200">
        <f t="shared" si="34"/>
        <v>226</v>
      </c>
      <c r="DC200">
        <f t="shared" si="35"/>
        <v>0</v>
      </c>
    </row>
    <row r="201" spans="1:107" x14ac:dyDescent="0.2">
      <c r="A201">
        <f>ROW(Source!A84)</f>
        <v>84</v>
      </c>
      <c r="B201">
        <v>27935367</v>
      </c>
      <c r="C201">
        <v>27935666</v>
      </c>
      <c r="D201">
        <v>25417632</v>
      </c>
      <c r="E201">
        <v>1</v>
      </c>
      <c r="F201">
        <v>1</v>
      </c>
      <c r="G201">
        <v>1</v>
      </c>
      <c r="H201">
        <v>1</v>
      </c>
      <c r="I201" t="s">
        <v>584</v>
      </c>
      <c r="J201" t="s">
        <v>6</v>
      </c>
      <c r="K201" t="s">
        <v>585</v>
      </c>
      <c r="L201">
        <v>1191</v>
      </c>
      <c r="N201">
        <v>1013</v>
      </c>
      <c r="O201" t="s">
        <v>459</v>
      </c>
      <c r="P201" t="s">
        <v>459</v>
      </c>
      <c r="Q201">
        <v>1</v>
      </c>
      <c r="W201">
        <v>0</v>
      </c>
      <c r="X201">
        <v>1010519658</v>
      </c>
      <c r="Y201">
        <v>29.6</v>
      </c>
      <c r="AA201">
        <v>0</v>
      </c>
      <c r="AB201">
        <v>0</v>
      </c>
      <c r="AC201">
        <v>0</v>
      </c>
      <c r="AD201">
        <v>8.64</v>
      </c>
      <c r="AE201">
        <v>0</v>
      </c>
      <c r="AF201">
        <v>0</v>
      </c>
      <c r="AG201">
        <v>0</v>
      </c>
      <c r="AH201">
        <v>8.64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29.6</v>
      </c>
      <c r="AU201" t="s">
        <v>6</v>
      </c>
      <c r="AV201">
        <v>1</v>
      </c>
      <c r="AW201">
        <v>2</v>
      </c>
      <c r="AX201">
        <v>27935680</v>
      </c>
      <c r="AY201">
        <v>1</v>
      </c>
      <c r="AZ201">
        <v>0</v>
      </c>
      <c r="BA201">
        <v>207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Y201*Source!I84</f>
        <v>5.0438400000000003</v>
      </c>
      <c r="CY201">
        <f>AD201</f>
        <v>8.64</v>
      </c>
      <c r="CZ201">
        <f>AH201</f>
        <v>8.64</v>
      </c>
      <c r="DA201">
        <f>AL201</f>
        <v>1</v>
      </c>
      <c r="DB201">
        <f t="shared" si="34"/>
        <v>255.74</v>
      </c>
      <c r="DC201">
        <f t="shared" si="35"/>
        <v>0</v>
      </c>
    </row>
    <row r="202" spans="1:107" x14ac:dyDescent="0.2">
      <c r="A202">
        <f>ROW(Source!A84)</f>
        <v>84</v>
      </c>
      <c r="B202">
        <v>27935367</v>
      </c>
      <c r="C202">
        <v>27935666</v>
      </c>
      <c r="D202">
        <v>25412928</v>
      </c>
      <c r="E202">
        <v>1</v>
      </c>
      <c r="F202">
        <v>1</v>
      </c>
      <c r="G202">
        <v>1</v>
      </c>
      <c r="H202">
        <v>1</v>
      </c>
      <c r="I202" t="s">
        <v>460</v>
      </c>
      <c r="J202" t="s">
        <v>6</v>
      </c>
      <c r="K202" t="s">
        <v>461</v>
      </c>
      <c r="L202">
        <v>1191</v>
      </c>
      <c r="N202">
        <v>1013</v>
      </c>
      <c r="O202" t="s">
        <v>459</v>
      </c>
      <c r="P202" t="s">
        <v>459</v>
      </c>
      <c r="Q202">
        <v>1</v>
      </c>
      <c r="W202">
        <v>0</v>
      </c>
      <c r="X202">
        <v>-1417349443</v>
      </c>
      <c r="Y202">
        <v>0.16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0.16</v>
      </c>
      <c r="AU202" t="s">
        <v>6</v>
      </c>
      <c r="AV202">
        <v>2</v>
      </c>
      <c r="AW202">
        <v>2</v>
      </c>
      <c r="AX202">
        <v>27935681</v>
      </c>
      <c r="AY202">
        <v>1</v>
      </c>
      <c r="AZ202">
        <v>0</v>
      </c>
      <c r="BA202">
        <v>208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Y202*Source!I84</f>
        <v>2.7264E-2</v>
      </c>
      <c r="CY202">
        <f>AD202</f>
        <v>0</v>
      </c>
      <c r="CZ202">
        <f>AH202</f>
        <v>0</v>
      </c>
      <c r="DA202">
        <f>AL202</f>
        <v>1</v>
      </c>
      <c r="DB202">
        <f t="shared" si="34"/>
        <v>0</v>
      </c>
      <c r="DC202">
        <f t="shared" si="35"/>
        <v>0</v>
      </c>
    </row>
    <row r="203" spans="1:107" x14ac:dyDescent="0.2">
      <c r="A203">
        <f>ROW(Source!A84)</f>
        <v>84</v>
      </c>
      <c r="B203">
        <v>27935367</v>
      </c>
      <c r="C203">
        <v>27935666</v>
      </c>
      <c r="D203">
        <v>25230514</v>
      </c>
      <c r="E203">
        <v>1</v>
      </c>
      <c r="F203">
        <v>1</v>
      </c>
      <c r="G203">
        <v>1</v>
      </c>
      <c r="H203">
        <v>2</v>
      </c>
      <c r="I203" t="s">
        <v>462</v>
      </c>
      <c r="J203" t="s">
        <v>463</v>
      </c>
      <c r="K203" t="s">
        <v>464</v>
      </c>
      <c r="L203">
        <v>1368</v>
      </c>
      <c r="N203">
        <v>1011</v>
      </c>
      <c r="O203" t="s">
        <v>465</v>
      </c>
      <c r="P203" t="s">
        <v>465</v>
      </c>
      <c r="Q203">
        <v>1</v>
      </c>
      <c r="W203">
        <v>0</v>
      </c>
      <c r="X203">
        <v>1188625873</v>
      </c>
      <c r="Y203">
        <v>0.1</v>
      </c>
      <c r="AA203">
        <v>0</v>
      </c>
      <c r="AB203">
        <v>31.26</v>
      </c>
      <c r="AC203">
        <v>13.5</v>
      </c>
      <c r="AD203">
        <v>0</v>
      </c>
      <c r="AE203">
        <v>0</v>
      </c>
      <c r="AF203">
        <v>31.26</v>
      </c>
      <c r="AG203">
        <v>13.5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0.1</v>
      </c>
      <c r="AU203" t="s">
        <v>6</v>
      </c>
      <c r="AV203">
        <v>0</v>
      </c>
      <c r="AW203">
        <v>2</v>
      </c>
      <c r="AX203">
        <v>27935682</v>
      </c>
      <c r="AY203">
        <v>1</v>
      </c>
      <c r="AZ203">
        <v>0</v>
      </c>
      <c r="BA203">
        <v>209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Y203*Source!I84</f>
        <v>1.704E-2</v>
      </c>
      <c r="CY203">
        <f>AB203</f>
        <v>31.26</v>
      </c>
      <c r="CZ203">
        <f>AF203</f>
        <v>31.26</v>
      </c>
      <c r="DA203">
        <f>AJ203</f>
        <v>1</v>
      </c>
      <c r="DB203">
        <f t="shared" si="34"/>
        <v>3.13</v>
      </c>
      <c r="DC203">
        <f t="shared" si="35"/>
        <v>1.35</v>
      </c>
    </row>
    <row r="204" spans="1:107" x14ac:dyDescent="0.2">
      <c r="A204">
        <f>ROW(Source!A84)</f>
        <v>84</v>
      </c>
      <c r="B204">
        <v>27935367</v>
      </c>
      <c r="C204">
        <v>27935666</v>
      </c>
      <c r="D204">
        <v>25231607</v>
      </c>
      <c r="E204">
        <v>1</v>
      </c>
      <c r="F204">
        <v>1</v>
      </c>
      <c r="G204">
        <v>1</v>
      </c>
      <c r="H204">
        <v>2</v>
      </c>
      <c r="I204" t="s">
        <v>468</v>
      </c>
      <c r="J204" t="s">
        <v>469</v>
      </c>
      <c r="K204" t="s">
        <v>470</v>
      </c>
      <c r="L204">
        <v>1368</v>
      </c>
      <c r="N204">
        <v>1011</v>
      </c>
      <c r="O204" t="s">
        <v>465</v>
      </c>
      <c r="P204" t="s">
        <v>465</v>
      </c>
      <c r="Q204">
        <v>1</v>
      </c>
      <c r="W204">
        <v>0</v>
      </c>
      <c r="X204">
        <v>1372534845</v>
      </c>
      <c r="Y204">
        <v>0.06</v>
      </c>
      <c r="AA204">
        <v>0</v>
      </c>
      <c r="AB204">
        <v>65.709999999999994</v>
      </c>
      <c r="AC204">
        <v>11.6</v>
      </c>
      <c r="AD204">
        <v>0</v>
      </c>
      <c r="AE204">
        <v>0</v>
      </c>
      <c r="AF204">
        <v>65.709999999999994</v>
      </c>
      <c r="AG204">
        <v>11.6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0.06</v>
      </c>
      <c r="AU204" t="s">
        <v>6</v>
      </c>
      <c r="AV204">
        <v>0</v>
      </c>
      <c r="AW204">
        <v>2</v>
      </c>
      <c r="AX204">
        <v>27935683</v>
      </c>
      <c r="AY204">
        <v>1</v>
      </c>
      <c r="AZ204">
        <v>0</v>
      </c>
      <c r="BA204">
        <v>210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Y204*Source!I84</f>
        <v>1.0223999999999999E-2</v>
      </c>
      <c r="CY204">
        <f>AB204</f>
        <v>65.709999999999994</v>
      </c>
      <c r="CZ204">
        <f>AF204</f>
        <v>65.709999999999994</v>
      </c>
      <c r="DA204">
        <f>AJ204</f>
        <v>1</v>
      </c>
      <c r="DB204">
        <f t="shared" si="34"/>
        <v>3.94</v>
      </c>
      <c r="DC204">
        <f t="shared" si="35"/>
        <v>0.7</v>
      </c>
    </row>
    <row r="205" spans="1:107" x14ac:dyDescent="0.2">
      <c r="A205">
        <f>ROW(Source!A84)</f>
        <v>84</v>
      </c>
      <c r="B205">
        <v>27935367</v>
      </c>
      <c r="C205">
        <v>27935666</v>
      </c>
      <c r="D205">
        <v>25149961</v>
      </c>
      <c r="E205">
        <v>1</v>
      </c>
      <c r="F205">
        <v>1</v>
      </c>
      <c r="G205">
        <v>1</v>
      </c>
      <c r="H205">
        <v>3</v>
      </c>
      <c r="I205" t="s">
        <v>558</v>
      </c>
      <c r="J205" t="s">
        <v>559</v>
      </c>
      <c r="K205" t="s">
        <v>560</v>
      </c>
      <c r="L205">
        <v>1339</v>
      </c>
      <c r="N205">
        <v>1007</v>
      </c>
      <c r="O205" t="s">
        <v>133</v>
      </c>
      <c r="P205" t="s">
        <v>133</v>
      </c>
      <c r="Q205">
        <v>1</v>
      </c>
      <c r="W205">
        <v>0</v>
      </c>
      <c r="X205">
        <v>-1660354250</v>
      </c>
      <c r="Y205">
        <v>0.24</v>
      </c>
      <c r="AA205">
        <v>2.44</v>
      </c>
      <c r="AB205">
        <v>0</v>
      </c>
      <c r="AC205">
        <v>0</v>
      </c>
      <c r="AD205">
        <v>0</v>
      </c>
      <c r="AE205">
        <v>2.44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0.24</v>
      </c>
      <c r="AU205" t="s">
        <v>6</v>
      </c>
      <c r="AV205">
        <v>0</v>
      </c>
      <c r="AW205">
        <v>2</v>
      </c>
      <c r="AX205">
        <v>27935684</v>
      </c>
      <c r="AY205">
        <v>1</v>
      </c>
      <c r="AZ205">
        <v>0</v>
      </c>
      <c r="BA205">
        <v>211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Y205*Source!I84</f>
        <v>4.0895999999999995E-2</v>
      </c>
      <c r="CY205">
        <f t="shared" ref="CY205:CY212" si="36">AA205</f>
        <v>2.44</v>
      </c>
      <c r="CZ205">
        <f t="shared" ref="CZ205:CZ212" si="37">AE205</f>
        <v>2.44</v>
      </c>
      <c r="DA205">
        <f t="shared" ref="DA205:DA212" si="38">AI205</f>
        <v>1</v>
      </c>
      <c r="DB205">
        <f t="shared" si="34"/>
        <v>0.59</v>
      </c>
      <c r="DC205">
        <f t="shared" si="35"/>
        <v>0</v>
      </c>
    </row>
    <row r="206" spans="1:107" x14ac:dyDescent="0.2">
      <c r="A206">
        <f>ROW(Source!A84)</f>
        <v>84</v>
      </c>
      <c r="B206">
        <v>27935367</v>
      </c>
      <c r="C206">
        <v>27935666</v>
      </c>
      <c r="D206">
        <v>25150441</v>
      </c>
      <c r="E206">
        <v>1</v>
      </c>
      <c r="F206">
        <v>1</v>
      </c>
      <c r="G206">
        <v>1</v>
      </c>
      <c r="H206">
        <v>3</v>
      </c>
      <c r="I206" t="s">
        <v>586</v>
      </c>
      <c r="J206" t="s">
        <v>587</v>
      </c>
      <c r="K206" t="s">
        <v>588</v>
      </c>
      <c r="L206">
        <v>1354</v>
      </c>
      <c r="N206">
        <v>1010</v>
      </c>
      <c r="O206" t="s">
        <v>282</v>
      </c>
      <c r="P206" t="s">
        <v>282</v>
      </c>
      <c r="Q206">
        <v>1</v>
      </c>
      <c r="W206">
        <v>0</v>
      </c>
      <c r="X206">
        <v>-1046673864</v>
      </c>
      <c r="Y206">
        <v>5.0999999999999996</v>
      </c>
      <c r="AA206">
        <v>4.5</v>
      </c>
      <c r="AB206">
        <v>0</v>
      </c>
      <c r="AC206">
        <v>0</v>
      </c>
      <c r="AD206">
        <v>0</v>
      </c>
      <c r="AE206">
        <v>4.5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5.0999999999999996</v>
      </c>
      <c r="AU206" t="s">
        <v>6</v>
      </c>
      <c r="AV206">
        <v>0</v>
      </c>
      <c r="AW206">
        <v>2</v>
      </c>
      <c r="AX206">
        <v>27935685</v>
      </c>
      <c r="AY206">
        <v>1</v>
      </c>
      <c r="AZ206">
        <v>0</v>
      </c>
      <c r="BA206">
        <v>212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Y206*Source!I84</f>
        <v>0.86903999999999992</v>
      </c>
      <c r="CY206">
        <f t="shared" si="36"/>
        <v>4.5</v>
      </c>
      <c r="CZ206">
        <f t="shared" si="37"/>
        <v>4.5</v>
      </c>
      <c r="DA206">
        <f t="shared" si="38"/>
        <v>1</v>
      </c>
      <c r="DB206">
        <f t="shared" si="34"/>
        <v>22.95</v>
      </c>
      <c r="DC206">
        <f t="shared" si="35"/>
        <v>0</v>
      </c>
    </row>
    <row r="207" spans="1:107" x14ac:dyDescent="0.2">
      <c r="A207">
        <f>ROW(Source!A84)</f>
        <v>84</v>
      </c>
      <c r="B207">
        <v>27935367</v>
      </c>
      <c r="C207">
        <v>27935666</v>
      </c>
      <c r="D207">
        <v>25150690</v>
      </c>
      <c r="E207">
        <v>1</v>
      </c>
      <c r="F207">
        <v>1</v>
      </c>
      <c r="G207">
        <v>1</v>
      </c>
      <c r="H207">
        <v>3</v>
      </c>
      <c r="I207" t="s">
        <v>589</v>
      </c>
      <c r="J207" t="s">
        <v>590</v>
      </c>
      <c r="K207" t="s">
        <v>591</v>
      </c>
      <c r="L207">
        <v>1348</v>
      </c>
      <c r="N207">
        <v>1009</v>
      </c>
      <c r="O207" t="s">
        <v>65</v>
      </c>
      <c r="P207" t="s">
        <v>65</v>
      </c>
      <c r="Q207">
        <v>1000</v>
      </c>
      <c r="W207">
        <v>0</v>
      </c>
      <c r="X207">
        <v>-526970962</v>
      </c>
      <c r="Y207">
        <v>2.5499999999999998E-2</v>
      </c>
      <c r="AA207">
        <v>586.47</v>
      </c>
      <c r="AB207">
        <v>0</v>
      </c>
      <c r="AC207">
        <v>0</v>
      </c>
      <c r="AD207">
        <v>0</v>
      </c>
      <c r="AE207">
        <v>586.47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2.5499999999999998E-2</v>
      </c>
      <c r="AU207" t="s">
        <v>6</v>
      </c>
      <c r="AV207">
        <v>0</v>
      </c>
      <c r="AW207">
        <v>2</v>
      </c>
      <c r="AX207">
        <v>27935686</v>
      </c>
      <c r="AY207">
        <v>1</v>
      </c>
      <c r="AZ207">
        <v>0</v>
      </c>
      <c r="BA207">
        <v>213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Y207*Source!I84</f>
        <v>4.3451999999999996E-3</v>
      </c>
      <c r="CY207">
        <f t="shared" si="36"/>
        <v>586.47</v>
      </c>
      <c r="CZ207">
        <f t="shared" si="37"/>
        <v>586.47</v>
      </c>
      <c r="DA207">
        <f t="shared" si="38"/>
        <v>1</v>
      </c>
      <c r="DB207">
        <f t="shared" si="34"/>
        <v>14.95</v>
      </c>
      <c r="DC207">
        <f t="shared" si="35"/>
        <v>0</v>
      </c>
    </row>
    <row r="208" spans="1:107" x14ac:dyDescent="0.2">
      <c r="A208">
        <f>ROW(Source!A84)</f>
        <v>84</v>
      </c>
      <c r="B208">
        <v>27935367</v>
      </c>
      <c r="C208">
        <v>27935666</v>
      </c>
      <c r="D208">
        <v>25153356</v>
      </c>
      <c r="E208">
        <v>1</v>
      </c>
      <c r="F208">
        <v>1</v>
      </c>
      <c r="G208">
        <v>1</v>
      </c>
      <c r="H208">
        <v>3</v>
      </c>
      <c r="I208" t="s">
        <v>592</v>
      </c>
      <c r="J208" t="s">
        <v>593</v>
      </c>
      <c r="K208" t="s">
        <v>594</v>
      </c>
      <c r="L208">
        <v>1327</v>
      </c>
      <c r="N208">
        <v>1005</v>
      </c>
      <c r="O208" t="s">
        <v>35</v>
      </c>
      <c r="P208" t="s">
        <v>35</v>
      </c>
      <c r="Q208">
        <v>1</v>
      </c>
      <c r="W208">
        <v>0</v>
      </c>
      <c r="X208">
        <v>-1987926685</v>
      </c>
      <c r="Y208">
        <v>1.6</v>
      </c>
      <c r="AA208">
        <v>72.319999999999993</v>
      </c>
      <c r="AB208">
        <v>0</v>
      </c>
      <c r="AC208">
        <v>0</v>
      </c>
      <c r="AD208">
        <v>0</v>
      </c>
      <c r="AE208">
        <v>72.319999999999993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1.6</v>
      </c>
      <c r="AU208" t="s">
        <v>6</v>
      </c>
      <c r="AV208">
        <v>0</v>
      </c>
      <c r="AW208">
        <v>2</v>
      </c>
      <c r="AX208">
        <v>27935687</v>
      </c>
      <c r="AY208">
        <v>1</v>
      </c>
      <c r="AZ208">
        <v>0</v>
      </c>
      <c r="BA208">
        <v>214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Y208*Source!I84</f>
        <v>0.27263999999999999</v>
      </c>
      <c r="CY208">
        <f t="shared" si="36"/>
        <v>72.319999999999993</v>
      </c>
      <c r="CZ208">
        <f t="shared" si="37"/>
        <v>72.319999999999993</v>
      </c>
      <c r="DA208">
        <f t="shared" si="38"/>
        <v>1</v>
      </c>
      <c r="DB208">
        <f t="shared" si="34"/>
        <v>115.71</v>
      </c>
      <c r="DC208">
        <f t="shared" si="35"/>
        <v>0</v>
      </c>
    </row>
    <row r="209" spans="1:107" x14ac:dyDescent="0.2">
      <c r="A209">
        <f>ROW(Source!A84)</f>
        <v>84</v>
      </c>
      <c r="B209">
        <v>27935367</v>
      </c>
      <c r="C209">
        <v>27935666</v>
      </c>
      <c r="D209">
        <v>25154578</v>
      </c>
      <c r="E209">
        <v>1</v>
      </c>
      <c r="F209">
        <v>1</v>
      </c>
      <c r="G209">
        <v>1</v>
      </c>
      <c r="H209">
        <v>3</v>
      </c>
      <c r="I209" t="s">
        <v>595</v>
      </c>
      <c r="J209" t="s">
        <v>596</v>
      </c>
      <c r="K209" t="s">
        <v>597</v>
      </c>
      <c r="L209">
        <v>1339</v>
      </c>
      <c r="N209">
        <v>1007</v>
      </c>
      <c r="O209" t="s">
        <v>133</v>
      </c>
      <c r="P209" t="s">
        <v>133</v>
      </c>
      <c r="Q209">
        <v>1</v>
      </c>
      <c r="W209">
        <v>0</v>
      </c>
      <c r="X209">
        <v>1795918813</v>
      </c>
      <c r="Y209">
        <v>4.4000000000000003E-3</v>
      </c>
      <c r="AA209">
        <v>74.58</v>
      </c>
      <c r="AB209">
        <v>0</v>
      </c>
      <c r="AC209">
        <v>0</v>
      </c>
      <c r="AD209">
        <v>0</v>
      </c>
      <c r="AE209">
        <v>74.58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4.4000000000000003E-3</v>
      </c>
      <c r="AU209" t="s">
        <v>6</v>
      </c>
      <c r="AV209">
        <v>0</v>
      </c>
      <c r="AW209">
        <v>2</v>
      </c>
      <c r="AX209">
        <v>27935688</v>
      </c>
      <c r="AY209">
        <v>1</v>
      </c>
      <c r="AZ209">
        <v>0</v>
      </c>
      <c r="BA209">
        <v>215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Y209*Source!I84</f>
        <v>7.4976000000000003E-4</v>
      </c>
      <c r="CY209">
        <f t="shared" si="36"/>
        <v>74.58</v>
      </c>
      <c r="CZ209">
        <f t="shared" si="37"/>
        <v>74.58</v>
      </c>
      <c r="DA209">
        <f t="shared" si="38"/>
        <v>1</v>
      </c>
      <c r="DB209">
        <f t="shared" si="34"/>
        <v>0.33</v>
      </c>
      <c r="DC209">
        <f t="shared" si="35"/>
        <v>0</v>
      </c>
    </row>
    <row r="210" spans="1:107" x14ac:dyDescent="0.2">
      <c r="A210">
        <f>ROW(Source!A84)</f>
        <v>84</v>
      </c>
      <c r="B210">
        <v>27935367</v>
      </c>
      <c r="C210">
        <v>27935666</v>
      </c>
      <c r="D210">
        <v>25185124</v>
      </c>
      <c r="E210">
        <v>1</v>
      </c>
      <c r="F210">
        <v>1</v>
      </c>
      <c r="G210">
        <v>1</v>
      </c>
      <c r="H210">
        <v>3</v>
      </c>
      <c r="I210" t="s">
        <v>598</v>
      </c>
      <c r="J210" t="s">
        <v>599</v>
      </c>
      <c r="K210" t="s">
        <v>600</v>
      </c>
      <c r="L210">
        <v>1346</v>
      </c>
      <c r="N210">
        <v>1009</v>
      </c>
      <c r="O210" t="s">
        <v>60</v>
      </c>
      <c r="P210" t="s">
        <v>60</v>
      </c>
      <c r="Q210">
        <v>1</v>
      </c>
      <c r="W210">
        <v>0</v>
      </c>
      <c r="X210">
        <v>-1684093315</v>
      </c>
      <c r="Y210">
        <v>4.0199999999999996</v>
      </c>
      <c r="AA210">
        <v>8.09</v>
      </c>
      <c r="AB210">
        <v>0</v>
      </c>
      <c r="AC210">
        <v>0</v>
      </c>
      <c r="AD210">
        <v>0</v>
      </c>
      <c r="AE210">
        <v>8.09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4.0199999999999996</v>
      </c>
      <c r="AU210" t="s">
        <v>6</v>
      </c>
      <c r="AV210">
        <v>0</v>
      </c>
      <c r="AW210">
        <v>2</v>
      </c>
      <c r="AX210">
        <v>27935689</v>
      </c>
      <c r="AY210">
        <v>1</v>
      </c>
      <c r="AZ210">
        <v>0</v>
      </c>
      <c r="BA210">
        <v>216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Y210*Source!I84</f>
        <v>0.68500799999999995</v>
      </c>
      <c r="CY210">
        <f t="shared" si="36"/>
        <v>8.09</v>
      </c>
      <c r="CZ210">
        <f t="shared" si="37"/>
        <v>8.09</v>
      </c>
      <c r="DA210">
        <f t="shared" si="38"/>
        <v>1</v>
      </c>
      <c r="DB210">
        <f t="shared" si="34"/>
        <v>32.520000000000003</v>
      </c>
      <c r="DC210">
        <f t="shared" si="35"/>
        <v>0</v>
      </c>
    </row>
    <row r="211" spans="1:107" x14ac:dyDescent="0.2">
      <c r="A211">
        <f>ROW(Source!A84)</f>
        <v>84</v>
      </c>
      <c r="B211">
        <v>27935367</v>
      </c>
      <c r="C211">
        <v>27935666</v>
      </c>
      <c r="D211">
        <v>25185882</v>
      </c>
      <c r="E211">
        <v>1</v>
      </c>
      <c r="F211">
        <v>1</v>
      </c>
      <c r="G211">
        <v>1</v>
      </c>
      <c r="H211">
        <v>3</v>
      </c>
      <c r="I211" t="s">
        <v>174</v>
      </c>
      <c r="J211" t="s">
        <v>176</v>
      </c>
      <c r="K211" t="s">
        <v>175</v>
      </c>
      <c r="L211">
        <v>1348</v>
      </c>
      <c r="N211">
        <v>1009</v>
      </c>
      <c r="O211" t="s">
        <v>65</v>
      </c>
      <c r="P211" t="s">
        <v>65</v>
      </c>
      <c r="Q211">
        <v>1000</v>
      </c>
      <c r="W211">
        <v>0</v>
      </c>
      <c r="X211">
        <v>80755745</v>
      </c>
      <c r="Y211">
        <v>7.0999999999999994E-2</v>
      </c>
      <c r="AA211">
        <v>13287.69</v>
      </c>
      <c r="AB211">
        <v>0</v>
      </c>
      <c r="AC211">
        <v>0</v>
      </c>
      <c r="AD211">
        <v>0</v>
      </c>
      <c r="AE211">
        <v>13287.69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6</v>
      </c>
      <c r="AT211">
        <v>7.0999999999999994E-2</v>
      </c>
      <c r="AU211" t="s">
        <v>6</v>
      </c>
      <c r="AV211">
        <v>0</v>
      </c>
      <c r="AW211">
        <v>1</v>
      </c>
      <c r="AX211">
        <v>-1</v>
      </c>
      <c r="AY211">
        <v>0</v>
      </c>
      <c r="AZ211">
        <v>0</v>
      </c>
      <c r="BA211" t="s">
        <v>6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Y211*Source!I84</f>
        <v>1.2098399999999999E-2</v>
      </c>
      <c r="CY211">
        <f t="shared" si="36"/>
        <v>13287.69</v>
      </c>
      <c r="CZ211">
        <f t="shared" si="37"/>
        <v>13287.69</v>
      </c>
      <c r="DA211">
        <f t="shared" si="38"/>
        <v>1</v>
      </c>
      <c r="DB211">
        <f t="shared" si="34"/>
        <v>943.43</v>
      </c>
      <c r="DC211">
        <f t="shared" si="35"/>
        <v>0</v>
      </c>
    </row>
    <row r="212" spans="1:107" x14ac:dyDescent="0.2">
      <c r="A212">
        <f>ROW(Source!A84)</f>
        <v>84</v>
      </c>
      <c r="B212">
        <v>27935367</v>
      </c>
      <c r="C212">
        <v>27935666</v>
      </c>
      <c r="D212">
        <v>25187352</v>
      </c>
      <c r="E212">
        <v>1</v>
      </c>
      <c r="F212">
        <v>1</v>
      </c>
      <c r="G212">
        <v>1</v>
      </c>
      <c r="H212">
        <v>3</v>
      </c>
      <c r="I212" t="s">
        <v>601</v>
      </c>
      <c r="J212" t="s">
        <v>602</v>
      </c>
      <c r="K212" t="s">
        <v>603</v>
      </c>
      <c r="L212">
        <v>1348</v>
      </c>
      <c r="N212">
        <v>1009</v>
      </c>
      <c r="O212" t="s">
        <v>65</v>
      </c>
      <c r="P212" t="s">
        <v>65</v>
      </c>
      <c r="Q212">
        <v>1000</v>
      </c>
      <c r="W212">
        <v>0</v>
      </c>
      <c r="X212">
        <v>-2084827333</v>
      </c>
      <c r="Y212">
        <v>7.1999999999999995E-2</v>
      </c>
      <c r="AA212">
        <v>4294</v>
      </c>
      <c r="AB212">
        <v>0</v>
      </c>
      <c r="AC212">
        <v>0</v>
      </c>
      <c r="AD212">
        <v>0</v>
      </c>
      <c r="AE212">
        <v>4294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7.1999999999999995E-2</v>
      </c>
      <c r="AU212" t="s">
        <v>6</v>
      </c>
      <c r="AV212">
        <v>0</v>
      </c>
      <c r="AW212">
        <v>2</v>
      </c>
      <c r="AX212">
        <v>27935691</v>
      </c>
      <c r="AY212">
        <v>1</v>
      </c>
      <c r="AZ212">
        <v>0</v>
      </c>
      <c r="BA212">
        <v>218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Y212*Source!I84</f>
        <v>1.2268799999999998E-2</v>
      </c>
      <c r="CY212">
        <f t="shared" si="36"/>
        <v>4294</v>
      </c>
      <c r="CZ212">
        <f t="shared" si="37"/>
        <v>4294</v>
      </c>
      <c r="DA212">
        <f t="shared" si="38"/>
        <v>1</v>
      </c>
      <c r="DB212">
        <f t="shared" si="34"/>
        <v>309.17</v>
      </c>
      <c r="DC212">
        <f t="shared" si="35"/>
        <v>0</v>
      </c>
    </row>
    <row r="213" spans="1:107" x14ac:dyDescent="0.2">
      <c r="A213">
        <f>ROW(Source!A85)</f>
        <v>85</v>
      </c>
      <c r="B213">
        <v>27935368</v>
      </c>
      <c r="C213">
        <v>27935666</v>
      </c>
      <c r="D213">
        <v>25417632</v>
      </c>
      <c r="E213">
        <v>1</v>
      </c>
      <c r="F213">
        <v>1</v>
      </c>
      <c r="G213">
        <v>1</v>
      </c>
      <c r="H213">
        <v>1</v>
      </c>
      <c r="I213" t="s">
        <v>584</v>
      </c>
      <c r="J213" t="s">
        <v>6</v>
      </c>
      <c r="K213" t="s">
        <v>585</v>
      </c>
      <c r="L213">
        <v>1191</v>
      </c>
      <c r="N213">
        <v>1013</v>
      </c>
      <c r="O213" t="s">
        <v>459</v>
      </c>
      <c r="P213" t="s">
        <v>459</v>
      </c>
      <c r="Q213">
        <v>1</v>
      </c>
      <c r="W213">
        <v>0</v>
      </c>
      <c r="X213">
        <v>1010519658</v>
      </c>
      <c r="Y213">
        <v>29.6</v>
      </c>
      <c r="AA213">
        <v>0</v>
      </c>
      <c r="AB213">
        <v>0</v>
      </c>
      <c r="AC213">
        <v>0</v>
      </c>
      <c r="AD213">
        <v>52.79</v>
      </c>
      <c r="AE213">
        <v>0</v>
      </c>
      <c r="AF213">
        <v>0</v>
      </c>
      <c r="AG213">
        <v>0</v>
      </c>
      <c r="AH213">
        <v>8.64</v>
      </c>
      <c r="AI213">
        <v>1</v>
      </c>
      <c r="AJ213">
        <v>1</v>
      </c>
      <c r="AK213">
        <v>1</v>
      </c>
      <c r="AL213">
        <v>6.11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29.6</v>
      </c>
      <c r="AU213" t="s">
        <v>6</v>
      </c>
      <c r="AV213">
        <v>1</v>
      </c>
      <c r="AW213">
        <v>2</v>
      </c>
      <c r="AX213">
        <v>27935680</v>
      </c>
      <c r="AY213">
        <v>1</v>
      </c>
      <c r="AZ213">
        <v>0</v>
      </c>
      <c r="BA213">
        <v>219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Y213*Source!I85</f>
        <v>5.0438400000000003</v>
      </c>
      <c r="CY213">
        <f>AD213</f>
        <v>52.79</v>
      </c>
      <c r="CZ213">
        <f>AH213</f>
        <v>8.64</v>
      </c>
      <c r="DA213">
        <f>AL213</f>
        <v>6.11</v>
      </c>
      <c r="DB213">
        <f t="shared" si="34"/>
        <v>255.74</v>
      </c>
      <c r="DC213">
        <f t="shared" si="35"/>
        <v>0</v>
      </c>
    </row>
    <row r="214" spans="1:107" x14ac:dyDescent="0.2">
      <c r="A214">
        <f>ROW(Source!A85)</f>
        <v>85</v>
      </c>
      <c r="B214">
        <v>27935368</v>
      </c>
      <c r="C214">
        <v>27935666</v>
      </c>
      <c r="D214">
        <v>25412928</v>
      </c>
      <c r="E214">
        <v>1</v>
      </c>
      <c r="F214">
        <v>1</v>
      </c>
      <c r="G214">
        <v>1</v>
      </c>
      <c r="H214">
        <v>1</v>
      </c>
      <c r="I214" t="s">
        <v>460</v>
      </c>
      <c r="J214" t="s">
        <v>6</v>
      </c>
      <c r="K214" t="s">
        <v>461</v>
      </c>
      <c r="L214">
        <v>1191</v>
      </c>
      <c r="N214">
        <v>1013</v>
      </c>
      <c r="O214" t="s">
        <v>459</v>
      </c>
      <c r="P214" t="s">
        <v>459</v>
      </c>
      <c r="Q214">
        <v>1</v>
      </c>
      <c r="W214">
        <v>0</v>
      </c>
      <c r="X214">
        <v>-1417349443</v>
      </c>
      <c r="Y214">
        <v>0.16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6.11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0.16</v>
      </c>
      <c r="AU214" t="s">
        <v>6</v>
      </c>
      <c r="AV214">
        <v>2</v>
      </c>
      <c r="AW214">
        <v>2</v>
      </c>
      <c r="AX214">
        <v>27935681</v>
      </c>
      <c r="AY214">
        <v>1</v>
      </c>
      <c r="AZ214">
        <v>0</v>
      </c>
      <c r="BA214">
        <v>220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Y214*Source!I85</f>
        <v>2.7264E-2</v>
      </c>
      <c r="CY214">
        <f>AD214</f>
        <v>0</v>
      </c>
      <c r="CZ214">
        <f>AH214</f>
        <v>0</v>
      </c>
      <c r="DA214">
        <f>AL214</f>
        <v>1</v>
      </c>
      <c r="DB214">
        <f t="shared" si="34"/>
        <v>0</v>
      </c>
      <c r="DC214">
        <f t="shared" si="35"/>
        <v>0</v>
      </c>
    </row>
    <row r="215" spans="1:107" x14ac:dyDescent="0.2">
      <c r="A215">
        <f>ROW(Source!A85)</f>
        <v>85</v>
      </c>
      <c r="B215">
        <v>27935368</v>
      </c>
      <c r="C215">
        <v>27935666</v>
      </c>
      <c r="D215">
        <v>25230514</v>
      </c>
      <c r="E215">
        <v>1</v>
      </c>
      <c r="F215">
        <v>1</v>
      </c>
      <c r="G215">
        <v>1</v>
      </c>
      <c r="H215">
        <v>2</v>
      </c>
      <c r="I215" t="s">
        <v>462</v>
      </c>
      <c r="J215" t="s">
        <v>463</v>
      </c>
      <c r="K215" t="s">
        <v>464</v>
      </c>
      <c r="L215">
        <v>1368</v>
      </c>
      <c r="N215">
        <v>1011</v>
      </c>
      <c r="O215" t="s">
        <v>465</v>
      </c>
      <c r="P215" t="s">
        <v>465</v>
      </c>
      <c r="Q215">
        <v>1</v>
      </c>
      <c r="W215">
        <v>0</v>
      </c>
      <c r="X215">
        <v>1188625873</v>
      </c>
      <c r="Y215">
        <v>0.1</v>
      </c>
      <c r="AA215">
        <v>0</v>
      </c>
      <c r="AB215">
        <v>191</v>
      </c>
      <c r="AC215">
        <v>13.5</v>
      </c>
      <c r="AD215">
        <v>0</v>
      </c>
      <c r="AE215">
        <v>0</v>
      </c>
      <c r="AF215">
        <v>31.26</v>
      </c>
      <c r="AG215">
        <v>13.5</v>
      </c>
      <c r="AH215">
        <v>0</v>
      </c>
      <c r="AI215">
        <v>1</v>
      </c>
      <c r="AJ215">
        <v>6.11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0.1</v>
      </c>
      <c r="AU215" t="s">
        <v>6</v>
      </c>
      <c r="AV215">
        <v>0</v>
      </c>
      <c r="AW215">
        <v>2</v>
      </c>
      <c r="AX215">
        <v>27935682</v>
      </c>
      <c r="AY215">
        <v>1</v>
      </c>
      <c r="AZ215">
        <v>0</v>
      </c>
      <c r="BA215">
        <v>221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Y215*Source!I85</f>
        <v>1.704E-2</v>
      </c>
      <c r="CY215">
        <f>AB215</f>
        <v>191</v>
      </c>
      <c r="CZ215">
        <f>AF215</f>
        <v>31.26</v>
      </c>
      <c r="DA215">
        <f>AJ215</f>
        <v>6.11</v>
      </c>
      <c r="DB215">
        <f t="shared" si="34"/>
        <v>3.13</v>
      </c>
      <c r="DC215">
        <f t="shared" si="35"/>
        <v>1.35</v>
      </c>
    </row>
    <row r="216" spans="1:107" x14ac:dyDescent="0.2">
      <c r="A216">
        <f>ROW(Source!A85)</f>
        <v>85</v>
      </c>
      <c r="B216">
        <v>27935368</v>
      </c>
      <c r="C216">
        <v>27935666</v>
      </c>
      <c r="D216">
        <v>25231607</v>
      </c>
      <c r="E216">
        <v>1</v>
      </c>
      <c r="F216">
        <v>1</v>
      </c>
      <c r="G216">
        <v>1</v>
      </c>
      <c r="H216">
        <v>2</v>
      </c>
      <c r="I216" t="s">
        <v>468</v>
      </c>
      <c r="J216" t="s">
        <v>469</v>
      </c>
      <c r="K216" t="s">
        <v>470</v>
      </c>
      <c r="L216">
        <v>1368</v>
      </c>
      <c r="N216">
        <v>1011</v>
      </c>
      <c r="O216" t="s">
        <v>465</v>
      </c>
      <c r="P216" t="s">
        <v>465</v>
      </c>
      <c r="Q216">
        <v>1</v>
      </c>
      <c r="W216">
        <v>0</v>
      </c>
      <c r="X216">
        <v>1372534845</v>
      </c>
      <c r="Y216">
        <v>0.06</v>
      </c>
      <c r="AA216">
        <v>0</v>
      </c>
      <c r="AB216">
        <v>401.49</v>
      </c>
      <c r="AC216">
        <v>11.6</v>
      </c>
      <c r="AD216">
        <v>0</v>
      </c>
      <c r="AE216">
        <v>0</v>
      </c>
      <c r="AF216">
        <v>65.709999999999994</v>
      </c>
      <c r="AG216">
        <v>11.6</v>
      </c>
      <c r="AH216">
        <v>0</v>
      </c>
      <c r="AI216">
        <v>1</v>
      </c>
      <c r="AJ216">
        <v>6.11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0.06</v>
      </c>
      <c r="AU216" t="s">
        <v>6</v>
      </c>
      <c r="AV216">
        <v>0</v>
      </c>
      <c r="AW216">
        <v>2</v>
      </c>
      <c r="AX216">
        <v>27935683</v>
      </c>
      <c r="AY216">
        <v>1</v>
      </c>
      <c r="AZ216">
        <v>0</v>
      </c>
      <c r="BA216">
        <v>222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Y216*Source!I85</f>
        <v>1.0223999999999999E-2</v>
      </c>
      <c r="CY216">
        <f>AB216</f>
        <v>401.49</v>
      </c>
      <c r="CZ216">
        <f>AF216</f>
        <v>65.709999999999994</v>
      </c>
      <c r="DA216">
        <f>AJ216</f>
        <v>6.11</v>
      </c>
      <c r="DB216">
        <f t="shared" si="34"/>
        <v>3.94</v>
      </c>
      <c r="DC216">
        <f t="shared" si="35"/>
        <v>0.7</v>
      </c>
    </row>
    <row r="217" spans="1:107" x14ac:dyDescent="0.2">
      <c r="A217">
        <f>ROW(Source!A85)</f>
        <v>85</v>
      </c>
      <c r="B217">
        <v>27935368</v>
      </c>
      <c r="C217">
        <v>27935666</v>
      </c>
      <c r="D217">
        <v>25149961</v>
      </c>
      <c r="E217">
        <v>1</v>
      </c>
      <c r="F217">
        <v>1</v>
      </c>
      <c r="G217">
        <v>1</v>
      </c>
      <c r="H217">
        <v>3</v>
      </c>
      <c r="I217" t="s">
        <v>558</v>
      </c>
      <c r="J217" t="s">
        <v>559</v>
      </c>
      <c r="K217" t="s">
        <v>560</v>
      </c>
      <c r="L217">
        <v>1339</v>
      </c>
      <c r="N217">
        <v>1007</v>
      </c>
      <c r="O217" t="s">
        <v>133</v>
      </c>
      <c r="P217" t="s">
        <v>133</v>
      </c>
      <c r="Q217">
        <v>1</v>
      </c>
      <c r="W217">
        <v>0</v>
      </c>
      <c r="X217">
        <v>-1660354250</v>
      </c>
      <c r="Y217">
        <v>0.24</v>
      </c>
      <c r="AA217">
        <v>14.91</v>
      </c>
      <c r="AB217">
        <v>0</v>
      </c>
      <c r="AC217">
        <v>0</v>
      </c>
      <c r="AD217">
        <v>0</v>
      </c>
      <c r="AE217">
        <v>2.44</v>
      </c>
      <c r="AF217">
        <v>0</v>
      </c>
      <c r="AG217">
        <v>0</v>
      </c>
      <c r="AH217">
        <v>0</v>
      </c>
      <c r="AI217">
        <v>6.11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0.24</v>
      </c>
      <c r="AU217" t="s">
        <v>6</v>
      </c>
      <c r="AV217">
        <v>0</v>
      </c>
      <c r="AW217">
        <v>2</v>
      </c>
      <c r="AX217">
        <v>27935684</v>
      </c>
      <c r="AY217">
        <v>1</v>
      </c>
      <c r="AZ217">
        <v>0</v>
      </c>
      <c r="BA217">
        <v>223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Y217*Source!I85</f>
        <v>4.0895999999999995E-2</v>
      </c>
      <c r="CY217">
        <f t="shared" ref="CY217:CY224" si="39">AA217</f>
        <v>14.91</v>
      </c>
      <c r="CZ217">
        <f t="shared" ref="CZ217:CZ224" si="40">AE217</f>
        <v>2.44</v>
      </c>
      <c r="DA217">
        <f t="shared" ref="DA217:DA224" si="41">AI217</f>
        <v>6.11</v>
      </c>
      <c r="DB217">
        <f t="shared" si="34"/>
        <v>0.59</v>
      </c>
      <c r="DC217">
        <f t="shared" si="35"/>
        <v>0</v>
      </c>
    </row>
    <row r="218" spans="1:107" x14ac:dyDescent="0.2">
      <c r="A218">
        <f>ROW(Source!A85)</f>
        <v>85</v>
      </c>
      <c r="B218">
        <v>27935368</v>
      </c>
      <c r="C218">
        <v>27935666</v>
      </c>
      <c r="D218">
        <v>25150441</v>
      </c>
      <c r="E218">
        <v>1</v>
      </c>
      <c r="F218">
        <v>1</v>
      </c>
      <c r="G218">
        <v>1</v>
      </c>
      <c r="H218">
        <v>3</v>
      </c>
      <c r="I218" t="s">
        <v>586</v>
      </c>
      <c r="J218" t="s">
        <v>587</v>
      </c>
      <c r="K218" t="s">
        <v>588</v>
      </c>
      <c r="L218">
        <v>1354</v>
      </c>
      <c r="N218">
        <v>1010</v>
      </c>
      <c r="O218" t="s">
        <v>282</v>
      </c>
      <c r="P218" t="s">
        <v>282</v>
      </c>
      <c r="Q218">
        <v>1</v>
      </c>
      <c r="W218">
        <v>0</v>
      </c>
      <c r="X218">
        <v>-1046673864</v>
      </c>
      <c r="Y218">
        <v>5.0999999999999996</v>
      </c>
      <c r="AA218">
        <v>27.5</v>
      </c>
      <c r="AB218">
        <v>0</v>
      </c>
      <c r="AC218">
        <v>0</v>
      </c>
      <c r="AD218">
        <v>0</v>
      </c>
      <c r="AE218">
        <v>4.5</v>
      </c>
      <c r="AF218">
        <v>0</v>
      </c>
      <c r="AG218">
        <v>0</v>
      </c>
      <c r="AH218">
        <v>0</v>
      </c>
      <c r="AI218">
        <v>6.11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5.0999999999999996</v>
      </c>
      <c r="AU218" t="s">
        <v>6</v>
      </c>
      <c r="AV218">
        <v>0</v>
      </c>
      <c r="AW218">
        <v>2</v>
      </c>
      <c r="AX218">
        <v>27935685</v>
      </c>
      <c r="AY218">
        <v>1</v>
      </c>
      <c r="AZ218">
        <v>0</v>
      </c>
      <c r="BA218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Y218*Source!I85</f>
        <v>0.86903999999999992</v>
      </c>
      <c r="CY218">
        <f t="shared" si="39"/>
        <v>27.5</v>
      </c>
      <c r="CZ218">
        <f t="shared" si="40"/>
        <v>4.5</v>
      </c>
      <c r="DA218">
        <f t="shared" si="41"/>
        <v>6.11</v>
      </c>
      <c r="DB218">
        <f t="shared" si="34"/>
        <v>22.95</v>
      </c>
      <c r="DC218">
        <f t="shared" si="35"/>
        <v>0</v>
      </c>
    </row>
    <row r="219" spans="1:107" x14ac:dyDescent="0.2">
      <c r="A219">
        <f>ROW(Source!A85)</f>
        <v>85</v>
      </c>
      <c r="B219">
        <v>27935368</v>
      </c>
      <c r="C219">
        <v>27935666</v>
      </c>
      <c r="D219">
        <v>25150690</v>
      </c>
      <c r="E219">
        <v>1</v>
      </c>
      <c r="F219">
        <v>1</v>
      </c>
      <c r="G219">
        <v>1</v>
      </c>
      <c r="H219">
        <v>3</v>
      </c>
      <c r="I219" t="s">
        <v>589</v>
      </c>
      <c r="J219" t="s">
        <v>590</v>
      </c>
      <c r="K219" t="s">
        <v>591</v>
      </c>
      <c r="L219">
        <v>1348</v>
      </c>
      <c r="N219">
        <v>1009</v>
      </c>
      <c r="O219" t="s">
        <v>65</v>
      </c>
      <c r="P219" t="s">
        <v>65</v>
      </c>
      <c r="Q219">
        <v>1000</v>
      </c>
      <c r="W219">
        <v>0</v>
      </c>
      <c r="X219">
        <v>-526970962</v>
      </c>
      <c r="Y219">
        <v>2.5499999999999998E-2</v>
      </c>
      <c r="AA219">
        <v>3583.33</v>
      </c>
      <c r="AB219">
        <v>0</v>
      </c>
      <c r="AC219">
        <v>0</v>
      </c>
      <c r="AD219">
        <v>0</v>
      </c>
      <c r="AE219">
        <v>586.47</v>
      </c>
      <c r="AF219">
        <v>0</v>
      </c>
      <c r="AG219">
        <v>0</v>
      </c>
      <c r="AH219">
        <v>0</v>
      </c>
      <c r="AI219">
        <v>6.11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2.5499999999999998E-2</v>
      </c>
      <c r="AU219" t="s">
        <v>6</v>
      </c>
      <c r="AV219">
        <v>0</v>
      </c>
      <c r="AW219">
        <v>2</v>
      </c>
      <c r="AX219">
        <v>27935686</v>
      </c>
      <c r="AY219">
        <v>1</v>
      </c>
      <c r="AZ219">
        <v>0</v>
      </c>
      <c r="BA219">
        <v>225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Y219*Source!I85</f>
        <v>4.3451999999999996E-3</v>
      </c>
      <c r="CY219">
        <f t="shared" si="39"/>
        <v>3583.33</v>
      </c>
      <c r="CZ219">
        <f t="shared" si="40"/>
        <v>586.47</v>
      </c>
      <c r="DA219">
        <f t="shared" si="41"/>
        <v>6.11</v>
      </c>
      <c r="DB219">
        <f t="shared" si="34"/>
        <v>14.95</v>
      </c>
      <c r="DC219">
        <f t="shared" si="35"/>
        <v>0</v>
      </c>
    </row>
    <row r="220" spans="1:107" x14ac:dyDescent="0.2">
      <c r="A220">
        <f>ROW(Source!A85)</f>
        <v>85</v>
      </c>
      <c r="B220">
        <v>27935368</v>
      </c>
      <c r="C220">
        <v>27935666</v>
      </c>
      <c r="D220">
        <v>25153356</v>
      </c>
      <c r="E220">
        <v>1</v>
      </c>
      <c r="F220">
        <v>1</v>
      </c>
      <c r="G220">
        <v>1</v>
      </c>
      <c r="H220">
        <v>3</v>
      </c>
      <c r="I220" t="s">
        <v>592</v>
      </c>
      <c r="J220" t="s">
        <v>593</v>
      </c>
      <c r="K220" t="s">
        <v>594</v>
      </c>
      <c r="L220">
        <v>1327</v>
      </c>
      <c r="N220">
        <v>1005</v>
      </c>
      <c r="O220" t="s">
        <v>35</v>
      </c>
      <c r="P220" t="s">
        <v>35</v>
      </c>
      <c r="Q220">
        <v>1</v>
      </c>
      <c r="W220">
        <v>0</v>
      </c>
      <c r="X220">
        <v>-1987926685</v>
      </c>
      <c r="Y220">
        <v>1.6</v>
      </c>
      <c r="AA220">
        <v>441.88</v>
      </c>
      <c r="AB220">
        <v>0</v>
      </c>
      <c r="AC220">
        <v>0</v>
      </c>
      <c r="AD220">
        <v>0</v>
      </c>
      <c r="AE220">
        <v>72.319999999999993</v>
      </c>
      <c r="AF220">
        <v>0</v>
      </c>
      <c r="AG220">
        <v>0</v>
      </c>
      <c r="AH220">
        <v>0</v>
      </c>
      <c r="AI220">
        <v>6.11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1.6</v>
      </c>
      <c r="AU220" t="s">
        <v>6</v>
      </c>
      <c r="AV220">
        <v>0</v>
      </c>
      <c r="AW220">
        <v>2</v>
      </c>
      <c r="AX220">
        <v>27935687</v>
      </c>
      <c r="AY220">
        <v>1</v>
      </c>
      <c r="AZ220">
        <v>0</v>
      </c>
      <c r="BA220">
        <v>226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Y220*Source!I85</f>
        <v>0.27263999999999999</v>
      </c>
      <c r="CY220">
        <f t="shared" si="39"/>
        <v>441.88</v>
      </c>
      <c r="CZ220">
        <f t="shared" si="40"/>
        <v>72.319999999999993</v>
      </c>
      <c r="DA220">
        <f t="shared" si="41"/>
        <v>6.11</v>
      </c>
      <c r="DB220">
        <f t="shared" si="34"/>
        <v>115.71</v>
      </c>
      <c r="DC220">
        <f t="shared" si="35"/>
        <v>0</v>
      </c>
    </row>
    <row r="221" spans="1:107" x14ac:dyDescent="0.2">
      <c r="A221">
        <f>ROW(Source!A85)</f>
        <v>85</v>
      </c>
      <c r="B221">
        <v>27935368</v>
      </c>
      <c r="C221">
        <v>27935666</v>
      </c>
      <c r="D221">
        <v>25154578</v>
      </c>
      <c r="E221">
        <v>1</v>
      </c>
      <c r="F221">
        <v>1</v>
      </c>
      <c r="G221">
        <v>1</v>
      </c>
      <c r="H221">
        <v>3</v>
      </c>
      <c r="I221" t="s">
        <v>595</v>
      </c>
      <c r="J221" t="s">
        <v>596</v>
      </c>
      <c r="K221" t="s">
        <v>597</v>
      </c>
      <c r="L221">
        <v>1339</v>
      </c>
      <c r="N221">
        <v>1007</v>
      </c>
      <c r="O221" t="s">
        <v>133</v>
      </c>
      <c r="P221" t="s">
        <v>133</v>
      </c>
      <c r="Q221">
        <v>1</v>
      </c>
      <c r="W221">
        <v>0</v>
      </c>
      <c r="X221">
        <v>1795918813</v>
      </c>
      <c r="Y221">
        <v>4.4000000000000003E-3</v>
      </c>
      <c r="AA221">
        <v>455.68</v>
      </c>
      <c r="AB221">
        <v>0</v>
      </c>
      <c r="AC221">
        <v>0</v>
      </c>
      <c r="AD221">
        <v>0</v>
      </c>
      <c r="AE221">
        <v>74.58</v>
      </c>
      <c r="AF221">
        <v>0</v>
      </c>
      <c r="AG221">
        <v>0</v>
      </c>
      <c r="AH221">
        <v>0</v>
      </c>
      <c r="AI221">
        <v>6.11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4.4000000000000003E-3</v>
      </c>
      <c r="AU221" t="s">
        <v>6</v>
      </c>
      <c r="AV221">
        <v>0</v>
      </c>
      <c r="AW221">
        <v>2</v>
      </c>
      <c r="AX221">
        <v>27935688</v>
      </c>
      <c r="AY221">
        <v>1</v>
      </c>
      <c r="AZ221">
        <v>0</v>
      </c>
      <c r="BA221">
        <v>227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Y221*Source!I85</f>
        <v>7.4976000000000003E-4</v>
      </c>
      <c r="CY221">
        <f t="shared" si="39"/>
        <v>455.68</v>
      </c>
      <c r="CZ221">
        <f t="shared" si="40"/>
        <v>74.58</v>
      </c>
      <c r="DA221">
        <f t="shared" si="41"/>
        <v>6.11</v>
      </c>
      <c r="DB221">
        <f t="shared" si="34"/>
        <v>0.33</v>
      </c>
      <c r="DC221">
        <f t="shared" si="35"/>
        <v>0</v>
      </c>
    </row>
    <row r="222" spans="1:107" x14ac:dyDescent="0.2">
      <c r="A222">
        <f>ROW(Source!A85)</f>
        <v>85</v>
      </c>
      <c r="B222">
        <v>27935368</v>
      </c>
      <c r="C222">
        <v>27935666</v>
      </c>
      <c r="D222">
        <v>25185124</v>
      </c>
      <c r="E222">
        <v>1</v>
      </c>
      <c r="F222">
        <v>1</v>
      </c>
      <c r="G222">
        <v>1</v>
      </c>
      <c r="H222">
        <v>3</v>
      </c>
      <c r="I222" t="s">
        <v>598</v>
      </c>
      <c r="J222" t="s">
        <v>599</v>
      </c>
      <c r="K222" t="s">
        <v>600</v>
      </c>
      <c r="L222">
        <v>1346</v>
      </c>
      <c r="N222">
        <v>1009</v>
      </c>
      <c r="O222" t="s">
        <v>60</v>
      </c>
      <c r="P222" t="s">
        <v>60</v>
      </c>
      <c r="Q222">
        <v>1</v>
      </c>
      <c r="W222">
        <v>0</v>
      </c>
      <c r="X222">
        <v>-1684093315</v>
      </c>
      <c r="Y222">
        <v>4.0199999999999996</v>
      </c>
      <c r="AA222">
        <v>49.43</v>
      </c>
      <c r="AB222">
        <v>0</v>
      </c>
      <c r="AC222">
        <v>0</v>
      </c>
      <c r="AD222">
        <v>0</v>
      </c>
      <c r="AE222">
        <v>8.09</v>
      </c>
      <c r="AF222">
        <v>0</v>
      </c>
      <c r="AG222">
        <v>0</v>
      </c>
      <c r="AH222">
        <v>0</v>
      </c>
      <c r="AI222">
        <v>6.11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4.0199999999999996</v>
      </c>
      <c r="AU222" t="s">
        <v>6</v>
      </c>
      <c r="AV222">
        <v>0</v>
      </c>
      <c r="AW222">
        <v>2</v>
      </c>
      <c r="AX222">
        <v>27935689</v>
      </c>
      <c r="AY222">
        <v>1</v>
      </c>
      <c r="AZ222">
        <v>0</v>
      </c>
      <c r="BA222">
        <v>228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Y222*Source!I85</f>
        <v>0.68500799999999995</v>
      </c>
      <c r="CY222">
        <f t="shared" si="39"/>
        <v>49.43</v>
      </c>
      <c r="CZ222">
        <f t="shared" si="40"/>
        <v>8.09</v>
      </c>
      <c r="DA222">
        <f t="shared" si="41"/>
        <v>6.11</v>
      </c>
      <c r="DB222">
        <f t="shared" si="34"/>
        <v>32.520000000000003</v>
      </c>
      <c r="DC222">
        <f t="shared" si="35"/>
        <v>0</v>
      </c>
    </row>
    <row r="223" spans="1:107" x14ac:dyDescent="0.2">
      <c r="A223">
        <f>ROW(Source!A85)</f>
        <v>85</v>
      </c>
      <c r="B223">
        <v>27935368</v>
      </c>
      <c r="C223">
        <v>27935666</v>
      </c>
      <c r="D223">
        <v>25185882</v>
      </c>
      <c r="E223">
        <v>1</v>
      </c>
      <c r="F223">
        <v>1</v>
      </c>
      <c r="G223">
        <v>1</v>
      </c>
      <c r="H223">
        <v>3</v>
      </c>
      <c r="I223" t="s">
        <v>174</v>
      </c>
      <c r="J223" t="s">
        <v>176</v>
      </c>
      <c r="K223" t="s">
        <v>175</v>
      </c>
      <c r="L223">
        <v>1348</v>
      </c>
      <c r="N223">
        <v>1009</v>
      </c>
      <c r="O223" t="s">
        <v>65</v>
      </c>
      <c r="P223" t="s">
        <v>65</v>
      </c>
      <c r="Q223">
        <v>1000</v>
      </c>
      <c r="W223">
        <v>0</v>
      </c>
      <c r="X223">
        <v>80755745</v>
      </c>
      <c r="Y223">
        <v>7.0999999999999994E-2</v>
      </c>
      <c r="AA223">
        <v>81187.789999999994</v>
      </c>
      <c r="AB223">
        <v>0</v>
      </c>
      <c r="AC223">
        <v>0</v>
      </c>
      <c r="AD223">
        <v>0</v>
      </c>
      <c r="AE223">
        <v>13287.69</v>
      </c>
      <c r="AF223">
        <v>0</v>
      </c>
      <c r="AG223">
        <v>0</v>
      </c>
      <c r="AH223">
        <v>0</v>
      </c>
      <c r="AI223">
        <v>6.11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7.0999999999999994E-2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Y223*Source!I85</f>
        <v>1.2098399999999999E-2</v>
      </c>
      <c r="CY223">
        <f t="shared" si="39"/>
        <v>81187.789999999994</v>
      </c>
      <c r="CZ223">
        <f t="shared" si="40"/>
        <v>13287.69</v>
      </c>
      <c r="DA223">
        <f t="shared" si="41"/>
        <v>6.11</v>
      </c>
      <c r="DB223">
        <f t="shared" si="34"/>
        <v>943.43</v>
      </c>
      <c r="DC223">
        <f t="shared" si="35"/>
        <v>0</v>
      </c>
    </row>
    <row r="224" spans="1:107" x14ac:dyDescent="0.2">
      <c r="A224">
        <f>ROW(Source!A85)</f>
        <v>85</v>
      </c>
      <c r="B224">
        <v>27935368</v>
      </c>
      <c r="C224">
        <v>27935666</v>
      </c>
      <c r="D224">
        <v>25187352</v>
      </c>
      <c r="E224">
        <v>1</v>
      </c>
      <c r="F224">
        <v>1</v>
      </c>
      <c r="G224">
        <v>1</v>
      </c>
      <c r="H224">
        <v>3</v>
      </c>
      <c r="I224" t="s">
        <v>601</v>
      </c>
      <c r="J224" t="s">
        <v>602</v>
      </c>
      <c r="K224" t="s">
        <v>603</v>
      </c>
      <c r="L224">
        <v>1348</v>
      </c>
      <c r="N224">
        <v>1009</v>
      </c>
      <c r="O224" t="s">
        <v>65</v>
      </c>
      <c r="P224" t="s">
        <v>65</v>
      </c>
      <c r="Q224">
        <v>1000</v>
      </c>
      <c r="W224">
        <v>0</v>
      </c>
      <c r="X224">
        <v>-2084827333</v>
      </c>
      <c r="Y224">
        <v>7.1999999999999995E-2</v>
      </c>
      <c r="AA224">
        <v>26236.34</v>
      </c>
      <c r="AB224">
        <v>0</v>
      </c>
      <c r="AC224">
        <v>0</v>
      </c>
      <c r="AD224">
        <v>0</v>
      </c>
      <c r="AE224">
        <v>4294</v>
      </c>
      <c r="AF224">
        <v>0</v>
      </c>
      <c r="AG224">
        <v>0</v>
      </c>
      <c r="AH224">
        <v>0</v>
      </c>
      <c r="AI224">
        <v>6.11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7.1999999999999995E-2</v>
      </c>
      <c r="AU224" t="s">
        <v>6</v>
      </c>
      <c r="AV224">
        <v>0</v>
      </c>
      <c r="AW224">
        <v>2</v>
      </c>
      <c r="AX224">
        <v>27935691</v>
      </c>
      <c r="AY224">
        <v>1</v>
      </c>
      <c r="AZ224">
        <v>0</v>
      </c>
      <c r="BA224">
        <v>230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Y224*Source!I85</f>
        <v>1.2268799999999998E-2</v>
      </c>
      <c r="CY224">
        <f t="shared" si="39"/>
        <v>26236.34</v>
      </c>
      <c r="CZ224">
        <f t="shared" si="40"/>
        <v>4294</v>
      </c>
      <c r="DA224">
        <f t="shared" si="41"/>
        <v>6.11</v>
      </c>
      <c r="DB224">
        <f t="shared" si="34"/>
        <v>309.17</v>
      </c>
      <c r="DC224">
        <f t="shared" si="35"/>
        <v>0</v>
      </c>
    </row>
    <row r="225" spans="1:107" x14ac:dyDescent="0.2">
      <c r="A225">
        <f>ROW(Source!A88)</f>
        <v>88</v>
      </c>
      <c r="B225">
        <v>27935367</v>
      </c>
      <c r="C225">
        <v>27935693</v>
      </c>
      <c r="D225">
        <v>25413998</v>
      </c>
      <c r="E225">
        <v>1</v>
      </c>
      <c r="F225">
        <v>1</v>
      </c>
      <c r="G225">
        <v>1</v>
      </c>
      <c r="H225">
        <v>1</v>
      </c>
      <c r="I225" t="s">
        <v>604</v>
      </c>
      <c r="J225" t="s">
        <v>6</v>
      </c>
      <c r="K225" t="s">
        <v>605</v>
      </c>
      <c r="L225">
        <v>1191</v>
      </c>
      <c r="N225">
        <v>1013</v>
      </c>
      <c r="O225" t="s">
        <v>459</v>
      </c>
      <c r="P225" t="s">
        <v>459</v>
      </c>
      <c r="Q225">
        <v>1</v>
      </c>
      <c r="W225">
        <v>0</v>
      </c>
      <c r="X225">
        <v>152375061</v>
      </c>
      <c r="Y225">
        <v>74.3</v>
      </c>
      <c r="AA225">
        <v>0</v>
      </c>
      <c r="AB225">
        <v>0</v>
      </c>
      <c r="AC225">
        <v>0</v>
      </c>
      <c r="AD225">
        <v>7.87</v>
      </c>
      <c r="AE225">
        <v>0</v>
      </c>
      <c r="AF225">
        <v>0</v>
      </c>
      <c r="AG225">
        <v>0</v>
      </c>
      <c r="AH225">
        <v>7.87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74.3</v>
      </c>
      <c r="AU225" t="s">
        <v>6</v>
      </c>
      <c r="AV225">
        <v>1</v>
      </c>
      <c r="AW225">
        <v>2</v>
      </c>
      <c r="AX225">
        <v>27935699</v>
      </c>
      <c r="AY225">
        <v>1</v>
      </c>
      <c r="AZ225">
        <v>0</v>
      </c>
      <c r="BA225">
        <v>231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Y225*Source!I88</f>
        <v>17.430779999999999</v>
      </c>
      <c r="CY225">
        <f>AD225</f>
        <v>7.87</v>
      </c>
      <c r="CZ225">
        <f>AH225</f>
        <v>7.87</v>
      </c>
      <c r="DA225">
        <f>AL225</f>
        <v>1</v>
      </c>
      <c r="DB225">
        <f t="shared" si="34"/>
        <v>584.74</v>
      </c>
      <c r="DC225">
        <f t="shared" si="35"/>
        <v>0</v>
      </c>
    </row>
    <row r="226" spans="1:107" x14ac:dyDescent="0.2">
      <c r="A226">
        <f>ROW(Source!A88)</f>
        <v>88</v>
      </c>
      <c r="B226">
        <v>27935367</v>
      </c>
      <c r="C226">
        <v>27935693</v>
      </c>
      <c r="D226">
        <v>25412928</v>
      </c>
      <c r="E226">
        <v>1</v>
      </c>
      <c r="F226">
        <v>1</v>
      </c>
      <c r="G226">
        <v>1</v>
      </c>
      <c r="H226">
        <v>1</v>
      </c>
      <c r="I226" t="s">
        <v>460</v>
      </c>
      <c r="J226" t="s">
        <v>6</v>
      </c>
      <c r="K226" t="s">
        <v>461</v>
      </c>
      <c r="L226">
        <v>1191</v>
      </c>
      <c r="N226">
        <v>1013</v>
      </c>
      <c r="O226" t="s">
        <v>459</v>
      </c>
      <c r="P226" t="s">
        <v>459</v>
      </c>
      <c r="Q226">
        <v>1</v>
      </c>
      <c r="W226">
        <v>0</v>
      </c>
      <c r="X226">
        <v>-1417349443</v>
      </c>
      <c r="Y226">
        <v>0.35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0.35</v>
      </c>
      <c r="AU226" t="s">
        <v>6</v>
      </c>
      <c r="AV226">
        <v>2</v>
      </c>
      <c r="AW226">
        <v>2</v>
      </c>
      <c r="AX226">
        <v>27935700</v>
      </c>
      <c r="AY226">
        <v>1</v>
      </c>
      <c r="AZ226">
        <v>0</v>
      </c>
      <c r="BA226">
        <v>232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Y226*Source!I88</f>
        <v>8.2110000000000002E-2</v>
      </c>
      <c r="CY226">
        <f>AD226</f>
        <v>0</v>
      </c>
      <c r="CZ226">
        <f>AH226</f>
        <v>0</v>
      </c>
      <c r="DA226">
        <f>AL226</f>
        <v>1</v>
      </c>
      <c r="DB226">
        <f t="shared" si="34"/>
        <v>0</v>
      </c>
      <c r="DC226">
        <f t="shared" si="35"/>
        <v>0</v>
      </c>
    </row>
    <row r="227" spans="1:107" x14ac:dyDescent="0.2">
      <c r="A227">
        <f>ROW(Source!A88)</f>
        <v>88</v>
      </c>
      <c r="B227">
        <v>27935367</v>
      </c>
      <c r="C227">
        <v>27935693</v>
      </c>
      <c r="D227">
        <v>25230514</v>
      </c>
      <c r="E227">
        <v>1</v>
      </c>
      <c r="F227">
        <v>1</v>
      </c>
      <c r="G227">
        <v>1</v>
      </c>
      <c r="H227">
        <v>2</v>
      </c>
      <c r="I227" t="s">
        <v>462</v>
      </c>
      <c r="J227" t="s">
        <v>463</v>
      </c>
      <c r="K227" t="s">
        <v>464</v>
      </c>
      <c r="L227">
        <v>1368</v>
      </c>
      <c r="N227">
        <v>1011</v>
      </c>
      <c r="O227" t="s">
        <v>465</v>
      </c>
      <c r="P227" t="s">
        <v>465</v>
      </c>
      <c r="Q227">
        <v>1</v>
      </c>
      <c r="W227">
        <v>0</v>
      </c>
      <c r="X227">
        <v>1188625873</v>
      </c>
      <c r="Y227">
        <v>0.35</v>
      </c>
      <c r="AA227">
        <v>0</v>
      </c>
      <c r="AB227">
        <v>31.26</v>
      </c>
      <c r="AC227">
        <v>13.5</v>
      </c>
      <c r="AD227">
        <v>0</v>
      </c>
      <c r="AE227">
        <v>0</v>
      </c>
      <c r="AF227">
        <v>31.26</v>
      </c>
      <c r="AG227">
        <v>13.5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0.35</v>
      </c>
      <c r="AU227" t="s">
        <v>6</v>
      </c>
      <c r="AV227">
        <v>0</v>
      </c>
      <c r="AW227">
        <v>2</v>
      </c>
      <c r="AX227">
        <v>27935701</v>
      </c>
      <c r="AY227">
        <v>1</v>
      </c>
      <c r="AZ227">
        <v>0</v>
      </c>
      <c r="BA227">
        <v>233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Y227*Source!I88</f>
        <v>8.2110000000000002E-2</v>
      </c>
      <c r="CY227">
        <f>AB227</f>
        <v>31.26</v>
      </c>
      <c r="CZ227">
        <f>AF227</f>
        <v>31.26</v>
      </c>
      <c r="DA227">
        <f>AJ227</f>
        <v>1</v>
      </c>
      <c r="DB227">
        <f t="shared" si="34"/>
        <v>10.94</v>
      </c>
      <c r="DC227">
        <f t="shared" si="35"/>
        <v>4.7300000000000004</v>
      </c>
    </row>
    <row r="228" spans="1:107" x14ac:dyDescent="0.2">
      <c r="A228">
        <f>ROW(Source!A88)</f>
        <v>88</v>
      </c>
      <c r="B228">
        <v>27935367</v>
      </c>
      <c r="C228">
        <v>27935693</v>
      </c>
      <c r="D228">
        <v>25231936</v>
      </c>
      <c r="E228">
        <v>1</v>
      </c>
      <c r="F228">
        <v>1</v>
      </c>
      <c r="G228">
        <v>1</v>
      </c>
      <c r="H228">
        <v>2</v>
      </c>
      <c r="I228" t="s">
        <v>606</v>
      </c>
      <c r="J228" t="s">
        <v>607</v>
      </c>
      <c r="K228" t="s">
        <v>608</v>
      </c>
      <c r="L228">
        <v>1368</v>
      </c>
      <c r="N228">
        <v>1011</v>
      </c>
      <c r="O228" t="s">
        <v>465</v>
      </c>
      <c r="P228" t="s">
        <v>465</v>
      </c>
      <c r="Q228">
        <v>1</v>
      </c>
      <c r="W228">
        <v>0</v>
      </c>
      <c r="X228">
        <v>-2111251057</v>
      </c>
      <c r="Y228">
        <v>1.64</v>
      </c>
      <c r="AA228">
        <v>0</v>
      </c>
      <c r="AB228">
        <v>32.5</v>
      </c>
      <c r="AC228">
        <v>0</v>
      </c>
      <c r="AD228">
        <v>0</v>
      </c>
      <c r="AE228">
        <v>0</v>
      </c>
      <c r="AF228">
        <v>32.5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1.64</v>
      </c>
      <c r="AU228" t="s">
        <v>6</v>
      </c>
      <c r="AV228">
        <v>0</v>
      </c>
      <c r="AW228">
        <v>2</v>
      </c>
      <c r="AX228">
        <v>27935702</v>
      </c>
      <c r="AY228">
        <v>1</v>
      </c>
      <c r="AZ228">
        <v>0</v>
      </c>
      <c r="BA228">
        <v>234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Y228*Source!I88</f>
        <v>0.38474399999999997</v>
      </c>
      <c r="CY228">
        <f>AB228</f>
        <v>32.5</v>
      </c>
      <c r="CZ228">
        <f>AF228</f>
        <v>32.5</v>
      </c>
      <c r="DA228">
        <f>AJ228</f>
        <v>1</v>
      </c>
      <c r="DB228">
        <f t="shared" si="34"/>
        <v>53.3</v>
      </c>
      <c r="DC228">
        <f t="shared" si="35"/>
        <v>0</v>
      </c>
    </row>
    <row r="229" spans="1:107" x14ac:dyDescent="0.2">
      <c r="A229">
        <f>ROW(Source!A88)</f>
        <v>88</v>
      </c>
      <c r="B229">
        <v>27935367</v>
      </c>
      <c r="C229">
        <v>27935693</v>
      </c>
      <c r="D229">
        <v>25232531</v>
      </c>
      <c r="E229">
        <v>1</v>
      </c>
      <c r="F229">
        <v>1</v>
      </c>
      <c r="G229">
        <v>1</v>
      </c>
      <c r="H229">
        <v>2</v>
      </c>
      <c r="I229" t="s">
        <v>609</v>
      </c>
      <c r="J229" t="s">
        <v>610</v>
      </c>
      <c r="K229" t="s">
        <v>611</v>
      </c>
      <c r="L229">
        <v>1368</v>
      </c>
      <c r="N229">
        <v>1011</v>
      </c>
      <c r="O229" t="s">
        <v>465</v>
      </c>
      <c r="P229" t="s">
        <v>465</v>
      </c>
      <c r="Q229">
        <v>1</v>
      </c>
      <c r="W229">
        <v>0</v>
      </c>
      <c r="X229">
        <v>1518765163</v>
      </c>
      <c r="Y229">
        <v>3.28</v>
      </c>
      <c r="AA229">
        <v>0</v>
      </c>
      <c r="AB229">
        <v>1.53</v>
      </c>
      <c r="AC229">
        <v>0</v>
      </c>
      <c r="AD229">
        <v>0</v>
      </c>
      <c r="AE229">
        <v>0</v>
      </c>
      <c r="AF229">
        <v>1.53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3.28</v>
      </c>
      <c r="AU229" t="s">
        <v>6</v>
      </c>
      <c r="AV229">
        <v>0</v>
      </c>
      <c r="AW229">
        <v>2</v>
      </c>
      <c r="AX229">
        <v>27935703</v>
      </c>
      <c r="AY229">
        <v>1</v>
      </c>
      <c r="AZ229">
        <v>0</v>
      </c>
      <c r="BA229">
        <v>235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Y229*Source!I88</f>
        <v>0.76948799999999995</v>
      </c>
      <c r="CY229">
        <f>AB229</f>
        <v>1.53</v>
      </c>
      <c r="CZ229">
        <f>AF229</f>
        <v>1.53</v>
      </c>
      <c r="DA229">
        <f>AJ229</f>
        <v>1</v>
      </c>
      <c r="DB229">
        <f t="shared" si="34"/>
        <v>5.0199999999999996</v>
      </c>
      <c r="DC229">
        <f t="shared" si="35"/>
        <v>0</v>
      </c>
    </row>
    <row r="230" spans="1:107" x14ac:dyDescent="0.2">
      <c r="A230">
        <f>ROW(Source!A89)</f>
        <v>89</v>
      </c>
      <c r="B230">
        <v>27935368</v>
      </c>
      <c r="C230">
        <v>27935693</v>
      </c>
      <c r="D230">
        <v>25413998</v>
      </c>
      <c r="E230">
        <v>1</v>
      </c>
      <c r="F230">
        <v>1</v>
      </c>
      <c r="G230">
        <v>1</v>
      </c>
      <c r="H230">
        <v>1</v>
      </c>
      <c r="I230" t="s">
        <v>604</v>
      </c>
      <c r="J230" t="s">
        <v>6</v>
      </c>
      <c r="K230" t="s">
        <v>605</v>
      </c>
      <c r="L230">
        <v>1191</v>
      </c>
      <c r="N230">
        <v>1013</v>
      </c>
      <c r="O230" t="s">
        <v>459</v>
      </c>
      <c r="P230" t="s">
        <v>459</v>
      </c>
      <c r="Q230">
        <v>1</v>
      </c>
      <c r="W230">
        <v>0</v>
      </c>
      <c r="X230">
        <v>152375061</v>
      </c>
      <c r="Y230">
        <v>74.3</v>
      </c>
      <c r="AA230">
        <v>0</v>
      </c>
      <c r="AB230">
        <v>0</v>
      </c>
      <c r="AC230">
        <v>0</v>
      </c>
      <c r="AD230">
        <v>48.09</v>
      </c>
      <c r="AE230">
        <v>0</v>
      </c>
      <c r="AF230">
        <v>0</v>
      </c>
      <c r="AG230">
        <v>0</v>
      </c>
      <c r="AH230">
        <v>7.87</v>
      </c>
      <c r="AI230">
        <v>1</v>
      </c>
      <c r="AJ230">
        <v>1</v>
      </c>
      <c r="AK230">
        <v>1</v>
      </c>
      <c r="AL230">
        <v>6.11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74.3</v>
      </c>
      <c r="AU230" t="s">
        <v>6</v>
      </c>
      <c r="AV230">
        <v>1</v>
      </c>
      <c r="AW230">
        <v>2</v>
      </c>
      <c r="AX230">
        <v>27935699</v>
      </c>
      <c r="AY230">
        <v>1</v>
      </c>
      <c r="AZ230">
        <v>0</v>
      </c>
      <c r="BA230">
        <v>236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Y230*Source!I89</f>
        <v>17.430779999999999</v>
      </c>
      <c r="CY230">
        <f>AD230</f>
        <v>48.09</v>
      </c>
      <c r="CZ230">
        <f>AH230</f>
        <v>7.87</v>
      </c>
      <c r="DA230">
        <f>AL230</f>
        <v>6.11</v>
      </c>
      <c r="DB230">
        <f t="shared" si="34"/>
        <v>584.74</v>
      </c>
      <c r="DC230">
        <f t="shared" si="35"/>
        <v>0</v>
      </c>
    </row>
    <row r="231" spans="1:107" x14ac:dyDescent="0.2">
      <c r="A231">
        <f>ROW(Source!A89)</f>
        <v>89</v>
      </c>
      <c r="B231">
        <v>27935368</v>
      </c>
      <c r="C231">
        <v>27935693</v>
      </c>
      <c r="D231">
        <v>25412928</v>
      </c>
      <c r="E231">
        <v>1</v>
      </c>
      <c r="F231">
        <v>1</v>
      </c>
      <c r="G231">
        <v>1</v>
      </c>
      <c r="H231">
        <v>1</v>
      </c>
      <c r="I231" t="s">
        <v>460</v>
      </c>
      <c r="J231" t="s">
        <v>6</v>
      </c>
      <c r="K231" t="s">
        <v>461</v>
      </c>
      <c r="L231">
        <v>1191</v>
      </c>
      <c r="N231">
        <v>1013</v>
      </c>
      <c r="O231" t="s">
        <v>459</v>
      </c>
      <c r="P231" t="s">
        <v>459</v>
      </c>
      <c r="Q231">
        <v>1</v>
      </c>
      <c r="W231">
        <v>0</v>
      </c>
      <c r="X231">
        <v>-1417349443</v>
      </c>
      <c r="Y231">
        <v>0.35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6.11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0.35</v>
      </c>
      <c r="AU231" t="s">
        <v>6</v>
      </c>
      <c r="AV231">
        <v>2</v>
      </c>
      <c r="AW231">
        <v>2</v>
      </c>
      <c r="AX231">
        <v>27935700</v>
      </c>
      <c r="AY231">
        <v>1</v>
      </c>
      <c r="AZ231">
        <v>0</v>
      </c>
      <c r="BA231">
        <v>237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Y231*Source!I89</f>
        <v>8.2110000000000002E-2</v>
      </c>
      <c r="CY231">
        <f>AD231</f>
        <v>0</v>
      </c>
      <c r="CZ231">
        <f>AH231</f>
        <v>0</v>
      </c>
      <c r="DA231">
        <f>AL231</f>
        <v>1</v>
      </c>
      <c r="DB231">
        <f t="shared" si="34"/>
        <v>0</v>
      </c>
      <c r="DC231">
        <f t="shared" si="35"/>
        <v>0</v>
      </c>
    </row>
    <row r="232" spans="1:107" x14ac:dyDescent="0.2">
      <c r="A232">
        <f>ROW(Source!A89)</f>
        <v>89</v>
      </c>
      <c r="B232">
        <v>27935368</v>
      </c>
      <c r="C232">
        <v>27935693</v>
      </c>
      <c r="D232">
        <v>25230514</v>
      </c>
      <c r="E232">
        <v>1</v>
      </c>
      <c r="F232">
        <v>1</v>
      </c>
      <c r="G232">
        <v>1</v>
      </c>
      <c r="H232">
        <v>2</v>
      </c>
      <c r="I232" t="s">
        <v>462</v>
      </c>
      <c r="J232" t="s">
        <v>463</v>
      </c>
      <c r="K232" t="s">
        <v>464</v>
      </c>
      <c r="L232">
        <v>1368</v>
      </c>
      <c r="N232">
        <v>1011</v>
      </c>
      <c r="O232" t="s">
        <v>465</v>
      </c>
      <c r="P232" t="s">
        <v>465</v>
      </c>
      <c r="Q232">
        <v>1</v>
      </c>
      <c r="W232">
        <v>0</v>
      </c>
      <c r="X232">
        <v>1188625873</v>
      </c>
      <c r="Y232">
        <v>0.35</v>
      </c>
      <c r="AA232">
        <v>0</v>
      </c>
      <c r="AB232">
        <v>191</v>
      </c>
      <c r="AC232">
        <v>13.5</v>
      </c>
      <c r="AD232">
        <v>0</v>
      </c>
      <c r="AE232">
        <v>0</v>
      </c>
      <c r="AF232">
        <v>31.26</v>
      </c>
      <c r="AG232">
        <v>13.5</v>
      </c>
      <c r="AH232">
        <v>0</v>
      </c>
      <c r="AI232">
        <v>1</v>
      </c>
      <c r="AJ232">
        <v>6.11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0.35</v>
      </c>
      <c r="AU232" t="s">
        <v>6</v>
      </c>
      <c r="AV232">
        <v>0</v>
      </c>
      <c r="AW232">
        <v>2</v>
      </c>
      <c r="AX232">
        <v>27935701</v>
      </c>
      <c r="AY232">
        <v>1</v>
      </c>
      <c r="AZ232">
        <v>0</v>
      </c>
      <c r="BA232">
        <v>238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Y232*Source!I89</f>
        <v>8.2110000000000002E-2</v>
      </c>
      <c r="CY232">
        <f>AB232</f>
        <v>191</v>
      </c>
      <c r="CZ232">
        <f>AF232</f>
        <v>31.26</v>
      </c>
      <c r="DA232">
        <f>AJ232</f>
        <v>6.11</v>
      </c>
      <c r="DB232">
        <f t="shared" si="34"/>
        <v>10.94</v>
      </c>
      <c r="DC232">
        <f t="shared" si="35"/>
        <v>4.7300000000000004</v>
      </c>
    </row>
    <row r="233" spans="1:107" x14ac:dyDescent="0.2">
      <c r="A233">
        <f>ROW(Source!A89)</f>
        <v>89</v>
      </c>
      <c r="B233">
        <v>27935368</v>
      </c>
      <c r="C233">
        <v>27935693</v>
      </c>
      <c r="D233">
        <v>25231936</v>
      </c>
      <c r="E233">
        <v>1</v>
      </c>
      <c r="F233">
        <v>1</v>
      </c>
      <c r="G233">
        <v>1</v>
      </c>
      <c r="H233">
        <v>2</v>
      </c>
      <c r="I233" t="s">
        <v>606</v>
      </c>
      <c r="J233" t="s">
        <v>607</v>
      </c>
      <c r="K233" t="s">
        <v>608</v>
      </c>
      <c r="L233">
        <v>1368</v>
      </c>
      <c r="N233">
        <v>1011</v>
      </c>
      <c r="O233" t="s">
        <v>465</v>
      </c>
      <c r="P233" t="s">
        <v>465</v>
      </c>
      <c r="Q233">
        <v>1</v>
      </c>
      <c r="W233">
        <v>0</v>
      </c>
      <c r="X233">
        <v>-2111251057</v>
      </c>
      <c r="Y233">
        <v>1.64</v>
      </c>
      <c r="AA233">
        <v>0</v>
      </c>
      <c r="AB233">
        <v>198.58</v>
      </c>
      <c r="AC233">
        <v>0</v>
      </c>
      <c r="AD233">
        <v>0</v>
      </c>
      <c r="AE233">
        <v>0</v>
      </c>
      <c r="AF233">
        <v>32.5</v>
      </c>
      <c r="AG233">
        <v>0</v>
      </c>
      <c r="AH233">
        <v>0</v>
      </c>
      <c r="AI233">
        <v>1</v>
      </c>
      <c r="AJ233">
        <v>6.11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1.64</v>
      </c>
      <c r="AU233" t="s">
        <v>6</v>
      </c>
      <c r="AV233">
        <v>0</v>
      </c>
      <c r="AW233">
        <v>2</v>
      </c>
      <c r="AX233">
        <v>27935702</v>
      </c>
      <c r="AY233">
        <v>1</v>
      </c>
      <c r="AZ233">
        <v>0</v>
      </c>
      <c r="BA233">
        <v>239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Y233*Source!I89</f>
        <v>0.38474399999999997</v>
      </c>
      <c r="CY233">
        <f>AB233</f>
        <v>198.58</v>
      </c>
      <c r="CZ233">
        <f>AF233</f>
        <v>32.5</v>
      </c>
      <c r="DA233">
        <f>AJ233</f>
        <v>6.11</v>
      </c>
      <c r="DB233">
        <f t="shared" si="34"/>
        <v>53.3</v>
      </c>
      <c r="DC233">
        <f t="shared" si="35"/>
        <v>0</v>
      </c>
    </row>
    <row r="234" spans="1:107" x14ac:dyDescent="0.2">
      <c r="A234">
        <f>ROW(Source!A89)</f>
        <v>89</v>
      </c>
      <c r="B234">
        <v>27935368</v>
      </c>
      <c r="C234">
        <v>27935693</v>
      </c>
      <c r="D234">
        <v>25232531</v>
      </c>
      <c r="E234">
        <v>1</v>
      </c>
      <c r="F234">
        <v>1</v>
      </c>
      <c r="G234">
        <v>1</v>
      </c>
      <c r="H234">
        <v>2</v>
      </c>
      <c r="I234" t="s">
        <v>609</v>
      </c>
      <c r="J234" t="s">
        <v>610</v>
      </c>
      <c r="K234" t="s">
        <v>611</v>
      </c>
      <c r="L234">
        <v>1368</v>
      </c>
      <c r="N234">
        <v>1011</v>
      </c>
      <c r="O234" t="s">
        <v>465</v>
      </c>
      <c r="P234" t="s">
        <v>465</v>
      </c>
      <c r="Q234">
        <v>1</v>
      </c>
      <c r="W234">
        <v>0</v>
      </c>
      <c r="X234">
        <v>1518765163</v>
      </c>
      <c r="Y234">
        <v>3.28</v>
      </c>
      <c r="AA234">
        <v>0</v>
      </c>
      <c r="AB234">
        <v>9.35</v>
      </c>
      <c r="AC234">
        <v>0</v>
      </c>
      <c r="AD234">
        <v>0</v>
      </c>
      <c r="AE234">
        <v>0</v>
      </c>
      <c r="AF234">
        <v>1.53</v>
      </c>
      <c r="AG234">
        <v>0</v>
      </c>
      <c r="AH234">
        <v>0</v>
      </c>
      <c r="AI234">
        <v>1</v>
      </c>
      <c r="AJ234">
        <v>6.11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3.28</v>
      </c>
      <c r="AU234" t="s">
        <v>6</v>
      </c>
      <c r="AV234">
        <v>0</v>
      </c>
      <c r="AW234">
        <v>2</v>
      </c>
      <c r="AX234">
        <v>27935703</v>
      </c>
      <c r="AY234">
        <v>1</v>
      </c>
      <c r="AZ234">
        <v>0</v>
      </c>
      <c r="BA234">
        <v>240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Y234*Source!I89</f>
        <v>0.76948799999999995</v>
      </c>
      <c r="CY234">
        <f>AB234</f>
        <v>9.35</v>
      </c>
      <c r="CZ234">
        <f>AF234</f>
        <v>1.53</v>
      </c>
      <c r="DA234">
        <f>AJ234</f>
        <v>6.11</v>
      </c>
      <c r="DB234">
        <f t="shared" si="34"/>
        <v>5.0199999999999996</v>
      </c>
      <c r="DC234">
        <f t="shared" si="35"/>
        <v>0</v>
      </c>
    </row>
    <row r="235" spans="1:107" x14ac:dyDescent="0.2">
      <c r="A235">
        <f>ROW(Source!A90)</f>
        <v>90</v>
      </c>
      <c r="B235">
        <v>27935367</v>
      </c>
      <c r="C235">
        <v>27935704</v>
      </c>
      <c r="D235">
        <v>25420819</v>
      </c>
      <c r="E235">
        <v>1</v>
      </c>
      <c r="F235">
        <v>1</v>
      </c>
      <c r="G235">
        <v>1</v>
      </c>
      <c r="H235">
        <v>1</v>
      </c>
      <c r="I235" t="s">
        <v>493</v>
      </c>
      <c r="J235" t="s">
        <v>6</v>
      </c>
      <c r="K235" t="s">
        <v>494</v>
      </c>
      <c r="L235">
        <v>1191</v>
      </c>
      <c r="N235">
        <v>1013</v>
      </c>
      <c r="O235" t="s">
        <v>459</v>
      </c>
      <c r="P235" t="s">
        <v>459</v>
      </c>
      <c r="Q235">
        <v>1</v>
      </c>
      <c r="W235">
        <v>0</v>
      </c>
      <c r="X235">
        <v>-1027537862</v>
      </c>
      <c r="Y235">
        <v>183.62049999999996</v>
      </c>
      <c r="AA235">
        <v>0</v>
      </c>
      <c r="AB235">
        <v>0</v>
      </c>
      <c r="AC235">
        <v>0</v>
      </c>
      <c r="AD235">
        <v>9.18</v>
      </c>
      <c r="AE235">
        <v>0</v>
      </c>
      <c r="AF235">
        <v>0</v>
      </c>
      <c r="AG235">
        <v>0</v>
      </c>
      <c r="AH235">
        <v>9.18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159.66999999999999</v>
      </c>
      <c r="AU235" t="s">
        <v>28</v>
      </c>
      <c r="AV235">
        <v>1</v>
      </c>
      <c r="AW235">
        <v>2</v>
      </c>
      <c r="AX235">
        <v>27935715</v>
      </c>
      <c r="AY235">
        <v>1</v>
      </c>
      <c r="AZ235">
        <v>0</v>
      </c>
      <c r="BA235">
        <v>241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Y235*Source!I90</f>
        <v>43.077369299999994</v>
      </c>
      <c r="CY235">
        <f>AD235</f>
        <v>9.18</v>
      </c>
      <c r="CZ235">
        <f>AH235</f>
        <v>9.18</v>
      </c>
      <c r="DA235">
        <f>AL235</f>
        <v>1</v>
      </c>
      <c r="DB235">
        <f>ROUND((ROUND(AT235*CZ235,2)*1.15),2)</f>
        <v>1685.64</v>
      </c>
      <c r="DC235">
        <f>ROUND((ROUND(AT235*AG235,2)*1.15),2)</f>
        <v>0</v>
      </c>
    </row>
    <row r="236" spans="1:107" x14ac:dyDescent="0.2">
      <c r="A236">
        <f>ROW(Source!A90)</f>
        <v>90</v>
      </c>
      <c r="B236">
        <v>27935367</v>
      </c>
      <c r="C236">
        <v>27935704</v>
      </c>
      <c r="D236">
        <v>25412928</v>
      </c>
      <c r="E236">
        <v>1</v>
      </c>
      <c r="F236">
        <v>1</v>
      </c>
      <c r="G236">
        <v>1</v>
      </c>
      <c r="H236">
        <v>1</v>
      </c>
      <c r="I236" t="s">
        <v>460</v>
      </c>
      <c r="J236" t="s">
        <v>6</v>
      </c>
      <c r="K236" t="s">
        <v>461</v>
      </c>
      <c r="L236">
        <v>1191</v>
      </c>
      <c r="N236">
        <v>1013</v>
      </c>
      <c r="O236" t="s">
        <v>459</v>
      </c>
      <c r="P236" t="s">
        <v>459</v>
      </c>
      <c r="Q236">
        <v>1</v>
      </c>
      <c r="W236">
        <v>0</v>
      </c>
      <c r="X236">
        <v>-1417349443</v>
      </c>
      <c r="Y236">
        <v>1.65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1.65</v>
      </c>
      <c r="AU236" t="s">
        <v>6</v>
      </c>
      <c r="AV236">
        <v>2</v>
      </c>
      <c r="AW236">
        <v>2</v>
      </c>
      <c r="AX236">
        <v>27935716</v>
      </c>
      <c r="AY236">
        <v>1</v>
      </c>
      <c r="AZ236">
        <v>2048</v>
      </c>
      <c r="BA236">
        <v>242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Y236*Source!I90</f>
        <v>0.38708999999999999</v>
      </c>
      <c r="CY236">
        <f>AD236</f>
        <v>0</v>
      </c>
      <c r="CZ236">
        <f>AH236</f>
        <v>0</v>
      </c>
      <c r="DA236">
        <f>AL236</f>
        <v>1</v>
      </c>
      <c r="DB236">
        <f>ROUND(ROUND(AT236*CZ236,2),2)</f>
        <v>0</v>
      </c>
      <c r="DC236">
        <f>ROUND(ROUND(AT236*AG236,2),2)</f>
        <v>0</v>
      </c>
    </row>
    <row r="237" spans="1:107" x14ac:dyDescent="0.2">
      <c r="A237">
        <f>ROW(Source!A90)</f>
        <v>90</v>
      </c>
      <c r="B237">
        <v>27935367</v>
      </c>
      <c r="C237">
        <v>27935704</v>
      </c>
      <c r="D237">
        <v>25230445</v>
      </c>
      <c r="E237">
        <v>1</v>
      </c>
      <c r="F237">
        <v>1</v>
      </c>
      <c r="G237">
        <v>1</v>
      </c>
      <c r="H237">
        <v>2</v>
      </c>
      <c r="I237" t="s">
        <v>612</v>
      </c>
      <c r="J237" t="s">
        <v>613</v>
      </c>
      <c r="K237" t="s">
        <v>614</v>
      </c>
      <c r="L237">
        <v>1368</v>
      </c>
      <c r="N237">
        <v>1011</v>
      </c>
      <c r="O237" t="s">
        <v>465</v>
      </c>
      <c r="P237" t="s">
        <v>465</v>
      </c>
      <c r="Q237">
        <v>1</v>
      </c>
      <c r="W237">
        <v>0</v>
      </c>
      <c r="X237">
        <v>1225731627</v>
      </c>
      <c r="Y237">
        <v>0.1</v>
      </c>
      <c r="AA237">
        <v>0</v>
      </c>
      <c r="AB237">
        <v>89.99</v>
      </c>
      <c r="AC237">
        <v>10.06</v>
      </c>
      <c r="AD237">
        <v>0</v>
      </c>
      <c r="AE237">
        <v>0</v>
      </c>
      <c r="AF237">
        <v>89.99</v>
      </c>
      <c r="AG237">
        <v>10.06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0.08</v>
      </c>
      <c r="AU237" t="s">
        <v>27</v>
      </c>
      <c r="AV237">
        <v>0</v>
      </c>
      <c r="AW237">
        <v>2</v>
      </c>
      <c r="AX237">
        <v>27935717</v>
      </c>
      <c r="AY237">
        <v>1</v>
      </c>
      <c r="AZ237">
        <v>0</v>
      </c>
      <c r="BA237">
        <v>243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Y237*Source!I90</f>
        <v>2.3460000000000002E-2</v>
      </c>
      <c r="CY237">
        <f>AB237</f>
        <v>89.99</v>
      </c>
      <c r="CZ237">
        <f>AF237</f>
        <v>89.99</v>
      </c>
      <c r="DA237">
        <f>AJ237</f>
        <v>1</v>
      </c>
      <c r="DB237">
        <f>ROUND((ROUND(AT237*CZ237,2)*1.25),2)</f>
        <v>9</v>
      </c>
      <c r="DC237">
        <f>ROUND((ROUND(AT237*AG237,2)*1.25),2)</f>
        <v>1</v>
      </c>
    </row>
    <row r="238" spans="1:107" x14ac:dyDescent="0.2">
      <c r="A238">
        <f>ROW(Source!A90)</f>
        <v>90</v>
      </c>
      <c r="B238">
        <v>27935367</v>
      </c>
      <c r="C238">
        <v>27935704</v>
      </c>
      <c r="D238">
        <v>25230514</v>
      </c>
      <c r="E238">
        <v>1</v>
      </c>
      <c r="F238">
        <v>1</v>
      </c>
      <c r="G238">
        <v>1</v>
      </c>
      <c r="H238">
        <v>2</v>
      </c>
      <c r="I238" t="s">
        <v>462</v>
      </c>
      <c r="J238" t="s">
        <v>463</v>
      </c>
      <c r="K238" t="s">
        <v>464</v>
      </c>
      <c r="L238">
        <v>1368</v>
      </c>
      <c r="N238">
        <v>1011</v>
      </c>
      <c r="O238" t="s">
        <v>465</v>
      </c>
      <c r="P238" t="s">
        <v>465</v>
      </c>
      <c r="Q238">
        <v>1</v>
      </c>
      <c r="W238">
        <v>0</v>
      </c>
      <c r="X238">
        <v>1188625873</v>
      </c>
      <c r="Y238">
        <v>0.33750000000000002</v>
      </c>
      <c r="AA238">
        <v>0</v>
      </c>
      <c r="AB238">
        <v>31.26</v>
      </c>
      <c r="AC238">
        <v>13.5</v>
      </c>
      <c r="AD238">
        <v>0</v>
      </c>
      <c r="AE238">
        <v>0</v>
      </c>
      <c r="AF238">
        <v>31.26</v>
      </c>
      <c r="AG238">
        <v>13.5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0.27</v>
      </c>
      <c r="AU238" t="s">
        <v>27</v>
      </c>
      <c r="AV238">
        <v>0</v>
      </c>
      <c r="AW238">
        <v>2</v>
      </c>
      <c r="AX238">
        <v>27935718</v>
      </c>
      <c r="AY238">
        <v>1</v>
      </c>
      <c r="AZ238">
        <v>0</v>
      </c>
      <c r="BA238">
        <v>244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Y238*Source!I90</f>
        <v>7.9177500000000012E-2</v>
      </c>
      <c r="CY238">
        <f>AB238</f>
        <v>31.26</v>
      </c>
      <c r="CZ238">
        <f>AF238</f>
        <v>31.26</v>
      </c>
      <c r="DA238">
        <f>AJ238</f>
        <v>1</v>
      </c>
      <c r="DB238">
        <f>ROUND((ROUND(AT238*CZ238,2)*1.25),2)</f>
        <v>10.55</v>
      </c>
      <c r="DC238">
        <f>ROUND((ROUND(AT238*AG238,2)*1.25),2)</f>
        <v>4.5599999999999996</v>
      </c>
    </row>
    <row r="239" spans="1:107" x14ac:dyDescent="0.2">
      <c r="A239">
        <f>ROW(Source!A90)</f>
        <v>90</v>
      </c>
      <c r="B239">
        <v>27935367</v>
      </c>
      <c r="C239">
        <v>27935704</v>
      </c>
      <c r="D239">
        <v>25230679</v>
      </c>
      <c r="E239">
        <v>1</v>
      </c>
      <c r="F239">
        <v>1</v>
      </c>
      <c r="G239">
        <v>1</v>
      </c>
      <c r="H239">
        <v>2</v>
      </c>
      <c r="I239" t="s">
        <v>573</v>
      </c>
      <c r="J239" t="s">
        <v>574</v>
      </c>
      <c r="K239" t="s">
        <v>575</v>
      </c>
      <c r="L239">
        <v>1368</v>
      </c>
      <c r="N239">
        <v>1011</v>
      </c>
      <c r="O239" t="s">
        <v>465</v>
      </c>
      <c r="P239" t="s">
        <v>465</v>
      </c>
      <c r="Q239">
        <v>1</v>
      </c>
      <c r="W239">
        <v>0</v>
      </c>
      <c r="X239">
        <v>983187852</v>
      </c>
      <c r="Y239">
        <v>1.625</v>
      </c>
      <c r="AA239">
        <v>0</v>
      </c>
      <c r="AB239">
        <v>12.39</v>
      </c>
      <c r="AC239">
        <v>10.06</v>
      </c>
      <c r="AD239">
        <v>0</v>
      </c>
      <c r="AE239">
        <v>0</v>
      </c>
      <c r="AF239">
        <v>12.39</v>
      </c>
      <c r="AG239">
        <v>10.06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1.3</v>
      </c>
      <c r="AU239" t="s">
        <v>27</v>
      </c>
      <c r="AV239">
        <v>0</v>
      </c>
      <c r="AW239">
        <v>2</v>
      </c>
      <c r="AX239">
        <v>27935719</v>
      </c>
      <c r="AY239">
        <v>1</v>
      </c>
      <c r="AZ239">
        <v>0</v>
      </c>
      <c r="BA239">
        <v>245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Y239*Source!I90</f>
        <v>0.38122499999999998</v>
      </c>
      <c r="CY239">
        <f>AB239</f>
        <v>12.39</v>
      </c>
      <c r="CZ239">
        <f>AF239</f>
        <v>12.39</v>
      </c>
      <c r="DA239">
        <f>AJ239</f>
        <v>1</v>
      </c>
      <c r="DB239">
        <f>ROUND((ROUND(AT239*CZ239,2)*1.25),2)</f>
        <v>20.14</v>
      </c>
      <c r="DC239">
        <f>ROUND((ROUND(AT239*AG239,2)*1.25),2)</f>
        <v>16.350000000000001</v>
      </c>
    </row>
    <row r="240" spans="1:107" x14ac:dyDescent="0.2">
      <c r="A240">
        <f>ROW(Source!A90)</f>
        <v>90</v>
      </c>
      <c r="B240">
        <v>27935367</v>
      </c>
      <c r="C240">
        <v>27935704</v>
      </c>
      <c r="D240">
        <v>25149961</v>
      </c>
      <c r="E240">
        <v>1</v>
      </c>
      <c r="F240">
        <v>1</v>
      </c>
      <c r="G240">
        <v>1</v>
      </c>
      <c r="H240">
        <v>3</v>
      </c>
      <c r="I240" t="s">
        <v>558</v>
      </c>
      <c r="J240" t="s">
        <v>559</v>
      </c>
      <c r="K240" t="s">
        <v>560</v>
      </c>
      <c r="L240">
        <v>1339</v>
      </c>
      <c r="N240">
        <v>1007</v>
      </c>
      <c r="O240" t="s">
        <v>133</v>
      </c>
      <c r="P240" t="s">
        <v>133</v>
      </c>
      <c r="Q240">
        <v>1</v>
      </c>
      <c r="W240">
        <v>0</v>
      </c>
      <c r="X240">
        <v>-1660354250</v>
      </c>
      <c r="Y240">
        <v>0.93</v>
      </c>
      <c r="AA240">
        <v>2.44</v>
      </c>
      <c r="AB240">
        <v>0</v>
      </c>
      <c r="AC240">
        <v>0</v>
      </c>
      <c r="AD240">
        <v>0</v>
      </c>
      <c r="AE240">
        <v>2.44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0.93</v>
      </c>
      <c r="AU240" t="s">
        <v>6</v>
      </c>
      <c r="AV240">
        <v>0</v>
      </c>
      <c r="AW240">
        <v>2</v>
      </c>
      <c r="AX240">
        <v>27935720</v>
      </c>
      <c r="AY240">
        <v>1</v>
      </c>
      <c r="AZ240">
        <v>0</v>
      </c>
      <c r="BA240">
        <v>246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Y240*Source!I90</f>
        <v>0.21817800000000001</v>
      </c>
      <c r="CY240">
        <f>AA240</f>
        <v>2.44</v>
      </c>
      <c r="CZ240">
        <f>AE240</f>
        <v>2.44</v>
      </c>
      <c r="DA240">
        <f>AI240</f>
        <v>1</v>
      </c>
      <c r="DB240">
        <f>ROUND(ROUND(AT240*CZ240,2),2)</f>
        <v>2.27</v>
      </c>
      <c r="DC240">
        <f>ROUND(ROUND(AT240*AG240,2),2)</f>
        <v>0</v>
      </c>
    </row>
    <row r="241" spans="1:107" x14ac:dyDescent="0.2">
      <c r="A241">
        <f>ROW(Source!A90)</f>
        <v>90</v>
      </c>
      <c r="B241">
        <v>27935367</v>
      </c>
      <c r="C241">
        <v>27935704</v>
      </c>
      <c r="D241">
        <v>25153690</v>
      </c>
      <c r="E241">
        <v>1</v>
      </c>
      <c r="F241">
        <v>1</v>
      </c>
      <c r="G241">
        <v>1</v>
      </c>
      <c r="H241">
        <v>3</v>
      </c>
      <c r="I241" t="s">
        <v>495</v>
      </c>
      <c r="J241" t="s">
        <v>496</v>
      </c>
      <c r="K241" t="s">
        <v>497</v>
      </c>
      <c r="L241">
        <v>1346</v>
      </c>
      <c r="N241">
        <v>1009</v>
      </c>
      <c r="O241" t="s">
        <v>60</v>
      </c>
      <c r="P241" t="s">
        <v>60</v>
      </c>
      <c r="Q241">
        <v>1</v>
      </c>
      <c r="W241">
        <v>0</v>
      </c>
      <c r="X241">
        <v>813963326</v>
      </c>
      <c r="Y241">
        <v>0.5</v>
      </c>
      <c r="AA241">
        <v>1.82</v>
      </c>
      <c r="AB241">
        <v>0</v>
      </c>
      <c r="AC241">
        <v>0</v>
      </c>
      <c r="AD241">
        <v>0</v>
      </c>
      <c r="AE241">
        <v>1.82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0.5</v>
      </c>
      <c r="AU241" t="s">
        <v>6</v>
      </c>
      <c r="AV241">
        <v>0</v>
      </c>
      <c r="AW241">
        <v>2</v>
      </c>
      <c r="AX241">
        <v>27935721</v>
      </c>
      <c r="AY241">
        <v>1</v>
      </c>
      <c r="AZ241">
        <v>0</v>
      </c>
      <c r="BA241">
        <v>247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Y241*Source!I90</f>
        <v>0.1173</v>
      </c>
      <c r="CY241">
        <f>AA241</f>
        <v>1.82</v>
      </c>
      <c r="CZ241">
        <f>AE241</f>
        <v>1.82</v>
      </c>
      <c r="DA241">
        <f>AI241</f>
        <v>1</v>
      </c>
      <c r="DB241">
        <f>ROUND(ROUND(AT241*CZ241,2),2)</f>
        <v>0.91</v>
      </c>
      <c r="DC241">
        <f>ROUND(ROUND(AT241*AG241,2),2)</f>
        <v>0</v>
      </c>
    </row>
    <row r="242" spans="1:107" x14ac:dyDescent="0.2">
      <c r="A242">
        <f>ROW(Source!A90)</f>
        <v>90</v>
      </c>
      <c r="B242">
        <v>27935367</v>
      </c>
      <c r="C242">
        <v>27935704</v>
      </c>
      <c r="D242">
        <v>25155760</v>
      </c>
      <c r="E242">
        <v>1</v>
      </c>
      <c r="F242">
        <v>1</v>
      </c>
      <c r="G242">
        <v>1</v>
      </c>
      <c r="H242">
        <v>3</v>
      </c>
      <c r="I242" t="s">
        <v>186</v>
      </c>
      <c r="J242" t="s">
        <v>188</v>
      </c>
      <c r="K242" t="s">
        <v>187</v>
      </c>
      <c r="L242">
        <v>1348</v>
      </c>
      <c r="N242">
        <v>1009</v>
      </c>
      <c r="O242" t="s">
        <v>65</v>
      </c>
      <c r="P242" t="s">
        <v>65</v>
      </c>
      <c r="Q242">
        <v>1000</v>
      </c>
      <c r="W242">
        <v>0</v>
      </c>
      <c r="X242">
        <v>-195795605</v>
      </c>
      <c r="Y242">
        <v>0.05</v>
      </c>
      <c r="AA242">
        <v>9000</v>
      </c>
      <c r="AB242">
        <v>0</v>
      </c>
      <c r="AC242">
        <v>0</v>
      </c>
      <c r="AD242">
        <v>0</v>
      </c>
      <c r="AE242">
        <v>9000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6</v>
      </c>
      <c r="AT242">
        <v>0.05</v>
      </c>
      <c r="AU242" t="s">
        <v>6</v>
      </c>
      <c r="AV242">
        <v>0</v>
      </c>
      <c r="AW242">
        <v>1</v>
      </c>
      <c r="AX242">
        <v>-1</v>
      </c>
      <c r="AY242">
        <v>0</v>
      </c>
      <c r="AZ242">
        <v>0</v>
      </c>
      <c r="BA242" t="s">
        <v>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Y242*Source!I90</f>
        <v>1.1730000000000001E-2</v>
      </c>
      <c r="CY242">
        <f>AA242</f>
        <v>9000</v>
      </c>
      <c r="CZ242">
        <f>AE242</f>
        <v>9000</v>
      </c>
      <c r="DA242">
        <f>AI242</f>
        <v>1</v>
      </c>
      <c r="DB242">
        <f>ROUND(ROUND(AT242*CZ242,2),2)</f>
        <v>450</v>
      </c>
      <c r="DC242">
        <f>ROUND(ROUND(AT242*AG242,2),2)</f>
        <v>0</v>
      </c>
    </row>
    <row r="243" spans="1:107" x14ac:dyDescent="0.2">
      <c r="A243">
        <f>ROW(Source!A90)</f>
        <v>90</v>
      </c>
      <c r="B243">
        <v>27935367</v>
      </c>
      <c r="C243">
        <v>27935704</v>
      </c>
      <c r="D243">
        <v>25169659</v>
      </c>
      <c r="E243">
        <v>1</v>
      </c>
      <c r="F243">
        <v>1</v>
      </c>
      <c r="G243">
        <v>1</v>
      </c>
      <c r="H243">
        <v>3</v>
      </c>
      <c r="I243" t="s">
        <v>190</v>
      </c>
      <c r="J243" t="s">
        <v>192</v>
      </c>
      <c r="K243" t="s">
        <v>191</v>
      </c>
      <c r="L243">
        <v>1327</v>
      </c>
      <c r="N243">
        <v>1005</v>
      </c>
      <c r="O243" t="s">
        <v>35</v>
      </c>
      <c r="P243" t="s">
        <v>35</v>
      </c>
      <c r="Q243">
        <v>1</v>
      </c>
      <c r="W243">
        <v>0</v>
      </c>
      <c r="X243">
        <v>797365537</v>
      </c>
      <c r="Y243">
        <v>100</v>
      </c>
      <c r="AA243">
        <v>85.71</v>
      </c>
      <c r="AB243">
        <v>0</v>
      </c>
      <c r="AC243">
        <v>0</v>
      </c>
      <c r="AD243">
        <v>0</v>
      </c>
      <c r="AE243">
        <v>85.71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6</v>
      </c>
      <c r="AT243">
        <v>100</v>
      </c>
      <c r="AU243" t="s">
        <v>6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Y243*Source!I90</f>
        <v>23.46</v>
      </c>
      <c r="CY243">
        <f>AA243</f>
        <v>85.71</v>
      </c>
      <c r="CZ243">
        <f>AE243</f>
        <v>85.71</v>
      </c>
      <c r="DA243">
        <f>AI243</f>
        <v>1</v>
      </c>
      <c r="DB243">
        <f>ROUND(ROUND(AT243*CZ243,2),2)</f>
        <v>8571</v>
      </c>
      <c r="DC243">
        <f>ROUND(ROUND(AT243*AG243,2),2)</f>
        <v>0</v>
      </c>
    </row>
    <row r="244" spans="1:107" x14ac:dyDescent="0.2">
      <c r="A244">
        <f>ROW(Source!A90)</f>
        <v>90</v>
      </c>
      <c r="B244">
        <v>27935367</v>
      </c>
      <c r="C244">
        <v>27935704</v>
      </c>
      <c r="D244">
        <v>25185189</v>
      </c>
      <c r="E244">
        <v>1</v>
      </c>
      <c r="F244">
        <v>1</v>
      </c>
      <c r="G244">
        <v>1</v>
      </c>
      <c r="H244">
        <v>3</v>
      </c>
      <c r="I244" t="s">
        <v>194</v>
      </c>
      <c r="J244" t="s">
        <v>196</v>
      </c>
      <c r="K244" t="s">
        <v>195</v>
      </c>
      <c r="L244">
        <v>1348</v>
      </c>
      <c r="N244">
        <v>1009</v>
      </c>
      <c r="O244" t="s">
        <v>65</v>
      </c>
      <c r="P244" t="s">
        <v>65</v>
      </c>
      <c r="Q244">
        <v>1000</v>
      </c>
      <c r="W244">
        <v>0</v>
      </c>
      <c r="X244">
        <v>824424713</v>
      </c>
      <c r="Y244">
        <v>0.375</v>
      </c>
      <c r="AA244">
        <v>2919.43</v>
      </c>
      <c r="AB244">
        <v>0</v>
      </c>
      <c r="AC244">
        <v>0</v>
      </c>
      <c r="AD244">
        <v>0</v>
      </c>
      <c r="AE244">
        <v>2919.43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6</v>
      </c>
      <c r="AT244">
        <v>0.375</v>
      </c>
      <c r="AU244" t="s">
        <v>6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Y244*Source!I90</f>
        <v>8.7974999999999998E-2</v>
      </c>
      <c r="CY244">
        <f>AA244</f>
        <v>2919.43</v>
      </c>
      <c r="CZ244">
        <f>AE244</f>
        <v>2919.43</v>
      </c>
      <c r="DA244">
        <f>AI244</f>
        <v>1</v>
      </c>
      <c r="DB244">
        <f>ROUND(ROUND(AT244*CZ244,2),2)</f>
        <v>1094.79</v>
      </c>
      <c r="DC244">
        <f>ROUND(ROUND(AT244*AG244,2),2)</f>
        <v>0</v>
      </c>
    </row>
    <row r="245" spans="1:107" x14ac:dyDescent="0.2">
      <c r="A245">
        <f>ROW(Source!A91)</f>
        <v>91</v>
      </c>
      <c r="B245">
        <v>27935368</v>
      </c>
      <c r="C245">
        <v>27935704</v>
      </c>
      <c r="D245">
        <v>25420819</v>
      </c>
      <c r="E245">
        <v>1</v>
      </c>
      <c r="F245">
        <v>1</v>
      </c>
      <c r="G245">
        <v>1</v>
      </c>
      <c r="H245">
        <v>1</v>
      </c>
      <c r="I245" t="s">
        <v>493</v>
      </c>
      <c r="J245" t="s">
        <v>6</v>
      </c>
      <c r="K245" t="s">
        <v>494</v>
      </c>
      <c r="L245">
        <v>1191</v>
      </c>
      <c r="N245">
        <v>1013</v>
      </c>
      <c r="O245" t="s">
        <v>459</v>
      </c>
      <c r="P245" t="s">
        <v>459</v>
      </c>
      <c r="Q245">
        <v>1</v>
      </c>
      <c r="W245">
        <v>0</v>
      </c>
      <c r="X245">
        <v>-1027537862</v>
      </c>
      <c r="Y245">
        <v>183.62049999999996</v>
      </c>
      <c r="AA245">
        <v>0</v>
      </c>
      <c r="AB245">
        <v>0</v>
      </c>
      <c r="AC245">
        <v>0</v>
      </c>
      <c r="AD245">
        <v>56.09</v>
      </c>
      <c r="AE245">
        <v>0</v>
      </c>
      <c r="AF245">
        <v>0</v>
      </c>
      <c r="AG245">
        <v>0</v>
      </c>
      <c r="AH245">
        <v>9.18</v>
      </c>
      <c r="AI245">
        <v>1</v>
      </c>
      <c r="AJ245">
        <v>1</v>
      </c>
      <c r="AK245">
        <v>1</v>
      </c>
      <c r="AL245">
        <v>6.11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159.66999999999999</v>
      </c>
      <c r="AU245" t="s">
        <v>28</v>
      </c>
      <c r="AV245">
        <v>1</v>
      </c>
      <c r="AW245">
        <v>2</v>
      </c>
      <c r="AX245">
        <v>27935715</v>
      </c>
      <c r="AY245">
        <v>1</v>
      </c>
      <c r="AZ245">
        <v>0</v>
      </c>
      <c r="BA245">
        <v>251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Y245*Source!I91</f>
        <v>43.077369299999994</v>
      </c>
      <c r="CY245">
        <f>AD245</f>
        <v>56.09</v>
      </c>
      <c r="CZ245">
        <f>AH245</f>
        <v>9.18</v>
      </c>
      <c r="DA245">
        <f>AL245</f>
        <v>6.11</v>
      </c>
      <c r="DB245">
        <f>ROUND((ROUND(AT245*CZ245,2)*1.15),2)</f>
        <v>1685.64</v>
      </c>
      <c r="DC245">
        <f>ROUND((ROUND(AT245*AG245,2)*1.15),2)</f>
        <v>0</v>
      </c>
    </row>
    <row r="246" spans="1:107" x14ac:dyDescent="0.2">
      <c r="A246">
        <f>ROW(Source!A91)</f>
        <v>91</v>
      </c>
      <c r="B246">
        <v>27935368</v>
      </c>
      <c r="C246">
        <v>27935704</v>
      </c>
      <c r="D246">
        <v>25412928</v>
      </c>
      <c r="E246">
        <v>1</v>
      </c>
      <c r="F246">
        <v>1</v>
      </c>
      <c r="G246">
        <v>1</v>
      </c>
      <c r="H246">
        <v>1</v>
      </c>
      <c r="I246" t="s">
        <v>460</v>
      </c>
      <c r="J246" t="s">
        <v>6</v>
      </c>
      <c r="K246" t="s">
        <v>461</v>
      </c>
      <c r="L246">
        <v>1191</v>
      </c>
      <c r="N246">
        <v>1013</v>
      </c>
      <c r="O246" t="s">
        <v>459</v>
      </c>
      <c r="P246" t="s">
        <v>459</v>
      </c>
      <c r="Q246">
        <v>1</v>
      </c>
      <c r="W246">
        <v>0</v>
      </c>
      <c r="X246">
        <v>-1417349443</v>
      </c>
      <c r="Y246">
        <v>1.65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6.11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1.65</v>
      </c>
      <c r="AU246" t="s">
        <v>6</v>
      </c>
      <c r="AV246">
        <v>2</v>
      </c>
      <c r="AW246">
        <v>2</v>
      </c>
      <c r="AX246">
        <v>27935716</v>
      </c>
      <c r="AY246">
        <v>1</v>
      </c>
      <c r="AZ246">
        <v>2048</v>
      </c>
      <c r="BA246">
        <v>252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Y246*Source!I91</f>
        <v>0.38708999999999999</v>
      </c>
      <c r="CY246">
        <f>AD246</f>
        <v>0</v>
      </c>
      <c r="CZ246">
        <f>AH246</f>
        <v>0</v>
      </c>
      <c r="DA246">
        <f>AL246</f>
        <v>1</v>
      </c>
      <c r="DB246">
        <f>ROUND(ROUND(AT246*CZ246,2),2)</f>
        <v>0</v>
      </c>
      <c r="DC246">
        <f>ROUND(ROUND(AT246*AG246,2),2)</f>
        <v>0</v>
      </c>
    </row>
    <row r="247" spans="1:107" x14ac:dyDescent="0.2">
      <c r="A247">
        <f>ROW(Source!A91)</f>
        <v>91</v>
      </c>
      <c r="B247">
        <v>27935368</v>
      </c>
      <c r="C247">
        <v>27935704</v>
      </c>
      <c r="D247">
        <v>25230445</v>
      </c>
      <c r="E247">
        <v>1</v>
      </c>
      <c r="F247">
        <v>1</v>
      </c>
      <c r="G247">
        <v>1</v>
      </c>
      <c r="H247">
        <v>2</v>
      </c>
      <c r="I247" t="s">
        <v>612</v>
      </c>
      <c r="J247" t="s">
        <v>613</v>
      </c>
      <c r="K247" t="s">
        <v>614</v>
      </c>
      <c r="L247">
        <v>1368</v>
      </c>
      <c r="N247">
        <v>1011</v>
      </c>
      <c r="O247" t="s">
        <v>465</v>
      </c>
      <c r="P247" t="s">
        <v>465</v>
      </c>
      <c r="Q247">
        <v>1</v>
      </c>
      <c r="W247">
        <v>0</v>
      </c>
      <c r="X247">
        <v>1225731627</v>
      </c>
      <c r="Y247">
        <v>0.1</v>
      </c>
      <c r="AA247">
        <v>0</v>
      </c>
      <c r="AB247">
        <v>549.84</v>
      </c>
      <c r="AC247">
        <v>10.06</v>
      </c>
      <c r="AD247">
        <v>0</v>
      </c>
      <c r="AE247">
        <v>0</v>
      </c>
      <c r="AF247">
        <v>89.99</v>
      </c>
      <c r="AG247">
        <v>10.06</v>
      </c>
      <c r="AH247">
        <v>0</v>
      </c>
      <c r="AI247">
        <v>1</v>
      </c>
      <c r="AJ247">
        <v>6.11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0.08</v>
      </c>
      <c r="AU247" t="s">
        <v>27</v>
      </c>
      <c r="AV247">
        <v>0</v>
      </c>
      <c r="AW247">
        <v>2</v>
      </c>
      <c r="AX247">
        <v>27935717</v>
      </c>
      <c r="AY247">
        <v>1</v>
      </c>
      <c r="AZ247">
        <v>0</v>
      </c>
      <c r="BA247">
        <v>253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Y247*Source!I91</f>
        <v>2.3460000000000002E-2</v>
      </c>
      <c r="CY247">
        <f>AB247</f>
        <v>549.84</v>
      </c>
      <c r="CZ247">
        <f>AF247</f>
        <v>89.99</v>
      </c>
      <c r="DA247">
        <f>AJ247</f>
        <v>6.11</v>
      </c>
      <c r="DB247">
        <f>ROUND((ROUND(AT247*CZ247,2)*1.25),2)</f>
        <v>9</v>
      </c>
      <c r="DC247">
        <f>ROUND((ROUND(AT247*AG247,2)*1.25),2)</f>
        <v>1</v>
      </c>
    </row>
    <row r="248" spans="1:107" x14ac:dyDescent="0.2">
      <c r="A248">
        <f>ROW(Source!A91)</f>
        <v>91</v>
      </c>
      <c r="B248">
        <v>27935368</v>
      </c>
      <c r="C248">
        <v>27935704</v>
      </c>
      <c r="D248">
        <v>25230514</v>
      </c>
      <c r="E248">
        <v>1</v>
      </c>
      <c r="F248">
        <v>1</v>
      </c>
      <c r="G248">
        <v>1</v>
      </c>
      <c r="H248">
        <v>2</v>
      </c>
      <c r="I248" t="s">
        <v>462</v>
      </c>
      <c r="J248" t="s">
        <v>463</v>
      </c>
      <c r="K248" t="s">
        <v>464</v>
      </c>
      <c r="L248">
        <v>1368</v>
      </c>
      <c r="N248">
        <v>1011</v>
      </c>
      <c r="O248" t="s">
        <v>465</v>
      </c>
      <c r="P248" t="s">
        <v>465</v>
      </c>
      <c r="Q248">
        <v>1</v>
      </c>
      <c r="W248">
        <v>0</v>
      </c>
      <c r="X248">
        <v>1188625873</v>
      </c>
      <c r="Y248">
        <v>0.33750000000000002</v>
      </c>
      <c r="AA248">
        <v>0</v>
      </c>
      <c r="AB248">
        <v>191</v>
      </c>
      <c r="AC248">
        <v>13.5</v>
      </c>
      <c r="AD248">
        <v>0</v>
      </c>
      <c r="AE248">
        <v>0</v>
      </c>
      <c r="AF248">
        <v>31.26</v>
      </c>
      <c r="AG248">
        <v>13.5</v>
      </c>
      <c r="AH248">
        <v>0</v>
      </c>
      <c r="AI248">
        <v>1</v>
      </c>
      <c r="AJ248">
        <v>6.11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0.27</v>
      </c>
      <c r="AU248" t="s">
        <v>27</v>
      </c>
      <c r="AV248">
        <v>0</v>
      </c>
      <c r="AW248">
        <v>2</v>
      </c>
      <c r="AX248">
        <v>27935718</v>
      </c>
      <c r="AY248">
        <v>1</v>
      </c>
      <c r="AZ248">
        <v>0</v>
      </c>
      <c r="BA248">
        <v>254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Y248*Source!I91</f>
        <v>7.9177500000000012E-2</v>
      </c>
      <c r="CY248">
        <f>AB248</f>
        <v>191</v>
      </c>
      <c r="CZ248">
        <f>AF248</f>
        <v>31.26</v>
      </c>
      <c r="DA248">
        <f>AJ248</f>
        <v>6.11</v>
      </c>
      <c r="DB248">
        <f>ROUND((ROUND(AT248*CZ248,2)*1.25),2)</f>
        <v>10.55</v>
      </c>
      <c r="DC248">
        <f>ROUND((ROUND(AT248*AG248,2)*1.25),2)</f>
        <v>4.5599999999999996</v>
      </c>
    </row>
    <row r="249" spans="1:107" x14ac:dyDescent="0.2">
      <c r="A249">
        <f>ROW(Source!A91)</f>
        <v>91</v>
      </c>
      <c r="B249">
        <v>27935368</v>
      </c>
      <c r="C249">
        <v>27935704</v>
      </c>
      <c r="D249">
        <v>25230679</v>
      </c>
      <c r="E249">
        <v>1</v>
      </c>
      <c r="F249">
        <v>1</v>
      </c>
      <c r="G249">
        <v>1</v>
      </c>
      <c r="H249">
        <v>2</v>
      </c>
      <c r="I249" t="s">
        <v>573</v>
      </c>
      <c r="J249" t="s">
        <v>574</v>
      </c>
      <c r="K249" t="s">
        <v>575</v>
      </c>
      <c r="L249">
        <v>1368</v>
      </c>
      <c r="N249">
        <v>1011</v>
      </c>
      <c r="O249" t="s">
        <v>465</v>
      </c>
      <c r="P249" t="s">
        <v>465</v>
      </c>
      <c r="Q249">
        <v>1</v>
      </c>
      <c r="W249">
        <v>0</v>
      </c>
      <c r="X249">
        <v>983187852</v>
      </c>
      <c r="Y249">
        <v>1.625</v>
      </c>
      <c r="AA249">
        <v>0</v>
      </c>
      <c r="AB249">
        <v>75.7</v>
      </c>
      <c r="AC249">
        <v>10.06</v>
      </c>
      <c r="AD249">
        <v>0</v>
      </c>
      <c r="AE249">
        <v>0</v>
      </c>
      <c r="AF249">
        <v>12.39</v>
      </c>
      <c r="AG249">
        <v>10.06</v>
      </c>
      <c r="AH249">
        <v>0</v>
      </c>
      <c r="AI249">
        <v>1</v>
      </c>
      <c r="AJ249">
        <v>6.11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1.3</v>
      </c>
      <c r="AU249" t="s">
        <v>27</v>
      </c>
      <c r="AV249">
        <v>0</v>
      </c>
      <c r="AW249">
        <v>2</v>
      </c>
      <c r="AX249">
        <v>27935719</v>
      </c>
      <c r="AY249">
        <v>1</v>
      </c>
      <c r="AZ249">
        <v>0</v>
      </c>
      <c r="BA249">
        <v>255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Y249*Source!I91</f>
        <v>0.38122499999999998</v>
      </c>
      <c r="CY249">
        <f>AB249</f>
        <v>75.7</v>
      </c>
      <c r="CZ249">
        <f>AF249</f>
        <v>12.39</v>
      </c>
      <c r="DA249">
        <f>AJ249</f>
        <v>6.11</v>
      </c>
      <c r="DB249">
        <f>ROUND((ROUND(AT249*CZ249,2)*1.25),2)</f>
        <v>20.14</v>
      </c>
      <c r="DC249">
        <f>ROUND((ROUND(AT249*AG249,2)*1.25),2)</f>
        <v>16.350000000000001</v>
      </c>
    </row>
    <row r="250" spans="1:107" x14ac:dyDescent="0.2">
      <c r="A250">
        <f>ROW(Source!A91)</f>
        <v>91</v>
      </c>
      <c r="B250">
        <v>27935368</v>
      </c>
      <c r="C250">
        <v>27935704</v>
      </c>
      <c r="D250">
        <v>25149961</v>
      </c>
      <c r="E250">
        <v>1</v>
      </c>
      <c r="F250">
        <v>1</v>
      </c>
      <c r="G250">
        <v>1</v>
      </c>
      <c r="H250">
        <v>3</v>
      </c>
      <c r="I250" t="s">
        <v>558</v>
      </c>
      <c r="J250" t="s">
        <v>559</v>
      </c>
      <c r="K250" t="s">
        <v>560</v>
      </c>
      <c r="L250">
        <v>1339</v>
      </c>
      <c r="N250">
        <v>1007</v>
      </c>
      <c r="O250" t="s">
        <v>133</v>
      </c>
      <c r="P250" t="s">
        <v>133</v>
      </c>
      <c r="Q250">
        <v>1</v>
      </c>
      <c r="W250">
        <v>0</v>
      </c>
      <c r="X250">
        <v>-1660354250</v>
      </c>
      <c r="Y250">
        <v>0.93</v>
      </c>
      <c r="AA250">
        <v>14.91</v>
      </c>
      <c r="AB250">
        <v>0</v>
      </c>
      <c r="AC250">
        <v>0</v>
      </c>
      <c r="AD250">
        <v>0</v>
      </c>
      <c r="AE250">
        <v>2.44</v>
      </c>
      <c r="AF250">
        <v>0</v>
      </c>
      <c r="AG250">
        <v>0</v>
      </c>
      <c r="AH250">
        <v>0</v>
      </c>
      <c r="AI250">
        <v>6.11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0.93</v>
      </c>
      <c r="AU250" t="s">
        <v>6</v>
      </c>
      <c r="AV250">
        <v>0</v>
      </c>
      <c r="AW250">
        <v>2</v>
      </c>
      <c r="AX250">
        <v>27935720</v>
      </c>
      <c r="AY250">
        <v>1</v>
      </c>
      <c r="AZ250">
        <v>0</v>
      </c>
      <c r="BA250">
        <v>256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Y250*Source!I91</f>
        <v>0.21817800000000001</v>
      </c>
      <c r="CY250">
        <f>AA250</f>
        <v>14.91</v>
      </c>
      <c r="CZ250">
        <f>AE250</f>
        <v>2.44</v>
      </c>
      <c r="DA250">
        <f>AI250</f>
        <v>6.11</v>
      </c>
      <c r="DB250">
        <f t="shared" ref="DB250:DB284" si="42">ROUND(ROUND(AT250*CZ250,2),2)</f>
        <v>2.27</v>
      </c>
      <c r="DC250">
        <f t="shared" ref="DC250:DC284" si="43">ROUND(ROUND(AT250*AG250,2),2)</f>
        <v>0</v>
      </c>
    </row>
    <row r="251" spans="1:107" x14ac:dyDescent="0.2">
      <c r="A251">
        <f>ROW(Source!A91)</f>
        <v>91</v>
      </c>
      <c r="B251">
        <v>27935368</v>
      </c>
      <c r="C251">
        <v>27935704</v>
      </c>
      <c r="D251">
        <v>25153690</v>
      </c>
      <c r="E251">
        <v>1</v>
      </c>
      <c r="F251">
        <v>1</v>
      </c>
      <c r="G251">
        <v>1</v>
      </c>
      <c r="H251">
        <v>3</v>
      </c>
      <c r="I251" t="s">
        <v>495</v>
      </c>
      <c r="J251" t="s">
        <v>496</v>
      </c>
      <c r="K251" t="s">
        <v>497</v>
      </c>
      <c r="L251">
        <v>1346</v>
      </c>
      <c r="N251">
        <v>1009</v>
      </c>
      <c r="O251" t="s">
        <v>60</v>
      </c>
      <c r="P251" t="s">
        <v>60</v>
      </c>
      <c r="Q251">
        <v>1</v>
      </c>
      <c r="W251">
        <v>0</v>
      </c>
      <c r="X251">
        <v>813963326</v>
      </c>
      <c r="Y251">
        <v>0.5</v>
      </c>
      <c r="AA251">
        <v>11.12</v>
      </c>
      <c r="AB251">
        <v>0</v>
      </c>
      <c r="AC251">
        <v>0</v>
      </c>
      <c r="AD251">
        <v>0</v>
      </c>
      <c r="AE251">
        <v>1.82</v>
      </c>
      <c r="AF251">
        <v>0</v>
      </c>
      <c r="AG251">
        <v>0</v>
      </c>
      <c r="AH251">
        <v>0</v>
      </c>
      <c r="AI251">
        <v>6.11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0.5</v>
      </c>
      <c r="AU251" t="s">
        <v>6</v>
      </c>
      <c r="AV251">
        <v>0</v>
      </c>
      <c r="AW251">
        <v>2</v>
      </c>
      <c r="AX251">
        <v>27935721</v>
      </c>
      <c r="AY251">
        <v>1</v>
      </c>
      <c r="AZ251">
        <v>0</v>
      </c>
      <c r="BA251">
        <v>257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Y251*Source!I91</f>
        <v>0.1173</v>
      </c>
      <c r="CY251">
        <f>AA251</f>
        <v>11.12</v>
      </c>
      <c r="CZ251">
        <f>AE251</f>
        <v>1.82</v>
      </c>
      <c r="DA251">
        <f>AI251</f>
        <v>6.11</v>
      </c>
      <c r="DB251">
        <f t="shared" si="42"/>
        <v>0.91</v>
      </c>
      <c r="DC251">
        <f t="shared" si="43"/>
        <v>0</v>
      </c>
    </row>
    <row r="252" spans="1:107" x14ac:dyDescent="0.2">
      <c r="A252">
        <f>ROW(Source!A91)</f>
        <v>91</v>
      </c>
      <c r="B252">
        <v>27935368</v>
      </c>
      <c r="C252">
        <v>27935704</v>
      </c>
      <c r="D252">
        <v>25155760</v>
      </c>
      <c r="E252">
        <v>1</v>
      </c>
      <c r="F252">
        <v>1</v>
      </c>
      <c r="G252">
        <v>1</v>
      </c>
      <c r="H252">
        <v>3</v>
      </c>
      <c r="I252" t="s">
        <v>186</v>
      </c>
      <c r="J252" t="s">
        <v>188</v>
      </c>
      <c r="K252" t="s">
        <v>187</v>
      </c>
      <c r="L252">
        <v>1348</v>
      </c>
      <c r="N252">
        <v>1009</v>
      </c>
      <c r="O252" t="s">
        <v>65</v>
      </c>
      <c r="P252" t="s">
        <v>65</v>
      </c>
      <c r="Q252">
        <v>1000</v>
      </c>
      <c r="W252">
        <v>0</v>
      </c>
      <c r="X252">
        <v>-195795605</v>
      </c>
      <c r="Y252">
        <v>0.05</v>
      </c>
      <c r="AA252">
        <v>54990</v>
      </c>
      <c r="AB252">
        <v>0</v>
      </c>
      <c r="AC252">
        <v>0</v>
      </c>
      <c r="AD252">
        <v>0</v>
      </c>
      <c r="AE252">
        <v>9000</v>
      </c>
      <c r="AF252">
        <v>0</v>
      </c>
      <c r="AG252">
        <v>0</v>
      </c>
      <c r="AH252">
        <v>0</v>
      </c>
      <c r="AI252">
        <v>6.11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0.05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Y252*Source!I91</f>
        <v>1.1730000000000001E-2</v>
      </c>
      <c r="CY252">
        <f>AA252</f>
        <v>54990</v>
      </c>
      <c r="CZ252">
        <f>AE252</f>
        <v>9000</v>
      </c>
      <c r="DA252">
        <f>AI252</f>
        <v>6.11</v>
      </c>
      <c r="DB252">
        <f t="shared" si="42"/>
        <v>450</v>
      </c>
      <c r="DC252">
        <f t="shared" si="43"/>
        <v>0</v>
      </c>
    </row>
    <row r="253" spans="1:107" x14ac:dyDescent="0.2">
      <c r="A253">
        <f>ROW(Source!A91)</f>
        <v>91</v>
      </c>
      <c r="B253">
        <v>27935368</v>
      </c>
      <c r="C253">
        <v>27935704</v>
      </c>
      <c r="D253">
        <v>25169659</v>
      </c>
      <c r="E253">
        <v>1</v>
      </c>
      <c r="F253">
        <v>1</v>
      </c>
      <c r="G253">
        <v>1</v>
      </c>
      <c r="H253">
        <v>3</v>
      </c>
      <c r="I253" t="s">
        <v>190</v>
      </c>
      <c r="J253" t="s">
        <v>192</v>
      </c>
      <c r="K253" t="s">
        <v>191</v>
      </c>
      <c r="L253">
        <v>1327</v>
      </c>
      <c r="N253">
        <v>1005</v>
      </c>
      <c r="O253" t="s">
        <v>35</v>
      </c>
      <c r="P253" t="s">
        <v>35</v>
      </c>
      <c r="Q253">
        <v>1</v>
      </c>
      <c r="W253">
        <v>0</v>
      </c>
      <c r="X253">
        <v>797365537</v>
      </c>
      <c r="Y253">
        <v>100</v>
      </c>
      <c r="AA253">
        <v>523.69000000000005</v>
      </c>
      <c r="AB253">
        <v>0</v>
      </c>
      <c r="AC253">
        <v>0</v>
      </c>
      <c r="AD253">
        <v>0</v>
      </c>
      <c r="AE253">
        <v>85.71</v>
      </c>
      <c r="AF253">
        <v>0</v>
      </c>
      <c r="AG253">
        <v>0</v>
      </c>
      <c r="AH253">
        <v>0</v>
      </c>
      <c r="AI253">
        <v>6.11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6</v>
      </c>
      <c r="AT253">
        <v>100</v>
      </c>
      <c r="AU253" t="s">
        <v>6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Y253*Source!I91</f>
        <v>23.46</v>
      </c>
      <c r="CY253">
        <f>AA253</f>
        <v>523.69000000000005</v>
      </c>
      <c r="CZ253">
        <f>AE253</f>
        <v>85.71</v>
      </c>
      <c r="DA253">
        <f>AI253</f>
        <v>6.11</v>
      </c>
      <c r="DB253">
        <f t="shared" si="42"/>
        <v>8571</v>
      </c>
      <c r="DC253">
        <f t="shared" si="43"/>
        <v>0</v>
      </c>
    </row>
    <row r="254" spans="1:107" x14ac:dyDescent="0.2">
      <c r="A254">
        <f>ROW(Source!A91)</f>
        <v>91</v>
      </c>
      <c r="B254">
        <v>27935368</v>
      </c>
      <c r="C254">
        <v>27935704</v>
      </c>
      <c r="D254">
        <v>25185189</v>
      </c>
      <c r="E254">
        <v>1</v>
      </c>
      <c r="F254">
        <v>1</v>
      </c>
      <c r="G254">
        <v>1</v>
      </c>
      <c r="H254">
        <v>3</v>
      </c>
      <c r="I254" t="s">
        <v>194</v>
      </c>
      <c r="J254" t="s">
        <v>196</v>
      </c>
      <c r="K254" t="s">
        <v>195</v>
      </c>
      <c r="L254">
        <v>1348</v>
      </c>
      <c r="N254">
        <v>1009</v>
      </c>
      <c r="O254" t="s">
        <v>65</v>
      </c>
      <c r="P254" t="s">
        <v>65</v>
      </c>
      <c r="Q254">
        <v>1000</v>
      </c>
      <c r="W254">
        <v>0</v>
      </c>
      <c r="X254">
        <v>824424713</v>
      </c>
      <c r="Y254">
        <v>0.375</v>
      </c>
      <c r="AA254">
        <v>17837.72</v>
      </c>
      <c r="AB254">
        <v>0</v>
      </c>
      <c r="AC254">
        <v>0</v>
      </c>
      <c r="AD254">
        <v>0</v>
      </c>
      <c r="AE254">
        <v>2919.43</v>
      </c>
      <c r="AF254">
        <v>0</v>
      </c>
      <c r="AG254">
        <v>0</v>
      </c>
      <c r="AH254">
        <v>0</v>
      </c>
      <c r="AI254">
        <v>6.11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6</v>
      </c>
      <c r="AT254">
        <v>0.375</v>
      </c>
      <c r="AU254" t="s">
        <v>6</v>
      </c>
      <c r="AV254">
        <v>0</v>
      </c>
      <c r="AW254">
        <v>1</v>
      </c>
      <c r="AX254">
        <v>-1</v>
      </c>
      <c r="AY254">
        <v>0</v>
      </c>
      <c r="AZ254">
        <v>0</v>
      </c>
      <c r="BA254" t="s">
        <v>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Y254*Source!I91</f>
        <v>8.7974999999999998E-2</v>
      </c>
      <c r="CY254">
        <f>AA254</f>
        <v>17837.72</v>
      </c>
      <c r="CZ254">
        <f>AE254</f>
        <v>2919.43</v>
      </c>
      <c r="DA254">
        <f>AI254</f>
        <v>6.11</v>
      </c>
      <c r="DB254">
        <f t="shared" si="42"/>
        <v>1094.79</v>
      </c>
      <c r="DC254">
        <f t="shared" si="43"/>
        <v>0</v>
      </c>
    </row>
    <row r="255" spans="1:107" x14ac:dyDescent="0.2">
      <c r="A255">
        <f>ROW(Source!A98)</f>
        <v>98</v>
      </c>
      <c r="B255">
        <v>27935367</v>
      </c>
      <c r="C255">
        <v>27935728</v>
      </c>
      <c r="D255">
        <v>25413030</v>
      </c>
      <c r="E255">
        <v>1</v>
      </c>
      <c r="F255">
        <v>1</v>
      </c>
      <c r="G255">
        <v>1</v>
      </c>
      <c r="H255">
        <v>1</v>
      </c>
      <c r="I255" t="s">
        <v>615</v>
      </c>
      <c r="J255" t="s">
        <v>6</v>
      </c>
      <c r="K255" t="s">
        <v>616</v>
      </c>
      <c r="L255">
        <v>1191</v>
      </c>
      <c r="N255">
        <v>1013</v>
      </c>
      <c r="O255" t="s">
        <v>459</v>
      </c>
      <c r="P255" t="s">
        <v>459</v>
      </c>
      <c r="Q255">
        <v>1</v>
      </c>
      <c r="W255">
        <v>0</v>
      </c>
      <c r="X255">
        <v>-719309759</v>
      </c>
      <c r="Y255">
        <v>146.07</v>
      </c>
      <c r="AA255">
        <v>0</v>
      </c>
      <c r="AB255">
        <v>0</v>
      </c>
      <c r="AC255">
        <v>0</v>
      </c>
      <c r="AD255">
        <v>8.86</v>
      </c>
      <c r="AE255">
        <v>0</v>
      </c>
      <c r="AF255">
        <v>0</v>
      </c>
      <c r="AG255">
        <v>0</v>
      </c>
      <c r="AH255">
        <v>8.86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146.07</v>
      </c>
      <c r="AU255" t="s">
        <v>6</v>
      </c>
      <c r="AV255">
        <v>1</v>
      </c>
      <c r="AW255">
        <v>2</v>
      </c>
      <c r="AX255">
        <v>27935734</v>
      </c>
      <c r="AY255">
        <v>1</v>
      </c>
      <c r="AZ255">
        <v>0</v>
      </c>
      <c r="BA255">
        <v>261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Y255*Source!I98</f>
        <v>3.0674700000000001</v>
      </c>
      <c r="CY255">
        <f>AD255</f>
        <v>8.86</v>
      </c>
      <c r="CZ255">
        <f>AH255</f>
        <v>8.86</v>
      </c>
      <c r="DA255">
        <f>AL255</f>
        <v>1</v>
      </c>
      <c r="DB255">
        <f t="shared" si="42"/>
        <v>1294.18</v>
      </c>
      <c r="DC255">
        <f t="shared" si="43"/>
        <v>0</v>
      </c>
    </row>
    <row r="256" spans="1:107" x14ac:dyDescent="0.2">
      <c r="A256">
        <f>ROW(Source!A98)</f>
        <v>98</v>
      </c>
      <c r="B256">
        <v>27935367</v>
      </c>
      <c r="C256">
        <v>27935728</v>
      </c>
      <c r="D256">
        <v>25412928</v>
      </c>
      <c r="E256">
        <v>1</v>
      </c>
      <c r="F256">
        <v>1</v>
      </c>
      <c r="G256">
        <v>1</v>
      </c>
      <c r="H256">
        <v>1</v>
      </c>
      <c r="I256" t="s">
        <v>460</v>
      </c>
      <c r="J256" t="s">
        <v>6</v>
      </c>
      <c r="K256" t="s">
        <v>461</v>
      </c>
      <c r="L256">
        <v>1191</v>
      </c>
      <c r="N256">
        <v>1013</v>
      </c>
      <c r="O256" t="s">
        <v>459</v>
      </c>
      <c r="P256" t="s">
        <v>459</v>
      </c>
      <c r="Q256">
        <v>1</v>
      </c>
      <c r="W256">
        <v>0</v>
      </c>
      <c r="X256">
        <v>-1417349443</v>
      </c>
      <c r="Y256">
        <v>0.67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0.67</v>
      </c>
      <c r="AU256" t="s">
        <v>6</v>
      </c>
      <c r="AV256">
        <v>2</v>
      </c>
      <c r="AW256">
        <v>2</v>
      </c>
      <c r="AX256">
        <v>27935735</v>
      </c>
      <c r="AY256">
        <v>1</v>
      </c>
      <c r="AZ256">
        <v>0</v>
      </c>
      <c r="BA256">
        <v>262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Y256*Source!I98</f>
        <v>1.4070000000000001E-2</v>
      </c>
      <c r="CY256">
        <f>AD256</f>
        <v>0</v>
      </c>
      <c r="CZ256">
        <f>AH256</f>
        <v>0</v>
      </c>
      <c r="DA256">
        <f>AL256</f>
        <v>1</v>
      </c>
      <c r="DB256">
        <f t="shared" si="42"/>
        <v>0</v>
      </c>
      <c r="DC256">
        <f t="shared" si="43"/>
        <v>0</v>
      </c>
    </row>
    <row r="257" spans="1:107" x14ac:dyDescent="0.2">
      <c r="A257">
        <f>ROW(Source!A98)</f>
        <v>98</v>
      </c>
      <c r="B257">
        <v>27935367</v>
      </c>
      <c r="C257">
        <v>27935728</v>
      </c>
      <c r="D257">
        <v>25230514</v>
      </c>
      <c r="E257">
        <v>1</v>
      </c>
      <c r="F257">
        <v>1</v>
      </c>
      <c r="G257">
        <v>1</v>
      </c>
      <c r="H257">
        <v>2</v>
      </c>
      <c r="I257" t="s">
        <v>462</v>
      </c>
      <c r="J257" t="s">
        <v>463</v>
      </c>
      <c r="K257" t="s">
        <v>464</v>
      </c>
      <c r="L257">
        <v>1368</v>
      </c>
      <c r="N257">
        <v>1011</v>
      </c>
      <c r="O257" t="s">
        <v>465</v>
      </c>
      <c r="P257" t="s">
        <v>465</v>
      </c>
      <c r="Q257">
        <v>1</v>
      </c>
      <c r="W257">
        <v>0</v>
      </c>
      <c r="X257">
        <v>1188625873</v>
      </c>
      <c r="Y257">
        <v>0.67</v>
      </c>
      <c r="AA257">
        <v>0</v>
      </c>
      <c r="AB257">
        <v>31.26</v>
      </c>
      <c r="AC257">
        <v>13.5</v>
      </c>
      <c r="AD257">
        <v>0</v>
      </c>
      <c r="AE257">
        <v>0</v>
      </c>
      <c r="AF257">
        <v>31.26</v>
      </c>
      <c r="AG257">
        <v>13.5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0.67</v>
      </c>
      <c r="AU257" t="s">
        <v>6</v>
      </c>
      <c r="AV257">
        <v>0</v>
      </c>
      <c r="AW257">
        <v>2</v>
      </c>
      <c r="AX257">
        <v>27935736</v>
      </c>
      <c r="AY257">
        <v>1</v>
      </c>
      <c r="AZ257">
        <v>0</v>
      </c>
      <c r="BA257">
        <v>263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Y257*Source!I98</f>
        <v>1.4070000000000001E-2</v>
      </c>
      <c r="CY257">
        <f>AB257</f>
        <v>31.26</v>
      </c>
      <c r="CZ257">
        <f>AF257</f>
        <v>31.26</v>
      </c>
      <c r="DA257">
        <f>AJ257</f>
        <v>1</v>
      </c>
      <c r="DB257">
        <f t="shared" si="42"/>
        <v>20.94</v>
      </c>
      <c r="DC257">
        <f t="shared" si="43"/>
        <v>9.0500000000000007</v>
      </c>
    </row>
    <row r="258" spans="1:107" x14ac:dyDescent="0.2">
      <c r="A258">
        <f>ROW(Source!A98)</f>
        <v>98</v>
      </c>
      <c r="B258">
        <v>27935367</v>
      </c>
      <c r="C258">
        <v>27935728</v>
      </c>
      <c r="D258">
        <v>25149961</v>
      </c>
      <c r="E258">
        <v>1</v>
      </c>
      <c r="F258">
        <v>1</v>
      </c>
      <c r="G258">
        <v>1</v>
      </c>
      <c r="H258">
        <v>3</v>
      </c>
      <c r="I258" t="s">
        <v>558</v>
      </c>
      <c r="J258" t="s">
        <v>559</v>
      </c>
      <c r="K258" t="s">
        <v>560</v>
      </c>
      <c r="L258">
        <v>1339</v>
      </c>
      <c r="N258">
        <v>1007</v>
      </c>
      <c r="O258" t="s">
        <v>133</v>
      </c>
      <c r="P258" t="s">
        <v>133</v>
      </c>
      <c r="Q258">
        <v>1</v>
      </c>
      <c r="W258">
        <v>0</v>
      </c>
      <c r="X258">
        <v>-1660354250</v>
      </c>
      <c r="Y258">
        <v>0.35</v>
      </c>
      <c r="AA258">
        <v>2.44</v>
      </c>
      <c r="AB258">
        <v>0</v>
      </c>
      <c r="AC258">
        <v>0</v>
      </c>
      <c r="AD258">
        <v>0</v>
      </c>
      <c r="AE258">
        <v>2.44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0.35</v>
      </c>
      <c r="AU258" t="s">
        <v>6</v>
      </c>
      <c r="AV258">
        <v>0</v>
      </c>
      <c r="AW258">
        <v>2</v>
      </c>
      <c r="AX258">
        <v>27935737</v>
      </c>
      <c r="AY258">
        <v>1</v>
      </c>
      <c r="AZ258">
        <v>0</v>
      </c>
      <c r="BA258">
        <v>264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Y258*Source!I98</f>
        <v>7.3499999999999998E-3</v>
      </c>
      <c r="CY258">
        <f>AA258</f>
        <v>2.44</v>
      </c>
      <c r="CZ258">
        <f>AE258</f>
        <v>2.44</v>
      </c>
      <c r="DA258">
        <f>AI258</f>
        <v>1</v>
      </c>
      <c r="DB258">
        <f t="shared" si="42"/>
        <v>0.85</v>
      </c>
      <c r="DC258">
        <f t="shared" si="43"/>
        <v>0</v>
      </c>
    </row>
    <row r="259" spans="1:107" x14ac:dyDescent="0.2">
      <c r="A259">
        <f>ROW(Source!A98)</f>
        <v>98</v>
      </c>
      <c r="B259">
        <v>27935367</v>
      </c>
      <c r="C259">
        <v>27935728</v>
      </c>
      <c r="D259">
        <v>25155488</v>
      </c>
      <c r="E259">
        <v>1</v>
      </c>
      <c r="F259">
        <v>1</v>
      </c>
      <c r="G259">
        <v>1</v>
      </c>
      <c r="H259">
        <v>3</v>
      </c>
      <c r="I259" t="s">
        <v>617</v>
      </c>
      <c r="J259" t="s">
        <v>618</v>
      </c>
      <c r="K259" t="s">
        <v>619</v>
      </c>
      <c r="L259">
        <v>1339</v>
      </c>
      <c r="N259">
        <v>1007</v>
      </c>
      <c r="O259" t="s">
        <v>133</v>
      </c>
      <c r="P259" t="s">
        <v>133</v>
      </c>
      <c r="Q259">
        <v>1</v>
      </c>
      <c r="W259">
        <v>0</v>
      </c>
      <c r="X259">
        <v>-1813551736</v>
      </c>
      <c r="Y259">
        <v>2.2000000000000002</v>
      </c>
      <c r="AA259">
        <v>510.4</v>
      </c>
      <c r="AB259">
        <v>0</v>
      </c>
      <c r="AC259">
        <v>0</v>
      </c>
      <c r="AD259">
        <v>0</v>
      </c>
      <c r="AE259">
        <v>510.4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2.2000000000000002</v>
      </c>
      <c r="AU259" t="s">
        <v>6</v>
      </c>
      <c r="AV259">
        <v>0</v>
      </c>
      <c r="AW259">
        <v>2</v>
      </c>
      <c r="AX259">
        <v>27935739</v>
      </c>
      <c r="AY259">
        <v>1</v>
      </c>
      <c r="AZ259">
        <v>0</v>
      </c>
      <c r="BA259">
        <v>266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Y259*Source!I98</f>
        <v>4.6200000000000005E-2</v>
      </c>
      <c r="CY259">
        <f>AA259</f>
        <v>510.4</v>
      </c>
      <c r="CZ259">
        <f>AE259</f>
        <v>510.4</v>
      </c>
      <c r="DA259">
        <f>AI259</f>
        <v>1</v>
      </c>
      <c r="DB259">
        <f t="shared" si="42"/>
        <v>1122.8800000000001</v>
      </c>
      <c r="DC259">
        <f t="shared" si="43"/>
        <v>0</v>
      </c>
    </row>
    <row r="260" spans="1:107" x14ac:dyDescent="0.2">
      <c r="A260">
        <f>ROW(Source!A99)</f>
        <v>99</v>
      </c>
      <c r="B260">
        <v>27935368</v>
      </c>
      <c r="C260">
        <v>27935728</v>
      </c>
      <c r="D260">
        <v>25413030</v>
      </c>
      <c r="E260">
        <v>1</v>
      </c>
      <c r="F260">
        <v>1</v>
      </c>
      <c r="G260">
        <v>1</v>
      </c>
      <c r="H260">
        <v>1</v>
      </c>
      <c r="I260" t="s">
        <v>615</v>
      </c>
      <c r="J260" t="s">
        <v>6</v>
      </c>
      <c r="K260" t="s">
        <v>616</v>
      </c>
      <c r="L260">
        <v>1191</v>
      </c>
      <c r="N260">
        <v>1013</v>
      </c>
      <c r="O260" t="s">
        <v>459</v>
      </c>
      <c r="P260" t="s">
        <v>459</v>
      </c>
      <c r="Q260">
        <v>1</v>
      </c>
      <c r="W260">
        <v>0</v>
      </c>
      <c r="X260">
        <v>-719309759</v>
      </c>
      <c r="Y260">
        <v>146.07</v>
      </c>
      <c r="AA260">
        <v>0</v>
      </c>
      <c r="AB260">
        <v>0</v>
      </c>
      <c r="AC260">
        <v>0</v>
      </c>
      <c r="AD260">
        <v>54.13</v>
      </c>
      <c r="AE260">
        <v>0</v>
      </c>
      <c r="AF260">
        <v>0</v>
      </c>
      <c r="AG260">
        <v>0</v>
      </c>
      <c r="AH260">
        <v>8.86</v>
      </c>
      <c r="AI260">
        <v>1</v>
      </c>
      <c r="AJ260">
        <v>1</v>
      </c>
      <c r="AK260">
        <v>1</v>
      </c>
      <c r="AL260">
        <v>6.11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146.07</v>
      </c>
      <c r="AU260" t="s">
        <v>6</v>
      </c>
      <c r="AV260">
        <v>1</v>
      </c>
      <c r="AW260">
        <v>2</v>
      </c>
      <c r="AX260">
        <v>27935734</v>
      </c>
      <c r="AY260">
        <v>1</v>
      </c>
      <c r="AZ260">
        <v>0</v>
      </c>
      <c r="BA260">
        <v>267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Y260*Source!I99</f>
        <v>3.0674700000000001</v>
      </c>
      <c r="CY260">
        <f>AD260</f>
        <v>54.13</v>
      </c>
      <c r="CZ260">
        <f>AH260</f>
        <v>8.86</v>
      </c>
      <c r="DA260">
        <f>AL260</f>
        <v>6.11</v>
      </c>
      <c r="DB260">
        <f t="shared" si="42"/>
        <v>1294.18</v>
      </c>
      <c r="DC260">
        <f t="shared" si="43"/>
        <v>0</v>
      </c>
    </row>
    <row r="261" spans="1:107" x14ac:dyDescent="0.2">
      <c r="A261">
        <f>ROW(Source!A99)</f>
        <v>99</v>
      </c>
      <c r="B261">
        <v>27935368</v>
      </c>
      <c r="C261">
        <v>27935728</v>
      </c>
      <c r="D261">
        <v>25412928</v>
      </c>
      <c r="E261">
        <v>1</v>
      </c>
      <c r="F261">
        <v>1</v>
      </c>
      <c r="G261">
        <v>1</v>
      </c>
      <c r="H261">
        <v>1</v>
      </c>
      <c r="I261" t="s">
        <v>460</v>
      </c>
      <c r="J261" t="s">
        <v>6</v>
      </c>
      <c r="K261" t="s">
        <v>461</v>
      </c>
      <c r="L261">
        <v>1191</v>
      </c>
      <c r="N261">
        <v>1013</v>
      </c>
      <c r="O261" t="s">
        <v>459</v>
      </c>
      <c r="P261" t="s">
        <v>459</v>
      </c>
      <c r="Q261">
        <v>1</v>
      </c>
      <c r="W261">
        <v>0</v>
      </c>
      <c r="X261">
        <v>-1417349443</v>
      </c>
      <c r="Y261">
        <v>0.67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6.11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0.67</v>
      </c>
      <c r="AU261" t="s">
        <v>6</v>
      </c>
      <c r="AV261">
        <v>2</v>
      </c>
      <c r="AW261">
        <v>2</v>
      </c>
      <c r="AX261">
        <v>27935735</v>
      </c>
      <c r="AY261">
        <v>1</v>
      </c>
      <c r="AZ261">
        <v>0</v>
      </c>
      <c r="BA261">
        <v>268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Y261*Source!I99</f>
        <v>1.4070000000000001E-2</v>
      </c>
      <c r="CY261">
        <f>AD261</f>
        <v>0</v>
      </c>
      <c r="CZ261">
        <f>AH261</f>
        <v>0</v>
      </c>
      <c r="DA261">
        <f>AL261</f>
        <v>1</v>
      </c>
      <c r="DB261">
        <f t="shared" si="42"/>
        <v>0</v>
      </c>
      <c r="DC261">
        <f t="shared" si="43"/>
        <v>0</v>
      </c>
    </row>
    <row r="262" spans="1:107" x14ac:dyDescent="0.2">
      <c r="A262">
        <f>ROW(Source!A99)</f>
        <v>99</v>
      </c>
      <c r="B262">
        <v>27935368</v>
      </c>
      <c r="C262">
        <v>27935728</v>
      </c>
      <c r="D262">
        <v>25230514</v>
      </c>
      <c r="E262">
        <v>1</v>
      </c>
      <c r="F262">
        <v>1</v>
      </c>
      <c r="G262">
        <v>1</v>
      </c>
      <c r="H262">
        <v>2</v>
      </c>
      <c r="I262" t="s">
        <v>462</v>
      </c>
      <c r="J262" t="s">
        <v>463</v>
      </c>
      <c r="K262" t="s">
        <v>464</v>
      </c>
      <c r="L262">
        <v>1368</v>
      </c>
      <c r="N262">
        <v>1011</v>
      </c>
      <c r="O262" t="s">
        <v>465</v>
      </c>
      <c r="P262" t="s">
        <v>465</v>
      </c>
      <c r="Q262">
        <v>1</v>
      </c>
      <c r="W262">
        <v>0</v>
      </c>
      <c r="X262">
        <v>1188625873</v>
      </c>
      <c r="Y262">
        <v>0.67</v>
      </c>
      <c r="AA262">
        <v>0</v>
      </c>
      <c r="AB262">
        <v>191</v>
      </c>
      <c r="AC262">
        <v>13.5</v>
      </c>
      <c r="AD262">
        <v>0</v>
      </c>
      <c r="AE262">
        <v>0</v>
      </c>
      <c r="AF262">
        <v>31.26</v>
      </c>
      <c r="AG262">
        <v>13.5</v>
      </c>
      <c r="AH262">
        <v>0</v>
      </c>
      <c r="AI262">
        <v>1</v>
      </c>
      <c r="AJ262">
        <v>6.11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0.67</v>
      </c>
      <c r="AU262" t="s">
        <v>6</v>
      </c>
      <c r="AV262">
        <v>0</v>
      </c>
      <c r="AW262">
        <v>2</v>
      </c>
      <c r="AX262">
        <v>27935736</v>
      </c>
      <c r="AY262">
        <v>1</v>
      </c>
      <c r="AZ262">
        <v>0</v>
      </c>
      <c r="BA262">
        <v>269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Y262*Source!I99</f>
        <v>1.4070000000000001E-2</v>
      </c>
      <c r="CY262">
        <f>AB262</f>
        <v>191</v>
      </c>
      <c r="CZ262">
        <f>AF262</f>
        <v>31.26</v>
      </c>
      <c r="DA262">
        <f>AJ262</f>
        <v>6.11</v>
      </c>
      <c r="DB262">
        <f t="shared" si="42"/>
        <v>20.94</v>
      </c>
      <c r="DC262">
        <f t="shared" si="43"/>
        <v>9.0500000000000007</v>
      </c>
    </row>
    <row r="263" spans="1:107" x14ac:dyDescent="0.2">
      <c r="A263">
        <f>ROW(Source!A99)</f>
        <v>99</v>
      </c>
      <c r="B263">
        <v>27935368</v>
      </c>
      <c r="C263">
        <v>27935728</v>
      </c>
      <c r="D263">
        <v>25149961</v>
      </c>
      <c r="E263">
        <v>1</v>
      </c>
      <c r="F263">
        <v>1</v>
      </c>
      <c r="G263">
        <v>1</v>
      </c>
      <c r="H263">
        <v>3</v>
      </c>
      <c r="I263" t="s">
        <v>558</v>
      </c>
      <c r="J263" t="s">
        <v>559</v>
      </c>
      <c r="K263" t="s">
        <v>560</v>
      </c>
      <c r="L263">
        <v>1339</v>
      </c>
      <c r="N263">
        <v>1007</v>
      </c>
      <c r="O263" t="s">
        <v>133</v>
      </c>
      <c r="P263" t="s">
        <v>133</v>
      </c>
      <c r="Q263">
        <v>1</v>
      </c>
      <c r="W263">
        <v>0</v>
      </c>
      <c r="X263">
        <v>-1660354250</v>
      </c>
      <c r="Y263">
        <v>0.35</v>
      </c>
      <c r="AA263">
        <v>14.91</v>
      </c>
      <c r="AB263">
        <v>0</v>
      </c>
      <c r="AC263">
        <v>0</v>
      </c>
      <c r="AD263">
        <v>0</v>
      </c>
      <c r="AE263">
        <v>2.44</v>
      </c>
      <c r="AF263">
        <v>0</v>
      </c>
      <c r="AG263">
        <v>0</v>
      </c>
      <c r="AH263">
        <v>0</v>
      </c>
      <c r="AI263">
        <v>6.11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0.35</v>
      </c>
      <c r="AU263" t="s">
        <v>6</v>
      </c>
      <c r="AV263">
        <v>0</v>
      </c>
      <c r="AW263">
        <v>2</v>
      </c>
      <c r="AX263">
        <v>27935737</v>
      </c>
      <c r="AY263">
        <v>1</v>
      </c>
      <c r="AZ263">
        <v>0</v>
      </c>
      <c r="BA263">
        <v>270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Y263*Source!I99</f>
        <v>7.3499999999999998E-3</v>
      </c>
      <c r="CY263">
        <f>AA263</f>
        <v>14.91</v>
      </c>
      <c r="CZ263">
        <f>AE263</f>
        <v>2.44</v>
      </c>
      <c r="DA263">
        <f>AI263</f>
        <v>6.11</v>
      </c>
      <c r="DB263">
        <f t="shared" si="42"/>
        <v>0.85</v>
      </c>
      <c r="DC263">
        <f t="shared" si="43"/>
        <v>0</v>
      </c>
    </row>
    <row r="264" spans="1:107" x14ac:dyDescent="0.2">
      <c r="A264">
        <f>ROW(Source!A99)</f>
        <v>99</v>
      </c>
      <c r="B264">
        <v>27935368</v>
      </c>
      <c r="C264">
        <v>27935728</v>
      </c>
      <c r="D264">
        <v>25155488</v>
      </c>
      <c r="E264">
        <v>1</v>
      </c>
      <c r="F264">
        <v>1</v>
      </c>
      <c r="G264">
        <v>1</v>
      </c>
      <c r="H264">
        <v>3</v>
      </c>
      <c r="I264" t="s">
        <v>617</v>
      </c>
      <c r="J264" t="s">
        <v>618</v>
      </c>
      <c r="K264" t="s">
        <v>619</v>
      </c>
      <c r="L264">
        <v>1339</v>
      </c>
      <c r="N264">
        <v>1007</v>
      </c>
      <c r="O264" t="s">
        <v>133</v>
      </c>
      <c r="P264" t="s">
        <v>133</v>
      </c>
      <c r="Q264">
        <v>1</v>
      </c>
      <c r="W264">
        <v>0</v>
      </c>
      <c r="X264">
        <v>-1813551736</v>
      </c>
      <c r="Y264">
        <v>2.2000000000000002</v>
      </c>
      <c r="AA264">
        <v>3118.54</v>
      </c>
      <c r="AB264">
        <v>0</v>
      </c>
      <c r="AC264">
        <v>0</v>
      </c>
      <c r="AD264">
        <v>0</v>
      </c>
      <c r="AE264">
        <v>510.4</v>
      </c>
      <c r="AF264">
        <v>0</v>
      </c>
      <c r="AG264">
        <v>0</v>
      </c>
      <c r="AH264">
        <v>0</v>
      </c>
      <c r="AI264">
        <v>6.11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2.2000000000000002</v>
      </c>
      <c r="AU264" t="s">
        <v>6</v>
      </c>
      <c r="AV264">
        <v>0</v>
      </c>
      <c r="AW264">
        <v>2</v>
      </c>
      <c r="AX264">
        <v>27935739</v>
      </c>
      <c r="AY264">
        <v>1</v>
      </c>
      <c r="AZ264">
        <v>0</v>
      </c>
      <c r="BA264">
        <v>272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Y264*Source!I99</f>
        <v>4.6200000000000005E-2</v>
      </c>
      <c r="CY264">
        <f>AA264</f>
        <v>3118.54</v>
      </c>
      <c r="CZ264">
        <f>AE264</f>
        <v>510.4</v>
      </c>
      <c r="DA264">
        <f>AI264</f>
        <v>6.11</v>
      </c>
      <c r="DB264">
        <f t="shared" si="42"/>
        <v>1122.8800000000001</v>
      </c>
      <c r="DC264">
        <f t="shared" si="43"/>
        <v>0</v>
      </c>
    </row>
    <row r="265" spans="1:107" x14ac:dyDescent="0.2">
      <c r="A265">
        <f>ROW(Source!A100)</f>
        <v>100</v>
      </c>
      <c r="B265">
        <v>27935367</v>
      </c>
      <c r="C265">
        <v>27935740</v>
      </c>
      <c r="D265">
        <v>25418547</v>
      </c>
      <c r="E265">
        <v>1</v>
      </c>
      <c r="F265">
        <v>1</v>
      </c>
      <c r="G265">
        <v>1</v>
      </c>
      <c r="H265">
        <v>1</v>
      </c>
      <c r="I265" t="s">
        <v>466</v>
      </c>
      <c r="J265" t="s">
        <v>6</v>
      </c>
      <c r="K265" t="s">
        <v>467</v>
      </c>
      <c r="L265">
        <v>1191</v>
      </c>
      <c r="N265">
        <v>1013</v>
      </c>
      <c r="O265" t="s">
        <v>459</v>
      </c>
      <c r="P265" t="s">
        <v>459</v>
      </c>
      <c r="Q265">
        <v>1</v>
      </c>
      <c r="W265">
        <v>0</v>
      </c>
      <c r="X265">
        <v>-784637506</v>
      </c>
      <c r="Y265">
        <v>65.94</v>
      </c>
      <c r="AA265">
        <v>0</v>
      </c>
      <c r="AB265">
        <v>0</v>
      </c>
      <c r="AC265">
        <v>0</v>
      </c>
      <c r="AD265">
        <v>8.74</v>
      </c>
      <c r="AE265">
        <v>0</v>
      </c>
      <c r="AF265">
        <v>0</v>
      </c>
      <c r="AG265">
        <v>0</v>
      </c>
      <c r="AH265">
        <v>8.74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65.94</v>
      </c>
      <c r="AU265" t="s">
        <v>6</v>
      </c>
      <c r="AV265">
        <v>1</v>
      </c>
      <c r="AW265">
        <v>2</v>
      </c>
      <c r="AX265">
        <v>27935747</v>
      </c>
      <c r="AY265">
        <v>1</v>
      </c>
      <c r="AZ265">
        <v>0</v>
      </c>
      <c r="BA265">
        <v>273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Y265*Source!I100</f>
        <v>4.0882800000000001</v>
      </c>
      <c r="CY265">
        <f>AD265</f>
        <v>8.74</v>
      </c>
      <c r="CZ265">
        <f>AH265</f>
        <v>8.74</v>
      </c>
      <c r="DA265">
        <f>AL265</f>
        <v>1</v>
      </c>
      <c r="DB265">
        <f t="shared" si="42"/>
        <v>576.32000000000005</v>
      </c>
      <c r="DC265">
        <f t="shared" si="43"/>
        <v>0</v>
      </c>
    </row>
    <row r="266" spans="1:107" x14ac:dyDescent="0.2">
      <c r="A266">
        <f>ROW(Source!A100)</f>
        <v>100</v>
      </c>
      <c r="B266">
        <v>27935367</v>
      </c>
      <c r="C266">
        <v>27935740</v>
      </c>
      <c r="D266">
        <v>25412928</v>
      </c>
      <c r="E266">
        <v>1</v>
      </c>
      <c r="F266">
        <v>1</v>
      </c>
      <c r="G266">
        <v>1</v>
      </c>
      <c r="H266">
        <v>1</v>
      </c>
      <c r="I266" t="s">
        <v>460</v>
      </c>
      <c r="J266" t="s">
        <v>6</v>
      </c>
      <c r="K266" t="s">
        <v>461</v>
      </c>
      <c r="L266">
        <v>1191</v>
      </c>
      <c r="N266">
        <v>1013</v>
      </c>
      <c r="O266" t="s">
        <v>459</v>
      </c>
      <c r="P266" t="s">
        <v>459</v>
      </c>
      <c r="Q266">
        <v>1</v>
      </c>
      <c r="W266">
        <v>0</v>
      </c>
      <c r="X266">
        <v>-1417349443</v>
      </c>
      <c r="Y266">
        <v>0.01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0.01</v>
      </c>
      <c r="AU266" t="s">
        <v>6</v>
      </c>
      <c r="AV266">
        <v>2</v>
      </c>
      <c r="AW266">
        <v>2</v>
      </c>
      <c r="AX266">
        <v>27935748</v>
      </c>
      <c r="AY266">
        <v>1</v>
      </c>
      <c r="AZ266">
        <v>0</v>
      </c>
      <c r="BA266">
        <v>274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Y266*Source!I100</f>
        <v>6.2E-4</v>
      </c>
      <c r="CY266">
        <f>AD266</f>
        <v>0</v>
      </c>
      <c r="CZ266">
        <f>AH266</f>
        <v>0</v>
      </c>
      <c r="DA266">
        <f>AL266</f>
        <v>1</v>
      </c>
      <c r="DB266">
        <f t="shared" si="42"/>
        <v>0</v>
      </c>
      <c r="DC266">
        <f t="shared" si="43"/>
        <v>0</v>
      </c>
    </row>
    <row r="267" spans="1:107" x14ac:dyDescent="0.2">
      <c r="A267">
        <f>ROW(Source!A100)</f>
        <v>100</v>
      </c>
      <c r="B267">
        <v>27935367</v>
      </c>
      <c r="C267">
        <v>27935740</v>
      </c>
      <c r="D267">
        <v>25231607</v>
      </c>
      <c r="E267">
        <v>1</v>
      </c>
      <c r="F267">
        <v>1</v>
      </c>
      <c r="G267">
        <v>1</v>
      </c>
      <c r="H267">
        <v>2</v>
      </c>
      <c r="I267" t="s">
        <v>468</v>
      </c>
      <c r="J267" t="s">
        <v>469</v>
      </c>
      <c r="K267" t="s">
        <v>470</v>
      </c>
      <c r="L267">
        <v>1368</v>
      </c>
      <c r="N267">
        <v>1011</v>
      </c>
      <c r="O267" t="s">
        <v>465</v>
      </c>
      <c r="P267" t="s">
        <v>465</v>
      </c>
      <c r="Q267">
        <v>1</v>
      </c>
      <c r="W267">
        <v>0</v>
      </c>
      <c r="X267">
        <v>1372534845</v>
      </c>
      <c r="Y267">
        <v>0.01</v>
      </c>
      <c r="AA267">
        <v>0</v>
      </c>
      <c r="AB267">
        <v>65.709999999999994</v>
      </c>
      <c r="AC267">
        <v>11.6</v>
      </c>
      <c r="AD267">
        <v>0</v>
      </c>
      <c r="AE267">
        <v>0</v>
      </c>
      <c r="AF267">
        <v>65.709999999999994</v>
      </c>
      <c r="AG267">
        <v>11.6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0.01</v>
      </c>
      <c r="AU267" t="s">
        <v>6</v>
      </c>
      <c r="AV267">
        <v>0</v>
      </c>
      <c r="AW267">
        <v>2</v>
      </c>
      <c r="AX267">
        <v>27935749</v>
      </c>
      <c r="AY267">
        <v>1</v>
      </c>
      <c r="AZ267">
        <v>0</v>
      </c>
      <c r="BA267">
        <v>275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Y267*Source!I100</f>
        <v>6.2E-4</v>
      </c>
      <c r="CY267">
        <f>AB267</f>
        <v>65.709999999999994</v>
      </c>
      <c r="CZ267">
        <f>AF267</f>
        <v>65.709999999999994</v>
      </c>
      <c r="DA267">
        <f>AJ267</f>
        <v>1</v>
      </c>
      <c r="DB267">
        <f t="shared" si="42"/>
        <v>0.66</v>
      </c>
      <c r="DC267">
        <f t="shared" si="43"/>
        <v>0.12</v>
      </c>
    </row>
    <row r="268" spans="1:107" x14ac:dyDescent="0.2">
      <c r="A268">
        <f>ROW(Source!A100)</f>
        <v>100</v>
      </c>
      <c r="B268">
        <v>27935367</v>
      </c>
      <c r="C268">
        <v>27935740</v>
      </c>
      <c r="D268">
        <v>25153690</v>
      </c>
      <c r="E268">
        <v>1</v>
      </c>
      <c r="F268">
        <v>1</v>
      </c>
      <c r="G268">
        <v>1</v>
      </c>
      <c r="H268">
        <v>3</v>
      </c>
      <c r="I268" t="s">
        <v>495</v>
      </c>
      <c r="J268" t="s">
        <v>496</v>
      </c>
      <c r="K268" t="s">
        <v>497</v>
      </c>
      <c r="L268">
        <v>1346</v>
      </c>
      <c r="N268">
        <v>1009</v>
      </c>
      <c r="O268" t="s">
        <v>60</v>
      </c>
      <c r="P268" t="s">
        <v>60</v>
      </c>
      <c r="Q268">
        <v>1</v>
      </c>
      <c r="W268">
        <v>0</v>
      </c>
      <c r="X268">
        <v>813963326</v>
      </c>
      <c r="Y268">
        <v>0.1</v>
      </c>
      <c r="AA268">
        <v>1.82</v>
      </c>
      <c r="AB268">
        <v>0</v>
      </c>
      <c r="AC268">
        <v>0</v>
      </c>
      <c r="AD268">
        <v>0</v>
      </c>
      <c r="AE268">
        <v>1.82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0.1</v>
      </c>
      <c r="AU268" t="s">
        <v>6</v>
      </c>
      <c r="AV268">
        <v>0</v>
      </c>
      <c r="AW268">
        <v>2</v>
      </c>
      <c r="AX268">
        <v>27935750</v>
      </c>
      <c r="AY268">
        <v>1</v>
      </c>
      <c r="AZ268">
        <v>0</v>
      </c>
      <c r="BA268">
        <v>276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Y268*Source!I100</f>
        <v>6.2000000000000006E-3</v>
      </c>
      <c r="CY268">
        <f>AA268</f>
        <v>1.82</v>
      </c>
      <c r="CZ268">
        <f>AE268</f>
        <v>1.82</v>
      </c>
      <c r="DA268">
        <f>AI268</f>
        <v>1</v>
      </c>
      <c r="DB268">
        <f t="shared" si="42"/>
        <v>0.18</v>
      </c>
      <c r="DC268">
        <f t="shared" si="43"/>
        <v>0</v>
      </c>
    </row>
    <row r="269" spans="1:107" x14ac:dyDescent="0.2">
      <c r="A269">
        <f>ROW(Source!A100)</f>
        <v>100</v>
      </c>
      <c r="B269">
        <v>27935367</v>
      </c>
      <c r="C269">
        <v>27935740</v>
      </c>
      <c r="D269">
        <v>25186369</v>
      </c>
      <c r="E269">
        <v>1</v>
      </c>
      <c r="F269">
        <v>1</v>
      </c>
      <c r="G269">
        <v>1</v>
      </c>
      <c r="H269">
        <v>3</v>
      </c>
      <c r="I269" t="s">
        <v>208</v>
      </c>
      <c r="J269" t="s">
        <v>210</v>
      </c>
      <c r="K269" t="s">
        <v>209</v>
      </c>
      <c r="L269">
        <v>1348</v>
      </c>
      <c r="N269">
        <v>1009</v>
      </c>
      <c r="O269" t="s">
        <v>65</v>
      </c>
      <c r="P269" t="s">
        <v>65</v>
      </c>
      <c r="Q269">
        <v>1000</v>
      </c>
      <c r="W269">
        <v>0</v>
      </c>
      <c r="X269">
        <v>1129880761</v>
      </c>
      <c r="Y269">
        <v>1.61E-2</v>
      </c>
      <c r="AA269">
        <v>21058.67</v>
      </c>
      <c r="AB269">
        <v>0</v>
      </c>
      <c r="AC269">
        <v>0</v>
      </c>
      <c r="AD269">
        <v>0</v>
      </c>
      <c r="AE269">
        <v>21058.67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1.61E-2</v>
      </c>
      <c r="AU269" t="s">
        <v>6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Y269*Source!I100</f>
        <v>9.9819999999999987E-4</v>
      </c>
      <c r="CY269">
        <f>AA269</f>
        <v>21058.67</v>
      </c>
      <c r="CZ269">
        <f>AE269</f>
        <v>21058.67</v>
      </c>
      <c r="DA269">
        <f>AI269</f>
        <v>1</v>
      </c>
      <c r="DB269">
        <f t="shared" si="42"/>
        <v>339.04</v>
      </c>
      <c r="DC269">
        <f t="shared" si="43"/>
        <v>0</v>
      </c>
    </row>
    <row r="270" spans="1:107" x14ac:dyDescent="0.2">
      <c r="A270">
        <f>ROW(Source!A100)</f>
        <v>100</v>
      </c>
      <c r="B270">
        <v>27935367</v>
      </c>
      <c r="C270">
        <v>27935740</v>
      </c>
      <c r="D270">
        <v>25187091</v>
      </c>
      <c r="E270">
        <v>1</v>
      </c>
      <c r="F270">
        <v>1</v>
      </c>
      <c r="G270">
        <v>1</v>
      </c>
      <c r="H270">
        <v>3</v>
      </c>
      <c r="I270" t="s">
        <v>620</v>
      </c>
      <c r="J270" t="s">
        <v>621</v>
      </c>
      <c r="K270" t="s">
        <v>622</v>
      </c>
      <c r="L270">
        <v>1348</v>
      </c>
      <c r="N270">
        <v>1009</v>
      </c>
      <c r="O270" t="s">
        <v>65</v>
      </c>
      <c r="P270" t="s">
        <v>65</v>
      </c>
      <c r="Q270">
        <v>1000</v>
      </c>
      <c r="W270">
        <v>0</v>
      </c>
      <c r="X270">
        <v>-909021926</v>
      </c>
      <c r="Y270">
        <v>8.9999999999999993E-3</v>
      </c>
      <c r="AA270">
        <v>16950</v>
      </c>
      <c r="AB270">
        <v>0</v>
      </c>
      <c r="AC270">
        <v>0</v>
      </c>
      <c r="AD270">
        <v>0</v>
      </c>
      <c r="AE270">
        <v>16950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8.9999999999999993E-3</v>
      </c>
      <c r="AU270" t="s">
        <v>6</v>
      </c>
      <c r="AV270">
        <v>0</v>
      </c>
      <c r="AW270">
        <v>2</v>
      </c>
      <c r="AX270">
        <v>27935752</v>
      </c>
      <c r="AY270">
        <v>1</v>
      </c>
      <c r="AZ270">
        <v>0</v>
      </c>
      <c r="BA270">
        <v>278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Y270*Source!I100</f>
        <v>5.579999999999999E-4</v>
      </c>
      <c r="CY270">
        <f>AA270</f>
        <v>16950</v>
      </c>
      <c r="CZ270">
        <f>AE270</f>
        <v>16950</v>
      </c>
      <c r="DA270">
        <f>AI270</f>
        <v>1</v>
      </c>
      <c r="DB270">
        <f t="shared" si="42"/>
        <v>152.55000000000001</v>
      </c>
      <c r="DC270">
        <f t="shared" si="43"/>
        <v>0</v>
      </c>
    </row>
    <row r="271" spans="1:107" x14ac:dyDescent="0.2">
      <c r="A271">
        <f>ROW(Source!A101)</f>
        <v>101</v>
      </c>
      <c r="B271">
        <v>27935368</v>
      </c>
      <c r="C271">
        <v>27935740</v>
      </c>
      <c r="D271">
        <v>25418547</v>
      </c>
      <c r="E271">
        <v>1</v>
      </c>
      <c r="F271">
        <v>1</v>
      </c>
      <c r="G271">
        <v>1</v>
      </c>
      <c r="H271">
        <v>1</v>
      </c>
      <c r="I271" t="s">
        <v>466</v>
      </c>
      <c r="J271" t="s">
        <v>6</v>
      </c>
      <c r="K271" t="s">
        <v>467</v>
      </c>
      <c r="L271">
        <v>1191</v>
      </c>
      <c r="N271">
        <v>1013</v>
      </c>
      <c r="O271" t="s">
        <v>459</v>
      </c>
      <c r="P271" t="s">
        <v>459</v>
      </c>
      <c r="Q271">
        <v>1</v>
      </c>
      <c r="W271">
        <v>0</v>
      </c>
      <c r="X271">
        <v>-784637506</v>
      </c>
      <c r="Y271">
        <v>65.94</v>
      </c>
      <c r="AA271">
        <v>0</v>
      </c>
      <c r="AB271">
        <v>0</v>
      </c>
      <c r="AC271">
        <v>0</v>
      </c>
      <c r="AD271">
        <v>53.4</v>
      </c>
      <c r="AE271">
        <v>0</v>
      </c>
      <c r="AF271">
        <v>0</v>
      </c>
      <c r="AG271">
        <v>0</v>
      </c>
      <c r="AH271">
        <v>8.74</v>
      </c>
      <c r="AI271">
        <v>1</v>
      </c>
      <c r="AJ271">
        <v>1</v>
      </c>
      <c r="AK271">
        <v>1</v>
      </c>
      <c r="AL271">
        <v>6.11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65.94</v>
      </c>
      <c r="AU271" t="s">
        <v>6</v>
      </c>
      <c r="AV271">
        <v>1</v>
      </c>
      <c r="AW271">
        <v>2</v>
      </c>
      <c r="AX271">
        <v>27935747</v>
      </c>
      <c r="AY271">
        <v>1</v>
      </c>
      <c r="AZ271">
        <v>0</v>
      </c>
      <c r="BA271">
        <v>279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Y271*Source!I101</f>
        <v>4.0882800000000001</v>
      </c>
      <c r="CY271">
        <f>AD271</f>
        <v>53.4</v>
      </c>
      <c r="CZ271">
        <f>AH271</f>
        <v>8.74</v>
      </c>
      <c r="DA271">
        <f>AL271</f>
        <v>6.11</v>
      </c>
      <c r="DB271">
        <f t="shared" si="42"/>
        <v>576.32000000000005</v>
      </c>
      <c r="DC271">
        <f t="shared" si="43"/>
        <v>0</v>
      </c>
    </row>
    <row r="272" spans="1:107" x14ac:dyDescent="0.2">
      <c r="A272">
        <f>ROW(Source!A101)</f>
        <v>101</v>
      </c>
      <c r="B272">
        <v>27935368</v>
      </c>
      <c r="C272">
        <v>27935740</v>
      </c>
      <c r="D272">
        <v>25412928</v>
      </c>
      <c r="E272">
        <v>1</v>
      </c>
      <c r="F272">
        <v>1</v>
      </c>
      <c r="G272">
        <v>1</v>
      </c>
      <c r="H272">
        <v>1</v>
      </c>
      <c r="I272" t="s">
        <v>460</v>
      </c>
      <c r="J272" t="s">
        <v>6</v>
      </c>
      <c r="K272" t="s">
        <v>461</v>
      </c>
      <c r="L272">
        <v>1191</v>
      </c>
      <c r="N272">
        <v>1013</v>
      </c>
      <c r="O272" t="s">
        <v>459</v>
      </c>
      <c r="P272" t="s">
        <v>459</v>
      </c>
      <c r="Q272">
        <v>1</v>
      </c>
      <c r="W272">
        <v>0</v>
      </c>
      <c r="X272">
        <v>-1417349443</v>
      </c>
      <c r="Y272">
        <v>0.01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6.11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0.01</v>
      </c>
      <c r="AU272" t="s">
        <v>6</v>
      </c>
      <c r="AV272">
        <v>2</v>
      </c>
      <c r="AW272">
        <v>2</v>
      </c>
      <c r="AX272">
        <v>27935748</v>
      </c>
      <c r="AY272">
        <v>1</v>
      </c>
      <c r="AZ272">
        <v>0</v>
      </c>
      <c r="BA272">
        <v>280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Y272*Source!I101</f>
        <v>6.2E-4</v>
      </c>
      <c r="CY272">
        <f>AD272</f>
        <v>0</v>
      </c>
      <c r="CZ272">
        <f>AH272</f>
        <v>0</v>
      </c>
      <c r="DA272">
        <f>AL272</f>
        <v>1</v>
      </c>
      <c r="DB272">
        <f t="shared" si="42"/>
        <v>0</v>
      </c>
      <c r="DC272">
        <f t="shared" si="43"/>
        <v>0</v>
      </c>
    </row>
    <row r="273" spans="1:107" x14ac:dyDescent="0.2">
      <c r="A273">
        <f>ROW(Source!A101)</f>
        <v>101</v>
      </c>
      <c r="B273">
        <v>27935368</v>
      </c>
      <c r="C273">
        <v>27935740</v>
      </c>
      <c r="D273">
        <v>25231607</v>
      </c>
      <c r="E273">
        <v>1</v>
      </c>
      <c r="F273">
        <v>1</v>
      </c>
      <c r="G273">
        <v>1</v>
      </c>
      <c r="H273">
        <v>2</v>
      </c>
      <c r="I273" t="s">
        <v>468</v>
      </c>
      <c r="J273" t="s">
        <v>469</v>
      </c>
      <c r="K273" t="s">
        <v>470</v>
      </c>
      <c r="L273">
        <v>1368</v>
      </c>
      <c r="N273">
        <v>1011</v>
      </c>
      <c r="O273" t="s">
        <v>465</v>
      </c>
      <c r="P273" t="s">
        <v>465</v>
      </c>
      <c r="Q273">
        <v>1</v>
      </c>
      <c r="W273">
        <v>0</v>
      </c>
      <c r="X273">
        <v>1372534845</v>
      </c>
      <c r="Y273">
        <v>0.01</v>
      </c>
      <c r="AA273">
        <v>0</v>
      </c>
      <c r="AB273">
        <v>401.49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6.11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0.01</v>
      </c>
      <c r="AU273" t="s">
        <v>6</v>
      </c>
      <c r="AV273">
        <v>0</v>
      </c>
      <c r="AW273">
        <v>2</v>
      </c>
      <c r="AX273">
        <v>27935749</v>
      </c>
      <c r="AY273">
        <v>1</v>
      </c>
      <c r="AZ273">
        <v>0</v>
      </c>
      <c r="BA273">
        <v>281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Y273*Source!I101</f>
        <v>6.2E-4</v>
      </c>
      <c r="CY273">
        <f>AB273</f>
        <v>401.49</v>
      </c>
      <c r="CZ273">
        <f>AF273</f>
        <v>65.709999999999994</v>
      </c>
      <c r="DA273">
        <f>AJ273</f>
        <v>6.11</v>
      </c>
      <c r="DB273">
        <f t="shared" si="42"/>
        <v>0.66</v>
      </c>
      <c r="DC273">
        <f t="shared" si="43"/>
        <v>0.12</v>
      </c>
    </row>
    <row r="274" spans="1:107" x14ac:dyDescent="0.2">
      <c r="A274">
        <f>ROW(Source!A101)</f>
        <v>101</v>
      </c>
      <c r="B274">
        <v>27935368</v>
      </c>
      <c r="C274">
        <v>27935740</v>
      </c>
      <c r="D274">
        <v>25153690</v>
      </c>
      <c r="E274">
        <v>1</v>
      </c>
      <c r="F274">
        <v>1</v>
      </c>
      <c r="G274">
        <v>1</v>
      </c>
      <c r="H274">
        <v>3</v>
      </c>
      <c r="I274" t="s">
        <v>495</v>
      </c>
      <c r="J274" t="s">
        <v>496</v>
      </c>
      <c r="K274" t="s">
        <v>497</v>
      </c>
      <c r="L274">
        <v>1346</v>
      </c>
      <c r="N274">
        <v>1009</v>
      </c>
      <c r="O274" t="s">
        <v>60</v>
      </c>
      <c r="P274" t="s">
        <v>60</v>
      </c>
      <c r="Q274">
        <v>1</v>
      </c>
      <c r="W274">
        <v>0</v>
      </c>
      <c r="X274">
        <v>813963326</v>
      </c>
      <c r="Y274">
        <v>0.1</v>
      </c>
      <c r="AA274">
        <v>11.12</v>
      </c>
      <c r="AB274">
        <v>0</v>
      </c>
      <c r="AC274">
        <v>0</v>
      </c>
      <c r="AD274">
        <v>0</v>
      </c>
      <c r="AE274">
        <v>1.82</v>
      </c>
      <c r="AF274">
        <v>0</v>
      </c>
      <c r="AG274">
        <v>0</v>
      </c>
      <c r="AH274">
        <v>0</v>
      </c>
      <c r="AI274">
        <v>6.11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0.1</v>
      </c>
      <c r="AU274" t="s">
        <v>6</v>
      </c>
      <c r="AV274">
        <v>0</v>
      </c>
      <c r="AW274">
        <v>2</v>
      </c>
      <c r="AX274">
        <v>27935750</v>
      </c>
      <c r="AY274">
        <v>1</v>
      </c>
      <c r="AZ274">
        <v>0</v>
      </c>
      <c r="BA274">
        <v>282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Y274*Source!I101</f>
        <v>6.2000000000000006E-3</v>
      </c>
      <c r="CY274">
        <f>AA274</f>
        <v>11.12</v>
      </c>
      <c r="CZ274">
        <f>AE274</f>
        <v>1.82</v>
      </c>
      <c r="DA274">
        <f>AI274</f>
        <v>6.11</v>
      </c>
      <c r="DB274">
        <f t="shared" si="42"/>
        <v>0.18</v>
      </c>
      <c r="DC274">
        <f t="shared" si="43"/>
        <v>0</v>
      </c>
    </row>
    <row r="275" spans="1:107" x14ac:dyDescent="0.2">
      <c r="A275">
        <f>ROW(Source!A101)</f>
        <v>101</v>
      </c>
      <c r="B275">
        <v>27935368</v>
      </c>
      <c r="C275">
        <v>27935740</v>
      </c>
      <c r="D275">
        <v>25186369</v>
      </c>
      <c r="E275">
        <v>1</v>
      </c>
      <c r="F275">
        <v>1</v>
      </c>
      <c r="G275">
        <v>1</v>
      </c>
      <c r="H275">
        <v>3</v>
      </c>
      <c r="I275" t="s">
        <v>208</v>
      </c>
      <c r="J275" t="s">
        <v>210</v>
      </c>
      <c r="K275" t="s">
        <v>209</v>
      </c>
      <c r="L275">
        <v>1348</v>
      </c>
      <c r="N275">
        <v>1009</v>
      </c>
      <c r="O275" t="s">
        <v>65</v>
      </c>
      <c r="P275" t="s">
        <v>65</v>
      </c>
      <c r="Q275">
        <v>1000</v>
      </c>
      <c r="W275">
        <v>0</v>
      </c>
      <c r="X275">
        <v>1129880761</v>
      </c>
      <c r="Y275">
        <v>1.61E-2</v>
      </c>
      <c r="AA275">
        <v>128668.47</v>
      </c>
      <c r="AB275">
        <v>0</v>
      </c>
      <c r="AC275">
        <v>0</v>
      </c>
      <c r="AD275">
        <v>0</v>
      </c>
      <c r="AE275">
        <v>21058.67</v>
      </c>
      <c r="AF275">
        <v>0</v>
      </c>
      <c r="AG275">
        <v>0</v>
      </c>
      <c r="AH275">
        <v>0</v>
      </c>
      <c r="AI275">
        <v>6.11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6</v>
      </c>
      <c r="AT275">
        <v>1.61E-2</v>
      </c>
      <c r="AU275" t="s">
        <v>6</v>
      </c>
      <c r="AV275">
        <v>0</v>
      </c>
      <c r="AW275">
        <v>1</v>
      </c>
      <c r="AX275">
        <v>-1</v>
      </c>
      <c r="AY275">
        <v>0</v>
      </c>
      <c r="AZ275">
        <v>0</v>
      </c>
      <c r="BA275" t="s">
        <v>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Y275*Source!I101</f>
        <v>9.9819999999999987E-4</v>
      </c>
      <c r="CY275">
        <f>AA275</f>
        <v>128668.47</v>
      </c>
      <c r="CZ275">
        <f>AE275</f>
        <v>21058.67</v>
      </c>
      <c r="DA275">
        <f>AI275</f>
        <v>6.11</v>
      </c>
      <c r="DB275">
        <f t="shared" si="42"/>
        <v>339.04</v>
      </c>
      <c r="DC275">
        <f t="shared" si="43"/>
        <v>0</v>
      </c>
    </row>
    <row r="276" spans="1:107" x14ac:dyDescent="0.2">
      <c r="A276">
        <f>ROW(Source!A101)</f>
        <v>101</v>
      </c>
      <c r="B276">
        <v>27935368</v>
      </c>
      <c r="C276">
        <v>27935740</v>
      </c>
      <c r="D276">
        <v>25187091</v>
      </c>
      <c r="E276">
        <v>1</v>
      </c>
      <c r="F276">
        <v>1</v>
      </c>
      <c r="G276">
        <v>1</v>
      </c>
      <c r="H276">
        <v>3</v>
      </c>
      <c r="I276" t="s">
        <v>620</v>
      </c>
      <c r="J276" t="s">
        <v>621</v>
      </c>
      <c r="K276" t="s">
        <v>622</v>
      </c>
      <c r="L276">
        <v>1348</v>
      </c>
      <c r="N276">
        <v>1009</v>
      </c>
      <c r="O276" t="s">
        <v>65</v>
      </c>
      <c r="P276" t="s">
        <v>65</v>
      </c>
      <c r="Q276">
        <v>1000</v>
      </c>
      <c r="W276">
        <v>0</v>
      </c>
      <c r="X276">
        <v>-909021926</v>
      </c>
      <c r="Y276">
        <v>8.9999999999999993E-3</v>
      </c>
      <c r="AA276">
        <v>103564.5</v>
      </c>
      <c r="AB276">
        <v>0</v>
      </c>
      <c r="AC276">
        <v>0</v>
      </c>
      <c r="AD276">
        <v>0</v>
      </c>
      <c r="AE276">
        <v>16950</v>
      </c>
      <c r="AF276">
        <v>0</v>
      </c>
      <c r="AG276">
        <v>0</v>
      </c>
      <c r="AH276">
        <v>0</v>
      </c>
      <c r="AI276">
        <v>6.11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8.9999999999999993E-3</v>
      </c>
      <c r="AU276" t="s">
        <v>6</v>
      </c>
      <c r="AV276">
        <v>0</v>
      </c>
      <c r="AW276">
        <v>2</v>
      </c>
      <c r="AX276">
        <v>27935752</v>
      </c>
      <c r="AY276">
        <v>1</v>
      </c>
      <c r="AZ276">
        <v>0</v>
      </c>
      <c r="BA276">
        <v>284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Y276*Source!I101</f>
        <v>5.579999999999999E-4</v>
      </c>
      <c r="CY276">
        <f>AA276</f>
        <v>103564.5</v>
      </c>
      <c r="CZ276">
        <f>AE276</f>
        <v>16950</v>
      </c>
      <c r="DA276">
        <f>AI276</f>
        <v>6.11</v>
      </c>
      <c r="DB276">
        <f t="shared" si="42"/>
        <v>152.55000000000001</v>
      </c>
      <c r="DC276">
        <f t="shared" si="43"/>
        <v>0</v>
      </c>
    </row>
    <row r="277" spans="1:107" x14ac:dyDescent="0.2">
      <c r="A277">
        <f>ROW(Source!A104)</f>
        <v>104</v>
      </c>
      <c r="B277">
        <v>27935367</v>
      </c>
      <c r="C277">
        <v>27935754</v>
      </c>
      <c r="D277">
        <v>25413300</v>
      </c>
      <c r="E277">
        <v>1</v>
      </c>
      <c r="F277">
        <v>1</v>
      </c>
      <c r="G277">
        <v>1</v>
      </c>
      <c r="H277">
        <v>1</v>
      </c>
      <c r="I277" t="s">
        <v>491</v>
      </c>
      <c r="J277" t="s">
        <v>6</v>
      </c>
      <c r="K277" t="s">
        <v>492</v>
      </c>
      <c r="L277">
        <v>1191</v>
      </c>
      <c r="N277">
        <v>1013</v>
      </c>
      <c r="O277" t="s">
        <v>459</v>
      </c>
      <c r="P277" t="s">
        <v>459</v>
      </c>
      <c r="Q277">
        <v>1</v>
      </c>
      <c r="W277">
        <v>0</v>
      </c>
      <c r="X277">
        <v>-400197608</v>
      </c>
      <c r="Y277">
        <v>141.19999999999999</v>
      </c>
      <c r="AA277">
        <v>0</v>
      </c>
      <c r="AB277">
        <v>0</v>
      </c>
      <c r="AC277">
        <v>0</v>
      </c>
      <c r="AD277">
        <v>8.5299999999999994</v>
      </c>
      <c r="AE277">
        <v>0</v>
      </c>
      <c r="AF277">
        <v>0</v>
      </c>
      <c r="AG277">
        <v>0</v>
      </c>
      <c r="AH277">
        <v>8.5299999999999994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141.19999999999999</v>
      </c>
      <c r="AU277" t="s">
        <v>6</v>
      </c>
      <c r="AV277">
        <v>1</v>
      </c>
      <c r="AW277">
        <v>2</v>
      </c>
      <c r="AX277">
        <v>27935759</v>
      </c>
      <c r="AY277">
        <v>1</v>
      </c>
      <c r="AZ277">
        <v>0</v>
      </c>
      <c r="BA277">
        <v>285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Y277*Source!I104</f>
        <v>6.2127999999999988</v>
      </c>
      <c r="CY277">
        <f>AD277</f>
        <v>8.5299999999999994</v>
      </c>
      <c r="CZ277">
        <f>AH277</f>
        <v>8.5299999999999994</v>
      </c>
      <c r="DA277">
        <f>AL277</f>
        <v>1</v>
      </c>
      <c r="DB277">
        <f t="shared" si="42"/>
        <v>1204.44</v>
      </c>
      <c r="DC277">
        <f t="shared" si="43"/>
        <v>0</v>
      </c>
    </row>
    <row r="278" spans="1:107" x14ac:dyDescent="0.2">
      <c r="A278">
        <f>ROW(Source!A104)</f>
        <v>104</v>
      </c>
      <c r="B278">
        <v>27935367</v>
      </c>
      <c r="C278">
        <v>27935754</v>
      </c>
      <c r="D278">
        <v>25231936</v>
      </c>
      <c r="E278">
        <v>1</v>
      </c>
      <c r="F278">
        <v>1</v>
      </c>
      <c r="G278">
        <v>1</v>
      </c>
      <c r="H278">
        <v>2</v>
      </c>
      <c r="I278" t="s">
        <v>606</v>
      </c>
      <c r="J278" t="s">
        <v>607</v>
      </c>
      <c r="K278" t="s">
        <v>608</v>
      </c>
      <c r="L278">
        <v>1368</v>
      </c>
      <c r="N278">
        <v>1011</v>
      </c>
      <c r="O278" t="s">
        <v>465</v>
      </c>
      <c r="P278" t="s">
        <v>465</v>
      </c>
      <c r="Q278">
        <v>1</v>
      </c>
      <c r="W278">
        <v>0</v>
      </c>
      <c r="X278">
        <v>-2111251057</v>
      </c>
      <c r="Y278">
        <v>6.72</v>
      </c>
      <c r="AA278">
        <v>0</v>
      </c>
      <c r="AB278">
        <v>32.5</v>
      </c>
      <c r="AC278">
        <v>0</v>
      </c>
      <c r="AD278">
        <v>0</v>
      </c>
      <c r="AE278">
        <v>0</v>
      </c>
      <c r="AF278">
        <v>32.5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6.72</v>
      </c>
      <c r="AU278" t="s">
        <v>6</v>
      </c>
      <c r="AV278">
        <v>0</v>
      </c>
      <c r="AW278">
        <v>2</v>
      </c>
      <c r="AX278">
        <v>27935760</v>
      </c>
      <c r="AY278">
        <v>1</v>
      </c>
      <c r="AZ278">
        <v>0</v>
      </c>
      <c r="BA278">
        <v>286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Y278*Source!I104</f>
        <v>0.29568</v>
      </c>
      <c r="CY278">
        <f>AB278</f>
        <v>32.5</v>
      </c>
      <c r="CZ278">
        <f>AF278</f>
        <v>32.5</v>
      </c>
      <c r="DA278">
        <f>AJ278</f>
        <v>1</v>
      </c>
      <c r="DB278">
        <f t="shared" si="42"/>
        <v>218.4</v>
      </c>
      <c r="DC278">
        <f t="shared" si="43"/>
        <v>0</v>
      </c>
    </row>
    <row r="279" spans="1:107" x14ac:dyDescent="0.2">
      <c r="A279">
        <f>ROW(Source!A104)</f>
        <v>104</v>
      </c>
      <c r="B279">
        <v>27935367</v>
      </c>
      <c r="C279">
        <v>27935754</v>
      </c>
      <c r="D279">
        <v>25232531</v>
      </c>
      <c r="E279">
        <v>1</v>
      </c>
      <c r="F279">
        <v>1</v>
      </c>
      <c r="G279">
        <v>1</v>
      </c>
      <c r="H279">
        <v>2</v>
      </c>
      <c r="I279" t="s">
        <v>609</v>
      </c>
      <c r="J279" t="s">
        <v>610</v>
      </c>
      <c r="K279" t="s">
        <v>611</v>
      </c>
      <c r="L279">
        <v>1368</v>
      </c>
      <c r="N279">
        <v>1011</v>
      </c>
      <c r="O279" t="s">
        <v>465</v>
      </c>
      <c r="P279" t="s">
        <v>465</v>
      </c>
      <c r="Q279">
        <v>1</v>
      </c>
      <c r="W279">
        <v>0</v>
      </c>
      <c r="X279">
        <v>1518765163</v>
      </c>
      <c r="Y279">
        <v>13.44</v>
      </c>
      <c r="AA279">
        <v>0</v>
      </c>
      <c r="AB279">
        <v>1.53</v>
      </c>
      <c r="AC279">
        <v>0</v>
      </c>
      <c r="AD279">
        <v>0</v>
      </c>
      <c r="AE279">
        <v>0</v>
      </c>
      <c r="AF279">
        <v>1.53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13.44</v>
      </c>
      <c r="AU279" t="s">
        <v>6</v>
      </c>
      <c r="AV279">
        <v>0</v>
      </c>
      <c r="AW279">
        <v>2</v>
      </c>
      <c r="AX279">
        <v>27935761</v>
      </c>
      <c r="AY279">
        <v>1</v>
      </c>
      <c r="AZ279">
        <v>0</v>
      </c>
      <c r="BA279">
        <v>287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Y279*Source!I104</f>
        <v>0.59136</v>
      </c>
      <c r="CY279">
        <f>AB279</f>
        <v>1.53</v>
      </c>
      <c r="CZ279">
        <f>AF279</f>
        <v>1.53</v>
      </c>
      <c r="DA279">
        <f>AJ279</f>
        <v>1</v>
      </c>
      <c r="DB279">
        <f t="shared" si="42"/>
        <v>20.56</v>
      </c>
      <c r="DC279">
        <f t="shared" si="43"/>
        <v>0</v>
      </c>
    </row>
    <row r="280" spans="1:107" x14ac:dyDescent="0.2">
      <c r="A280">
        <f>ROW(Source!A104)</f>
        <v>104</v>
      </c>
      <c r="B280">
        <v>27935367</v>
      </c>
      <c r="C280">
        <v>27935754</v>
      </c>
      <c r="D280">
        <v>25147242</v>
      </c>
      <c r="E280">
        <v>17</v>
      </c>
      <c r="F280">
        <v>1</v>
      </c>
      <c r="G280">
        <v>1</v>
      </c>
      <c r="H280">
        <v>3</v>
      </c>
      <c r="I280" t="s">
        <v>218</v>
      </c>
      <c r="J280" t="s">
        <v>6</v>
      </c>
      <c r="K280" t="s">
        <v>219</v>
      </c>
      <c r="L280">
        <v>1348</v>
      </c>
      <c r="N280">
        <v>1009</v>
      </c>
      <c r="O280" t="s">
        <v>65</v>
      </c>
      <c r="P280" t="s">
        <v>65</v>
      </c>
      <c r="Q280">
        <v>1000</v>
      </c>
      <c r="W280">
        <v>0</v>
      </c>
      <c r="X280">
        <v>-66286256</v>
      </c>
      <c r="Y280">
        <v>19.399999999999999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</v>
      </c>
      <c r="AT280">
        <v>19.399999999999999</v>
      </c>
      <c r="AU280" t="s">
        <v>6</v>
      </c>
      <c r="AV280">
        <v>0</v>
      </c>
      <c r="AW280">
        <v>2</v>
      </c>
      <c r="AX280">
        <v>27935762</v>
      </c>
      <c r="AY280">
        <v>1</v>
      </c>
      <c r="AZ280">
        <v>0</v>
      </c>
      <c r="BA280">
        <v>288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Y280*Source!I104</f>
        <v>0.85359999999999991</v>
      </c>
      <c r="CY280">
        <f>AA280</f>
        <v>0</v>
      </c>
      <c r="CZ280">
        <f>AE280</f>
        <v>0</v>
      </c>
      <c r="DA280">
        <f>AI280</f>
        <v>1</v>
      </c>
      <c r="DB280">
        <f t="shared" si="42"/>
        <v>0</v>
      </c>
      <c r="DC280">
        <f t="shared" si="43"/>
        <v>0</v>
      </c>
    </row>
    <row r="281" spans="1:107" x14ac:dyDescent="0.2">
      <c r="A281">
        <f>ROW(Source!A105)</f>
        <v>105</v>
      </c>
      <c r="B281">
        <v>27935368</v>
      </c>
      <c r="C281">
        <v>27935754</v>
      </c>
      <c r="D281">
        <v>25413300</v>
      </c>
      <c r="E281">
        <v>1</v>
      </c>
      <c r="F281">
        <v>1</v>
      </c>
      <c r="G281">
        <v>1</v>
      </c>
      <c r="H281">
        <v>1</v>
      </c>
      <c r="I281" t="s">
        <v>491</v>
      </c>
      <c r="J281" t="s">
        <v>6</v>
      </c>
      <c r="K281" t="s">
        <v>492</v>
      </c>
      <c r="L281">
        <v>1191</v>
      </c>
      <c r="N281">
        <v>1013</v>
      </c>
      <c r="O281" t="s">
        <v>459</v>
      </c>
      <c r="P281" t="s">
        <v>459</v>
      </c>
      <c r="Q281">
        <v>1</v>
      </c>
      <c r="W281">
        <v>0</v>
      </c>
      <c r="X281">
        <v>-400197608</v>
      </c>
      <c r="Y281">
        <v>141.19999999999999</v>
      </c>
      <c r="AA281">
        <v>0</v>
      </c>
      <c r="AB281">
        <v>0</v>
      </c>
      <c r="AC281">
        <v>0</v>
      </c>
      <c r="AD281">
        <v>52.12</v>
      </c>
      <c r="AE281">
        <v>0</v>
      </c>
      <c r="AF281">
        <v>0</v>
      </c>
      <c r="AG281">
        <v>0</v>
      </c>
      <c r="AH281">
        <v>8.5299999999999994</v>
      </c>
      <c r="AI281">
        <v>1</v>
      </c>
      <c r="AJ281">
        <v>1</v>
      </c>
      <c r="AK281">
        <v>1</v>
      </c>
      <c r="AL281">
        <v>6.11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141.19999999999999</v>
      </c>
      <c r="AU281" t="s">
        <v>6</v>
      </c>
      <c r="AV281">
        <v>1</v>
      </c>
      <c r="AW281">
        <v>2</v>
      </c>
      <c r="AX281">
        <v>27935759</v>
      </c>
      <c r="AY281">
        <v>1</v>
      </c>
      <c r="AZ281">
        <v>0</v>
      </c>
      <c r="BA281">
        <v>289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Y281*Source!I105</f>
        <v>6.2127999999999988</v>
      </c>
      <c r="CY281">
        <f>AD281</f>
        <v>52.12</v>
      </c>
      <c r="CZ281">
        <f>AH281</f>
        <v>8.5299999999999994</v>
      </c>
      <c r="DA281">
        <f>AL281</f>
        <v>6.11</v>
      </c>
      <c r="DB281">
        <f t="shared" si="42"/>
        <v>1204.44</v>
      </c>
      <c r="DC281">
        <f t="shared" si="43"/>
        <v>0</v>
      </c>
    </row>
    <row r="282" spans="1:107" x14ac:dyDescent="0.2">
      <c r="A282">
        <f>ROW(Source!A105)</f>
        <v>105</v>
      </c>
      <c r="B282">
        <v>27935368</v>
      </c>
      <c r="C282">
        <v>27935754</v>
      </c>
      <c r="D282">
        <v>25231936</v>
      </c>
      <c r="E282">
        <v>1</v>
      </c>
      <c r="F282">
        <v>1</v>
      </c>
      <c r="G282">
        <v>1</v>
      </c>
      <c r="H282">
        <v>2</v>
      </c>
      <c r="I282" t="s">
        <v>606</v>
      </c>
      <c r="J282" t="s">
        <v>607</v>
      </c>
      <c r="K282" t="s">
        <v>608</v>
      </c>
      <c r="L282">
        <v>1368</v>
      </c>
      <c r="N282">
        <v>1011</v>
      </c>
      <c r="O282" t="s">
        <v>465</v>
      </c>
      <c r="P282" t="s">
        <v>465</v>
      </c>
      <c r="Q282">
        <v>1</v>
      </c>
      <c r="W282">
        <v>0</v>
      </c>
      <c r="X282">
        <v>-2111251057</v>
      </c>
      <c r="Y282">
        <v>6.72</v>
      </c>
      <c r="AA282">
        <v>0</v>
      </c>
      <c r="AB282">
        <v>198.58</v>
      </c>
      <c r="AC282">
        <v>0</v>
      </c>
      <c r="AD282">
        <v>0</v>
      </c>
      <c r="AE282">
        <v>0</v>
      </c>
      <c r="AF282">
        <v>32.5</v>
      </c>
      <c r="AG282">
        <v>0</v>
      </c>
      <c r="AH282">
        <v>0</v>
      </c>
      <c r="AI282">
        <v>1</v>
      </c>
      <c r="AJ282">
        <v>6.11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6.72</v>
      </c>
      <c r="AU282" t="s">
        <v>6</v>
      </c>
      <c r="AV282">
        <v>0</v>
      </c>
      <c r="AW282">
        <v>2</v>
      </c>
      <c r="AX282">
        <v>27935760</v>
      </c>
      <c r="AY282">
        <v>1</v>
      </c>
      <c r="AZ282">
        <v>0</v>
      </c>
      <c r="BA282">
        <v>290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Y282*Source!I105</f>
        <v>0.29568</v>
      </c>
      <c r="CY282">
        <f>AB282</f>
        <v>198.58</v>
      </c>
      <c r="CZ282">
        <f>AF282</f>
        <v>32.5</v>
      </c>
      <c r="DA282">
        <f>AJ282</f>
        <v>6.11</v>
      </c>
      <c r="DB282">
        <f t="shared" si="42"/>
        <v>218.4</v>
      </c>
      <c r="DC282">
        <f t="shared" si="43"/>
        <v>0</v>
      </c>
    </row>
    <row r="283" spans="1:107" x14ac:dyDescent="0.2">
      <c r="A283">
        <f>ROW(Source!A105)</f>
        <v>105</v>
      </c>
      <c r="B283">
        <v>27935368</v>
      </c>
      <c r="C283">
        <v>27935754</v>
      </c>
      <c r="D283">
        <v>25232531</v>
      </c>
      <c r="E283">
        <v>1</v>
      </c>
      <c r="F283">
        <v>1</v>
      </c>
      <c r="G283">
        <v>1</v>
      </c>
      <c r="H283">
        <v>2</v>
      </c>
      <c r="I283" t="s">
        <v>609</v>
      </c>
      <c r="J283" t="s">
        <v>610</v>
      </c>
      <c r="K283" t="s">
        <v>611</v>
      </c>
      <c r="L283">
        <v>1368</v>
      </c>
      <c r="N283">
        <v>1011</v>
      </c>
      <c r="O283" t="s">
        <v>465</v>
      </c>
      <c r="P283" t="s">
        <v>465</v>
      </c>
      <c r="Q283">
        <v>1</v>
      </c>
      <c r="W283">
        <v>0</v>
      </c>
      <c r="X283">
        <v>1518765163</v>
      </c>
      <c r="Y283">
        <v>13.44</v>
      </c>
      <c r="AA283">
        <v>0</v>
      </c>
      <c r="AB283">
        <v>9.35</v>
      </c>
      <c r="AC283">
        <v>0</v>
      </c>
      <c r="AD283">
        <v>0</v>
      </c>
      <c r="AE283">
        <v>0</v>
      </c>
      <c r="AF283">
        <v>1.53</v>
      </c>
      <c r="AG283">
        <v>0</v>
      </c>
      <c r="AH283">
        <v>0</v>
      </c>
      <c r="AI283">
        <v>1</v>
      </c>
      <c r="AJ283">
        <v>6.11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13.44</v>
      </c>
      <c r="AU283" t="s">
        <v>6</v>
      </c>
      <c r="AV283">
        <v>0</v>
      </c>
      <c r="AW283">
        <v>2</v>
      </c>
      <c r="AX283">
        <v>27935761</v>
      </c>
      <c r="AY283">
        <v>1</v>
      </c>
      <c r="AZ283">
        <v>0</v>
      </c>
      <c r="BA283">
        <v>291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Y283*Source!I105</f>
        <v>0.59136</v>
      </c>
      <c r="CY283">
        <f>AB283</f>
        <v>9.35</v>
      </c>
      <c r="CZ283">
        <f>AF283</f>
        <v>1.53</v>
      </c>
      <c r="DA283">
        <f>AJ283</f>
        <v>6.11</v>
      </c>
      <c r="DB283">
        <f t="shared" si="42"/>
        <v>20.56</v>
      </c>
      <c r="DC283">
        <f t="shared" si="43"/>
        <v>0</v>
      </c>
    </row>
    <row r="284" spans="1:107" x14ac:dyDescent="0.2">
      <c r="A284">
        <f>ROW(Source!A105)</f>
        <v>105</v>
      </c>
      <c r="B284">
        <v>27935368</v>
      </c>
      <c r="C284">
        <v>27935754</v>
      </c>
      <c r="D284">
        <v>25147242</v>
      </c>
      <c r="E284">
        <v>17</v>
      </c>
      <c r="F284">
        <v>1</v>
      </c>
      <c r="G284">
        <v>1</v>
      </c>
      <c r="H284">
        <v>3</v>
      </c>
      <c r="I284" t="s">
        <v>218</v>
      </c>
      <c r="J284" t="s">
        <v>6</v>
      </c>
      <c r="K284" t="s">
        <v>219</v>
      </c>
      <c r="L284">
        <v>1348</v>
      </c>
      <c r="N284">
        <v>1009</v>
      </c>
      <c r="O284" t="s">
        <v>65</v>
      </c>
      <c r="P284" t="s">
        <v>65</v>
      </c>
      <c r="Q284">
        <v>1000</v>
      </c>
      <c r="W284">
        <v>0</v>
      </c>
      <c r="X284">
        <v>-66286256</v>
      </c>
      <c r="Y284">
        <v>19.399999999999999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6.11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</v>
      </c>
      <c r="AT284">
        <v>19.399999999999999</v>
      </c>
      <c r="AU284" t="s">
        <v>6</v>
      </c>
      <c r="AV284">
        <v>0</v>
      </c>
      <c r="AW284">
        <v>2</v>
      </c>
      <c r="AX284">
        <v>27935762</v>
      </c>
      <c r="AY284">
        <v>1</v>
      </c>
      <c r="AZ284">
        <v>0</v>
      </c>
      <c r="BA284">
        <v>292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Y284*Source!I105</f>
        <v>0.85359999999999991</v>
      </c>
      <c r="CY284">
        <f>AA284</f>
        <v>0</v>
      </c>
      <c r="CZ284">
        <f>AE284</f>
        <v>0</v>
      </c>
      <c r="DA284">
        <f>AI284</f>
        <v>6.11</v>
      </c>
      <c r="DB284">
        <f t="shared" si="42"/>
        <v>0</v>
      </c>
      <c r="DC284">
        <f t="shared" si="43"/>
        <v>0</v>
      </c>
    </row>
    <row r="285" spans="1:107" x14ac:dyDescent="0.2">
      <c r="A285">
        <f>ROW(Source!A108)</f>
        <v>108</v>
      </c>
      <c r="B285">
        <v>27935367</v>
      </c>
      <c r="C285">
        <v>27935764</v>
      </c>
      <c r="D285">
        <v>25413300</v>
      </c>
      <c r="E285">
        <v>1</v>
      </c>
      <c r="F285">
        <v>1</v>
      </c>
      <c r="G285">
        <v>1</v>
      </c>
      <c r="H285">
        <v>1</v>
      </c>
      <c r="I285" t="s">
        <v>491</v>
      </c>
      <c r="J285" t="s">
        <v>6</v>
      </c>
      <c r="K285" t="s">
        <v>492</v>
      </c>
      <c r="L285">
        <v>1191</v>
      </c>
      <c r="N285">
        <v>1013</v>
      </c>
      <c r="O285" t="s">
        <v>459</v>
      </c>
      <c r="P285" t="s">
        <v>459</v>
      </c>
      <c r="Q285">
        <v>1</v>
      </c>
      <c r="W285">
        <v>0</v>
      </c>
      <c r="X285">
        <v>-400197608</v>
      </c>
      <c r="Y285">
        <v>39.744</v>
      </c>
      <c r="AA285">
        <v>0</v>
      </c>
      <c r="AB285">
        <v>0</v>
      </c>
      <c r="AC285">
        <v>0</v>
      </c>
      <c r="AD285">
        <v>8.5299999999999994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34.56</v>
      </c>
      <c r="AU285" t="s">
        <v>28</v>
      </c>
      <c r="AV285">
        <v>1</v>
      </c>
      <c r="AW285">
        <v>2</v>
      </c>
      <c r="AX285">
        <v>27935769</v>
      </c>
      <c r="AY285">
        <v>1</v>
      </c>
      <c r="AZ285">
        <v>0</v>
      </c>
      <c r="BA285">
        <v>293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Y285*Source!I108</f>
        <v>4.0936319999999995</v>
      </c>
      <c r="CY285">
        <f>AD285</f>
        <v>8.5299999999999994</v>
      </c>
      <c r="CZ285">
        <f>AH285</f>
        <v>8.5299999999999994</v>
      </c>
      <c r="DA285">
        <f>AL285</f>
        <v>1</v>
      </c>
      <c r="DB285">
        <f>ROUND((ROUND(AT285*CZ285,2)*1.15),2)</f>
        <v>339.02</v>
      </c>
      <c r="DC285">
        <f>ROUND((ROUND(AT285*AG285,2)*1.15),2)</f>
        <v>0</v>
      </c>
    </row>
    <row r="286" spans="1:107" x14ac:dyDescent="0.2">
      <c r="A286">
        <f>ROW(Source!A108)</f>
        <v>108</v>
      </c>
      <c r="B286">
        <v>27935367</v>
      </c>
      <c r="C286">
        <v>27935764</v>
      </c>
      <c r="D286">
        <v>25150090</v>
      </c>
      <c r="E286">
        <v>1</v>
      </c>
      <c r="F286">
        <v>1</v>
      </c>
      <c r="G286">
        <v>1</v>
      </c>
      <c r="H286">
        <v>3</v>
      </c>
      <c r="I286" t="s">
        <v>229</v>
      </c>
      <c r="J286" t="s">
        <v>232</v>
      </c>
      <c r="K286" t="s">
        <v>230</v>
      </c>
      <c r="L286">
        <v>1035</v>
      </c>
      <c r="N286">
        <v>1013</v>
      </c>
      <c r="O286" t="s">
        <v>231</v>
      </c>
      <c r="P286" t="s">
        <v>231</v>
      </c>
      <c r="Q286">
        <v>1</v>
      </c>
      <c r="W286">
        <v>0</v>
      </c>
      <c r="X286">
        <v>178640745</v>
      </c>
      <c r="Y286">
        <v>29.126214000000001</v>
      </c>
      <c r="AA286">
        <v>72.77</v>
      </c>
      <c r="AB286">
        <v>0</v>
      </c>
      <c r="AC286">
        <v>0</v>
      </c>
      <c r="AD286">
        <v>0</v>
      </c>
      <c r="AE286">
        <v>72.77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29.126214000000001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Y286*Source!I108</f>
        <v>3.0000000419999999</v>
      </c>
      <c r="CY286">
        <f>AA286</f>
        <v>72.77</v>
      </c>
      <c r="CZ286">
        <f>AE286</f>
        <v>72.77</v>
      </c>
      <c r="DA286">
        <f>AI286</f>
        <v>1</v>
      </c>
      <c r="DB286">
        <f>ROUND(ROUND(AT286*CZ286,2),2)</f>
        <v>2119.5100000000002</v>
      </c>
      <c r="DC286">
        <f>ROUND(ROUND(AT286*AG286,2),2)</f>
        <v>0</v>
      </c>
    </row>
    <row r="287" spans="1:107" x14ac:dyDescent="0.2">
      <c r="A287">
        <f>ROW(Source!A108)</f>
        <v>108</v>
      </c>
      <c r="B287">
        <v>27935367</v>
      </c>
      <c r="C287">
        <v>27935764</v>
      </c>
      <c r="D287">
        <v>25175756</v>
      </c>
      <c r="E287">
        <v>1</v>
      </c>
      <c r="F287">
        <v>1</v>
      </c>
      <c r="G287">
        <v>1</v>
      </c>
      <c r="H287">
        <v>3</v>
      </c>
      <c r="I287" t="s">
        <v>623</v>
      </c>
      <c r="J287" t="s">
        <v>624</v>
      </c>
      <c r="K287" t="s">
        <v>625</v>
      </c>
      <c r="L287">
        <v>1327</v>
      </c>
      <c r="N287">
        <v>1005</v>
      </c>
      <c r="O287" t="s">
        <v>35</v>
      </c>
      <c r="P287" t="s">
        <v>35</v>
      </c>
      <c r="Q287">
        <v>1</v>
      </c>
      <c r="W287">
        <v>0</v>
      </c>
      <c r="X287">
        <v>1818210239</v>
      </c>
      <c r="Y287">
        <v>100</v>
      </c>
      <c r="AA287">
        <v>701.31</v>
      </c>
      <c r="AB287">
        <v>0</v>
      </c>
      <c r="AC287">
        <v>0</v>
      </c>
      <c r="AD287">
        <v>0</v>
      </c>
      <c r="AE287">
        <v>701.31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100</v>
      </c>
      <c r="AU287" t="s">
        <v>6</v>
      </c>
      <c r="AV287">
        <v>0</v>
      </c>
      <c r="AW287">
        <v>2</v>
      </c>
      <c r="AX287">
        <v>27935770</v>
      </c>
      <c r="AY287">
        <v>1</v>
      </c>
      <c r="AZ287">
        <v>0</v>
      </c>
      <c r="BA287">
        <v>294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Y287*Source!I108</f>
        <v>10.299999999999999</v>
      </c>
      <c r="CY287">
        <f>AA287</f>
        <v>701.31</v>
      </c>
      <c r="CZ287">
        <f>AE287</f>
        <v>701.31</v>
      </c>
      <c r="DA287">
        <f>AI287</f>
        <v>1</v>
      </c>
      <c r="DB287">
        <f>ROUND(ROUND(AT287*CZ287,2),2)</f>
        <v>70131</v>
      </c>
      <c r="DC287">
        <f>ROUND(ROUND(AT287*AG287,2),2)</f>
        <v>0</v>
      </c>
    </row>
    <row r="288" spans="1:107" x14ac:dyDescent="0.2">
      <c r="A288">
        <f>ROW(Source!A108)</f>
        <v>108</v>
      </c>
      <c r="B288">
        <v>27935367</v>
      </c>
      <c r="C288">
        <v>27935764</v>
      </c>
      <c r="D288">
        <v>25178886</v>
      </c>
      <c r="E288">
        <v>1</v>
      </c>
      <c r="F288">
        <v>1</v>
      </c>
      <c r="G288">
        <v>1</v>
      </c>
      <c r="H288">
        <v>3</v>
      </c>
      <c r="I288" t="s">
        <v>225</v>
      </c>
      <c r="J288" t="s">
        <v>227</v>
      </c>
      <c r="K288" t="s">
        <v>226</v>
      </c>
      <c r="L288">
        <v>1327</v>
      </c>
      <c r="N288">
        <v>1005</v>
      </c>
      <c r="O288" t="s">
        <v>35</v>
      </c>
      <c r="P288" t="s">
        <v>35</v>
      </c>
      <c r="Q288">
        <v>1</v>
      </c>
      <c r="W288">
        <v>0</v>
      </c>
      <c r="X288">
        <v>893131269</v>
      </c>
      <c r="Y288">
        <v>34.951456</v>
      </c>
      <c r="AA288">
        <v>268.88</v>
      </c>
      <c r="AB288">
        <v>0</v>
      </c>
      <c r="AC288">
        <v>0</v>
      </c>
      <c r="AD288">
        <v>0</v>
      </c>
      <c r="AE288">
        <v>268.88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34.951456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Y288*Source!I108</f>
        <v>3.5999999679999997</v>
      </c>
      <c r="CY288">
        <f>AA288</f>
        <v>268.88</v>
      </c>
      <c r="CZ288">
        <f>AE288</f>
        <v>268.88</v>
      </c>
      <c r="DA288">
        <f>AI288</f>
        <v>1</v>
      </c>
      <c r="DB288">
        <f>ROUND(ROUND(AT288*CZ288,2),2)</f>
        <v>9397.75</v>
      </c>
      <c r="DC288">
        <f>ROUND(ROUND(AT288*AG288,2),2)</f>
        <v>0</v>
      </c>
    </row>
    <row r="289" spans="1:107" x14ac:dyDescent="0.2">
      <c r="A289">
        <f>ROW(Source!A109)</f>
        <v>109</v>
      </c>
      <c r="B289">
        <v>27935368</v>
      </c>
      <c r="C289">
        <v>27935764</v>
      </c>
      <c r="D289">
        <v>25413300</v>
      </c>
      <c r="E289">
        <v>1</v>
      </c>
      <c r="F289">
        <v>1</v>
      </c>
      <c r="G289">
        <v>1</v>
      </c>
      <c r="H289">
        <v>1</v>
      </c>
      <c r="I289" t="s">
        <v>491</v>
      </c>
      <c r="J289" t="s">
        <v>6</v>
      </c>
      <c r="K289" t="s">
        <v>492</v>
      </c>
      <c r="L289">
        <v>1191</v>
      </c>
      <c r="N289">
        <v>1013</v>
      </c>
      <c r="O289" t="s">
        <v>459</v>
      </c>
      <c r="P289" t="s">
        <v>459</v>
      </c>
      <c r="Q289">
        <v>1</v>
      </c>
      <c r="W289">
        <v>0</v>
      </c>
      <c r="X289">
        <v>-400197608</v>
      </c>
      <c r="Y289">
        <v>39.744</v>
      </c>
      <c r="AA289">
        <v>0</v>
      </c>
      <c r="AB289">
        <v>0</v>
      </c>
      <c r="AC289">
        <v>0</v>
      </c>
      <c r="AD289">
        <v>52.12</v>
      </c>
      <c r="AE289">
        <v>0</v>
      </c>
      <c r="AF289">
        <v>0</v>
      </c>
      <c r="AG289">
        <v>0</v>
      </c>
      <c r="AH289">
        <v>8.5299999999999994</v>
      </c>
      <c r="AI289">
        <v>1</v>
      </c>
      <c r="AJ289">
        <v>1</v>
      </c>
      <c r="AK289">
        <v>1</v>
      </c>
      <c r="AL289">
        <v>6.11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34.56</v>
      </c>
      <c r="AU289" t="s">
        <v>28</v>
      </c>
      <c r="AV289">
        <v>1</v>
      </c>
      <c r="AW289">
        <v>2</v>
      </c>
      <c r="AX289">
        <v>27935769</v>
      </c>
      <c r="AY289">
        <v>1</v>
      </c>
      <c r="AZ289">
        <v>0</v>
      </c>
      <c r="BA289">
        <v>295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Y289*Source!I109</f>
        <v>4.0936319999999995</v>
      </c>
      <c r="CY289">
        <f>AD289</f>
        <v>52.12</v>
      </c>
      <c r="CZ289">
        <f>AH289</f>
        <v>8.5299999999999994</v>
      </c>
      <c r="DA289">
        <f>AL289</f>
        <v>6.11</v>
      </c>
      <c r="DB289">
        <f>ROUND((ROUND(AT289*CZ289,2)*1.15),2)</f>
        <v>339.02</v>
      </c>
      <c r="DC289">
        <f>ROUND((ROUND(AT289*AG289,2)*1.15),2)</f>
        <v>0</v>
      </c>
    </row>
    <row r="290" spans="1:107" x14ac:dyDescent="0.2">
      <c r="A290">
        <f>ROW(Source!A109)</f>
        <v>109</v>
      </c>
      <c r="B290">
        <v>27935368</v>
      </c>
      <c r="C290">
        <v>27935764</v>
      </c>
      <c r="D290">
        <v>25150090</v>
      </c>
      <c r="E290">
        <v>1</v>
      </c>
      <c r="F290">
        <v>1</v>
      </c>
      <c r="G290">
        <v>1</v>
      </c>
      <c r="H290">
        <v>3</v>
      </c>
      <c r="I290" t="s">
        <v>229</v>
      </c>
      <c r="J290" t="s">
        <v>232</v>
      </c>
      <c r="K290" t="s">
        <v>230</v>
      </c>
      <c r="L290">
        <v>1035</v>
      </c>
      <c r="N290">
        <v>1013</v>
      </c>
      <c r="O290" t="s">
        <v>231</v>
      </c>
      <c r="P290" t="s">
        <v>231</v>
      </c>
      <c r="Q290">
        <v>1</v>
      </c>
      <c r="W290">
        <v>0</v>
      </c>
      <c r="X290">
        <v>178640745</v>
      </c>
      <c r="Y290">
        <v>29.126214000000001</v>
      </c>
      <c r="AA290">
        <v>444.62</v>
      </c>
      <c r="AB290">
        <v>0</v>
      </c>
      <c r="AC290">
        <v>0</v>
      </c>
      <c r="AD290">
        <v>0</v>
      </c>
      <c r="AE290">
        <v>72.77</v>
      </c>
      <c r="AF290">
        <v>0</v>
      </c>
      <c r="AG290">
        <v>0</v>
      </c>
      <c r="AH290">
        <v>0</v>
      </c>
      <c r="AI290">
        <v>6.11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6</v>
      </c>
      <c r="AT290">
        <v>29.126214000000001</v>
      </c>
      <c r="AU290" t="s">
        <v>6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Y290*Source!I109</f>
        <v>3.0000000419999999</v>
      </c>
      <c r="CY290">
        <f>AA290</f>
        <v>444.62</v>
      </c>
      <c r="CZ290">
        <f>AE290</f>
        <v>72.77</v>
      </c>
      <c r="DA290">
        <f>AI290</f>
        <v>6.11</v>
      </c>
      <c r="DB290">
        <f>ROUND(ROUND(AT290*CZ290,2),2)</f>
        <v>2119.5100000000002</v>
      </c>
      <c r="DC290">
        <f>ROUND(ROUND(AT290*AG290,2),2)</f>
        <v>0</v>
      </c>
    </row>
    <row r="291" spans="1:107" x14ac:dyDescent="0.2">
      <c r="A291">
        <f>ROW(Source!A109)</f>
        <v>109</v>
      </c>
      <c r="B291">
        <v>27935368</v>
      </c>
      <c r="C291">
        <v>27935764</v>
      </c>
      <c r="D291">
        <v>25175756</v>
      </c>
      <c r="E291">
        <v>1</v>
      </c>
      <c r="F291">
        <v>1</v>
      </c>
      <c r="G291">
        <v>1</v>
      </c>
      <c r="H291">
        <v>3</v>
      </c>
      <c r="I291" t="s">
        <v>623</v>
      </c>
      <c r="J291" t="s">
        <v>624</v>
      </c>
      <c r="K291" t="s">
        <v>625</v>
      </c>
      <c r="L291">
        <v>1327</v>
      </c>
      <c r="N291">
        <v>1005</v>
      </c>
      <c r="O291" t="s">
        <v>35</v>
      </c>
      <c r="P291" t="s">
        <v>35</v>
      </c>
      <c r="Q291">
        <v>1</v>
      </c>
      <c r="W291">
        <v>0</v>
      </c>
      <c r="X291">
        <v>1818210239</v>
      </c>
      <c r="Y291">
        <v>100</v>
      </c>
      <c r="AA291">
        <v>4285</v>
      </c>
      <c r="AB291">
        <v>0</v>
      </c>
      <c r="AC291">
        <v>0</v>
      </c>
      <c r="AD291">
        <v>0</v>
      </c>
      <c r="AE291">
        <v>701.31</v>
      </c>
      <c r="AF291">
        <v>0</v>
      </c>
      <c r="AG291">
        <v>0</v>
      </c>
      <c r="AH291">
        <v>0</v>
      </c>
      <c r="AI291">
        <v>6.11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100</v>
      </c>
      <c r="AU291" t="s">
        <v>6</v>
      </c>
      <c r="AV291">
        <v>0</v>
      </c>
      <c r="AW291">
        <v>2</v>
      </c>
      <c r="AX291">
        <v>27935770</v>
      </c>
      <c r="AY291">
        <v>1</v>
      </c>
      <c r="AZ291">
        <v>0</v>
      </c>
      <c r="BA291">
        <v>296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Y291*Source!I109</f>
        <v>10.299999999999999</v>
      </c>
      <c r="CY291">
        <f>AA291</f>
        <v>4285</v>
      </c>
      <c r="CZ291">
        <f>AE291</f>
        <v>701.31</v>
      </c>
      <c r="DA291">
        <f>AI291</f>
        <v>6.11</v>
      </c>
      <c r="DB291">
        <f>ROUND(ROUND(AT291*CZ291,2),2)</f>
        <v>70131</v>
      </c>
      <c r="DC291">
        <f>ROUND(ROUND(AT291*AG291,2),2)</f>
        <v>0</v>
      </c>
    </row>
    <row r="292" spans="1:107" x14ac:dyDescent="0.2">
      <c r="A292">
        <f>ROW(Source!A109)</f>
        <v>109</v>
      </c>
      <c r="B292">
        <v>27935368</v>
      </c>
      <c r="C292">
        <v>27935764</v>
      </c>
      <c r="D292">
        <v>25178886</v>
      </c>
      <c r="E292">
        <v>1</v>
      </c>
      <c r="F292">
        <v>1</v>
      </c>
      <c r="G292">
        <v>1</v>
      </c>
      <c r="H292">
        <v>3</v>
      </c>
      <c r="I292" t="s">
        <v>225</v>
      </c>
      <c r="J292" t="s">
        <v>227</v>
      </c>
      <c r="K292" t="s">
        <v>226</v>
      </c>
      <c r="L292">
        <v>1327</v>
      </c>
      <c r="N292">
        <v>1005</v>
      </c>
      <c r="O292" t="s">
        <v>35</v>
      </c>
      <c r="P292" t="s">
        <v>35</v>
      </c>
      <c r="Q292">
        <v>1</v>
      </c>
      <c r="W292">
        <v>0</v>
      </c>
      <c r="X292">
        <v>893131269</v>
      </c>
      <c r="Y292">
        <v>34.951456</v>
      </c>
      <c r="AA292">
        <v>1642.86</v>
      </c>
      <c r="AB292">
        <v>0</v>
      </c>
      <c r="AC292">
        <v>0</v>
      </c>
      <c r="AD292">
        <v>0</v>
      </c>
      <c r="AE292">
        <v>268.88</v>
      </c>
      <c r="AF292">
        <v>0</v>
      </c>
      <c r="AG292">
        <v>0</v>
      </c>
      <c r="AH292">
        <v>0</v>
      </c>
      <c r="AI292">
        <v>6.11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34.951456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Y292*Source!I109</f>
        <v>3.5999999679999997</v>
      </c>
      <c r="CY292">
        <f>AA292</f>
        <v>1642.86</v>
      </c>
      <c r="CZ292">
        <f>AE292</f>
        <v>268.88</v>
      </c>
      <c r="DA292">
        <f>AI292</f>
        <v>6.11</v>
      </c>
      <c r="DB292">
        <f>ROUND(ROUND(AT292*CZ292,2),2)</f>
        <v>9397.75</v>
      </c>
      <c r="DC292">
        <f>ROUND(ROUND(AT292*AG292,2),2)</f>
        <v>0</v>
      </c>
    </row>
    <row r="293" spans="1:107" x14ac:dyDescent="0.2">
      <c r="A293">
        <f>ROW(Source!A114)</f>
        <v>114</v>
      </c>
      <c r="B293">
        <v>27935367</v>
      </c>
      <c r="C293">
        <v>27935824</v>
      </c>
      <c r="D293">
        <v>25413030</v>
      </c>
      <c r="E293">
        <v>1</v>
      </c>
      <c r="F293">
        <v>1</v>
      </c>
      <c r="G293">
        <v>1</v>
      </c>
      <c r="H293">
        <v>1</v>
      </c>
      <c r="I293" t="s">
        <v>615</v>
      </c>
      <c r="J293" t="s">
        <v>6</v>
      </c>
      <c r="K293" t="s">
        <v>616</v>
      </c>
      <c r="L293">
        <v>1191</v>
      </c>
      <c r="N293">
        <v>1013</v>
      </c>
      <c r="O293" t="s">
        <v>459</v>
      </c>
      <c r="P293" t="s">
        <v>459</v>
      </c>
      <c r="Q293">
        <v>1</v>
      </c>
      <c r="W293">
        <v>0</v>
      </c>
      <c r="X293">
        <v>-719309759</v>
      </c>
      <c r="Y293">
        <v>362.26149999999996</v>
      </c>
      <c r="AA293">
        <v>0</v>
      </c>
      <c r="AB293">
        <v>0</v>
      </c>
      <c r="AC293">
        <v>0</v>
      </c>
      <c r="AD293">
        <v>8.86</v>
      </c>
      <c r="AE293">
        <v>0</v>
      </c>
      <c r="AF293">
        <v>0</v>
      </c>
      <c r="AG293">
        <v>0</v>
      </c>
      <c r="AH293">
        <v>8.86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315.01</v>
      </c>
      <c r="AU293" t="s">
        <v>28</v>
      </c>
      <c r="AV293">
        <v>1</v>
      </c>
      <c r="AW293">
        <v>2</v>
      </c>
      <c r="AX293">
        <v>27935830</v>
      </c>
      <c r="AY293">
        <v>1</v>
      </c>
      <c r="AZ293">
        <v>0</v>
      </c>
      <c r="BA293">
        <v>297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Y293*Source!I114</f>
        <v>2.1735689999999996</v>
      </c>
      <c r="CY293">
        <f>AD293</f>
        <v>8.86</v>
      </c>
      <c r="CZ293">
        <f>AH293</f>
        <v>8.86</v>
      </c>
      <c r="DA293">
        <f>AL293</f>
        <v>1</v>
      </c>
      <c r="DB293">
        <f>ROUND((ROUND(AT293*CZ293,2)*1.15),2)</f>
        <v>3209.64</v>
      </c>
      <c r="DC293">
        <f>ROUND((ROUND(AT293*AG293,2)*1.15),2)</f>
        <v>0</v>
      </c>
    </row>
    <row r="294" spans="1:107" x14ac:dyDescent="0.2">
      <c r="A294">
        <f>ROW(Source!A114)</f>
        <v>114</v>
      </c>
      <c r="B294">
        <v>27935367</v>
      </c>
      <c r="C294">
        <v>27935824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460</v>
      </c>
      <c r="J294" t="s">
        <v>6</v>
      </c>
      <c r="K294" t="s">
        <v>461</v>
      </c>
      <c r="L294">
        <v>1191</v>
      </c>
      <c r="N294">
        <v>1013</v>
      </c>
      <c r="O294" t="s">
        <v>459</v>
      </c>
      <c r="P294" t="s">
        <v>459</v>
      </c>
      <c r="Q294">
        <v>1</v>
      </c>
      <c r="W294">
        <v>0</v>
      </c>
      <c r="X294">
        <v>-1417349443</v>
      </c>
      <c r="Y294">
        <v>0.62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0.62</v>
      </c>
      <c r="AU294" t="s">
        <v>6</v>
      </c>
      <c r="AV294">
        <v>2</v>
      </c>
      <c r="AW294">
        <v>2</v>
      </c>
      <c r="AX294">
        <v>27935831</v>
      </c>
      <c r="AY294">
        <v>1</v>
      </c>
      <c r="AZ294">
        <v>2048</v>
      </c>
      <c r="BA294">
        <v>298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Y294*Source!I114</f>
        <v>3.7200000000000002E-3</v>
      </c>
      <c r="CY294">
        <f>AD294</f>
        <v>0</v>
      </c>
      <c r="CZ294">
        <f>AH294</f>
        <v>0</v>
      </c>
      <c r="DA294">
        <f>AL294</f>
        <v>1</v>
      </c>
      <c r="DB294">
        <f>ROUND(ROUND(AT294*CZ294,2),2)</f>
        <v>0</v>
      </c>
      <c r="DC294">
        <f>ROUND(ROUND(AT294*AG294,2),2)</f>
        <v>0</v>
      </c>
    </row>
    <row r="295" spans="1:107" x14ac:dyDescent="0.2">
      <c r="A295">
        <f>ROW(Source!A114)</f>
        <v>114</v>
      </c>
      <c r="B295">
        <v>27935367</v>
      </c>
      <c r="C295">
        <v>27935824</v>
      </c>
      <c r="D295">
        <v>25230220</v>
      </c>
      <c r="E295">
        <v>1</v>
      </c>
      <c r="F295">
        <v>1</v>
      </c>
      <c r="G295">
        <v>1</v>
      </c>
      <c r="H295">
        <v>2</v>
      </c>
      <c r="I295" t="s">
        <v>501</v>
      </c>
      <c r="J295" t="s">
        <v>502</v>
      </c>
      <c r="K295" t="s">
        <v>503</v>
      </c>
      <c r="L295">
        <v>1368</v>
      </c>
      <c r="N295">
        <v>1011</v>
      </c>
      <c r="O295" t="s">
        <v>465</v>
      </c>
      <c r="P295" t="s">
        <v>465</v>
      </c>
      <c r="Q295">
        <v>1</v>
      </c>
      <c r="W295">
        <v>0</v>
      </c>
      <c r="X295">
        <v>-1718674368</v>
      </c>
      <c r="Y295">
        <v>0.3125</v>
      </c>
      <c r="AA295">
        <v>0</v>
      </c>
      <c r="AB295">
        <v>111.99</v>
      </c>
      <c r="AC295">
        <v>13.5</v>
      </c>
      <c r="AD295">
        <v>0</v>
      </c>
      <c r="AE295">
        <v>0</v>
      </c>
      <c r="AF295">
        <v>111.99</v>
      </c>
      <c r="AG295">
        <v>13.5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6</v>
      </c>
      <c r="AT295">
        <v>0.25</v>
      </c>
      <c r="AU295" t="s">
        <v>27</v>
      </c>
      <c r="AV295">
        <v>0</v>
      </c>
      <c r="AW295">
        <v>2</v>
      </c>
      <c r="AX295">
        <v>27935832</v>
      </c>
      <c r="AY295">
        <v>1</v>
      </c>
      <c r="AZ295">
        <v>0</v>
      </c>
      <c r="BA295">
        <v>299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Y295*Source!I114</f>
        <v>1.8749999999999999E-3</v>
      </c>
      <c r="CY295">
        <f>AB295</f>
        <v>111.99</v>
      </c>
      <c r="CZ295">
        <f>AF295</f>
        <v>111.99</v>
      </c>
      <c r="DA295">
        <f>AJ295</f>
        <v>1</v>
      </c>
      <c r="DB295">
        <f>ROUND((ROUND(AT295*CZ295,2)*1.25),2)</f>
        <v>35</v>
      </c>
      <c r="DC295">
        <f>ROUND((ROUND(AT295*AG295,2)*1.25),2)</f>
        <v>4.2300000000000004</v>
      </c>
    </row>
    <row r="296" spans="1:107" x14ac:dyDescent="0.2">
      <c r="A296">
        <f>ROW(Source!A114)</f>
        <v>114</v>
      </c>
      <c r="B296">
        <v>27935367</v>
      </c>
      <c r="C296">
        <v>27935824</v>
      </c>
      <c r="D296">
        <v>25231607</v>
      </c>
      <c r="E296">
        <v>1</v>
      </c>
      <c r="F296">
        <v>1</v>
      </c>
      <c r="G296">
        <v>1</v>
      </c>
      <c r="H296">
        <v>2</v>
      </c>
      <c r="I296" t="s">
        <v>468</v>
      </c>
      <c r="J296" t="s">
        <v>469</v>
      </c>
      <c r="K296" t="s">
        <v>470</v>
      </c>
      <c r="L296">
        <v>1368</v>
      </c>
      <c r="N296">
        <v>1011</v>
      </c>
      <c r="O296" t="s">
        <v>465</v>
      </c>
      <c r="P296" t="s">
        <v>465</v>
      </c>
      <c r="Q296">
        <v>1</v>
      </c>
      <c r="W296">
        <v>0</v>
      </c>
      <c r="X296">
        <v>1372534845</v>
      </c>
      <c r="Y296">
        <v>0.46250000000000002</v>
      </c>
      <c r="AA296">
        <v>0</v>
      </c>
      <c r="AB296">
        <v>65.709999999999994</v>
      </c>
      <c r="AC296">
        <v>11.6</v>
      </c>
      <c r="AD296">
        <v>0</v>
      </c>
      <c r="AE296">
        <v>0</v>
      </c>
      <c r="AF296">
        <v>65.709999999999994</v>
      </c>
      <c r="AG296">
        <v>11.6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0.37</v>
      </c>
      <c r="AU296" t="s">
        <v>27</v>
      </c>
      <c r="AV296">
        <v>0</v>
      </c>
      <c r="AW296">
        <v>2</v>
      </c>
      <c r="AX296">
        <v>27935833</v>
      </c>
      <c r="AY296">
        <v>1</v>
      </c>
      <c r="AZ296">
        <v>0</v>
      </c>
      <c r="BA296">
        <v>300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Y296*Source!I114</f>
        <v>2.7750000000000001E-3</v>
      </c>
      <c r="CY296">
        <f>AB296</f>
        <v>65.709999999999994</v>
      </c>
      <c r="CZ296">
        <f>AF296</f>
        <v>65.709999999999994</v>
      </c>
      <c r="DA296">
        <f>AJ296</f>
        <v>1</v>
      </c>
      <c r="DB296">
        <f>ROUND((ROUND(AT296*CZ296,2)*1.25),2)</f>
        <v>30.39</v>
      </c>
      <c r="DC296">
        <f>ROUND((ROUND(AT296*AG296,2)*1.25),2)</f>
        <v>5.36</v>
      </c>
    </row>
    <row r="297" spans="1:107" x14ac:dyDescent="0.2">
      <c r="A297">
        <f>ROW(Source!A114)</f>
        <v>114</v>
      </c>
      <c r="B297">
        <v>27935367</v>
      </c>
      <c r="C297">
        <v>27935824</v>
      </c>
      <c r="D297">
        <v>25174663</v>
      </c>
      <c r="E297">
        <v>1</v>
      </c>
      <c r="F297">
        <v>1</v>
      </c>
      <c r="G297">
        <v>1</v>
      </c>
      <c r="H297">
        <v>3</v>
      </c>
      <c r="I297" t="s">
        <v>626</v>
      </c>
      <c r="J297" t="s">
        <v>627</v>
      </c>
      <c r="K297" t="s">
        <v>628</v>
      </c>
      <c r="L297">
        <v>1348</v>
      </c>
      <c r="N297">
        <v>1009</v>
      </c>
      <c r="O297" t="s">
        <v>65</v>
      </c>
      <c r="P297" t="s">
        <v>65</v>
      </c>
      <c r="Q297">
        <v>1000</v>
      </c>
      <c r="W297">
        <v>0</v>
      </c>
      <c r="X297">
        <v>1921210966</v>
      </c>
      <c r="Y297">
        <v>1</v>
      </c>
      <c r="AA297">
        <v>10100</v>
      </c>
      <c r="AB297">
        <v>0</v>
      </c>
      <c r="AC297">
        <v>0</v>
      </c>
      <c r="AD297">
        <v>0</v>
      </c>
      <c r="AE297">
        <v>10100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1</v>
      </c>
      <c r="AU297" t="s">
        <v>6</v>
      </c>
      <c r="AV297">
        <v>0</v>
      </c>
      <c r="AW297">
        <v>2</v>
      </c>
      <c r="AX297">
        <v>27935835</v>
      </c>
      <c r="AY297">
        <v>1</v>
      </c>
      <c r="AZ297">
        <v>0</v>
      </c>
      <c r="BA297">
        <v>302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Y297*Source!I114</f>
        <v>6.0000000000000001E-3</v>
      </c>
      <c r="CY297">
        <f>AA297</f>
        <v>10100</v>
      </c>
      <c r="CZ297">
        <f>AE297</f>
        <v>10100</v>
      </c>
      <c r="DA297">
        <f>AI297</f>
        <v>1</v>
      </c>
      <c r="DB297">
        <f>ROUND(ROUND(AT297*CZ297,2),2)</f>
        <v>10100</v>
      </c>
      <c r="DC297">
        <f>ROUND(ROUND(AT297*AG297,2),2)</f>
        <v>0</v>
      </c>
    </row>
    <row r="298" spans="1:107" x14ac:dyDescent="0.2">
      <c r="A298">
        <f>ROW(Source!A115)</f>
        <v>115</v>
      </c>
      <c r="B298">
        <v>27935368</v>
      </c>
      <c r="C298">
        <v>27935824</v>
      </c>
      <c r="D298">
        <v>25413030</v>
      </c>
      <c r="E298">
        <v>1</v>
      </c>
      <c r="F298">
        <v>1</v>
      </c>
      <c r="G298">
        <v>1</v>
      </c>
      <c r="H298">
        <v>1</v>
      </c>
      <c r="I298" t="s">
        <v>615</v>
      </c>
      <c r="J298" t="s">
        <v>6</v>
      </c>
      <c r="K298" t="s">
        <v>616</v>
      </c>
      <c r="L298">
        <v>1191</v>
      </c>
      <c r="N298">
        <v>1013</v>
      </c>
      <c r="O298" t="s">
        <v>459</v>
      </c>
      <c r="P298" t="s">
        <v>459</v>
      </c>
      <c r="Q298">
        <v>1</v>
      </c>
      <c r="W298">
        <v>0</v>
      </c>
      <c r="X298">
        <v>-719309759</v>
      </c>
      <c r="Y298">
        <v>362.26149999999996</v>
      </c>
      <c r="AA298">
        <v>0</v>
      </c>
      <c r="AB298">
        <v>0</v>
      </c>
      <c r="AC298">
        <v>0</v>
      </c>
      <c r="AD298">
        <v>54.13</v>
      </c>
      <c r="AE298">
        <v>0</v>
      </c>
      <c r="AF298">
        <v>0</v>
      </c>
      <c r="AG298">
        <v>0</v>
      </c>
      <c r="AH298">
        <v>8.86</v>
      </c>
      <c r="AI298">
        <v>1</v>
      </c>
      <c r="AJ298">
        <v>1</v>
      </c>
      <c r="AK298">
        <v>1</v>
      </c>
      <c r="AL298">
        <v>6.11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6</v>
      </c>
      <c r="AT298">
        <v>315.01</v>
      </c>
      <c r="AU298" t="s">
        <v>28</v>
      </c>
      <c r="AV298">
        <v>1</v>
      </c>
      <c r="AW298">
        <v>2</v>
      </c>
      <c r="AX298">
        <v>27935830</v>
      </c>
      <c r="AY298">
        <v>1</v>
      </c>
      <c r="AZ298">
        <v>0</v>
      </c>
      <c r="BA298">
        <v>303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Y298*Source!I115</f>
        <v>2.1735689999999996</v>
      </c>
      <c r="CY298">
        <f>AD298</f>
        <v>54.13</v>
      </c>
      <c r="CZ298">
        <f>AH298</f>
        <v>8.86</v>
      </c>
      <c r="DA298">
        <f>AL298</f>
        <v>6.11</v>
      </c>
      <c r="DB298">
        <f>ROUND((ROUND(AT298*CZ298,2)*1.15),2)</f>
        <v>3209.64</v>
      </c>
      <c r="DC298">
        <f>ROUND((ROUND(AT298*AG298,2)*1.15),2)</f>
        <v>0</v>
      </c>
    </row>
    <row r="299" spans="1:107" x14ac:dyDescent="0.2">
      <c r="A299">
        <f>ROW(Source!A115)</f>
        <v>115</v>
      </c>
      <c r="B299">
        <v>27935368</v>
      </c>
      <c r="C299">
        <v>27935824</v>
      </c>
      <c r="D299">
        <v>25412928</v>
      </c>
      <c r="E299">
        <v>1</v>
      </c>
      <c r="F299">
        <v>1</v>
      </c>
      <c r="G299">
        <v>1</v>
      </c>
      <c r="H299">
        <v>1</v>
      </c>
      <c r="I299" t="s">
        <v>460</v>
      </c>
      <c r="J299" t="s">
        <v>6</v>
      </c>
      <c r="K299" t="s">
        <v>461</v>
      </c>
      <c r="L299">
        <v>1191</v>
      </c>
      <c r="N299">
        <v>1013</v>
      </c>
      <c r="O299" t="s">
        <v>459</v>
      </c>
      <c r="P299" t="s">
        <v>459</v>
      </c>
      <c r="Q299">
        <v>1</v>
      </c>
      <c r="W299">
        <v>0</v>
      </c>
      <c r="X299">
        <v>-1417349443</v>
      </c>
      <c r="Y299">
        <v>0.62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6.11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0.62</v>
      </c>
      <c r="AU299" t="s">
        <v>6</v>
      </c>
      <c r="AV299">
        <v>2</v>
      </c>
      <c r="AW299">
        <v>2</v>
      </c>
      <c r="AX299">
        <v>27935831</v>
      </c>
      <c r="AY299">
        <v>1</v>
      </c>
      <c r="AZ299">
        <v>2048</v>
      </c>
      <c r="BA299">
        <v>304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Y299*Source!I115</f>
        <v>3.7200000000000002E-3</v>
      </c>
      <c r="CY299">
        <f>AD299</f>
        <v>0</v>
      </c>
      <c r="CZ299">
        <f>AH299</f>
        <v>0</v>
      </c>
      <c r="DA299">
        <f>AL299</f>
        <v>1</v>
      </c>
      <c r="DB299">
        <f>ROUND(ROUND(AT299*CZ299,2),2)</f>
        <v>0</v>
      </c>
      <c r="DC299">
        <f>ROUND(ROUND(AT299*AG299,2),2)</f>
        <v>0</v>
      </c>
    </row>
    <row r="300" spans="1:107" x14ac:dyDescent="0.2">
      <c r="A300">
        <f>ROW(Source!A115)</f>
        <v>115</v>
      </c>
      <c r="B300">
        <v>27935368</v>
      </c>
      <c r="C300">
        <v>27935824</v>
      </c>
      <c r="D300">
        <v>25230220</v>
      </c>
      <c r="E300">
        <v>1</v>
      </c>
      <c r="F300">
        <v>1</v>
      </c>
      <c r="G300">
        <v>1</v>
      </c>
      <c r="H300">
        <v>2</v>
      </c>
      <c r="I300" t="s">
        <v>501</v>
      </c>
      <c r="J300" t="s">
        <v>502</v>
      </c>
      <c r="K300" t="s">
        <v>503</v>
      </c>
      <c r="L300">
        <v>1368</v>
      </c>
      <c r="N300">
        <v>1011</v>
      </c>
      <c r="O300" t="s">
        <v>465</v>
      </c>
      <c r="P300" t="s">
        <v>465</v>
      </c>
      <c r="Q300">
        <v>1</v>
      </c>
      <c r="W300">
        <v>0</v>
      </c>
      <c r="X300">
        <v>-1718674368</v>
      </c>
      <c r="Y300">
        <v>0.3125</v>
      </c>
      <c r="AA300">
        <v>0</v>
      </c>
      <c r="AB300">
        <v>684.26</v>
      </c>
      <c r="AC300">
        <v>13.5</v>
      </c>
      <c r="AD300">
        <v>0</v>
      </c>
      <c r="AE300">
        <v>0</v>
      </c>
      <c r="AF300">
        <v>111.99</v>
      </c>
      <c r="AG300">
        <v>13.5</v>
      </c>
      <c r="AH300">
        <v>0</v>
      </c>
      <c r="AI300">
        <v>1</v>
      </c>
      <c r="AJ300">
        <v>6.11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6</v>
      </c>
      <c r="AT300">
        <v>0.25</v>
      </c>
      <c r="AU300" t="s">
        <v>27</v>
      </c>
      <c r="AV300">
        <v>0</v>
      </c>
      <c r="AW300">
        <v>2</v>
      </c>
      <c r="AX300">
        <v>27935832</v>
      </c>
      <c r="AY300">
        <v>1</v>
      </c>
      <c r="AZ300">
        <v>0</v>
      </c>
      <c r="BA300">
        <v>305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Y300*Source!I115</f>
        <v>1.8749999999999999E-3</v>
      </c>
      <c r="CY300">
        <f>AB300</f>
        <v>684.26</v>
      </c>
      <c r="CZ300">
        <f>AF300</f>
        <v>111.99</v>
      </c>
      <c r="DA300">
        <f>AJ300</f>
        <v>6.11</v>
      </c>
      <c r="DB300">
        <f>ROUND((ROUND(AT300*CZ300,2)*1.25),2)</f>
        <v>35</v>
      </c>
      <c r="DC300">
        <f>ROUND((ROUND(AT300*AG300,2)*1.25),2)</f>
        <v>4.2300000000000004</v>
      </c>
    </row>
    <row r="301" spans="1:107" x14ac:dyDescent="0.2">
      <c r="A301">
        <f>ROW(Source!A115)</f>
        <v>115</v>
      </c>
      <c r="B301">
        <v>27935368</v>
      </c>
      <c r="C301">
        <v>27935824</v>
      </c>
      <c r="D301">
        <v>25231607</v>
      </c>
      <c r="E301">
        <v>1</v>
      </c>
      <c r="F301">
        <v>1</v>
      </c>
      <c r="G301">
        <v>1</v>
      </c>
      <c r="H301">
        <v>2</v>
      </c>
      <c r="I301" t="s">
        <v>468</v>
      </c>
      <c r="J301" t="s">
        <v>469</v>
      </c>
      <c r="K301" t="s">
        <v>470</v>
      </c>
      <c r="L301">
        <v>1368</v>
      </c>
      <c r="N301">
        <v>1011</v>
      </c>
      <c r="O301" t="s">
        <v>465</v>
      </c>
      <c r="P301" t="s">
        <v>465</v>
      </c>
      <c r="Q301">
        <v>1</v>
      </c>
      <c r="W301">
        <v>0</v>
      </c>
      <c r="X301">
        <v>1372534845</v>
      </c>
      <c r="Y301">
        <v>0.46250000000000002</v>
      </c>
      <c r="AA301">
        <v>0</v>
      </c>
      <c r="AB301">
        <v>401.49</v>
      </c>
      <c r="AC301">
        <v>11.6</v>
      </c>
      <c r="AD301">
        <v>0</v>
      </c>
      <c r="AE301">
        <v>0</v>
      </c>
      <c r="AF301">
        <v>65.709999999999994</v>
      </c>
      <c r="AG301">
        <v>11.6</v>
      </c>
      <c r="AH301">
        <v>0</v>
      </c>
      <c r="AI301">
        <v>1</v>
      </c>
      <c r="AJ301">
        <v>6.11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0.37</v>
      </c>
      <c r="AU301" t="s">
        <v>27</v>
      </c>
      <c r="AV301">
        <v>0</v>
      </c>
      <c r="AW301">
        <v>2</v>
      </c>
      <c r="AX301">
        <v>27935833</v>
      </c>
      <c r="AY301">
        <v>1</v>
      </c>
      <c r="AZ301">
        <v>0</v>
      </c>
      <c r="BA301">
        <v>306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Y301*Source!I115</f>
        <v>2.7750000000000001E-3</v>
      </c>
      <c r="CY301">
        <f>AB301</f>
        <v>401.49</v>
      </c>
      <c r="CZ301">
        <f>AF301</f>
        <v>65.709999999999994</v>
      </c>
      <c r="DA301">
        <f>AJ301</f>
        <v>6.11</v>
      </c>
      <c r="DB301">
        <f>ROUND((ROUND(AT301*CZ301,2)*1.25),2)</f>
        <v>30.39</v>
      </c>
      <c r="DC301">
        <f>ROUND((ROUND(AT301*AG301,2)*1.25),2)</f>
        <v>5.36</v>
      </c>
    </row>
    <row r="302" spans="1:107" x14ac:dyDescent="0.2">
      <c r="A302">
        <f>ROW(Source!A115)</f>
        <v>115</v>
      </c>
      <c r="B302">
        <v>27935368</v>
      </c>
      <c r="C302">
        <v>27935824</v>
      </c>
      <c r="D302">
        <v>25174663</v>
      </c>
      <c r="E302">
        <v>1</v>
      </c>
      <c r="F302">
        <v>1</v>
      </c>
      <c r="G302">
        <v>1</v>
      </c>
      <c r="H302">
        <v>3</v>
      </c>
      <c r="I302" t="s">
        <v>626</v>
      </c>
      <c r="J302" t="s">
        <v>627</v>
      </c>
      <c r="K302" t="s">
        <v>628</v>
      </c>
      <c r="L302">
        <v>1348</v>
      </c>
      <c r="N302">
        <v>1009</v>
      </c>
      <c r="O302" t="s">
        <v>65</v>
      </c>
      <c r="P302" t="s">
        <v>65</v>
      </c>
      <c r="Q302">
        <v>1000</v>
      </c>
      <c r="W302">
        <v>0</v>
      </c>
      <c r="X302">
        <v>1921210966</v>
      </c>
      <c r="Y302">
        <v>1</v>
      </c>
      <c r="AA302">
        <v>61711</v>
      </c>
      <c r="AB302">
        <v>0</v>
      </c>
      <c r="AC302">
        <v>0</v>
      </c>
      <c r="AD302">
        <v>0</v>
      </c>
      <c r="AE302">
        <v>10100</v>
      </c>
      <c r="AF302">
        <v>0</v>
      </c>
      <c r="AG302">
        <v>0</v>
      </c>
      <c r="AH302">
        <v>0</v>
      </c>
      <c r="AI302">
        <v>6.11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1</v>
      </c>
      <c r="AU302" t="s">
        <v>6</v>
      </c>
      <c r="AV302">
        <v>0</v>
      </c>
      <c r="AW302">
        <v>2</v>
      </c>
      <c r="AX302">
        <v>27935835</v>
      </c>
      <c r="AY302">
        <v>1</v>
      </c>
      <c r="AZ302">
        <v>0</v>
      </c>
      <c r="BA302">
        <v>308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Y302*Source!I115</f>
        <v>6.0000000000000001E-3</v>
      </c>
      <c r="CY302">
        <f>AA302</f>
        <v>61711</v>
      </c>
      <c r="CZ302">
        <f>AE302</f>
        <v>10100</v>
      </c>
      <c r="DA302">
        <f>AI302</f>
        <v>6.11</v>
      </c>
      <c r="DB302">
        <f t="shared" ref="DB302:DB314" si="44">ROUND(ROUND(AT302*CZ302,2),2)</f>
        <v>10100</v>
      </c>
      <c r="DC302">
        <f t="shared" ref="DC302:DC314" si="45">ROUND(ROUND(AT302*AG302,2),2)</f>
        <v>0</v>
      </c>
    </row>
    <row r="303" spans="1:107" x14ac:dyDescent="0.2">
      <c r="A303">
        <f>ROW(Source!A116)</f>
        <v>116</v>
      </c>
      <c r="B303">
        <v>27935367</v>
      </c>
      <c r="C303">
        <v>27935773</v>
      </c>
      <c r="D303">
        <v>25419089</v>
      </c>
      <c r="E303">
        <v>1</v>
      </c>
      <c r="F303">
        <v>1</v>
      </c>
      <c r="G303">
        <v>1</v>
      </c>
      <c r="H303">
        <v>1</v>
      </c>
      <c r="I303" t="s">
        <v>582</v>
      </c>
      <c r="J303" t="s">
        <v>6</v>
      </c>
      <c r="K303" t="s">
        <v>583</v>
      </c>
      <c r="L303">
        <v>1191</v>
      </c>
      <c r="N303">
        <v>1013</v>
      </c>
      <c r="O303" t="s">
        <v>459</v>
      </c>
      <c r="P303" t="s">
        <v>459</v>
      </c>
      <c r="Q303">
        <v>1</v>
      </c>
      <c r="W303">
        <v>0</v>
      </c>
      <c r="X303">
        <v>1069510174</v>
      </c>
      <c r="Y303">
        <v>26.4</v>
      </c>
      <c r="AA303">
        <v>0</v>
      </c>
      <c r="AB303">
        <v>0</v>
      </c>
      <c r="AC303">
        <v>0</v>
      </c>
      <c r="AD303">
        <v>9.6199999999999992</v>
      </c>
      <c r="AE303">
        <v>0</v>
      </c>
      <c r="AF303">
        <v>0</v>
      </c>
      <c r="AG303">
        <v>0</v>
      </c>
      <c r="AH303">
        <v>9.6199999999999992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26.4</v>
      </c>
      <c r="AU303" t="s">
        <v>6</v>
      </c>
      <c r="AV303">
        <v>1</v>
      </c>
      <c r="AW303">
        <v>2</v>
      </c>
      <c r="AX303">
        <v>27935780</v>
      </c>
      <c r="AY303">
        <v>1</v>
      </c>
      <c r="AZ303">
        <v>0</v>
      </c>
      <c r="BA303">
        <v>309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Y303*Source!I116</f>
        <v>0.26400000000000001</v>
      </c>
      <c r="CY303">
        <f>AD303</f>
        <v>9.6199999999999992</v>
      </c>
      <c r="CZ303">
        <f>AH303</f>
        <v>9.6199999999999992</v>
      </c>
      <c r="DA303">
        <f>AL303</f>
        <v>1</v>
      </c>
      <c r="DB303">
        <f t="shared" si="44"/>
        <v>253.97</v>
      </c>
      <c r="DC303">
        <f t="shared" si="45"/>
        <v>0</v>
      </c>
    </row>
    <row r="304" spans="1:107" x14ac:dyDescent="0.2">
      <c r="A304">
        <f>ROW(Source!A116)</f>
        <v>116</v>
      </c>
      <c r="B304">
        <v>27935367</v>
      </c>
      <c r="C304">
        <v>27935773</v>
      </c>
      <c r="D304">
        <v>25412928</v>
      </c>
      <c r="E304">
        <v>1</v>
      </c>
      <c r="F304">
        <v>1</v>
      </c>
      <c r="G304">
        <v>1</v>
      </c>
      <c r="H304">
        <v>1</v>
      </c>
      <c r="I304" t="s">
        <v>460</v>
      </c>
      <c r="J304" t="s">
        <v>6</v>
      </c>
      <c r="K304" t="s">
        <v>461</v>
      </c>
      <c r="L304">
        <v>1191</v>
      </c>
      <c r="N304">
        <v>1013</v>
      </c>
      <c r="O304" t="s">
        <v>459</v>
      </c>
      <c r="P304" t="s">
        <v>459</v>
      </c>
      <c r="Q304">
        <v>1</v>
      </c>
      <c r="W304">
        <v>0</v>
      </c>
      <c r="X304">
        <v>-1417349443</v>
      </c>
      <c r="Y304">
        <v>26.5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26.5</v>
      </c>
      <c r="AU304" t="s">
        <v>6</v>
      </c>
      <c r="AV304">
        <v>2</v>
      </c>
      <c r="AW304">
        <v>2</v>
      </c>
      <c r="AX304">
        <v>27935781</v>
      </c>
      <c r="AY304">
        <v>1</v>
      </c>
      <c r="AZ304">
        <v>0</v>
      </c>
      <c r="BA304">
        <v>310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Y304*Source!I116</f>
        <v>0.26500000000000001</v>
      </c>
      <c r="CY304">
        <f>AD304</f>
        <v>0</v>
      </c>
      <c r="CZ304">
        <f>AH304</f>
        <v>0</v>
      </c>
      <c r="DA304">
        <f>AL304</f>
        <v>1</v>
      </c>
      <c r="DB304">
        <f t="shared" si="44"/>
        <v>0</v>
      </c>
      <c r="DC304">
        <f t="shared" si="45"/>
        <v>0</v>
      </c>
    </row>
    <row r="305" spans="1:107" x14ac:dyDescent="0.2">
      <c r="A305">
        <f>ROW(Source!A116)</f>
        <v>116</v>
      </c>
      <c r="B305">
        <v>27935367</v>
      </c>
      <c r="C305">
        <v>27935773</v>
      </c>
      <c r="D305">
        <v>25231607</v>
      </c>
      <c r="E305">
        <v>1</v>
      </c>
      <c r="F305">
        <v>1</v>
      </c>
      <c r="G305">
        <v>1</v>
      </c>
      <c r="H305">
        <v>2</v>
      </c>
      <c r="I305" t="s">
        <v>468</v>
      </c>
      <c r="J305" t="s">
        <v>469</v>
      </c>
      <c r="K305" t="s">
        <v>470</v>
      </c>
      <c r="L305">
        <v>1368</v>
      </c>
      <c r="N305">
        <v>1011</v>
      </c>
      <c r="O305" t="s">
        <v>465</v>
      </c>
      <c r="P305" t="s">
        <v>465</v>
      </c>
      <c r="Q305">
        <v>1</v>
      </c>
      <c r="W305">
        <v>0</v>
      </c>
      <c r="X305">
        <v>1372534845</v>
      </c>
      <c r="Y305">
        <v>1.8</v>
      </c>
      <c r="AA305">
        <v>0</v>
      </c>
      <c r="AB305">
        <v>65.709999999999994</v>
      </c>
      <c r="AC305">
        <v>11.6</v>
      </c>
      <c r="AD305">
        <v>0</v>
      </c>
      <c r="AE305">
        <v>0</v>
      </c>
      <c r="AF305">
        <v>65.709999999999994</v>
      </c>
      <c r="AG305">
        <v>11.6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1.8</v>
      </c>
      <c r="AU305" t="s">
        <v>6</v>
      </c>
      <c r="AV305">
        <v>0</v>
      </c>
      <c r="AW305">
        <v>2</v>
      </c>
      <c r="AX305">
        <v>27935782</v>
      </c>
      <c r="AY305">
        <v>1</v>
      </c>
      <c r="AZ305">
        <v>0</v>
      </c>
      <c r="BA305">
        <v>311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Y305*Source!I116</f>
        <v>1.8000000000000002E-2</v>
      </c>
      <c r="CY305">
        <f>AB305</f>
        <v>65.709999999999994</v>
      </c>
      <c r="CZ305">
        <f>AF305</f>
        <v>65.709999999999994</v>
      </c>
      <c r="DA305">
        <f>AJ305</f>
        <v>1</v>
      </c>
      <c r="DB305">
        <f t="shared" si="44"/>
        <v>118.28</v>
      </c>
      <c r="DC305">
        <f t="shared" si="45"/>
        <v>20.88</v>
      </c>
    </row>
    <row r="306" spans="1:107" x14ac:dyDescent="0.2">
      <c r="A306">
        <f>ROW(Source!A116)</f>
        <v>116</v>
      </c>
      <c r="B306">
        <v>27935367</v>
      </c>
      <c r="C306">
        <v>27935773</v>
      </c>
      <c r="D306">
        <v>25232657</v>
      </c>
      <c r="E306">
        <v>1</v>
      </c>
      <c r="F306">
        <v>1</v>
      </c>
      <c r="G306">
        <v>1</v>
      </c>
      <c r="H306">
        <v>2</v>
      </c>
      <c r="I306" t="s">
        <v>629</v>
      </c>
      <c r="J306" t="s">
        <v>630</v>
      </c>
      <c r="K306" t="s">
        <v>631</v>
      </c>
      <c r="L306">
        <v>1368</v>
      </c>
      <c r="N306">
        <v>1011</v>
      </c>
      <c r="O306" t="s">
        <v>465</v>
      </c>
      <c r="P306" t="s">
        <v>465</v>
      </c>
      <c r="Q306">
        <v>1</v>
      </c>
      <c r="W306">
        <v>0</v>
      </c>
      <c r="X306">
        <v>-631888851</v>
      </c>
      <c r="Y306">
        <v>24.7</v>
      </c>
      <c r="AA306">
        <v>0</v>
      </c>
      <c r="AB306">
        <v>34.549999999999997</v>
      </c>
      <c r="AC306">
        <v>11.6</v>
      </c>
      <c r="AD306">
        <v>0</v>
      </c>
      <c r="AE306">
        <v>0</v>
      </c>
      <c r="AF306">
        <v>34.549999999999997</v>
      </c>
      <c r="AG306">
        <v>11.6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24.7</v>
      </c>
      <c r="AU306" t="s">
        <v>6</v>
      </c>
      <c r="AV306">
        <v>0</v>
      </c>
      <c r="AW306">
        <v>2</v>
      </c>
      <c r="AX306">
        <v>27935783</v>
      </c>
      <c r="AY306">
        <v>1</v>
      </c>
      <c r="AZ306">
        <v>0</v>
      </c>
      <c r="BA306">
        <v>312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Y306*Source!I116</f>
        <v>0.247</v>
      </c>
      <c r="CY306">
        <f>AB306</f>
        <v>34.549999999999997</v>
      </c>
      <c r="CZ306">
        <f>AF306</f>
        <v>34.549999999999997</v>
      </c>
      <c r="DA306">
        <f>AJ306</f>
        <v>1</v>
      </c>
      <c r="DB306">
        <f t="shared" si="44"/>
        <v>853.39</v>
      </c>
      <c r="DC306">
        <f t="shared" si="45"/>
        <v>286.52</v>
      </c>
    </row>
    <row r="307" spans="1:107" x14ac:dyDescent="0.2">
      <c r="A307">
        <f>ROW(Source!A116)</f>
        <v>116</v>
      </c>
      <c r="B307">
        <v>27935367</v>
      </c>
      <c r="C307">
        <v>27935773</v>
      </c>
      <c r="D307">
        <v>25149961</v>
      </c>
      <c r="E307">
        <v>1</v>
      </c>
      <c r="F307">
        <v>1</v>
      </c>
      <c r="G307">
        <v>1</v>
      </c>
      <c r="H307">
        <v>3</v>
      </c>
      <c r="I307" t="s">
        <v>558</v>
      </c>
      <c r="J307" t="s">
        <v>559</v>
      </c>
      <c r="K307" t="s">
        <v>560</v>
      </c>
      <c r="L307">
        <v>1339</v>
      </c>
      <c r="N307">
        <v>1007</v>
      </c>
      <c r="O307" t="s">
        <v>133</v>
      </c>
      <c r="P307" t="s">
        <v>133</v>
      </c>
      <c r="Q307">
        <v>1</v>
      </c>
      <c r="W307">
        <v>0</v>
      </c>
      <c r="X307">
        <v>-1660354250</v>
      </c>
      <c r="Y307">
        <v>4.6900000000000004</v>
      </c>
      <c r="AA307">
        <v>2.44</v>
      </c>
      <c r="AB307">
        <v>0</v>
      </c>
      <c r="AC307">
        <v>0</v>
      </c>
      <c r="AD307">
        <v>0</v>
      </c>
      <c r="AE307">
        <v>2.44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4.6900000000000004</v>
      </c>
      <c r="AU307" t="s">
        <v>6</v>
      </c>
      <c r="AV307">
        <v>0</v>
      </c>
      <c r="AW307">
        <v>2</v>
      </c>
      <c r="AX307">
        <v>27935784</v>
      </c>
      <c r="AY307">
        <v>1</v>
      </c>
      <c r="AZ307">
        <v>0</v>
      </c>
      <c r="BA307">
        <v>313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Y307*Source!I116</f>
        <v>4.6900000000000004E-2</v>
      </c>
      <c r="CY307">
        <f>AA307</f>
        <v>2.44</v>
      </c>
      <c r="CZ307">
        <f>AE307</f>
        <v>2.44</v>
      </c>
      <c r="DA307">
        <f>AI307</f>
        <v>1</v>
      </c>
      <c r="DB307">
        <f t="shared" si="44"/>
        <v>11.44</v>
      </c>
      <c r="DC307">
        <f t="shared" si="45"/>
        <v>0</v>
      </c>
    </row>
    <row r="308" spans="1:107" x14ac:dyDescent="0.2">
      <c r="A308">
        <f>ROW(Source!A116)</f>
        <v>116</v>
      </c>
      <c r="B308">
        <v>27935367</v>
      </c>
      <c r="C308">
        <v>27935773</v>
      </c>
      <c r="D308">
        <v>25153340</v>
      </c>
      <c r="E308">
        <v>1</v>
      </c>
      <c r="F308">
        <v>1</v>
      </c>
      <c r="G308">
        <v>1</v>
      </c>
      <c r="H308">
        <v>3</v>
      </c>
      <c r="I308" t="s">
        <v>632</v>
      </c>
      <c r="J308" t="s">
        <v>633</v>
      </c>
      <c r="K308" t="s">
        <v>634</v>
      </c>
      <c r="L308">
        <v>1354</v>
      </c>
      <c r="N308">
        <v>1010</v>
      </c>
      <c r="O308" t="s">
        <v>282</v>
      </c>
      <c r="P308" t="s">
        <v>282</v>
      </c>
      <c r="Q308">
        <v>1</v>
      </c>
      <c r="W308">
        <v>0</v>
      </c>
      <c r="X308">
        <v>1593985666</v>
      </c>
      <c r="Y308">
        <v>2.02</v>
      </c>
      <c r="AA308">
        <v>3046.2</v>
      </c>
      <c r="AB308">
        <v>0</v>
      </c>
      <c r="AC308">
        <v>0</v>
      </c>
      <c r="AD308">
        <v>0</v>
      </c>
      <c r="AE308">
        <v>3046.2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2.02</v>
      </c>
      <c r="AU308" t="s">
        <v>6</v>
      </c>
      <c r="AV308">
        <v>0</v>
      </c>
      <c r="AW308">
        <v>2</v>
      </c>
      <c r="AX308">
        <v>27935785</v>
      </c>
      <c r="AY308">
        <v>1</v>
      </c>
      <c r="AZ308">
        <v>0</v>
      </c>
      <c r="BA308">
        <v>314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Y308*Source!I116</f>
        <v>2.0199999999999999E-2</v>
      </c>
      <c r="CY308">
        <f>AA308</f>
        <v>3046.2</v>
      </c>
      <c r="CZ308">
        <f>AE308</f>
        <v>3046.2</v>
      </c>
      <c r="DA308">
        <f>AI308</f>
        <v>1</v>
      </c>
      <c r="DB308">
        <f t="shared" si="44"/>
        <v>6153.32</v>
      </c>
      <c r="DC308">
        <f t="shared" si="45"/>
        <v>0</v>
      </c>
    </row>
    <row r="309" spans="1:107" x14ac:dyDescent="0.2">
      <c r="A309">
        <f>ROW(Source!A117)</f>
        <v>117</v>
      </c>
      <c r="B309">
        <v>27935368</v>
      </c>
      <c r="C309">
        <v>27935773</v>
      </c>
      <c r="D309">
        <v>25419089</v>
      </c>
      <c r="E309">
        <v>1</v>
      </c>
      <c r="F309">
        <v>1</v>
      </c>
      <c r="G309">
        <v>1</v>
      </c>
      <c r="H309">
        <v>1</v>
      </c>
      <c r="I309" t="s">
        <v>582</v>
      </c>
      <c r="J309" t="s">
        <v>6</v>
      </c>
      <c r="K309" t="s">
        <v>583</v>
      </c>
      <c r="L309">
        <v>1191</v>
      </c>
      <c r="N309">
        <v>1013</v>
      </c>
      <c r="O309" t="s">
        <v>459</v>
      </c>
      <c r="P309" t="s">
        <v>459</v>
      </c>
      <c r="Q309">
        <v>1</v>
      </c>
      <c r="W309">
        <v>0</v>
      </c>
      <c r="X309">
        <v>1069510174</v>
      </c>
      <c r="Y309">
        <v>26.4</v>
      </c>
      <c r="AA309">
        <v>0</v>
      </c>
      <c r="AB309">
        <v>0</v>
      </c>
      <c r="AC309">
        <v>0</v>
      </c>
      <c r="AD309">
        <v>58.78</v>
      </c>
      <c r="AE309">
        <v>0</v>
      </c>
      <c r="AF309">
        <v>0</v>
      </c>
      <c r="AG309">
        <v>0</v>
      </c>
      <c r="AH309">
        <v>9.6199999999999992</v>
      </c>
      <c r="AI309">
        <v>1</v>
      </c>
      <c r="AJ309">
        <v>1</v>
      </c>
      <c r="AK309">
        <v>1</v>
      </c>
      <c r="AL309">
        <v>6.11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26.4</v>
      </c>
      <c r="AU309" t="s">
        <v>6</v>
      </c>
      <c r="AV309">
        <v>1</v>
      </c>
      <c r="AW309">
        <v>2</v>
      </c>
      <c r="AX309">
        <v>27935780</v>
      </c>
      <c r="AY309">
        <v>1</v>
      </c>
      <c r="AZ309">
        <v>0</v>
      </c>
      <c r="BA309">
        <v>315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Y309*Source!I117</f>
        <v>0.26400000000000001</v>
      </c>
      <c r="CY309">
        <f>AD309</f>
        <v>58.78</v>
      </c>
      <c r="CZ309">
        <f>AH309</f>
        <v>9.6199999999999992</v>
      </c>
      <c r="DA309">
        <f>AL309</f>
        <v>6.11</v>
      </c>
      <c r="DB309">
        <f t="shared" si="44"/>
        <v>253.97</v>
      </c>
      <c r="DC309">
        <f t="shared" si="45"/>
        <v>0</v>
      </c>
    </row>
    <row r="310" spans="1:107" x14ac:dyDescent="0.2">
      <c r="A310">
        <f>ROW(Source!A117)</f>
        <v>117</v>
      </c>
      <c r="B310">
        <v>27935368</v>
      </c>
      <c r="C310">
        <v>27935773</v>
      </c>
      <c r="D310">
        <v>25412928</v>
      </c>
      <c r="E310">
        <v>1</v>
      </c>
      <c r="F310">
        <v>1</v>
      </c>
      <c r="G310">
        <v>1</v>
      </c>
      <c r="H310">
        <v>1</v>
      </c>
      <c r="I310" t="s">
        <v>460</v>
      </c>
      <c r="J310" t="s">
        <v>6</v>
      </c>
      <c r="K310" t="s">
        <v>461</v>
      </c>
      <c r="L310">
        <v>1191</v>
      </c>
      <c r="N310">
        <v>1013</v>
      </c>
      <c r="O310" t="s">
        <v>459</v>
      </c>
      <c r="P310" t="s">
        <v>459</v>
      </c>
      <c r="Q310">
        <v>1</v>
      </c>
      <c r="W310">
        <v>0</v>
      </c>
      <c r="X310">
        <v>-1417349443</v>
      </c>
      <c r="Y310">
        <v>26.5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6.11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26.5</v>
      </c>
      <c r="AU310" t="s">
        <v>6</v>
      </c>
      <c r="AV310">
        <v>2</v>
      </c>
      <c r="AW310">
        <v>2</v>
      </c>
      <c r="AX310">
        <v>27935781</v>
      </c>
      <c r="AY310">
        <v>1</v>
      </c>
      <c r="AZ310">
        <v>0</v>
      </c>
      <c r="BA310">
        <v>316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Y310*Source!I117</f>
        <v>0.26500000000000001</v>
      </c>
      <c r="CY310">
        <f>AD310</f>
        <v>0</v>
      </c>
      <c r="CZ310">
        <f>AH310</f>
        <v>0</v>
      </c>
      <c r="DA310">
        <f>AL310</f>
        <v>1</v>
      </c>
      <c r="DB310">
        <f t="shared" si="44"/>
        <v>0</v>
      </c>
      <c r="DC310">
        <f t="shared" si="45"/>
        <v>0</v>
      </c>
    </row>
    <row r="311" spans="1:107" x14ac:dyDescent="0.2">
      <c r="A311">
        <f>ROW(Source!A117)</f>
        <v>117</v>
      </c>
      <c r="B311">
        <v>27935368</v>
      </c>
      <c r="C311">
        <v>27935773</v>
      </c>
      <c r="D311">
        <v>25231607</v>
      </c>
      <c r="E311">
        <v>1</v>
      </c>
      <c r="F311">
        <v>1</v>
      </c>
      <c r="G311">
        <v>1</v>
      </c>
      <c r="H311">
        <v>2</v>
      </c>
      <c r="I311" t="s">
        <v>468</v>
      </c>
      <c r="J311" t="s">
        <v>469</v>
      </c>
      <c r="K311" t="s">
        <v>470</v>
      </c>
      <c r="L311">
        <v>1368</v>
      </c>
      <c r="N311">
        <v>1011</v>
      </c>
      <c r="O311" t="s">
        <v>465</v>
      </c>
      <c r="P311" t="s">
        <v>465</v>
      </c>
      <c r="Q311">
        <v>1</v>
      </c>
      <c r="W311">
        <v>0</v>
      </c>
      <c r="X311">
        <v>1372534845</v>
      </c>
      <c r="Y311">
        <v>1.8</v>
      </c>
      <c r="AA311">
        <v>0</v>
      </c>
      <c r="AB311">
        <v>401.49</v>
      </c>
      <c r="AC311">
        <v>11.6</v>
      </c>
      <c r="AD311">
        <v>0</v>
      </c>
      <c r="AE311">
        <v>0</v>
      </c>
      <c r="AF311">
        <v>65.709999999999994</v>
      </c>
      <c r="AG311">
        <v>11.6</v>
      </c>
      <c r="AH311">
        <v>0</v>
      </c>
      <c r="AI311">
        <v>1</v>
      </c>
      <c r="AJ311">
        <v>6.11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1.8</v>
      </c>
      <c r="AU311" t="s">
        <v>6</v>
      </c>
      <c r="AV311">
        <v>0</v>
      </c>
      <c r="AW311">
        <v>2</v>
      </c>
      <c r="AX311">
        <v>27935782</v>
      </c>
      <c r="AY311">
        <v>1</v>
      </c>
      <c r="AZ311">
        <v>0</v>
      </c>
      <c r="BA311">
        <v>317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Y311*Source!I117</f>
        <v>1.8000000000000002E-2</v>
      </c>
      <c r="CY311">
        <f>AB311</f>
        <v>401.49</v>
      </c>
      <c r="CZ311">
        <f>AF311</f>
        <v>65.709999999999994</v>
      </c>
      <c r="DA311">
        <f>AJ311</f>
        <v>6.11</v>
      </c>
      <c r="DB311">
        <f t="shared" si="44"/>
        <v>118.28</v>
      </c>
      <c r="DC311">
        <f t="shared" si="45"/>
        <v>20.88</v>
      </c>
    </row>
    <row r="312" spans="1:107" x14ac:dyDescent="0.2">
      <c r="A312">
        <f>ROW(Source!A117)</f>
        <v>117</v>
      </c>
      <c r="B312">
        <v>27935368</v>
      </c>
      <c r="C312">
        <v>27935773</v>
      </c>
      <c r="D312">
        <v>25232657</v>
      </c>
      <c r="E312">
        <v>1</v>
      </c>
      <c r="F312">
        <v>1</v>
      </c>
      <c r="G312">
        <v>1</v>
      </c>
      <c r="H312">
        <v>2</v>
      </c>
      <c r="I312" t="s">
        <v>629</v>
      </c>
      <c r="J312" t="s">
        <v>630</v>
      </c>
      <c r="K312" t="s">
        <v>631</v>
      </c>
      <c r="L312">
        <v>1368</v>
      </c>
      <c r="N312">
        <v>1011</v>
      </c>
      <c r="O312" t="s">
        <v>465</v>
      </c>
      <c r="P312" t="s">
        <v>465</v>
      </c>
      <c r="Q312">
        <v>1</v>
      </c>
      <c r="W312">
        <v>0</v>
      </c>
      <c r="X312">
        <v>-631888851</v>
      </c>
      <c r="Y312">
        <v>24.7</v>
      </c>
      <c r="AA312">
        <v>0</v>
      </c>
      <c r="AB312">
        <v>211.1</v>
      </c>
      <c r="AC312">
        <v>11.6</v>
      </c>
      <c r="AD312">
        <v>0</v>
      </c>
      <c r="AE312">
        <v>0</v>
      </c>
      <c r="AF312">
        <v>34.549999999999997</v>
      </c>
      <c r="AG312">
        <v>11.6</v>
      </c>
      <c r="AH312">
        <v>0</v>
      </c>
      <c r="AI312">
        <v>1</v>
      </c>
      <c r="AJ312">
        <v>6.11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24.7</v>
      </c>
      <c r="AU312" t="s">
        <v>6</v>
      </c>
      <c r="AV312">
        <v>0</v>
      </c>
      <c r="AW312">
        <v>2</v>
      </c>
      <c r="AX312">
        <v>27935783</v>
      </c>
      <c r="AY312">
        <v>1</v>
      </c>
      <c r="AZ312">
        <v>0</v>
      </c>
      <c r="BA312">
        <v>318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Y312*Source!I117</f>
        <v>0.247</v>
      </c>
      <c r="CY312">
        <f>AB312</f>
        <v>211.1</v>
      </c>
      <c r="CZ312">
        <f>AF312</f>
        <v>34.549999999999997</v>
      </c>
      <c r="DA312">
        <f>AJ312</f>
        <v>6.11</v>
      </c>
      <c r="DB312">
        <f t="shared" si="44"/>
        <v>853.39</v>
      </c>
      <c r="DC312">
        <f t="shared" si="45"/>
        <v>286.52</v>
      </c>
    </row>
    <row r="313" spans="1:107" x14ac:dyDescent="0.2">
      <c r="A313">
        <f>ROW(Source!A117)</f>
        <v>117</v>
      </c>
      <c r="B313">
        <v>27935368</v>
      </c>
      <c r="C313">
        <v>27935773</v>
      </c>
      <c r="D313">
        <v>25149961</v>
      </c>
      <c r="E313">
        <v>1</v>
      </c>
      <c r="F313">
        <v>1</v>
      </c>
      <c r="G313">
        <v>1</v>
      </c>
      <c r="H313">
        <v>3</v>
      </c>
      <c r="I313" t="s">
        <v>558</v>
      </c>
      <c r="J313" t="s">
        <v>559</v>
      </c>
      <c r="K313" t="s">
        <v>560</v>
      </c>
      <c r="L313">
        <v>1339</v>
      </c>
      <c r="N313">
        <v>1007</v>
      </c>
      <c r="O313" t="s">
        <v>133</v>
      </c>
      <c r="P313" t="s">
        <v>133</v>
      </c>
      <c r="Q313">
        <v>1</v>
      </c>
      <c r="W313">
        <v>0</v>
      </c>
      <c r="X313">
        <v>-1660354250</v>
      </c>
      <c r="Y313">
        <v>4.6900000000000004</v>
      </c>
      <c r="AA313">
        <v>14.91</v>
      </c>
      <c r="AB313">
        <v>0</v>
      </c>
      <c r="AC313">
        <v>0</v>
      </c>
      <c r="AD313">
        <v>0</v>
      </c>
      <c r="AE313">
        <v>2.44</v>
      </c>
      <c r="AF313">
        <v>0</v>
      </c>
      <c r="AG313">
        <v>0</v>
      </c>
      <c r="AH313">
        <v>0</v>
      </c>
      <c r="AI313">
        <v>6.11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4.6900000000000004</v>
      </c>
      <c r="AU313" t="s">
        <v>6</v>
      </c>
      <c r="AV313">
        <v>0</v>
      </c>
      <c r="AW313">
        <v>2</v>
      </c>
      <c r="AX313">
        <v>27935784</v>
      </c>
      <c r="AY313">
        <v>1</v>
      </c>
      <c r="AZ313">
        <v>0</v>
      </c>
      <c r="BA313">
        <v>319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Y313*Source!I117</f>
        <v>4.6900000000000004E-2</v>
      </c>
      <c r="CY313">
        <f>AA313</f>
        <v>14.91</v>
      </c>
      <c r="CZ313">
        <f>AE313</f>
        <v>2.44</v>
      </c>
      <c r="DA313">
        <f>AI313</f>
        <v>6.11</v>
      </c>
      <c r="DB313">
        <f t="shared" si="44"/>
        <v>11.44</v>
      </c>
      <c r="DC313">
        <f t="shared" si="45"/>
        <v>0</v>
      </c>
    </row>
    <row r="314" spans="1:107" x14ac:dyDescent="0.2">
      <c r="A314">
        <f>ROW(Source!A117)</f>
        <v>117</v>
      </c>
      <c r="B314">
        <v>27935368</v>
      </c>
      <c r="C314">
        <v>27935773</v>
      </c>
      <c r="D314">
        <v>25153340</v>
      </c>
      <c r="E314">
        <v>1</v>
      </c>
      <c r="F314">
        <v>1</v>
      </c>
      <c r="G314">
        <v>1</v>
      </c>
      <c r="H314">
        <v>3</v>
      </c>
      <c r="I314" t="s">
        <v>632</v>
      </c>
      <c r="J314" t="s">
        <v>633</v>
      </c>
      <c r="K314" t="s">
        <v>634</v>
      </c>
      <c r="L314">
        <v>1354</v>
      </c>
      <c r="N314">
        <v>1010</v>
      </c>
      <c r="O314" t="s">
        <v>282</v>
      </c>
      <c r="P314" t="s">
        <v>282</v>
      </c>
      <c r="Q314">
        <v>1</v>
      </c>
      <c r="W314">
        <v>0</v>
      </c>
      <c r="X314">
        <v>1593985666</v>
      </c>
      <c r="Y314">
        <v>2.02</v>
      </c>
      <c r="AA314">
        <v>18612.28</v>
      </c>
      <c r="AB314">
        <v>0</v>
      </c>
      <c r="AC314">
        <v>0</v>
      </c>
      <c r="AD314">
        <v>0</v>
      </c>
      <c r="AE314">
        <v>3046.2</v>
      </c>
      <c r="AF314">
        <v>0</v>
      </c>
      <c r="AG314">
        <v>0</v>
      </c>
      <c r="AH314">
        <v>0</v>
      </c>
      <c r="AI314">
        <v>6.11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2.02</v>
      </c>
      <c r="AU314" t="s">
        <v>6</v>
      </c>
      <c r="AV314">
        <v>0</v>
      </c>
      <c r="AW314">
        <v>2</v>
      </c>
      <c r="AX314">
        <v>27935785</v>
      </c>
      <c r="AY314">
        <v>1</v>
      </c>
      <c r="AZ314">
        <v>0</v>
      </c>
      <c r="BA314">
        <v>320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Y314*Source!I117</f>
        <v>2.0199999999999999E-2</v>
      </c>
      <c r="CY314">
        <f>AA314</f>
        <v>18612.28</v>
      </c>
      <c r="CZ314">
        <f>AE314</f>
        <v>3046.2</v>
      </c>
      <c r="DA314">
        <f>AI314</f>
        <v>6.11</v>
      </c>
      <c r="DB314">
        <f t="shared" si="44"/>
        <v>6153.32</v>
      </c>
      <c r="DC314">
        <f t="shared" si="45"/>
        <v>0</v>
      </c>
    </row>
    <row r="315" spans="1:107" x14ac:dyDescent="0.2">
      <c r="A315">
        <f>ROW(Source!A118)</f>
        <v>118</v>
      </c>
      <c r="B315">
        <v>27935367</v>
      </c>
      <c r="C315">
        <v>27935786</v>
      </c>
      <c r="D315">
        <v>25419089</v>
      </c>
      <c r="E315">
        <v>1</v>
      </c>
      <c r="F315">
        <v>1</v>
      </c>
      <c r="G315">
        <v>1</v>
      </c>
      <c r="H315">
        <v>1</v>
      </c>
      <c r="I315" t="s">
        <v>582</v>
      </c>
      <c r="J315" t="s">
        <v>6</v>
      </c>
      <c r="K315" t="s">
        <v>583</v>
      </c>
      <c r="L315">
        <v>1191</v>
      </c>
      <c r="N315">
        <v>1013</v>
      </c>
      <c r="O315" t="s">
        <v>459</v>
      </c>
      <c r="P315" t="s">
        <v>459</v>
      </c>
      <c r="Q315">
        <v>1</v>
      </c>
      <c r="W315">
        <v>0</v>
      </c>
      <c r="X315">
        <v>1069510174</v>
      </c>
      <c r="Y315">
        <v>31.5</v>
      </c>
      <c r="AA315">
        <v>0</v>
      </c>
      <c r="AB315">
        <v>0</v>
      </c>
      <c r="AC315">
        <v>0</v>
      </c>
      <c r="AD315">
        <v>9.6199999999999992</v>
      </c>
      <c r="AE315">
        <v>0</v>
      </c>
      <c r="AF315">
        <v>0</v>
      </c>
      <c r="AG315">
        <v>0</v>
      </c>
      <c r="AH315">
        <v>9.6199999999999992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</v>
      </c>
      <c r="AT315">
        <v>2.1</v>
      </c>
      <c r="AU315" t="s">
        <v>248</v>
      </c>
      <c r="AV315">
        <v>1</v>
      </c>
      <c r="AW315">
        <v>2</v>
      </c>
      <c r="AX315">
        <v>27935792</v>
      </c>
      <c r="AY315">
        <v>1</v>
      </c>
      <c r="AZ315">
        <v>0</v>
      </c>
      <c r="BA315">
        <v>321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Y315*Source!I118</f>
        <v>0.315</v>
      </c>
      <c r="CY315">
        <f>AD315</f>
        <v>9.6199999999999992</v>
      </c>
      <c r="CZ315">
        <f>AH315</f>
        <v>9.6199999999999992</v>
      </c>
      <c r="DA315">
        <f>AL315</f>
        <v>1</v>
      </c>
      <c r="DB315">
        <f>ROUND((ROUND(AT315*CZ315,2)*15),2)</f>
        <v>303</v>
      </c>
      <c r="DC315">
        <f>ROUND((ROUND(AT315*AG315,2)*15),2)</f>
        <v>0</v>
      </c>
    </row>
    <row r="316" spans="1:107" x14ac:dyDescent="0.2">
      <c r="A316">
        <f>ROW(Source!A118)</f>
        <v>118</v>
      </c>
      <c r="B316">
        <v>27935367</v>
      </c>
      <c r="C316">
        <v>27935786</v>
      </c>
      <c r="D316">
        <v>25412928</v>
      </c>
      <c r="E316">
        <v>1</v>
      </c>
      <c r="F316">
        <v>1</v>
      </c>
      <c r="G316">
        <v>1</v>
      </c>
      <c r="H316">
        <v>1</v>
      </c>
      <c r="I316" t="s">
        <v>460</v>
      </c>
      <c r="J316" t="s">
        <v>6</v>
      </c>
      <c r="K316" t="s">
        <v>461</v>
      </c>
      <c r="L316">
        <v>1191</v>
      </c>
      <c r="N316">
        <v>1013</v>
      </c>
      <c r="O316" t="s">
        <v>459</v>
      </c>
      <c r="P316" t="s">
        <v>459</v>
      </c>
      <c r="Q316">
        <v>1</v>
      </c>
      <c r="W316">
        <v>0</v>
      </c>
      <c r="X316">
        <v>-1417349443</v>
      </c>
      <c r="Y316">
        <v>1.24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1.24</v>
      </c>
      <c r="AU316" t="s">
        <v>6</v>
      </c>
      <c r="AV316">
        <v>2</v>
      </c>
      <c r="AW316">
        <v>2</v>
      </c>
      <c r="AX316">
        <v>27935793</v>
      </c>
      <c r="AY316">
        <v>1</v>
      </c>
      <c r="AZ316">
        <v>2048</v>
      </c>
      <c r="BA316">
        <v>322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Y316*Source!I118</f>
        <v>1.24E-2</v>
      </c>
      <c r="CY316">
        <f>AD316</f>
        <v>0</v>
      </c>
      <c r="CZ316">
        <f>AH316</f>
        <v>0</v>
      </c>
      <c r="DA316">
        <f>AL316</f>
        <v>1</v>
      </c>
      <c r="DB316">
        <f>ROUND(ROUND(AT316*CZ316,2),2)</f>
        <v>0</v>
      </c>
      <c r="DC316">
        <f>ROUND(ROUND(AT316*AG316,2),2)</f>
        <v>0</v>
      </c>
    </row>
    <row r="317" spans="1:107" x14ac:dyDescent="0.2">
      <c r="A317">
        <f>ROW(Source!A118)</f>
        <v>118</v>
      </c>
      <c r="B317">
        <v>27935367</v>
      </c>
      <c r="C317">
        <v>27935786</v>
      </c>
      <c r="D317">
        <v>25232657</v>
      </c>
      <c r="E317">
        <v>1</v>
      </c>
      <c r="F317">
        <v>1</v>
      </c>
      <c r="G317">
        <v>1</v>
      </c>
      <c r="H317">
        <v>2</v>
      </c>
      <c r="I317" t="s">
        <v>629</v>
      </c>
      <c r="J317" t="s">
        <v>630</v>
      </c>
      <c r="K317" t="s">
        <v>631</v>
      </c>
      <c r="L317">
        <v>1368</v>
      </c>
      <c r="N317">
        <v>1011</v>
      </c>
      <c r="O317" t="s">
        <v>465</v>
      </c>
      <c r="P317" t="s">
        <v>465</v>
      </c>
      <c r="Q317">
        <v>1</v>
      </c>
      <c r="W317">
        <v>0</v>
      </c>
      <c r="X317">
        <v>-631888851</v>
      </c>
      <c r="Y317">
        <v>18.600000000000001</v>
      </c>
      <c r="AA317">
        <v>0</v>
      </c>
      <c r="AB317">
        <v>34.549999999999997</v>
      </c>
      <c r="AC317">
        <v>11.6</v>
      </c>
      <c r="AD317">
        <v>0</v>
      </c>
      <c r="AE317">
        <v>0</v>
      </c>
      <c r="AF317">
        <v>34.549999999999997</v>
      </c>
      <c r="AG317">
        <v>11.6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1.24</v>
      </c>
      <c r="AU317" t="s">
        <v>248</v>
      </c>
      <c r="AV317">
        <v>0</v>
      </c>
      <c r="AW317">
        <v>2</v>
      </c>
      <c r="AX317">
        <v>27935794</v>
      </c>
      <c r="AY317">
        <v>1</v>
      </c>
      <c r="AZ317">
        <v>0</v>
      </c>
      <c r="BA317">
        <v>323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Y317*Source!I118</f>
        <v>0.18600000000000003</v>
      </c>
      <c r="CY317">
        <f>AB317</f>
        <v>34.549999999999997</v>
      </c>
      <c r="CZ317">
        <f>AF317</f>
        <v>34.549999999999997</v>
      </c>
      <c r="DA317">
        <f>AJ317</f>
        <v>1</v>
      </c>
      <c r="DB317">
        <f>ROUND((ROUND(AT317*CZ317,2)*15),2)</f>
        <v>642.6</v>
      </c>
      <c r="DC317">
        <f>ROUND((ROUND(AT317*AG317,2)*15),2)</f>
        <v>215.7</v>
      </c>
    </row>
    <row r="318" spans="1:107" x14ac:dyDescent="0.2">
      <c r="A318">
        <f>ROW(Source!A118)</f>
        <v>118</v>
      </c>
      <c r="B318">
        <v>27935367</v>
      </c>
      <c r="C318">
        <v>27935786</v>
      </c>
      <c r="D318">
        <v>25149961</v>
      </c>
      <c r="E318">
        <v>1</v>
      </c>
      <c r="F318">
        <v>1</v>
      </c>
      <c r="G318">
        <v>1</v>
      </c>
      <c r="H318">
        <v>3</v>
      </c>
      <c r="I318" t="s">
        <v>558</v>
      </c>
      <c r="J318" t="s">
        <v>559</v>
      </c>
      <c r="K318" t="s">
        <v>560</v>
      </c>
      <c r="L318">
        <v>1339</v>
      </c>
      <c r="N318">
        <v>1007</v>
      </c>
      <c r="O318" t="s">
        <v>133</v>
      </c>
      <c r="P318" t="s">
        <v>133</v>
      </c>
      <c r="Q318">
        <v>1</v>
      </c>
      <c r="W318">
        <v>0</v>
      </c>
      <c r="X318">
        <v>-1660354250</v>
      </c>
      <c r="Y318">
        <v>3.5249999999999999</v>
      </c>
      <c r="AA318">
        <v>2.44</v>
      </c>
      <c r="AB318">
        <v>0</v>
      </c>
      <c r="AC318">
        <v>0</v>
      </c>
      <c r="AD318">
        <v>0</v>
      </c>
      <c r="AE318">
        <v>2.44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0.23499999999999999</v>
      </c>
      <c r="AU318" t="s">
        <v>248</v>
      </c>
      <c r="AV318">
        <v>0</v>
      </c>
      <c r="AW318">
        <v>2</v>
      </c>
      <c r="AX318">
        <v>27935795</v>
      </c>
      <c r="AY318">
        <v>1</v>
      </c>
      <c r="AZ318">
        <v>0</v>
      </c>
      <c r="BA318">
        <v>324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Y318*Source!I118</f>
        <v>3.5249999999999997E-2</v>
      </c>
      <c r="CY318">
        <f>AA318</f>
        <v>2.44</v>
      </c>
      <c r="CZ318">
        <f>AE318</f>
        <v>2.44</v>
      </c>
      <c r="DA318">
        <f>AI318</f>
        <v>1</v>
      </c>
      <c r="DB318">
        <f>ROUND((ROUND(AT318*CZ318,2)*15),2)</f>
        <v>8.5500000000000007</v>
      </c>
      <c r="DC318">
        <f>ROUND((ROUND(AT318*AG318,2)*15),2)</f>
        <v>0</v>
      </c>
    </row>
    <row r="319" spans="1:107" x14ac:dyDescent="0.2">
      <c r="A319">
        <f>ROW(Source!A118)</f>
        <v>118</v>
      </c>
      <c r="B319">
        <v>27935367</v>
      </c>
      <c r="C319">
        <v>27935786</v>
      </c>
      <c r="D319">
        <v>25153340</v>
      </c>
      <c r="E319">
        <v>1</v>
      </c>
      <c r="F319">
        <v>1</v>
      </c>
      <c r="G319">
        <v>1</v>
      </c>
      <c r="H319">
        <v>3</v>
      </c>
      <c r="I319" t="s">
        <v>632</v>
      </c>
      <c r="J319" t="s">
        <v>633</v>
      </c>
      <c r="K319" t="s">
        <v>634</v>
      </c>
      <c r="L319">
        <v>1354</v>
      </c>
      <c r="N319">
        <v>1010</v>
      </c>
      <c r="O319" t="s">
        <v>282</v>
      </c>
      <c r="P319" t="s">
        <v>282</v>
      </c>
      <c r="Q319">
        <v>1</v>
      </c>
      <c r="W319">
        <v>0</v>
      </c>
      <c r="X319">
        <v>1593985666</v>
      </c>
      <c r="Y319">
        <v>1.5150000000000001</v>
      </c>
      <c r="AA319">
        <v>3046.2</v>
      </c>
      <c r="AB319">
        <v>0</v>
      </c>
      <c r="AC319">
        <v>0</v>
      </c>
      <c r="AD319">
        <v>0</v>
      </c>
      <c r="AE319">
        <v>3046.2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0.10100000000000001</v>
      </c>
      <c r="AU319" t="s">
        <v>248</v>
      </c>
      <c r="AV319">
        <v>0</v>
      </c>
      <c r="AW319">
        <v>2</v>
      </c>
      <c r="AX319">
        <v>27935796</v>
      </c>
      <c r="AY319">
        <v>1</v>
      </c>
      <c r="AZ319">
        <v>0</v>
      </c>
      <c r="BA319">
        <v>325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Y319*Source!I118</f>
        <v>1.5150000000000002E-2</v>
      </c>
      <c r="CY319">
        <f>AA319</f>
        <v>3046.2</v>
      </c>
      <c r="CZ319">
        <f>AE319</f>
        <v>3046.2</v>
      </c>
      <c r="DA319">
        <f>AI319</f>
        <v>1</v>
      </c>
      <c r="DB319">
        <f>ROUND((ROUND(AT319*CZ319,2)*15),2)</f>
        <v>4615.05</v>
      </c>
      <c r="DC319">
        <f>ROUND((ROUND(AT319*AG319,2)*15),2)</f>
        <v>0</v>
      </c>
    </row>
    <row r="320" spans="1:107" x14ac:dyDescent="0.2">
      <c r="A320">
        <f>ROW(Source!A119)</f>
        <v>119</v>
      </c>
      <c r="B320">
        <v>27935368</v>
      </c>
      <c r="C320">
        <v>27935786</v>
      </c>
      <c r="D320">
        <v>25419089</v>
      </c>
      <c r="E320">
        <v>1</v>
      </c>
      <c r="F320">
        <v>1</v>
      </c>
      <c r="G320">
        <v>1</v>
      </c>
      <c r="H320">
        <v>1</v>
      </c>
      <c r="I320" t="s">
        <v>582</v>
      </c>
      <c r="J320" t="s">
        <v>6</v>
      </c>
      <c r="K320" t="s">
        <v>583</v>
      </c>
      <c r="L320">
        <v>1191</v>
      </c>
      <c r="N320">
        <v>1013</v>
      </c>
      <c r="O320" t="s">
        <v>459</v>
      </c>
      <c r="P320" t="s">
        <v>459</v>
      </c>
      <c r="Q320">
        <v>1</v>
      </c>
      <c r="W320">
        <v>0</v>
      </c>
      <c r="X320">
        <v>1069510174</v>
      </c>
      <c r="Y320">
        <v>31.5</v>
      </c>
      <c r="AA320">
        <v>0</v>
      </c>
      <c r="AB320">
        <v>0</v>
      </c>
      <c r="AC320">
        <v>0</v>
      </c>
      <c r="AD320">
        <v>58.78</v>
      </c>
      <c r="AE320">
        <v>0</v>
      </c>
      <c r="AF320">
        <v>0</v>
      </c>
      <c r="AG320">
        <v>0</v>
      </c>
      <c r="AH320">
        <v>9.6199999999999992</v>
      </c>
      <c r="AI320">
        <v>1</v>
      </c>
      <c r="AJ320">
        <v>1</v>
      </c>
      <c r="AK320">
        <v>1</v>
      </c>
      <c r="AL320">
        <v>6.11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2.1</v>
      </c>
      <c r="AU320" t="s">
        <v>248</v>
      </c>
      <c r="AV320">
        <v>1</v>
      </c>
      <c r="AW320">
        <v>2</v>
      </c>
      <c r="AX320">
        <v>27935792</v>
      </c>
      <c r="AY320">
        <v>1</v>
      </c>
      <c r="AZ320">
        <v>0</v>
      </c>
      <c r="BA320">
        <v>326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Y320*Source!I119</f>
        <v>0.315</v>
      </c>
      <c r="CY320">
        <f>AD320</f>
        <v>58.78</v>
      </c>
      <c r="CZ320">
        <f>AH320</f>
        <v>9.6199999999999992</v>
      </c>
      <c r="DA320">
        <f>AL320</f>
        <v>6.11</v>
      </c>
      <c r="DB320">
        <f>ROUND((ROUND(AT320*CZ320,2)*15),2)</f>
        <v>303</v>
      </c>
      <c r="DC320">
        <f>ROUND((ROUND(AT320*AG320,2)*15),2)</f>
        <v>0</v>
      </c>
    </row>
    <row r="321" spans="1:107" x14ac:dyDescent="0.2">
      <c r="A321">
        <f>ROW(Source!A119)</f>
        <v>119</v>
      </c>
      <c r="B321">
        <v>27935368</v>
      </c>
      <c r="C321">
        <v>27935786</v>
      </c>
      <c r="D321">
        <v>25412928</v>
      </c>
      <c r="E321">
        <v>1</v>
      </c>
      <c r="F321">
        <v>1</v>
      </c>
      <c r="G321">
        <v>1</v>
      </c>
      <c r="H321">
        <v>1</v>
      </c>
      <c r="I321" t="s">
        <v>460</v>
      </c>
      <c r="J321" t="s">
        <v>6</v>
      </c>
      <c r="K321" t="s">
        <v>461</v>
      </c>
      <c r="L321">
        <v>1191</v>
      </c>
      <c r="N321">
        <v>1013</v>
      </c>
      <c r="O321" t="s">
        <v>459</v>
      </c>
      <c r="P321" t="s">
        <v>459</v>
      </c>
      <c r="Q321">
        <v>1</v>
      </c>
      <c r="W321">
        <v>0</v>
      </c>
      <c r="X321">
        <v>-1417349443</v>
      </c>
      <c r="Y321">
        <v>1.24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6.11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1.24</v>
      </c>
      <c r="AU321" t="s">
        <v>6</v>
      </c>
      <c r="AV321">
        <v>2</v>
      </c>
      <c r="AW321">
        <v>2</v>
      </c>
      <c r="AX321">
        <v>27935793</v>
      </c>
      <c r="AY321">
        <v>1</v>
      </c>
      <c r="AZ321">
        <v>2048</v>
      </c>
      <c r="BA321">
        <v>327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Y321*Source!I119</f>
        <v>1.24E-2</v>
      </c>
      <c r="CY321">
        <f>AD321</f>
        <v>0</v>
      </c>
      <c r="CZ321">
        <f>AH321</f>
        <v>0</v>
      </c>
      <c r="DA321">
        <f>AL321</f>
        <v>1</v>
      </c>
      <c r="DB321">
        <f>ROUND(ROUND(AT321*CZ321,2),2)</f>
        <v>0</v>
      </c>
      <c r="DC321">
        <f>ROUND(ROUND(AT321*AG321,2),2)</f>
        <v>0</v>
      </c>
    </row>
    <row r="322" spans="1:107" x14ac:dyDescent="0.2">
      <c r="A322">
        <f>ROW(Source!A119)</f>
        <v>119</v>
      </c>
      <c r="B322">
        <v>27935368</v>
      </c>
      <c r="C322">
        <v>27935786</v>
      </c>
      <c r="D322">
        <v>25232657</v>
      </c>
      <c r="E322">
        <v>1</v>
      </c>
      <c r="F322">
        <v>1</v>
      </c>
      <c r="G322">
        <v>1</v>
      </c>
      <c r="H322">
        <v>2</v>
      </c>
      <c r="I322" t="s">
        <v>629</v>
      </c>
      <c r="J322" t="s">
        <v>630</v>
      </c>
      <c r="K322" t="s">
        <v>631</v>
      </c>
      <c r="L322">
        <v>1368</v>
      </c>
      <c r="N322">
        <v>1011</v>
      </c>
      <c r="O322" t="s">
        <v>465</v>
      </c>
      <c r="P322" t="s">
        <v>465</v>
      </c>
      <c r="Q322">
        <v>1</v>
      </c>
      <c r="W322">
        <v>0</v>
      </c>
      <c r="X322">
        <v>-631888851</v>
      </c>
      <c r="Y322">
        <v>18.600000000000001</v>
      </c>
      <c r="AA322">
        <v>0</v>
      </c>
      <c r="AB322">
        <v>211.1</v>
      </c>
      <c r="AC322">
        <v>11.6</v>
      </c>
      <c r="AD322">
        <v>0</v>
      </c>
      <c r="AE322">
        <v>0</v>
      </c>
      <c r="AF322">
        <v>34.549999999999997</v>
      </c>
      <c r="AG322">
        <v>11.6</v>
      </c>
      <c r="AH322">
        <v>0</v>
      </c>
      <c r="AI322">
        <v>1</v>
      </c>
      <c r="AJ322">
        <v>6.11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1.24</v>
      </c>
      <c r="AU322" t="s">
        <v>248</v>
      </c>
      <c r="AV322">
        <v>0</v>
      </c>
      <c r="AW322">
        <v>2</v>
      </c>
      <c r="AX322">
        <v>27935794</v>
      </c>
      <c r="AY322">
        <v>1</v>
      </c>
      <c r="AZ322">
        <v>0</v>
      </c>
      <c r="BA322">
        <v>328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Y322*Source!I119</f>
        <v>0.18600000000000003</v>
      </c>
      <c r="CY322">
        <f>AB322</f>
        <v>211.1</v>
      </c>
      <c r="CZ322">
        <f>AF322</f>
        <v>34.549999999999997</v>
      </c>
      <c r="DA322">
        <f>AJ322</f>
        <v>6.11</v>
      </c>
      <c r="DB322">
        <f>ROUND((ROUND(AT322*CZ322,2)*15),2)</f>
        <v>642.6</v>
      </c>
      <c r="DC322">
        <f>ROUND((ROUND(AT322*AG322,2)*15),2)</f>
        <v>215.7</v>
      </c>
    </row>
    <row r="323" spans="1:107" x14ac:dyDescent="0.2">
      <c r="A323">
        <f>ROW(Source!A119)</f>
        <v>119</v>
      </c>
      <c r="B323">
        <v>27935368</v>
      </c>
      <c r="C323">
        <v>27935786</v>
      </c>
      <c r="D323">
        <v>25149961</v>
      </c>
      <c r="E323">
        <v>1</v>
      </c>
      <c r="F323">
        <v>1</v>
      </c>
      <c r="G323">
        <v>1</v>
      </c>
      <c r="H323">
        <v>3</v>
      </c>
      <c r="I323" t="s">
        <v>558</v>
      </c>
      <c r="J323" t="s">
        <v>559</v>
      </c>
      <c r="K323" t="s">
        <v>560</v>
      </c>
      <c r="L323">
        <v>1339</v>
      </c>
      <c r="N323">
        <v>1007</v>
      </c>
      <c r="O323" t="s">
        <v>133</v>
      </c>
      <c r="P323" t="s">
        <v>133</v>
      </c>
      <c r="Q323">
        <v>1</v>
      </c>
      <c r="W323">
        <v>0</v>
      </c>
      <c r="X323">
        <v>-1660354250</v>
      </c>
      <c r="Y323">
        <v>3.5249999999999999</v>
      </c>
      <c r="AA323">
        <v>14.91</v>
      </c>
      <c r="AB323">
        <v>0</v>
      </c>
      <c r="AC323">
        <v>0</v>
      </c>
      <c r="AD323">
        <v>0</v>
      </c>
      <c r="AE323">
        <v>2.44</v>
      </c>
      <c r="AF323">
        <v>0</v>
      </c>
      <c r="AG323">
        <v>0</v>
      </c>
      <c r="AH323">
        <v>0</v>
      </c>
      <c r="AI323">
        <v>6.11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0.23499999999999999</v>
      </c>
      <c r="AU323" t="s">
        <v>248</v>
      </c>
      <c r="AV323">
        <v>0</v>
      </c>
      <c r="AW323">
        <v>2</v>
      </c>
      <c r="AX323">
        <v>27935795</v>
      </c>
      <c r="AY323">
        <v>1</v>
      </c>
      <c r="AZ323">
        <v>0</v>
      </c>
      <c r="BA323">
        <v>329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Y323*Source!I119</f>
        <v>3.5249999999999997E-2</v>
      </c>
      <c r="CY323">
        <f>AA323</f>
        <v>14.91</v>
      </c>
      <c r="CZ323">
        <f>AE323</f>
        <v>2.44</v>
      </c>
      <c r="DA323">
        <f>AI323</f>
        <v>6.11</v>
      </c>
      <c r="DB323">
        <f>ROUND((ROUND(AT323*CZ323,2)*15),2)</f>
        <v>8.5500000000000007</v>
      </c>
      <c r="DC323">
        <f>ROUND((ROUND(AT323*AG323,2)*15),2)</f>
        <v>0</v>
      </c>
    </row>
    <row r="324" spans="1:107" x14ac:dyDescent="0.2">
      <c r="A324">
        <f>ROW(Source!A119)</f>
        <v>119</v>
      </c>
      <c r="B324">
        <v>27935368</v>
      </c>
      <c r="C324">
        <v>27935786</v>
      </c>
      <c r="D324">
        <v>25153340</v>
      </c>
      <c r="E324">
        <v>1</v>
      </c>
      <c r="F324">
        <v>1</v>
      </c>
      <c r="G324">
        <v>1</v>
      </c>
      <c r="H324">
        <v>3</v>
      </c>
      <c r="I324" t="s">
        <v>632</v>
      </c>
      <c r="J324" t="s">
        <v>633</v>
      </c>
      <c r="K324" t="s">
        <v>634</v>
      </c>
      <c r="L324">
        <v>1354</v>
      </c>
      <c r="N324">
        <v>1010</v>
      </c>
      <c r="O324" t="s">
        <v>282</v>
      </c>
      <c r="P324" t="s">
        <v>282</v>
      </c>
      <c r="Q324">
        <v>1</v>
      </c>
      <c r="W324">
        <v>0</v>
      </c>
      <c r="X324">
        <v>1593985666</v>
      </c>
      <c r="Y324">
        <v>1.5150000000000001</v>
      </c>
      <c r="AA324">
        <v>18612.28</v>
      </c>
      <c r="AB324">
        <v>0</v>
      </c>
      <c r="AC324">
        <v>0</v>
      </c>
      <c r="AD324">
        <v>0</v>
      </c>
      <c r="AE324">
        <v>3046.2</v>
      </c>
      <c r="AF324">
        <v>0</v>
      </c>
      <c r="AG324">
        <v>0</v>
      </c>
      <c r="AH324">
        <v>0</v>
      </c>
      <c r="AI324">
        <v>6.11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6</v>
      </c>
      <c r="AT324">
        <v>0.10100000000000001</v>
      </c>
      <c r="AU324" t="s">
        <v>248</v>
      </c>
      <c r="AV324">
        <v>0</v>
      </c>
      <c r="AW324">
        <v>2</v>
      </c>
      <c r="AX324">
        <v>27935796</v>
      </c>
      <c r="AY324">
        <v>1</v>
      </c>
      <c r="AZ324">
        <v>0</v>
      </c>
      <c r="BA324">
        <v>330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Y324*Source!I119</f>
        <v>1.5150000000000002E-2</v>
      </c>
      <c r="CY324">
        <f>AA324</f>
        <v>18612.28</v>
      </c>
      <c r="CZ324">
        <f>AE324</f>
        <v>3046.2</v>
      </c>
      <c r="DA324">
        <f>AI324</f>
        <v>6.11</v>
      </c>
      <c r="DB324">
        <f>ROUND((ROUND(AT324*CZ324,2)*15),2)</f>
        <v>4615.05</v>
      </c>
      <c r="DC324">
        <f>ROUND((ROUND(AT324*AG324,2)*15),2)</f>
        <v>0</v>
      </c>
    </row>
    <row r="325" spans="1:107" x14ac:dyDescent="0.2">
      <c r="A325">
        <f>ROW(Source!A120)</f>
        <v>120</v>
      </c>
      <c r="B325">
        <v>27935367</v>
      </c>
      <c r="C325">
        <v>27935797</v>
      </c>
      <c r="D325">
        <v>25416200</v>
      </c>
      <c r="E325">
        <v>1</v>
      </c>
      <c r="F325">
        <v>1</v>
      </c>
      <c r="G325">
        <v>1</v>
      </c>
      <c r="H325">
        <v>1</v>
      </c>
      <c r="I325" t="s">
        <v>457</v>
      </c>
      <c r="J325" t="s">
        <v>6</v>
      </c>
      <c r="K325" t="s">
        <v>458</v>
      </c>
      <c r="L325">
        <v>1191</v>
      </c>
      <c r="N325">
        <v>1013</v>
      </c>
      <c r="O325" t="s">
        <v>459</v>
      </c>
      <c r="P325" t="s">
        <v>459</v>
      </c>
      <c r="Q325">
        <v>1</v>
      </c>
      <c r="W325">
        <v>0</v>
      </c>
      <c r="X325">
        <v>371339561</v>
      </c>
      <c r="Y325">
        <v>75.22</v>
      </c>
      <c r="AA325">
        <v>0</v>
      </c>
      <c r="AB325">
        <v>0</v>
      </c>
      <c r="AC325">
        <v>0</v>
      </c>
      <c r="AD325">
        <v>8.09</v>
      </c>
      <c r="AE325">
        <v>0</v>
      </c>
      <c r="AF325">
        <v>0</v>
      </c>
      <c r="AG325">
        <v>0</v>
      </c>
      <c r="AH325">
        <v>8.09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75.22</v>
      </c>
      <c r="AU325" t="s">
        <v>6</v>
      </c>
      <c r="AV325">
        <v>1</v>
      </c>
      <c r="AW325">
        <v>2</v>
      </c>
      <c r="AX325">
        <v>27935809</v>
      </c>
      <c r="AY325">
        <v>1</v>
      </c>
      <c r="AZ325">
        <v>0</v>
      </c>
      <c r="BA325">
        <v>331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Y325*Source!I120</f>
        <v>0.22566</v>
      </c>
      <c r="CY325">
        <f>AD325</f>
        <v>8.09</v>
      </c>
      <c r="CZ325">
        <f>AH325</f>
        <v>8.09</v>
      </c>
      <c r="DA325">
        <f>AL325</f>
        <v>1</v>
      </c>
      <c r="DB325">
        <f t="shared" ref="DB325:DB356" si="46">ROUND(ROUND(AT325*CZ325,2),2)</f>
        <v>608.53</v>
      </c>
      <c r="DC325">
        <f t="shared" ref="DC325:DC356" si="47">ROUND(ROUND(AT325*AG325,2),2)</f>
        <v>0</v>
      </c>
    </row>
    <row r="326" spans="1:107" x14ac:dyDescent="0.2">
      <c r="A326">
        <f>ROW(Source!A120)</f>
        <v>120</v>
      </c>
      <c r="B326">
        <v>27935367</v>
      </c>
      <c r="C326">
        <v>27935797</v>
      </c>
      <c r="D326">
        <v>25412928</v>
      </c>
      <c r="E326">
        <v>1</v>
      </c>
      <c r="F326">
        <v>1</v>
      </c>
      <c r="G326">
        <v>1</v>
      </c>
      <c r="H326">
        <v>1</v>
      </c>
      <c r="I326" t="s">
        <v>460</v>
      </c>
      <c r="J326" t="s">
        <v>6</v>
      </c>
      <c r="K326" t="s">
        <v>461</v>
      </c>
      <c r="L326">
        <v>1191</v>
      </c>
      <c r="N326">
        <v>1013</v>
      </c>
      <c r="O326" t="s">
        <v>459</v>
      </c>
      <c r="P326" t="s">
        <v>459</v>
      </c>
      <c r="Q326">
        <v>1</v>
      </c>
      <c r="W326">
        <v>0</v>
      </c>
      <c r="X326">
        <v>-1417349443</v>
      </c>
      <c r="Y326">
        <v>0.4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0.4</v>
      </c>
      <c r="AU326" t="s">
        <v>6</v>
      </c>
      <c r="AV326">
        <v>2</v>
      </c>
      <c r="AW326">
        <v>2</v>
      </c>
      <c r="AX326">
        <v>27935810</v>
      </c>
      <c r="AY326">
        <v>1</v>
      </c>
      <c r="AZ326">
        <v>0</v>
      </c>
      <c r="BA326">
        <v>332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Y326*Source!I120</f>
        <v>1.2000000000000001E-3</v>
      </c>
      <c r="CY326">
        <f>AD326</f>
        <v>0</v>
      </c>
      <c r="CZ326">
        <f>AH326</f>
        <v>0</v>
      </c>
      <c r="DA326">
        <f>AL326</f>
        <v>1</v>
      </c>
      <c r="DB326">
        <f t="shared" si="46"/>
        <v>0</v>
      </c>
      <c r="DC326">
        <f t="shared" si="47"/>
        <v>0</v>
      </c>
    </row>
    <row r="327" spans="1:107" x14ac:dyDescent="0.2">
      <c r="A327">
        <f>ROW(Source!A120)</f>
        <v>120</v>
      </c>
      <c r="B327">
        <v>27935367</v>
      </c>
      <c r="C327">
        <v>27935797</v>
      </c>
      <c r="D327">
        <v>25230418</v>
      </c>
      <c r="E327">
        <v>1</v>
      </c>
      <c r="F327">
        <v>1</v>
      </c>
      <c r="G327">
        <v>1</v>
      </c>
      <c r="H327">
        <v>2</v>
      </c>
      <c r="I327" t="s">
        <v>635</v>
      </c>
      <c r="J327" t="s">
        <v>636</v>
      </c>
      <c r="K327" t="s">
        <v>637</v>
      </c>
      <c r="L327">
        <v>1368</v>
      </c>
      <c r="N327">
        <v>1011</v>
      </c>
      <c r="O327" t="s">
        <v>465</v>
      </c>
      <c r="P327" t="s">
        <v>465</v>
      </c>
      <c r="Q327">
        <v>1</v>
      </c>
      <c r="W327">
        <v>0</v>
      </c>
      <c r="X327">
        <v>1047452784</v>
      </c>
      <c r="Y327">
        <v>0.21</v>
      </c>
      <c r="AA327">
        <v>0</v>
      </c>
      <c r="AB327">
        <v>1.7</v>
      </c>
      <c r="AC327">
        <v>0</v>
      </c>
      <c r="AD327">
        <v>0</v>
      </c>
      <c r="AE327">
        <v>0</v>
      </c>
      <c r="AF327">
        <v>1.7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0.21</v>
      </c>
      <c r="AU327" t="s">
        <v>6</v>
      </c>
      <c r="AV327">
        <v>0</v>
      </c>
      <c r="AW327">
        <v>2</v>
      </c>
      <c r="AX327">
        <v>27935811</v>
      </c>
      <c r="AY327">
        <v>1</v>
      </c>
      <c r="AZ327">
        <v>0</v>
      </c>
      <c r="BA327">
        <v>333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Y327*Source!I120</f>
        <v>6.3000000000000003E-4</v>
      </c>
      <c r="CY327">
        <f>AB327</f>
        <v>1.7</v>
      </c>
      <c r="CZ327">
        <f>AF327</f>
        <v>1.7</v>
      </c>
      <c r="DA327">
        <f>AJ327</f>
        <v>1</v>
      </c>
      <c r="DB327">
        <f t="shared" si="46"/>
        <v>0.36</v>
      </c>
      <c r="DC327">
        <f t="shared" si="47"/>
        <v>0</v>
      </c>
    </row>
    <row r="328" spans="1:107" x14ac:dyDescent="0.2">
      <c r="A328">
        <f>ROW(Source!A120)</f>
        <v>120</v>
      </c>
      <c r="B328">
        <v>27935367</v>
      </c>
      <c r="C328">
        <v>27935797</v>
      </c>
      <c r="D328">
        <v>25231607</v>
      </c>
      <c r="E328">
        <v>1</v>
      </c>
      <c r="F328">
        <v>1</v>
      </c>
      <c r="G328">
        <v>1</v>
      </c>
      <c r="H328">
        <v>2</v>
      </c>
      <c r="I328" t="s">
        <v>468</v>
      </c>
      <c r="J328" t="s">
        <v>469</v>
      </c>
      <c r="K328" t="s">
        <v>470</v>
      </c>
      <c r="L328">
        <v>1368</v>
      </c>
      <c r="N328">
        <v>1011</v>
      </c>
      <c r="O328" t="s">
        <v>465</v>
      </c>
      <c r="P328" t="s">
        <v>465</v>
      </c>
      <c r="Q328">
        <v>1</v>
      </c>
      <c r="W328">
        <v>0</v>
      </c>
      <c r="X328">
        <v>1372534845</v>
      </c>
      <c r="Y328">
        <v>0.4</v>
      </c>
      <c r="AA328">
        <v>0</v>
      </c>
      <c r="AB328">
        <v>65.709999999999994</v>
      </c>
      <c r="AC328">
        <v>11.6</v>
      </c>
      <c r="AD328">
        <v>0</v>
      </c>
      <c r="AE328">
        <v>0</v>
      </c>
      <c r="AF328">
        <v>65.709999999999994</v>
      </c>
      <c r="AG328">
        <v>11.6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0.4</v>
      </c>
      <c r="AU328" t="s">
        <v>6</v>
      </c>
      <c r="AV328">
        <v>0</v>
      </c>
      <c r="AW328">
        <v>2</v>
      </c>
      <c r="AX328">
        <v>27935812</v>
      </c>
      <c r="AY328">
        <v>1</v>
      </c>
      <c r="AZ328">
        <v>0</v>
      </c>
      <c r="BA328">
        <v>334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Y328*Source!I120</f>
        <v>1.2000000000000001E-3</v>
      </c>
      <c r="CY328">
        <f>AB328</f>
        <v>65.709999999999994</v>
      </c>
      <c r="CZ328">
        <f>AF328</f>
        <v>65.709999999999994</v>
      </c>
      <c r="DA328">
        <f>AJ328</f>
        <v>1</v>
      </c>
      <c r="DB328">
        <f t="shared" si="46"/>
        <v>26.28</v>
      </c>
      <c r="DC328">
        <f t="shared" si="47"/>
        <v>4.6399999999999997</v>
      </c>
    </row>
    <row r="329" spans="1:107" x14ac:dyDescent="0.2">
      <c r="A329">
        <f>ROW(Source!A120)</f>
        <v>120</v>
      </c>
      <c r="B329">
        <v>27935367</v>
      </c>
      <c r="C329">
        <v>27935797</v>
      </c>
      <c r="D329">
        <v>25149961</v>
      </c>
      <c r="E329">
        <v>1</v>
      </c>
      <c r="F329">
        <v>1</v>
      </c>
      <c r="G329">
        <v>1</v>
      </c>
      <c r="H329">
        <v>3</v>
      </c>
      <c r="I329" t="s">
        <v>558</v>
      </c>
      <c r="J329" t="s">
        <v>559</v>
      </c>
      <c r="K329" t="s">
        <v>560</v>
      </c>
      <c r="L329">
        <v>1339</v>
      </c>
      <c r="N329">
        <v>1007</v>
      </c>
      <c r="O329" t="s">
        <v>133</v>
      </c>
      <c r="P329" t="s">
        <v>133</v>
      </c>
      <c r="Q329">
        <v>1</v>
      </c>
      <c r="W329">
        <v>0</v>
      </c>
      <c r="X329">
        <v>-1660354250</v>
      </c>
      <c r="Y329">
        <v>1.37E-2</v>
      </c>
      <c r="AA329">
        <v>2.44</v>
      </c>
      <c r="AB329">
        <v>0</v>
      </c>
      <c r="AC329">
        <v>0</v>
      </c>
      <c r="AD329">
        <v>0</v>
      </c>
      <c r="AE329">
        <v>2.44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1.37E-2</v>
      </c>
      <c r="AU329" t="s">
        <v>6</v>
      </c>
      <c r="AV329">
        <v>0</v>
      </c>
      <c r="AW329">
        <v>2</v>
      </c>
      <c r="AX329">
        <v>27935813</v>
      </c>
      <c r="AY329">
        <v>1</v>
      </c>
      <c r="AZ329">
        <v>0</v>
      </c>
      <c r="BA329">
        <v>335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Y329*Source!I120</f>
        <v>4.1100000000000003E-5</v>
      </c>
      <c r="CY329">
        <f t="shared" ref="CY329:CY335" si="48">AA329</f>
        <v>2.44</v>
      </c>
      <c r="CZ329">
        <f t="shared" ref="CZ329:CZ335" si="49">AE329</f>
        <v>2.44</v>
      </c>
      <c r="DA329">
        <f t="shared" ref="DA329:DA335" si="50">AI329</f>
        <v>1</v>
      </c>
      <c r="DB329">
        <f t="shared" si="46"/>
        <v>0.03</v>
      </c>
      <c r="DC329">
        <f t="shared" si="47"/>
        <v>0</v>
      </c>
    </row>
    <row r="330" spans="1:107" x14ac:dyDescent="0.2">
      <c r="A330">
        <f>ROW(Source!A120)</f>
        <v>120</v>
      </c>
      <c r="B330">
        <v>27935367</v>
      </c>
      <c r="C330">
        <v>27935797</v>
      </c>
      <c r="D330">
        <v>25152713</v>
      </c>
      <c r="E330">
        <v>1</v>
      </c>
      <c r="F330">
        <v>1</v>
      </c>
      <c r="G330">
        <v>1</v>
      </c>
      <c r="H330">
        <v>3</v>
      </c>
      <c r="I330" t="s">
        <v>525</v>
      </c>
      <c r="J330" t="s">
        <v>526</v>
      </c>
      <c r="K330" t="s">
        <v>527</v>
      </c>
      <c r="L330">
        <v>1348</v>
      </c>
      <c r="N330">
        <v>1009</v>
      </c>
      <c r="O330" t="s">
        <v>65</v>
      </c>
      <c r="P330" t="s">
        <v>65</v>
      </c>
      <c r="Q330">
        <v>1000</v>
      </c>
      <c r="W330">
        <v>0</v>
      </c>
      <c r="X330">
        <v>1174701286</v>
      </c>
      <c r="Y330">
        <v>5.8999999999999999E-3</v>
      </c>
      <c r="AA330">
        <v>11978</v>
      </c>
      <c r="AB330">
        <v>0</v>
      </c>
      <c r="AC330">
        <v>0</v>
      </c>
      <c r="AD330">
        <v>0</v>
      </c>
      <c r="AE330">
        <v>11978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5.8999999999999999E-3</v>
      </c>
      <c r="AU330" t="s">
        <v>6</v>
      </c>
      <c r="AV330">
        <v>0</v>
      </c>
      <c r="AW330">
        <v>2</v>
      </c>
      <c r="AX330">
        <v>27935814</v>
      </c>
      <c r="AY330">
        <v>1</v>
      </c>
      <c r="AZ330">
        <v>0</v>
      </c>
      <c r="BA330">
        <v>336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Y330*Source!I120</f>
        <v>1.77E-5</v>
      </c>
      <c r="CY330">
        <f t="shared" si="48"/>
        <v>11978</v>
      </c>
      <c r="CZ330">
        <f t="shared" si="49"/>
        <v>11978</v>
      </c>
      <c r="DA330">
        <f t="shared" si="50"/>
        <v>1</v>
      </c>
      <c r="DB330">
        <f t="shared" si="46"/>
        <v>70.67</v>
      </c>
      <c r="DC330">
        <f t="shared" si="47"/>
        <v>0</v>
      </c>
    </row>
    <row r="331" spans="1:107" x14ac:dyDescent="0.2">
      <c r="A331">
        <f>ROW(Source!A120)</f>
        <v>120</v>
      </c>
      <c r="B331">
        <v>27935367</v>
      </c>
      <c r="C331">
        <v>27935797</v>
      </c>
      <c r="D331">
        <v>25154685</v>
      </c>
      <c r="E331">
        <v>1</v>
      </c>
      <c r="F331">
        <v>1</v>
      </c>
      <c r="G331">
        <v>1</v>
      </c>
      <c r="H331">
        <v>3</v>
      </c>
      <c r="I331" t="s">
        <v>638</v>
      </c>
      <c r="J331" t="s">
        <v>639</v>
      </c>
      <c r="K331" t="s">
        <v>640</v>
      </c>
      <c r="L331">
        <v>1348</v>
      </c>
      <c r="N331">
        <v>1009</v>
      </c>
      <c r="O331" t="s">
        <v>65</v>
      </c>
      <c r="P331" t="s">
        <v>65</v>
      </c>
      <c r="Q331">
        <v>1000</v>
      </c>
      <c r="W331">
        <v>0</v>
      </c>
      <c r="X331">
        <v>36820162</v>
      </c>
      <c r="Y331">
        <v>4.8999999999999998E-3</v>
      </c>
      <c r="AA331">
        <v>734.5</v>
      </c>
      <c r="AB331">
        <v>0</v>
      </c>
      <c r="AC331">
        <v>0</v>
      </c>
      <c r="AD331">
        <v>0</v>
      </c>
      <c r="AE331">
        <v>734.5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4.8999999999999998E-3</v>
      </c>
      <c r="AU331" t="s">
        <v>6</v>
      </c>
      <c r="AV331">
        <v>0</v>
      </c>
      <c r="AW331">
        <v>2</v>
      </c>
      <c r="AX331">
        <v>27935815</v>
      </c>
      <c r="AY331">
        <v>1</v>
      </c>
      <c r="AZ331">
        <v>0</v>
      </c>
      <c r="BA331">
        <v>337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Y331*Source!I120</f>
        <v>1.47E-5</v>
      </c>
      <c r="CY331">
        <f t="shared" si="48"/>
        <v>734.5</v>
      </c>
      <c r="CZ331">
        <f t="shared" si="49"/>
        <v>734.5</v>
      </c>
      <c r="DA331">
        <f t="shared" si="50"/>
        <v>1</v>
      </c>
      <c r="DB331">
        <f t="shared" si="46"/>
        <v>3.6</v>
      </c>
      <c r="DC331">
        <f t="shared" si="47"/>
        <v>0</v>
      </c>
    </row>
    <row r="332" spans="1:107" x14ac:dyDescent="0.2">
      <c r="A332">
        <f>ROW(Source!A120)</f>
        <v>120</v>
      </c>
      <c r="B332">
        <v>27935367</v>
      </c>
      <c r="C332">
        <v>27935797</v>
      </c>
      <c r="D332">
        <v>25155512</v>
      </c>
      <c r="E332">
        <v>1</v>
      </c>
      <c r="F332">
        <v>1</v>
      </c>
      <c r="G332">
        <v>1</v>
      </c>
      <c r="H332">
        <v>3</v>
      </c>
      <c r="I332" t="s">
        <v>254</v>
      </c>
      <c r="J332" t="s">
        <v>256</v>
      </c>
      <c r="K332" t="s">
        <v>255</v>
      </c>
      <c r="L332">
        <v>1339</v>
      </c>
      <c r="N332">
        <v>1007</v>
      </c>
      <c r="O332" t="s">
        <v>133</v>
      </c>
      <c r="P332" t="s">
        <v>133</v>
      </c>
      <c r="Q332">
        <v>1</v>
      </c>
      <c r="W332">
        <v>0</v>
      </c>
      <c r="X332">
        <v>1059503882</v>
      </c>
      <c r="Y332">
        <v>1.04</v>
      </c>
      <c r="AA332">
        <v>519.79999999999995</v>
      </c>
      <c r="AB332">
        <v>0</v>
      </c>
      <c r="AC332">
        <v>0</v>
      </c>
      <c r="AD332">
        <v>0</v>
      </c>
      <c r="AE332">
        <v>519.79999999999995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6</v>
      </c>
      <c r="AT332">
        <v>1.04</v>
      </c>
      <c r="AU332" t="s">
        <v>6</v>
      </c>
      <c r="AV332">
        <v>0</v>
      </c>
      <c r="AW332">
        <v>1</v>
      </c>
      <c r="AX332">
        <v>-1</v>
      </c>
      <c r="AY332">
        <v>0</v>
      </c>
      <c r="AZ332">
        <v>0</v>
      </c>
      <c r="BA332" t="s">
        <v>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Y332*Source!I120</f>
        <v>3.1200000000000004E-3</v>
      </c>
      <c r="CY332">
        <f t="shared" si="48"/>
        <v>519.79999999999995</v>
      </c>
      <c r="CZ332">
        <f t="shared" si="49"/>
        <v>519.79999999999995</v>
      </c>
      <c r="DA332">
        <f t="shared" si="50"/>
        <v>1</v>
      </c>
      <c r="DB332">
        <f t="shared" si="46"/>
        <v>540.59</v>
      </c>
      <c r="DC332">
        <f t="shared" si="47"/>
        <v>0</v>
      </c>
    </row>
    <row r="333" spans="1:107" x14ac:dyDescent="0.2">
      <c r="A333">
        <f>ROW(Source!A120)</f>
        <v>120</v>
      </c>
      <c r="B333">
        <v>27935367</v>
      </c>
      <c r="C333">
        <v>27935797</v>
      </c>
      <c r="D333">
        <v>25173801</v>
      </c>
      <c r="E333">
        <v>1</v>
      </c>
      <c r="F333">
        <v>1</v>
      </c>
      <c r="G333">
        <v>1</v>
      </c>
      <c r="H333">
        <v>3</v>
      </c>
      <c r="I333" t="s">
        <v>534</v>
      </c>
      <c r="J333" t="s">
        <v>535</v>
      </c>
      <c r="K333" t="s">
        <v>536</v>
      </c>
      <c r="L333">
        <v>1348</v>
      </c>
      <c r="N333">
        <v>1009</v>
      </c>
      <c r="O333" t="s">
        <v>65</v>
      </c>
      <c r="P333" t="s">
        <v>65</v>
      </c>
      <c r="Q333">
        <v>1000</v>
      </c>
      <c r="W333">
        <v>0</v>
      </c>
      <c r="X333">
        <v>-1396314973</v>
      </c>
      <c r="Y333">
        <v>9.4999999999999998E-3</v>
      </c>
      <c r="AA333">
        <v>4455.2</v>
      </c>
      <c r="AB333">
        <v>0</v>
      </c>
      <c r="AC333">
        <v>0</v>
      </c>
      <c r="AD333">
        <v>0</v>
      </c>
      <c r="AE333">
        <v>4455.2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9.4999999999999998E-3</v>
      </c>
      <c r="AU333" t="s">
        <v>6</v>
      </c>
      <c r="AV333">
        <v>0</v>
      </c>
      <c r="AW333">
        <v>2</v>
      </c>
      <c r="AX333">
        <v>27935817</v>
      </c>
      <c r="AY333">
        <v>1</v>
      </c>
      <c r="AZ333">
        <v>0</v>
      </c>
      <c r="BA333">
        <v>339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Y333*Source!I120</f>
        <v>2.8500000000000002E-5</v>
      </c>
      <c r="CY333">
        <f t="shared" si="48"/>
        <v>4455.2</v>
      </c>
      <c r="CZ333">
        <f t="shared" si="49"/>
        <v>4455.2</v>
      </c>
      <c r="DA333">
        <f t="shared" si="50"/>
        <v>1</v>
      </c>
      <c r="DB333">
        <f t="shared" si="46"/>
        <v>42.32</v>
      </c>
      <c r="DC333">
        <f t="shared" si="47"/>
        <v>0</v>
      </c>
    </row>
    <row r="334" spans="1:107" x14ac:dyDescent="0.2">
      <c r="A334">
        <f>ROW(Source!A120)</f>
        <v>120</v>
      </c>
      <c r="B334">
        <v>27935367</v>
      </c>
      <c r="C334">
        <v>27935797</v>
      </c>
      <c r="D334">
        <v>25178466</v>
      </c>
      <c r="E334">
        <v>1</v>
      </c>
      <c r="F334">
        <v>1</v>
      </c>
      <c r="G334">
        <v>1</v>
      </c>
      <c r="H334">
        <v>3</v>
      </c>
      <c r="I334" t="s">
        <v>641</v>
      </c>
      <c r="J334" t="s">
        <v>642</v>
      </c>
      <c r="K334" t="s">
        <v>643</v>
      </c>
      <c r="L334">
        <v>1339</v>
      </c>
      <c r="N334">
        <v>1007</v>
      </c>
      <c r="O334" t="s">
        <v>133</v>
      </c>
      <c r="P334" t="s">
        <v>133</v>
      </c>
      <c r="Q334">
        <v>1</v>
      </c>
      <c r="W334">
        <v>0</v>
      </c>
      <c r="X334">
        <v>-395792271</v>
      </c>
      <c r="Y334">
        <v>0.21</v>
      </c>
      <c r="AA334">
        <v>1287</v>
      </c>
      <c r="AB334">
        <v>0</v>
      </c>
      <c r="AC334">
        <v>0</v>
      </c>
      <c r="AD334">
        <v>0</v>
      </c>
      <c r="AE334">
        <v>1287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0.21</v>
      </c>
      <c r="AU334" t="s">
        <v>6</v>
      </c>
      <c r="AV334">
        <v>0</v>
      </c>
      <c r="AW334">
        <v>2</v>
      </c>
      <c r="AX334">
        <v>27935818</v>
      </c>
      <c r="AY334">
        <v>1</v>
      </c>
      <c r="AZ334">
        <v>0</v>
      </c>
      <c r="BA334">
        <v>340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Y334*Source!I120</f>
        <v>6.3000000000000003E-4</v>
      </c>
      <c r="CY334">
        <f t="shared" si="48"/>
        <v>1287</v>
      </c>
      <c r="CZ334">
        <f t="shared" si="49"/>
        <v>1287</v>
      </c>
      <c r="DA334">
        <f t="shared" si="50"/>
        <v>1</v>
      </c>
      <c r="DB334">
        <f t="shared" si="46"/>
        <v>270.27</v>
      </c>
      <c r="DC334">
        <f t="shared" si="47"/>
        <v>0</v>
      </c>
    </row>
    <row r="335" spans="1:107" x14ac:dyDescent="0.2">
      <c r="A335">
        <f>ROW(Source!A120)</f>
        <v>120</v>
      </c>
      <c r="B335">
        <v>27935367</v>
      </c>
      <c r="C335">
        <v>27935797</v>
      </c>
      <c r="D335">
        <v>25178656</v>
      </c>
      <c r="E335">
        <v>1</v>
      </c>
      <c r="F335">
        <v>1</v>
      </c>
      <c r="G335">
        <v>1</v>
      </c>
      <c r="H335">
        <v>3</v>
      </c>
      <c r="I335" t="s">
        <v>644</v>
      </c>
      <c r="J335" t="s">
        <v>645</v>
      </c>
      <c r="K335" t="s">
        <v>646</v>
      </c>
      <c r="L335">
        <v>1339</v>
      </c>
      <c r="N335">
        <v>1007</v>
      </c>
      <c r="O335" t="s">
        <v>133</v>
      </c>
      <c r="P335" t="s">
        <v>133</v>
      </c>
      <c r="Q335">
        <v>1</v>
      </c>
      <c r="W335">
        <v>0</v>
      </c>
      <c r="X335">
        <v>-828683394</v>
      </c>
      <c r="Y335">
        <v>0.18</v>
      </c>
      <c r="AA335">
        <v>1155</v>
      </c>
      <c r="AB335">
        <v>0</v>
      </c>
      <c r="AC335">
        <v>0</v>
      </c>
      <c r="AD335">
        <v>0</v>
      </c>
      <c r="AE335">
        <v>1155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0.18</v>
      </c>
      <c r="AU335" t="s">
        <v>6</v>
      </c>
      <c r="AV335">
        <v>0</v>
      </c>
      <c r="AW335">
        <v>2</v>
      </c>
      <c r="AX335">
        <v>27935819</v>
      </c>
      <c r="AY335">
        <v>1</v>
      </c>
      <c r="AZ335">
        <v>0</v>
      </c>
      <c r="BA335">
        <v>341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Y335*Source!I120</f>
        <v>5.4000000000000001E-4</v>
      </c>
      <c r="CY335">
        <f t="shared" si="48"/>
        <v>1155</v>
      </c>
      <c r="CZ335">
        <f t="shared" si="49"/>
        <v>1155</v>
      </c>
      <c r="DA335">
        <f t="shared" si="50"/>
        <v>1</v>
      </c>
      <c r="DB335">
        <f t="shared" si="46"/>
        <v>207.9</v>
      </c>
      <c r="DC335">
        <f t="shared" si="47"/>
        <v>0</v>
      </c>
    </row>
    <row r="336" spans="1:107" x14ac:dyDescent="0.2">
      <c r="A336">
        <f>ROW(Source!A121)</f>
        <v>121</v>
      </c>
      <c r="B336">
        <v>27935368</v>
      </c>
      <c r="C336">
        <v>27935797</v>
      </c>
      <c r="D336">
        <v>25416200</v>
      </c>
      <c r="E336">
        <v>1</v>
      </c>
      <c r="F336">
        <v>1</v>
      </c>
      <c r="G336">
        <v>1</v>
      </c>
      <c r="H336">
        <v>1</v>
      </c>
      <c r="I336" t="s">
        <v>457</v>
      </c>
      <c r="J336" t="s">
        <v>6</v>
      </c>
      <c r="K336" t="s">
        <v>458</v>
      </c>
      <c r="L336">
        <v>1191</v>
      </c>
      <c r="N336">
        <v>1013</v>
      </c>
      <c r="O336" t="s">
        <v>459</v>
      </c>
      <c r="P336" t="s">
        <v>459</v>
      </c>
      <c r="Q336">
        <v>1</v>
      </c>
      <c r="W336">
        <v>0</v>
      </c>
      <c r="X336">
        <v>371339561</v>
      </c>
      <c r="Y336">
        <v>75.22</v>
      </c>
      <c r="AA336">
        <v>0</v>
      </c>
      <c r="AB336">
        <v>0</v>
      </c>
      <c r="AC336">
        <v>0</v>
      </c>
      <c r="AD336">
        <v>49.43</v>
      </c>
      <c r="AE336">
        <v>0</v>
      </c>
      <c r="AF336">
        <v>0</v>
      </c>
      <c r="AG336">
        <v>0</v>
      </c>
      <c r="AH336">
        <v>8.09</v>
      </c>
      <c r="AI336">
        <v>1</v>
      </c>
      <c r="AJ336">
        <v>1</v>
      </c>
      <c r="AK336">
        <v>1</v>
      </c>
      <c r="AL336">
        <v>6.11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75.22</v>
      </c>
      <c r="AU336" t="s">
        <v>6</v>
      </c>
      <c r="AV336">
        <v>1</v>
      </c>
      <c r="AW336">
        <v>2</v>
      </c>
      <c r="AX336">
        <v>27935809</v>
      </c>
      <c r="AY336">
        <v>1</v>
      </c>
      <c r="AZ336">
        <v>0</v>
      </c>
      <c r="BA336">
        <v>342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Y336*Source!I121</f>
        <v>0.22566</v>
      </c>
      <c r="CY336">
        <f>AD336</f>
        <v>49.43</v>
      </c>
      <c r="CZ336">
        <f>AH336</f>
        <v>8.09</v>
      </c>
      <c r="DA336">
        <f>AL336</f>
        <v>6.11</v>
      </c>
      <c r="DB336">
        <f t="shared" si="46"/>
        <v>608.53</v>
      </c>
      <c r="DC336">
        <f t="shared" si="47"/>
        <v>0</v>
      </c>
    </row>
    <row r="337" spans="1:107" x14ac:dyDescent="0.2">
      <c r="A337">
        <f>ROW(Source!A121)</f>
        <v>121</v>
      </c>
      <c r="B337">
        <v>27935368</v>
      </c>
      <c r="C337">
        <v>27935797</v>
      </c>
      <c r="D337">
        <v>25412928</v>
      </c>
      <c r="E337">
        <v>1</v>
      </c>
      <c r="F337">
        <v>1</v>
      </c>
      <c r="G337">
        <v>1</v>
      </c>
      <c r="H337">
        <v>1</v>
      </c>
      <c r="I337" t="s">
        <v>460</v>
      </c>
      <c r="J337" t="s">
        <v>6</v>
      </c>
      <c r="K337" t="s">
        <v>461</v>
      </c>
      <c r="L337">
        <v>1191</v>
      </c>
      <c r="N337">
        <v>1013</v>
      </c>
      <c r="O337" t="s">
        <v>459</v>
      </c>
      <c r="P337" t="s">
        <v>459</v>
      </c>
      <c r="Q337">
        <v>1</v>
      </c>
      <c r="W337">
        <v>0</v>
      </c>
      <c r="X337">
        <v>-1417349443</v>
      </c>
      <c r="Y337">
        <v>0.4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6.11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0.4</v>
      </c>
      <c r="AU337" t="s">
        <v>6</v>
      </c>
      <c r="AV337">
        <v>2</v>
      </c>
      <c r="AW337">
        <v>2</v>
      </c>
      <c r="AX337">
        <v>27935810</v>
      </c>
      <c r="AY337">
        <v>1</v>
      </c>
      <c r="AZ337">
        <v>0</v>
      </c>
      <c r="BA337">
        <v>343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Y337*Source!I121</f>
        <v>1.2000000000000001E-3</v>
      </c>
      <c r="CY337">
        <f>AD337</f>
        <v>0</v>
      </c>
      <c r="CZ337">
        <f>AH337</f>
        <v>0</v>
      </c>
      <c r="DA337">
        <f>AL337</f>
        <v>1</v>
      </c>
      <c r="DB337">
        <f t="shared" si="46"/>
        <v>0</v>
      </c>
      <c r="DC337">
        <f t="shared" si="47"/>
        <v>0</v>
      </c>
    </row>
    <row r="338" spans="1:107" x14ac:dyDescent="0.2">
      <c r="A338">
        <f>ROW(Source!A121)</f>
        <v>121</v>
      </c>
      <c r="B338">
        <v>27935368</v>
      </c>
      <c r="C338">
        <v>27935797</v>
      </c>
      <c r="D338">
        <v>25230418</v>
      </c>
      <c r="E338">
        <v>1</v>
      </c>
      <c r="F338">
        <v>1</v>
      </c>
      <c r="G338">
        <v>1</v>
      </c>
      <c r="H338">
        <v>2</v>
      </c>
      <c r="I338" t="s">
        <v>635</v>
      </c>
      <c r="J338" t="s">
        <v>636</v>
      </c>
      <c r="K338" t="s">
        <v>637</v>
      </c>
      <c r="L338">
        <v>1368</v>
      </c>
      <c r="N338">
        <v>1011</v>
      </c>
      <c r="O338" t="s">
        <v>465</v>
      </c>
      <c r="P338" t="s">
        <v>465</v>
      </c>
      <c r="Q338">
        <v>1</v>
      </c>
      <c r="W338">
        <v>0</v>
      </c>
      <c r="X338">
        <v>1047452784</v>
      </c>
      <c r="Y338">
        <v>0.21</v>
      </c>
      <c r="AA338">
        <v>0</v>
      </c>
      <c r="AB338">
        <v>10.39</v>
      </c>
      <c r="AC338">
        <v>0</v>
      </c>
      <c r="AD338">
        <v>0</v>
      </c>
      <c r="AE338">
        <v>0</v>
      </c>
      <c r="AF338">
        <v>1.7</v>
      </c>
      <c r="AG338">
        <v>0</v>
      </c>
      <c r="AH338">
        <v>0</v>
      </c>
      <c r="AI338">
        <v>1</v>
      </c>
      <c r="AJ338">
        <v>6.11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0.21</v>
      </c>
      <c r="AU338" t="s">
        <v>6</v>
      </c>
      <c r="AV338">
        <v>0</v>
      </c>
      <c r="AW338">
        <v>2</v>
      </c>
      <c r="AX338">
        <v>27935811</v>
      </c>
      <c r="AY338">
        <v>1</v>
      </c>
      <c r="AZ338">
        <v>0</v>
      </c>
      <c r="BA338">
        <v>344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Y338*Source!I121</f>
        <v>6.3000000000000003E-4</v>
      </c>
      <c r="CY338">
        <f>AB338</f>
        <v>10.39</v>
      </c>
      <c r="CZ338">
        <f>AF338</f>
        <v>1.7</v>
      </c>
      <c r="DA338">
        <f>AJ338</f>
        <v>6.11</v>
      </c>
      <c r="DB338">
        <f t="shared" si="46"/>
        <v>0.36</v>
      </c>
      <c r="DC338">
        <f t="shared" si="47"/>
        <v>0</v>
      </c>
    </row>
    <row r="339" spans="1:107" x14ac:dyDescent="0.2">
      <c r="A339">
        <f>ROW(Source!A121)</f>
        <v>121</v>
      </c>
      <c r="B339">
        <v>27935368</v>
      </c>
      <c r="C339">
        <v>27935797</v>
      </c>
      <c r="D339">
        <v>25231607</v>
      </c>
      <c r="E339">
        <v>1</v>
      </c>
      <c r="F339">
        <v>1</v>
      </c>
      <c r="G339">
        <v>1</v>
      </c>
      <c r="H339">
        <v>2</v>
      </c>
      <c r="I339" t="s">
        <v>468</v>
      </c>
      <c r="J339" t="s">
        <v>469</v>
      </c>
      <c r="K339" t="s">
        <v>470</v>
      </c>
      <c r="L339">
        <v>1368</v>
      </c>
      <c r="N339">
        <v>1011</v>
      </c>
      <c r="O339" t="s">
        <v>465</v>
      </c>
      <c r="P339" t="s">
        <v>465</v>
      </c>
      <c r="Q339">
        <v>1</v>
      </c>
      <c r="W339">
        <v>0</v>
      </c>
      <c r="X339">
        <v>1372534845</v>
      </c>
      <c r="Y339">
        <v>0.4</v>
      </c>
      <c r="AA339">
        <v>0</v>
      </c>
      <c r="AB339">
        <v>401.49</v>
      </c>
      <c r="AC339">
        <v>11.6</v>
      </c>
      <c r="AD339">
        <v>0</v>
      </c>
      <c r="AE339">
        <v>0</v>
      </c>
      <c r="AF339">
        <v>65.709999999999994</v>
      </c>
      <c r="AG339">
        <v>11.6</v>
      </c>
      <c r="AH339">
        <v>0</v>
      </c>
      <c r="AI339">
        <v>1</v>
      </c>
      <c r="AJ339">
        <v>6.11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0.4</v>
      </c>
      <c r="AU339" t="s">
        <v>6</v>
      </c>
      <c r="AV339">
        <v>0</v>
      </c>
      <c r="AW339">
        <v>2</v>
      </c>
      <c r="AX339">
        <v>27935812</v>
      </c>
      <c r="AY339">
        <v>1</v>
      </c>
      <c r="AZ339">
        <v>0</v>
      </c>
      <c r="BA339">
        <v>345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Y339*Source!I121</f>
        <v>1.2000000000000001E-3</v>
      </c>
      <c r="CY339">
        <f>AB339</f>
        <v>401.49</v>
      </c>
      <c r="CZ339">
        <f>AF339</f>
        <v>65.709999999999994</v>
      </c>
      <c r="DA339">
        <f>AJ339</f>
        <v>6.11</v>
      </c>
      <c r="DB339">
        <f t="shared" si="46"/>
        <v>26.28</v>
      </c>
      <c r="DC339">
        <f t="shared" si="47"/>
        <v>4.6399999999999997</v>
      </c>
    </row>
    <row r="340" spans="1:107" x14ac:dyDescent="0.2">
      <c r="A340">
        <f>ROW(Source!A121)</f>
        <v>121</v>
      </c>
      <c r="B340">
        <v>27935368</v>
      </c>
      <c r="C340">
        <v>27935797</v>
      </c>
      <c r="D340">
        <v>25149961</v>
      </c>
      <c r="E340">
        <v>1</v>
      </c>
      <c r="F340">
        <v>1</v>
      </c>
      <c r="G340">
        <v>1</v>
      </c>
      <c r="H340">
        <v>3</v>
      </c>
      <c r="I340" t="s">
        <v>558</v>
      </c>
      <c r="J340" t="s">
        <v>559</v>
      </c>
      <c r="K340" t="s">
        <v>560</v>
      </c>
      <c r="L340">
        <v>1339</v>
      </c>
      <c r="N340">
        <v>1007</v>
      </c>
      <c r="O340" t="s">
        <v>133</v>
      </c>
      <c r="P340" t="s">
        <v>133</v>
      </c>
      <c r="Q340">
        <v>1</v>
      </c>
      <c r="W340">
        <v>0</v>
      </c>
      <c r="X340">
        <v>-1660354250</v>
      </c>
      <c r="Y340">
        <v>1.37E-2</v>
      </c>
      <c r="AA340">
        <v>14.91</v>
      </c>
      <c r="AB340">
        <v>0</v>
      </c>
      <c r="AC340">
        <v>0</v>
      </c>
      <c r="AD340">
        <v>0</v>
      </c>
      <c r="AE340">
        <v>2.44</v>
      </c>
      <c r="AF340">
        <v>0</v>
      </c>
      <c r="AG340">
        <v>0</v>
      </c>
      <c r="AH340">
        <v>0</v>
      </c>
      <c r="AI340">
        <v>6.11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1.37E-2</v>
      </c>
      <c r="AU340" t="s">
        <v>6</v>
      </c>
      <c r="AV340">
        <v>0</v>
      </c>
      <c r="AW340">
        <v>2</v>
      </c>
      <c r="AX340">
        <v>27935813</v>
      </c>
      <c r="AY340">
        <v>1</v>
      </c>
      <c r="AZ340">
        <v>0</v>
      </c>
      <c r="BA340">
        <v>346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Y340*Source!I121</f>
        <v>4.1100000000000003E-5</v>
      </c>
      <c r="CY340">
        <f t="shared" ref="CY340:CY346" si="51">AA340</f>
        <v>14.91</v>
      </c>
      <c r="CZ340">
        <f t="shared" ref="CZ340:CZ346" si="52">AE340</f>
        <v>2.44</v>
      </c>
      <c r="DA340">
        <f t="shared" ref="DA340:DA346" si="53">AI340</f>
        <v>6.11</v>
      </c>
      <c r="DB340">
        <f t="shared" si="46"/>
        <v>0.03</v>
      </c>
      <c r="DC340">
        <f t="shared" si="47"/>
        <v>0</v>
      </c>
    </row>
    <row r="341" spans="1:107" x14ac:dyDescent="0.2">
      <c r="A341">
        <f>ROW(Source!A121)</f>
        <v>121</v>
      </c>
      <c r="B341">
        <v>27935368</v>
      </c>
      <c r="C341">
        <v>27935797</v>
      </c>
      <c r="D341">
        <v>25152713</v>
      </c>
      <c r="E341">
        <v>1</v>
      </c>
      <c r="F341">
        <v>1</v>
      </c>
      <c r="G341">
        <v>1</v>
      </c>
      <c r="H341">
        <v>3</v>
      </c>
      <c r="I341" t="s">
        <v>525</v>
      </c>
      <c r="J341" t="s">
        <v>526</v>
      </c>
      <c r="K341" t="s">
        <v>527</v>
      </c>
      <c r="L341">
        <v>1348</v>
      </c>
      <c r="N341">
        <v>1009</v>
      </c>
      <c r="O341" t="s">
        <v>65</v>
      </c>
      <c r="P341" t="s">
        <v>65</v>
      </c>
      <c r="Q341">
        <v>1000</v>
      </c>
      <c r="W341">
        <v>0</v>
      </c>
      <c r="X341">
        <v>1174701286</v>
      </c>
      <c r="Y341">
        <v>5.8999999999999999E-3</v>
      </c>
      <c r="AA341">
        <v>73185.58</v>
      </c>
      <c r="AB341">
        <v>0</v>
      </c>
      <c r="AC341">
        <v>0</v>
      </c>
      <c r="AD341">
        <v>0</v>
      </c>
      <c r="AE341">
        <v>11978</v>
      </c>
      <c r="AF341">
        <v>0</v>
      </c>
      <c r="AG341">
        <v>0</v>
      </c>
      <c r="AH341">
        <v>0</v>
      </c>
      <c r="AI341">
        <v>6.11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5.8999999999999999E-3</v>
      </c>
      <c r="AU341" t="s">
        <v>6</v>
      </c>
      <c r="AV341">
        <v>0</v>
      </c>
      <c r="AW341">
        <v>2</v>
      </c>
      <c r="AX341">
        <v>27935814</v>
      </c>
      <c r="AY341">
        <v>1</v>
      </c>
      <c r="AZ341">
        <v>0</v>
      </c>
      <c r="BA341">
        <v>347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Y341*Source!I121</f>
        <v>1.77E-5</v>
      </c>
      <c r="CY341">
        <f t="shared" si="51"/>
        <v>73185.58</v>
      </c>
      <c r="CZ341">
        <f t="shared" si="52"/>
        <v>11978</v>
      </c>
      <c r="DA341">
        <f t="shared" si="53"/>
        <v>6.11</v>
      </c>
      <c r="DB341">
        <f t="shared" si="46"/>
        <v>70.67</v>
      </c>
      <c r="DC341">
        <f t="shared" si="47"/>
        <v>0</v>
      </c>
    </row>
    <row r="342" spans="1:107" x14ac:dyDescent="0.2">
      <c r="A342">
        <f>ROW(Source!A121)</f>
        <v>121</v>
      </c>
      <c r="B342">
        <v>27935368</v>
      </c>
      <c r="C342">
        <v>27935797</v>
      </c>
      <c r="D342">
        <v>25154685</v>
      </c>
      <c r="E342">
        <v>1</v>
      </c>
      <c r="F342">
        <v>1</v>
      </c>
      <c r="G342">
        <v>1</v>
      </c>
      <c r="H342">
        <v>3</v>
      </c>
      <c r="I342" t="s">
        <v>638</v>
      </c>
      <c r="J342" t="s">
        <v>639</v>
      </c>
      <c r="K342" t="s">
        <v>640</v>
      </c>
      <c r="L342">
        <v>1348</v>
      </c>
      <c r="N342">
        <v>1009</v>
      </c>
      <c r="O342" t="s">
        <v>65</v>
      </c>
      <c r="P342" t="s">
        <v>65</v>
      </c>
      <c r="Q342">
        <v>1000</v>
      </c>
      <c r="W342">
        <v>0</v>
      </c>
      <c r="X342">
        <v>36820162</v>
      </c>
      <c r="Y342">
        <v>4.8999999999999998E-3</v>
      </c>
      <c r="AA342">
        <v>4487.8</v>
      </c>
      <c r="AB342">
        <v>0</v>
      </c>
      <c r="AC342">
        <v>0</v>
      </c>
      <c r="AD342">
        <v>0</v>
      </c>
      <c r="AE342">
        <v>734.5</v>
      </c>
      <c r="AF342">
        <v>0</v>
      </c>
      <c r="AG342">
        <v>0</v>
      </c>
      <c r="AH342">
        <v>0</v>
      </c>
      <c r="AI342">
        <v>6.11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4.8999999999999998E-3</v>
      </c>
      <c r="AU342" t="s">
        <v>6</v>
      </c>
      <c r="AV342">
        <v>0</v>
      </c>
      <c r="AW342">
        <v>2</v>
      </c>
      <c r="AX342">
        <v>27935815</v>
      </c>
      <c r="AY342">
        <v>1</v>
      </c>
      <c r="AZ342">
        <v>0</v>
      </c>
      <c r="BA342">
        <v>348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Y342*Source!I121</f>
        <v>1.47E-5</v>
      </c>
      <c r="CY342">
        <f t="shared" si="51"/>
        <v>4487.8</v>
      </c>
      <c r="CZ342">
        <f t="shared" si="52"/>
        <v>734.5</v>
      </c>
      <c r="DA342">
        <f t="shared" si="53"/>
        <v>6.11</v>
      </c>
      <c r="DB342">
        <f t="shared" si="46"/>
        <v>3.6</v>
      </c>
      <c r="DC342">
        <f t="shared" si="47"/>
        <v>0</v>
      </c>
    </row>
    <row r="343" spans="1:107" x14ac:dyDescent="0.2">
      <c r="A343">
        <f>ROW(Source!A121)</f>
        <v>121</v>
      </c>
      <c r="B343">
        <v>27935368</v>
      </c>
      <c r="C343">
        <v>27935797</v>
      </c>
      <c r="D343">
        <v>25155512</v>
      </c>
      <c r="E343">
        <v>1</v>
      </c>
      <c r="F343">
        <v>1</v>
      </c>
      <c r="G343">
        <v>1</v>
      </c>
      <c r="H343">
        <v>3</v>
      </c>
      <c r="I343" t="s">
        <v>254</v>
      </c>
      <c r="J343" t="s">
        <v>256</v>
      </c>
      <c r="K343" t="s">
        <v>255</v>
      </c>
      <c r="L343">
        <v>1339</v>
      </c>
      <c r="N343">
        <v>1007</v>
      </c>
      <c r="O343" t="s">
        <v>133</v>
      </c>
      <c r="P343" t="s">
        <v>133</v>
      </c>
      <c r="Q343">
        <v>1</v>
      </c>
      <c r="W343">
        <v>0</v>
      </c>
      <c r="X343">
        <v>1059503882</v>
      </c>
      <c r="Y343">
        <v>1.04</v>
      </c>
      <c r="AA343">
        <v>3175.98</v>
      </c>
      <c r="AB343">
        <v>0</v>
      </c>
      <c r="AC343">
        <v>0</v>
      </c>
      <c r="AD343">
        <v>0</v>
      </c>
      <c r="AE343">
        <v>519.79999999999995</v>
      </c>
      <c r="AF343">
        <v>0</v>
      </c>
      <c r="AG343">
        <v>0</v>
      </c>
      <c r="AH343">
        <v>0</v>
      </c>
      <c r="AI343">
        <v>6.11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6</v>
      </c>
      <c r="AT343">
        <v>1.04</v>
      </c>
      <c r="AU343" t="s">
        <v>6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Y343*Source!I121</f>
        <v>3.1200000000000004E-3</v>
      </c>
      <c r="CY343">
        <f t="shared" si="51"/>
        <v>3175.98</v>
      </c>
      <c r="CZ343">
        <f t="shared" si="52"/>
        <v>519.79999999999995</v>
      </c>
      <c r="DA343">
        <f t="shared" si="53"/>
        <v>6.11</v>
      </c>
      <c r="DB343">
        <f t="shared" si="46"/>
        <v>540.59</v>
      </c>
      <c r="DC343">
        <f t="shared" si="47"/>
        <v>0</v>
      </c>
    </row>
    <row r="344" spans="1:107" x14ac:dyDescent="0.2">
      <c r="A344">
        <f>ROW(Source!A121)</f>
        <v>121</v>
      </c>
      <c r="B344">
        <v>27935368</v>
      </c>
      <c r="C344">
        <v>27935797</v>
      </c>
      <c r="D344">
        <v>25173801</v>
      </c>
      <c r="E344">
        <v>1</v>
      </c>
      <c r="F344">
        <v>1</v>
      </c>
      <c r="G344">
        <v>1</v>
      </c>
      <c r="H344">
        <v>3</v>
      </c>
      <c r="I344" t="s">
        <v>534</v>
      </c>
      <c r="J344" t="s">
        <v>535</v>
      </c>
      <c r="K344" t="s">
        <v>536</v>
      </c>
      <c r="L344">
        <v>1348</v>
      </c>
      <c r="N344">
        <v>1009</v>
      </c>
      <c r="O344" t="s">
        <v>65</v>
      </c>
      <c r="P344" t="s">
        <v>65</v>
      </c>
      <c r="Q344">
        <v>1000</v>
      </c>
      <c r="W344">
        <v>0</v>
      </c>
      <c r="X344">
        <v>-1396314973</v>
      </c>
      <c r="Y344">
        <v>9.4999999999999998E-3</v>
      </c>
      <c r="AA344">
        <v>27221.27</v>
      </c>
      <c r="AB344">
        <v>0</v>
      </c>
      <c r="AC344">
        <v>0</v>
      </c>
      <c r="AD344">
        <v>0</v>
      </c>
      <c r="AE344">
        <v>4455.2</v>
      </c>
      <c r="AF344">
        <v>0</v>
      </c>
      <c r="AG344">
        <v>0</v>
      </c>
      <c r="AH344">
        <v>0</v>
      </c>
      <c r="AI344">
        <v>6.11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9.4999999999999998E-3</v>
      </c>
      <c r="AU344" t="s">
        <v>6</v>
      </c>
      <c r="AV344">
        <v>0</v>
      </c>
      <c r="AW344">
        <v>2</v>
      </c>
      <c r="AX344">
        <v>27935817</v>
      </c>
      <c r="AY344">
        <v>1</v>
      </c>
      <c r="AZ344">
        <v>0</v>
      </c>
      <c r="BA344">
        <v>350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Y344*Source!I121</f>
        <v>2.8500000000000002E-5</v>
      </c>
      <c r="CY344">
        <f t="shared" si="51"/>
        <v>27221.27</v>
      </c>
      <c r="CZ344">
        <f t="shared" si="52"/>
        <v>4455.2</v>
      </c>
      <c r="DA344">
        <f t="shared" si="53"/>
        <v>6.11</v>
      </c>
      <c r="DB344">
        <f t="shared" si="46"/>
        <v>42.32</v>
      </c>
      <c r="DC344">
        <f t="shared" si="47"/>
        <v>0</v>
      </c>
    </row>
    <row r="345" spans="1:107" x14ac:dyDescent="0.2">
      <c r="A345">
        <f>ROW(Source!A121)</f>
        <v>121</v>
      </c>
      <c r="B345">
        <v>27935368</v>
      </c>
      <c r="C345">
        <v>27935797</v>
      </c>
      <c r="D345">
        <v>25178466</v>
      </c>
      <c r="E345">
        <v>1</v>
      </c>
      <c r="F345">
        <v>1</v>
      </c>
      <c r="G345">
        <v>1</v>
      </c>
      <c r="H345">
        <v>3</v>
      </c>
      <c r="I345" t="s">
        <v>641</v>
      </c>
      <c r="J345" t="s">
        <v>642</v>
      </c>
      <c r="K345" t="s">
        <v>643</v>
      </c>
      <c r="L345">
        <v>1339</v>
      </c>
      <c r="N345">
        <v>1007</v>
      </c>
      <c r="O345" t="s">
        <v>133</v>
      </c>
      <c r="P345" t="s">
        <v>133</v>
      </c>
      <c r="Q345">
        <v>1</v>
      </c>
      <c r="W345">
        <v>0</v>
      </c>
      <c r="X345">
        <v>-395792271</v>
      </c>
      <c r="Y345">
        <v>0.21</v>
      </c>
      <c r="AA345">
        <v>7863.57</v>
      </c>
      <c r="AB345">
        <v>0</v>
      </c>
      <c r="AC345">
        <v>0</v>
      </c>
      <c r="AD345">
        <v>0</v>
      </c>
      <c r="AE345">
        <v>1287</v>
      </c>
      <c r="AF345">
        <v>0</v>
      </c>
      <c r="AG345">
        <v>0</v>
      </c>
      <c r="AH345">
        <v>0</v>
      </c>
      <c r="AI345">
        <v>6.11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0.21</v>
      </c>
      <c r="AU345" t="s">
        <v>6</v>
      </c>
      <c r="AV345">
        <v>0</v>
      </c>
      <c r="AW345">
        <v>2</v>
      </c>
      <c r="AX345">
        <v>27935818</v>
      </c>
      <c r="AY345">
        <v>1</v>
      </c>
      <c r="AZ345">
        <v>0</v>
      </c>
      <c r="BA345">
        <v>351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Y345*Source!I121</f>
        <v>6.3000000000000003E-4</v>
      </c>
      <c r="CY345">
        <f t="shared" si="51"/>
        <v>7863.57</v>
      </c>
      <c r="CZ345">
        <f t="shared" si="52"/>
        <v>1287</v>
      </c>
      <c r="DA345">
        <f t="shared" si="53"/>
        <v>6.11</v>
      </c>
      <c r="DB345">
        <f t="shared" si="46"/>
        <v>270.27</v>
      </c>
      <c r="DC345">
        <f t="shared" si="47"/>
        <v>0</v>
      </c>
    </row>
    <row r="346" spans="1:107" x14ac:dyDescent="0.2">
      <c r="A346">
        <f>ROW(Source!A121)</f>
        <v>121</v>
      </c>
      <c r="B346">
        <v>27935368</v>
      </c>
      <c r="C346">
        <v>27935797</v>
      </c>
      <c r="D346">
        <v>25178656</v>
      </c>
      <c r="E346">
        <v>1</v>
      </c>
      <c r="F346">
        <v>1</v>
      </c>
      <c r="G346">
        <v>1</v>
      </c>
      <c r="H346">
        <v>3</v>
      </c>
      <c r="I346" t="s">
        <v>644</v>
      </c>
      <c r="J346" t="s">
        <v>645</v>
      </c>
      <c r="K346" t="s">
        <v>646</v>
      </c>
      <c r="L346">
        <v>1339</v>
      </c>
      <c r="N346">
        <v>1007</v>
      </c>
      <c r="O346" t="s">
        <v>133</v>
      </c>
      <c r="P346" t="s">
        <v>133</v>
      </c>
      <c r="Q346">
        <v>1</v>
      </c>
      <c r="W346">
        <v>0</v>
      </c>
      <c r="X346">
        <v>-828683394</v>
      </c>
      <c r="Y346">
        <v>0.18</v>
      </c>
      <c r="AA346">
        <v>7057.05</v>
      </c>
      <c r="AB346">
        <v>0</v>
      </c>
      <c r="AC346">
        <v>0</v>
      </c>
      <c r="AD346">
        <v>0</v>
      </c>
      <c r="AE346">
        <v>1155</v>
      </c>
      <c r="AF346">
        <v>0</v>
      </c>
      <c r="AG346">
        <v>0</v>
      </c>
      <c r="AH346">
        <v>0</v>
      </c>
      <c r="AI346">
        <v>6.11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0.18</v>
      </c>
      <c r="AU346" t="s">
        <v>6</v>
      </c>
      <c r="AV346">
        <v>0</v>
      </c>
      <c r="AW346">
        <v>2</v>
      </c>
      <c r="AX346">
        <v>27935819</v>
      </c>
      <c r="AY346">
        <v>1</v>
      </c>
      <c r="AZ346">
        <v>0</v>
      </c>
      <c r="BA346">
        <v>352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Y346*Source!I121</f>
        <v>5.4000000000000001E-4</v>
      </c>
      <c r="CY346">
        <f t="shared" si="51"/>
        <v>7057.05</v>
      </c>
      <c r="CZ346">
        <f t="shared" si="52"/>
        <v>1155</v>
      </c>
      <c r="DA346">
        <f t="shared" si="53"/>
        <v>6.11</v>
      </c>
      <c r="DB346">
        <f t="shared" si="46"/>
        <v>207.9</v>
      </c>
      <c r="DC346">
        <f t="shared" si="47"/>
        <v>0</v>
      </c>
    </row>
    <row r="347" spans="1:107" x14ac:dyDescent="0.2">
      <c r="A347">
        <f>ROW(Source!A128)</f>
        <v>128</v>
      </c>
      <c r="B347">
        <v>27935367</v>
      </c>
      <c r="C347">
        <v>27935838</v>
      </c>
      <c r="D347">
        <v>25428833</v>
      </c>
      <c r="E347">
        <v>1</v>
      </c>
      <c r="F347">
        <v>1</v>
      </c>
      <c r="G347">
        <v>1</v>
      </c>
      <c r="H347">
        <v>1</v>
      </c>
      <c r="I347" t="s">
        <v>647</v>
      </c>
      <c r="J347" t="s">
        <v>6</v>
      </c>
      <c r="K347" t="s">
        <v>648</v>
      </c>
      <c r="L347">
        <v>1191</v>
      </c>
      <c r="N347">
        <v>1013</v>
      </c>
      <c r="O347" t="s">
        <v>459</v>
      </c>
      <c r="P347" t="s">
        <v>459</v>
      </c>
      <c r="Q347">
        <v>1</v>
      </c>
      <c r="W347">
        <v>0</v>
      </c>
      <c r="X347">
        <v>912892513</v>
      </c>
      <c r="Y347">
        <v>276.8</v>
      </c>
      <c r="AA347">
        <v>0</v>
      </c>
      <c r="AB347">
        <v>0</v>
      </c>
      <c r="AC347">
        <v>0</v>
      </c>
      <c r="AD347">
        <v>9.92</v>
      </c>
      <c r="AE347">
        <v>0</v>
      </c>
      <c r="AF347">
        <v>0</v>
      </c>
      <c r="AG347">
        <v>0</v>
      </c>
      <c r="AH347">
        <v>9.92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276.8</v>
      </c>
      <c r="AU347" t="s">
        <v>6</v>
      </c>
      <c r="AV347">
        <v>1</v>
      </c>
      <c r="AW347">
        <v>2</v>
      </c>
      <c r="AX347">
        <v>27935852</v>
      </c>
      <c r="AY347">
        <v>1</v>
      </c>
      <c r="AZ347">
        <v>0</v>
      </c>
      <c r="BA347">
        <v>353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Y347*Source!I128</f>
        <v>13.840000000000002</v>
      </c>
      <c r="CY347">
        <f>AD347</f>
        <v>9.92</v>
      </c>
      <c r="CZ347">
        <f>AH347</f>
        <v>9.92</v>
      </c>
      <c r="DA347">
        <f>AL347</f>
        <v>1</v>
      </c>
      <c r="DB347">
        <f t="shared" si="46"/>
        <v>2745.86</v>
      </c>
      <c r="DC347">
        <f t="shared" si="47"/>
        <v>0</v>
      </c>
    </row>
    <row r="348" spans="1:107" x14ac:dyDescent="0.2">
      <c r="A348">
        <f>ROW(Source!A128)</f>
        <v>128</v>
      </c>
      <c r="B348">
        <v>27935367</v>
      </c>
      <c r="C348">
        <v>27935838</v>
      </c>
      <c r="D348">
        <v>25412928</v>
      </c>
      <c r="E348">
        <v>1</v>
      </c>
      <c r="F348">
        <v>1</v>
      </c>
      <c r="G348">
        <v>1</v>
      </c>
      <c r="H348">
        <v>1</v>
      </c>
      <c r="I348" t="s">
        <v>460</v>
      </c>
      <c r="J348" t="s">
        <v>6</v>
      </c>
      <c r="K348" t="s">
        <v>461</v>
      </c>
      <c r="L348">
        <v>1191</v>
      </c>
      <c r="N348">
        <v>1013</v>
      </c>
      <c r="O348" t="s">
        <v>459</v>
      </c>
      <c r="P348" t="s">
        <v>459</v>
      </c>
      <c r="Q348">
        <v>1</v>
      </c>
      <c r="W348">
        <v>0</v>
      </c>
      <c r="X348">
        <v>-1417349443</v>
      </c>
      <c r="Y348">
        <v>2.4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2.4</v>
      </c>
      <c r="AU348" t="s">
        <v>6</v>
      </c>
      <c r="AV348">
        <v>2</v>
      </c>
      <c r="AW348">
        <v>2</v>
      </c>
      <c r="AX348">
        <v>27935853</v>
      </c>
      <c r="AY348">
        <v>1</v>
      </c>
      <c r="AZ348">
        <v>0</v>
      </c>
      <c r="BA348">
        <v>354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Y348*Source!I128</f>
        <v>0.12</v>
      </c>
      <c r="CY348">
        <f>AD348</f>
        <v>0</v>
      </c>
      <c r="CZ348">
        <f>AH348</f>
        <v>0</v>
      </c>
      <c r="DA348">
        <f>AL348</f>
        <v>1</v>
      </c>
      <c r="DB348">
        <f t="shared" si="46"/>
        <v>0</v>
      </c>
      <c r="DC348">
        <f t="shared" si="47"/>
        <v>0</v>
      </c>
    </row>
    <row r="349" spans="1:107" x14ac:dyDescent="0.2">
      <c r="A349">
        <f>ROW(Source!A128)</f>
        <v>128</v>
      </c>
      <c r="B349">
        <v>27935367</v>
      </c>
      <c r="C349">
        <v>27935838</v>
      </c>
      <c r="D349">
        <v>25230220</v>
      </c>
      <c r="E349">
        <v>1</v>
      </c>
      <c r="F349">
        <v>1</v>
      </c>
      <c r="G349">
        <v>1</v>
      </c>
      <c r="H349">
        <v>2</v>
      </c>
      <c r="I349" t="s">
        <v>501</v>
      </c>
      <c r="J349" t="s">
        <v>502</v>
      </c>
      <c r="K349" t="s">
        <v>503</v>
      </c>
      <c r="L349">
        <v>1368</v>
      </c>
      <c r="N349">
        <v>1011</v>
      </c>
      <c r="O349" t="s">
        <v>465</v>
      </c>
      <c r="P349" t="s">
        <v>465</v>
      </c>
      <c r="Q349">
        <v>1</v>
      </c>
      <c r="W349">
        <v>0</v>
      </c>
      <c r="X349">
        <v>-1718674368</v>
      </c>
      <c r="Y349">
        <v>1.2</v>
      </c>
      <c r="AA349">
        <v>0</v>
      </c>
      <c r="AB349">
        <v>111.99</v>
      </c>
      <c r="AC349">
        <v>13.5</v>
      </c>
      <c r="AD349">
        <v>0</v>
      </c>
      <c r="AE349">
        <v>0</v>
      </c>
      <c r="AF349">
        <v>111.99</v>
      </c>
      <c r="AG349">
        <v>13.5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1.2</v>
      </c>
      <c r="AU349" t="s">
        <v>6</v>
      </c>
      <c r="AV349">
        <v>0</v>
      </c>
      <c r="AW349">
        <v>2</v>
      </c>
      <c r="AX349">
        <v>27935854</v>
      </c>
      <c r="AY349">
        <v>1</v>
      </c>
      <c r="AZ349">
        <v>0</v>
      </c>
      <c r="BA349">
        <v>355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Y349*Source!I128</f>
        <v>0.06</v>
      </c>
      <c r="CY349">
        <f>AB349</f>
        <v>111.99</v>
      </c>
      <c r="CZ349">
        <f>AF349</f>
        <v>111.99</v>
      </c>
      <c r="DA349">
        <f>AJ349</f>
        <v>1</v>
      </c>
      <c r="DB349">
        <f t="shared" si="46"/>
        <v>134.38999999999999</v>
      </c>
      <c r="DC349">
        <f t="shared" si="47"/>
        <v>16.2</v>
      </c>
    </row>
    <row r="350" spans="1:107" x14ac:dyDescent="0.2">
      <c r="A350">
        <f>ROW(Source!A128)</f>
        <v>128</v>
      </c>
      <c r="B350">
        <v>27935367</v>
      </c>
      <c r="C350">
        <v>27935838</v>
      </c>
      <c r="D350">
        <v>25231607</v>
      </c>
      <c r="E350">
        <v>1</v>
      </c>
      <c r="F350">
        <v>1</v>
      </c>
      <c r="G350">
        <v>1</v>
      </c>
      <c r="H350">
        <v>2</v>
      </c>
      <c r="I350" t="s">
        <v>468</v>
      </c>
      <c r="J350" t="s">
        <v>469</v>
      </c>
      <c r="K350" t="s">
        <v>470</v>
      </c>
      <c r="L350">
        <v>1368</v>
      </c>
      <c r="N350">
        <v>1011</v>
      </c>
      <c r="O350" t="s">
        <v>465</v>
      </c>
      <c r="P350" t="s">
        <v>465</v>
      </c>
      <c r="Q350">
        <v>1</v>
      </c>
      <c r="W350">
        <v>0</v>
      </c>
      <c r="X350">
        <v>1372534845</v>
      </c>
      <c r="Y350">
        <v>1.2</v>
      </c>
      <c r="AA350">
        <v>0</v>
      </c>
      <c r="AB350">
        <v>65.709999999999994</v>
      </c>
      <c r="AC350">
        <v>11.6</v>
      </c>
      <c r="AD350">
        <v>0</v>
      </c>
      <c r="AE350">
        <v>0</v>
      </c>
      <c r="AF350">
        <v>65.709999999999994</v>
      </c>
      <c r="AG350">
        <v>11.6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1.2</v>
      </c>
      <c r="AU350" t="s">
        <v>6</v>
      </c>
      <c r="AV350">
        <v>0</v>
      </c>
      <c r="AW350">
        <v>2</v>
      </c>
      <c r="AX350">
        <v>27935855</v>
      </c>
      <c r="AY350">
        <v>1</v>
      </c>
      <c r="AZ350">
        <v>0</v>
      </c>
      <c r="BA350">
        <v>356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Y350*Source!I128</f>
        <v>0.06</v>
      </c>
      <c r="CY350">
        <f>AB350</f>
        <v>65.709999999999994</v>
      </c>
      <c r="CZ350">
        <f>AF350</f>
        <v>65.709999999999994</v>
      </c>
      <c r="DA350">
        <f>AJ350</f>
        <v>1</v>
      </c>
      <c r="DB350">
        <f t="shared" si="46"/>
        <v>78.849999999999994</v>
      </c>
      <c r="DC350">
        <f t="shared" si="47"/>
        <v>13.92</v>
      </c>
    </row>
    <row r="351" spans="1:107" x14ac:dyDescent="0.2">
      <c r="A351">
        <f>ROW(Source!A128)</f>
        <v>128</v>
      </c>
      <c r="B351">
        <v>27935367</v>
      </c>
      <c r="C351">
        <v>27935838</v>
      </c>
      <c r="D351">
        <v>25231911</v>
      </c>
      <c r="E351">
        <v>1</v>
      </c>
      <c r="F351">
        <v>1</v>
      </c>
      <c r="G351">
        <v>1</v>
      </c>
      <c r="H351">
        <v>2</v>
      </c>
      <c r="I351" t="s">
        <v>649</v>
      </c>
      <c r="J351" t="s">
        <v>650</v>
      </c>
      <c r="K351" t="s">
        <v>651</v>
      </c>
      <c r="L351">
        <v>1368</v>
      </c>
      <c r="N351">
        <v>1011</v>
      </c>
      <c r="O351" t="s">
        <v>465</v>
      </c>
      <c r="P351" t="s">
        <v>465</v>
      </c>
      <c r="Q351">
        <v>1</v>
      </c>
      <c r="W351">
        <v>0</v>
      </c>
      <c r="X351">
        <v>-353815937</v>
      </c>
      <c r="Y351">
        <v>1.1399999999999999</v>
      </c>
      <c r="AA351">
        <v>0</v>
      </c>
      <c r="AB351">
        <v>8.1</v>
      </c>
      <c r="AC351">
        <v>0</v>
      </c>
      <c r="AD351">
        <v>0</v>
      </c>
      <c r="AE351">
        <v>0</v>
      </c>
      <c r="AF351">
        <v>8.1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1.1399999999999999</v>
      </c>
      <c r="AU351" t="s">
        <v>6</v>
      </c>
      <c r="AV351">
        <v>0</v>
      </c>
      <c r="AW351">
        <v>2</v>
      </c>
      <c r="AX351">
        <v>27935856</v>
      </c>
      <c r="AY351">
        <v>1</v>
      </c>
      <c r="AZ351">
        <v>0</v>
      </c>
      <c r="BA351">
        <v>357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Y351*Source!I128</f>
        <v>5.6999999999999995E-2</v>
      </c>
      <c r="CY351">
        <f>AB351</f>
        <v>8.1</v>
      </c>
      <c r="CZ351">
        <f>AF351</f>
        <v>8.1</v>
      </c>
      <c r="DA351">
        <f>AJ351</f>
        <v>1</v>
      </c>
      <c r="DB351">
        <f t="shared" si="46"/>
        <v>9.23</v>
      </c>
      <c r="DC351">
        <f t="shared" si="47"/>
        <v>0</v>
      </c>
    </row>
    <row r="352" spans="1:107" x14ac:dyDescent="0.2">
      <c r="A352">
        <f>ROW(Source!A128)</f>
        <v>128</v>
      </c>
      <c r="B352">
        <v>27935367</v>
      </c>
      <c r="C352">
        <v>27935838</v>
      </c>
      <c r="D352">
        <v>25150263</v>
      </c>
      <c r="E352">
        <v>1</v>
      </c>
      <c r="F352">
        <v>1</v>
      </c>
      <c r="G352">
        <v>1</v>
      </c>
      <c r="H352">
        <v>3</v>
      </c>
      <c r="I352" t="s">
        <v>652</v>
      </c>
      <c r="J352" t="s">
        <v>653</v>
      </c>
      <c r="K352" t="s">
        <v>654</v>
      </c>
      <c r="L352">
        <v>1346</v>
      </c>
      <c r="N352">
        <v>1009</v>
      </c>
      <c r="O352" t="s">
        <v>60</v>
      </c>
      <c r="P352" t="s">
        <v>60</v>
      </c>
      <c r="Q352">
        <v>1</v>
      </c>
      <c r="W352">
        <v>0</v>
      </c>
      <c r="X352">
        <v>-1088866022</v>
      </c>
      <c r="Y352">
        <v>0.42</v>
      </c>
      <c r="AA352">
        <v>30.4</v>
      </c>
      <c r="AB352">
        <v>0</v>
      </c>
      <c r="AC352">
        <v>0</v>
      </c>
      <c r="AD352">
        <v>0</v>
      </c>
      <c r="AE352">
        <v>30.4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0.42</v>
      </c>
      <c r="AU352" t="s">
        <v>6</v>
      </c>
      <c r="AV352">
        <v>0</v>
      </c>
      <c r="AW352">
        <v>2</v>
      </c>
      <c r="AX352">
        <v>27935857</v>
      </c>
      <c r="AY352">
        <v>1</v>
      </c>
      <c r="AZ352">
        <v>0</v>
      </c>
      <c r="BA352">
        <v>358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Y352*Source!I128</f>
        <v>2.1000000000000001E-2</v>
      </c>
      <c r="CY352">
        <f t="shared" ref="CY352:CY359" si="54">AA352</f>
        <v>30.4</v>
      </c>
      <c r="CZ352">
        <f t="shared" ref="CZ352:CZ359" si="55">AE352</f>
        <v>30.4</v>
      </c>
      <c r="DA352">
        <f t="shared" ref="DA352:DA359" si="56">AI352</f>
        <v>1</v>
      </c>
      <c r="DB352">
        <f t="shared" si="46"/>
        <v>12.77</v>
      </c>
      <c r="DC352">
        <f t="shared" si="47"/>
        <v>0</v>
      </c>
    </row>
    <row r="353" spans="1:107" x14ac:dyDescent="0.2">
      <c r="A353">
        <f>ROW(Source!A128)</f>
        <v>128</v>
      </c>
      <c r="B353">
        <v>27935367</v>
      </c>
      <c r="C353">
        <v>27935838</v>
      </c>
      <c r="D353">
        <v>25150275</v>
      </c>
      <c r="E353">
        <v>1</v>
      </c>
      <c r="F353">
        <v>1</v>
      </c>
      <c r="G353">
        <v>1</v>
      </c>
      <c r="H353">
        <v>3</v>
      </c>
      <c r="I353" t="s">
        <v>655</v>
      </c>
      <c r="J353" t="s">
        <v>656</v>
      </c>
      <c r="K353" t="s">
        <v>657</v>
      </c>
      <c r="L353">
        <v>1308</v>
      </c>
      <c r="N353">
        <v>1003</v>
      </c>
      <c r="O353" t="s">
        <v>40</v>
      </c>
      <c r="P353" t="s">
        <v>40</v>
      </c>
      <c r="Q353">
        <v>100</v>
      </c>
      <c r="W353">
        <v>0</v>
      </c>
      <c r="X353">
        <v>568244124</v>
      </c>
      <c r="Y353">
        <v>0.1</v>
      </c>
      <c r="AA353">
        <v>120</v>
      </c>
      <c r="AB353">
        <v>0</v>
      </c>
      <c r="AC353">
        <v>0</v>
      </c>
      <c r="AD353">
        <v>0</v>
      </c>
      <c r="AE353">
        <v>120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0.1</v>
      </c>
      <c r="AU353" t="s">
        <v>6</v>
      </c>
      <c r="AV353">
        <v>0</v>
      </c>
      <c r="AW353">
        <v>2</v>
      </c>
      <c r="AX353">
        <v>27935858</v>
      </c>
      <c r="AY353">
        <v>1</v>
      </c>
      <c r="AZ353">
        <v>0</v>
      </c>
      <c r="BA353">
        <v>359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Y353*Source!I128</f>
        <v>5.000000000000001E-3</v>
      </c>
      <c r="CY353">
        <f t="shared" si="54"/>
        <v>120</v>
      </c>
      <c r="CZ353">
        <f t="shared" si="55"/>
        <v>120</v>
      </c>
      <c r="DA353">
        <f t="shared" si="56"/>
        <v>1</v>
      </c>
      <c r="DB353">
        <f t="shared" si="46"/>
        <v>12</v>
      </c>
      <c r="DC353">
        <f t="shared" si="47"/>
        <v>0</v>
      </c>
    </row>
    <row r="354" spans="1:107" x14ac:dyDescent="0.2">
      <c r="A354">
        <f>ROW(Source!A128)</f>
        <v>128</v>
      </c>
      <c r="B354">
        <v>27935367</v>
      </c>
      <c r="C354">
        <v>27935838</v>
      </c>
      <c r="D354">
        <v>25151427</v>
      </c>
      <c r="E354">
        <v>1</v>
      </c>
      <c r="F354">
        <v>1</v>
      </c>
      <c r="G354">
        <v>1</v>
      </c>
      <c r="H354">
        <v>3</v>
      </c>
      <c r="I354" t="s">
        <v>658</v>
      </c>
      <c r="J354" t="s">
        <v>659</v>
      </c>
      <c r="K354" t="s">
        <v>660</v>
      </c>
      <c r="L354">
        <v>1346</v>
      </c>
      <c r="N354">
        <v>1009</v>
      </c>
      <c r="O354" t="s">
        <v>60</v>
      </c>
      <c r="P354" t="s">
        <v>60</v>
      </c>
      <c r="Q354">
        <v>1</v>
      </c>
      <c r="W354">
        <v>0</v>
      </c>
      <c r="X354">
        <v>586013393</v>
      </c>
      <c r="Y354">
        <v>2.1</v>
      </c>
      <c r="AA354">
        <v>10.57</v>
      </c>
      <c r="AB354">
        <v>0</v>
      </c>
      <c r="AC354">
        <v>0</v>
      </c>
      <c r="AD354">
        <v>0</v>
      </c>
      <c r="AE354">
        <v>10.57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2.1</v>
      </c>
      <c r="AU354" t="s">
        <v>6</v>
      </c>
      <c r="AV354">
        <v>0</v>
      </c>
      <c r="AW354">
        <v>2</v>
      </c>
      <c r="AX354">
        <v>27935859</v>
      </c>
      <c r="AY354">
        <v>1</v>
      </c>
      <c r="AZ354">
        <v>0</v>
      </c>
      <c r="BA354">
        <v>360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Y354*Source!I128</f>
        <v>0.10500000000000001</v>
      </c>
      <c r="CY354">
        <f t="shared" si="54"/>
        <v>10.57</v>
      </c>
      <c r="CZ354">
        <f t="shared" si="55"/>
        <v>10.57</v>
      </c>
      <c r="DA354">
        <f t="shared" si="56"/>
        <v>1</v>
      </c>
      <c r="DB354">
        <f t="shared" si="46"/>
        <v>22.2</v>
      </c>
      <c r="DC354">
        <f t="shared" si="47"/>
        <v>0</v>
      </c>
    </row>
    <row r="355" spans="1:107" x14ac:dyDescent="0.2">
      <c r="A355">
        <f>ROW(Source!A128)</f>
        <v>128</v>
      </c>
      <c r="B355">
        <v>27935367</v>
      </c>
      <c r="C355">
        <v>27935838</v>
      </c>
      <c r="D355">
        <v>25152616</v>
      </c>
      <c r="E355">
        <v>1</v>
      </c>
      <c r="F355">
        <v>1</v>
      </c>
      <c r="G355">
        <v>1</v>
      </c>
      <c r="H355">
        <v>3</v>
      </c>
      <c r="I355" t="s">
        <v>661</v>
      </c>
      <c r="J355" t="s">
        <v>662</v>
      </c>
      <c r="K355" t="s">
        <v>524</v>
      </c>
      <c r="L355">
        <v>1346</v>
      </c>
      <c r="N355">
        <v>1009</v>
      </c>
      <c r="O355" t="s">
        <v>60</v>
      </c>
      <c r="P355" t="s">
        <v>60</v>
      </c>
      <c r="Q355">
        <v>1</v>
      </c>
      <c r="W355">
        <v>0</v>
      </c>
      <c r="X355">
        <v>103900845</v>
      </c>
      <c r="Y355">
        <v>10.4</v>
      </c>
      <c r="AA355">
        <v>9.0399999999999991</v>
      </c>
      <c r="AB355">
        <v>0</v>
      </c>
      <c r="AC355">
        <v>0</v>
      </c>
      <c r="AD355">
        <v>0</v>
      </c>
      <c r="AE355">
        <v>9.0399999999999991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10.4</v>
      </c>
      <c r="AU355" t="s">
        <v>6</v>
      </c>
      <c r="AV355">
        <v>0</v>
      </c>
      <c r="AW355">
        <v>2</v>
      </c>
      <c r="AX355">
        <v>27935860</v>
      </c>
      <c r="AY355">
        <v>1</v>
      </c>
      <c r="AZ355">
        <v>0</v>
      </c>
      <c r="BA355">
        <v>361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Y355*Source!I128</f>
        <v>0.52</v>
      </c>
      <c r="CY355">
        <f t="shared" si="54"/>
        <v>9.0399999999999991</v>
      </c>
      <c r="CZ355">
        <f t="shared" si="55"/>
        <v>9.0399999999999991</v>
      </c>
      <c r="DA355">
        <f t="shared" si="56"/>
        <v>1</v>
      </c>
      <c r="DB355">
        <f t="shared" si="46"/>
        <v>94.02</v>
      </c>
      <c r="DC355">
        <f t="shared" si="47"/>
        <v>0</v>
      </c>
    </row>
    <row r="356" spans="1:107" x14ac:dyDescent="0.2">
      <c r="A356">
        <f>ROW(Source!A128)</f>
        <v>128</v>
      </c>
      <c r="B356">
        <v>27935367</v>
      </c>
      <c r="C356">
        <v>27935838</v>
      </c>
      <c r="D356">
        <v>25174136</v>
      </c>
      <c r="E356">
        <v>1</v>
      </c>
      <c r="F356">
        <v>1</v>
      </c>
      <c r="G356">
        <v>1</v>
      </c>
      <c r="H356">
        <v>3</v>
      </c>
      <c r="I356" t="s">
        <v>663</v>
      </c>
      <c r="J356" t="s">
        <v>664</v>
      </c>
      <c r="K356" t="s">
        <v>665</v>
      </c>
      <c r="L356">
        <v>1348</v>
      </c>
      <c r="N356">
        <v>1009</v>
      </c>
      <c r="O356" t="s">
        <v>65</v>
      </c>
      <c r="P356" t="s">
        <v>65</v>
      </c>
      <c r="Q356">
        <v>1000</v>
      </c>
      <c r="W356">
        <v>0</v>
      </c>
      <c r="X356">
        <v>-1598896989</v>
      </c>
      <c r="Y356">
        <v>0.15</v>
      </c>
      <c r="AA356">
        <v>5000</v>
      </c>
      <c r="AB356">
        <v>0</v>
      </c>
      <c r="AC356">
        <v>0</v>
      </c>
      <c r="AD356">
        <v>0</v>
      </c>
      <c r="AE356">
        <v>5000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0.15</v>
      </c>
      <c r="AU356" t="s">
        <v>6</v>
      </c>
      <c r="AV356">
        <v>0</v>
      </c>
      <c r="AW356">
        <v>2</v>
      </c>
      <c r="AX356">
        <v>27935861</v>
      </c>
      <c r="AY356">
        <v>1</v>
      </c>
      <c r="AZ356">
        <v>0</v>
      </c>
      <c r="BA356">
        <v>362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Y356*Source!I128</f>
        <v>7.4999999999999997E-3</v>
      </c>
      <c r="CY356">
        <f t="shared" si="54"/>
        <v>5000</v>
      </c>
      <c r="CZ356">
        <f t="shared" si="55"/>
        <v>5000</v>
      </c>
      <c r="DA356">
        <f t="shared" si="56"/>
        <v>1</v>
      </c>
      <c r="DB356">
        <f t="shared" si="46"/>
        <v>750</v>
      </c>
      <c r="DC356">
        <f t="shared" si="47"/>
        <v>0</v>
      </c>
    </row>
    <row r="357" spans="1:107" x14ac:dyDescent="0.2">
      <c r="A357">
        <f>ROW(Source!A128)</f>
        <v>128</v>
      </c>
      <c r="B357">
        <v>27935367</v>
      </c>
      <c r="C357">
        <v>27935838</v>
      </c>
      <c r="D357">
        <v>25186459</v>
      </c>
      <c r="E357">
        <v>1</v>
      </c>
      <c r="F357">
        <v>1</v>
      </c>
      <c r="G357">
        <v>1</v>
      </c>
      <c r="H357">
        <v>3</v>
      </c>
      <c r="I357" t="s">
        <v>666</v>
      </c>
      <c r="J357" t="s">
        <v>667</v>
      </c>
      <c r="K357" t="s">
        <v>668</v>
      </c>
      <c r="L357">
        <v>1346</v>
      </c>
      <c r="N357">
        <v>1009</v>
      </c>
      <c r="O357" t="s">
        <v>60</v>
      </c>
      <c r="P357" t="s">
        <v>60</v>
      </c>
      <c r="Q357">
        <v>1</v>
      </c>
      <c r="W357">
        <v>0</v>
      </c>
      <c r="X357">
        <v>210558753</v>
      </c>
      <c r="Y357">
        <v>3</v>
      </c>
      <c r="AA357">
        <v>28.6</v>
      </c>
      <c r="AB357">
        <v>0</v>
      </c>
      <c r="AC357">
        <v>0</v>
      </c>
      <c r="AD357">
        <v>0</v>
      </c>
      <c r="AE357">
        <v>28.6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3</v>
      </c>
      <c r="AU357" t="s">
        <v>6</v>
      </c>
      <c r="AV357">
        <v>0</v>
      </c>
      <c r="AW357">
        <v>2</v>
      </c>
      <c r="AX357">
        <v>27935862</v>
      </c>
      <c r="AY357">
        <v>1</v>
      </c>
      <c r="AZ357">
        <v>0</v>
      </c>
      <c r="BA357">
        <v>363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Y357*Source!I128</f>
        <v>0.15000000000000002</v>
      </c>
      <c r="CY357">
        <f t="shared" si="54"/>
        <v>28.6</v>
      </c>
      <c r="CZ357">
        <f t="shared" si="55"/>
        <v>28.6</v>
      </c>
      <c r="DA357">
        <f t="shared" si="56"/>
        <v>1</v>
      </c>
      <c r="DB357">
        <f t="shared" ref="DB357:DB380" si="57">ROUND(ROUND(AT357*CZ357,2),2)</f>
        <v>85.8</v>
      </c>
      <c r="DC357">
        <f t="shared" ref="DC357:DC380" si="58">ROUND(ROUND(AT357*AG357,2),2)</f>
        <v>0</v>
      </c>
    </row>
    <row r="358" spans="1:107" x14ac:dyDescent="0.2">
      <c r="A358">
        <f>ROW(Source!A128)</f>
        <v>128</v>
      </c>
      <c r="B358">
        <v>27935367</v>
      </c>
      <c r="C358">
        <v>27935838</v>
      </c>
      <c r="D358">
        <v>25202492</v>
      </c>
      <c r="E358">
        <v>1</v>
      </c>
      <c r="F358">
        <v>1</v>
      </c>
      <c r="G358">
        <v>1</v>
      </c>
      <c r="H358">
        <v>3</v>
      </c>
      <c r="I358" t="s">
        <v>280</v>
      </c>
      <c r="J358" t="s">
        <v>283</v>
      </c>
      <c r="K358" t="s">
        <v>281</v>
      </c>
      <c r="L358">
        <v>1354</v>
      </c>
      <c r="N358">
        <v>1010</v>
      </c>
      <c r="O358" t="s">
        <v>282</v>
      </c>
      <c r="P358" t="s">
        <v>282</v>
      </c>
      <c r="Q358">
        <v>1</v>
      </c>
      <c r="W358">
        <v>0</v>
      </c>
      <c r="X358">
        <v>248767468</v>
      </c>
      <c r="Y358">
        <v>100</v>
      </c>
      <c r="AA358">
        <v>155.44</v>
      </c>
      <c r="AB358">
        <v>0</v>
      </c>
      <c r="AC358">
        <v>0</v>
      </c>
      <c r="AD358">
        <v>0</v>
      </c>
      <c r="AE358">
        <v>155.44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100</v>
      </c>
      <c r="AU358" t="s">
        <v>6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Y358*Source!I128</f>
        <v>5</v>
      </c>
      <c r="CY358">
        <f t="shared" si="54"/>
        <v>155.44</v>
      </c>
      <c r="CZ358">
        <f t="shared" si="55"/>
        <v>155.44</v>
      </c>
      <c r="DA358">
        <f t="shared" si="56"/>
        <v>1</v>
      </c>
      <c r="DB358">
        <f t="shared" si="57"/>
        <v>15544</v>
      </c>
      <c r="DC358">
        <f t="shared" si="58"/>
        <v>0</v>
      </c>
    </row>
    <row r="359" spans="1:107" x14ac:dyDescent="0.2">
      <c r="A359">
        <f>ROW(Source!A128)</f>
        <v>128</v>
      </c>
      <c r="B359">
        <v>27935367</v>
      </c>
      <c r="C359">
        <v>27935838</v>
      </c>
      <c r="D359">
        <v>25147235</v>
      </c>
      <c r="E359">
        <v>17</v>
      </c>
      <c r="F359">
        <v>1</v>
      </c>
      <c r="G359">
        <v>1</v>
      </c>
      <c r="H359">
        <v>3</v>
      </c>
      <c r="I359" t="s">
        <v>669</v>
      </c>
      <c r="J359" t="s">
        <v>6</v>
      </c>
      <c r="K359" t="s">
        <v>670</v>
      </c>
      <c r="L359">
        <v>1374</v>
      </c>
      <c r="N359">
        <v>1013</v>
      </c>
      <c r="O359" t="s">
        <v>671</v>
      </c>
      <c r="P359" t="s">
        <v>671</v>
      </c>
      <c r="Q359">
        <v>1</v>
      </c>
      <c r="W359">
        <v>0</v>
      </c>
      <c r="X359">
        <v>-1731369543</v>
      </c>
      <c r="Y359">
        <v>54.92</v>
      </c>
      <c r="AA359">
        <v>1</v>
      </c>
      <c r="AB359">
        <v>0</v>
      </c>
      <c r="AC359">
        <v>0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54.92</v>
      </c>
      <c r="AU359" t="s">
        <v>6</v>
      </c>
      <c r="AV359">
        <v>0</v>
      </c>
      <c r="AW359">
        <v>2</v>
      </c>
      <c r="AX359">
        <v>27935863</v>
      </c>
      <c r="AY359">
        <v>1</v>
      </c>
      <c r="AZ359">
        <v>0</v>
      </c>
      <c r="BA359">
        <v>364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Y359*Source!I128</f>
        <v>2.7460000000000004</v>
      </c>
      <c r="CY359">
        <f t="shared" si="54"/>
        <v>1</v>
      </c>
      <c r="CZ359">
        <f t="shared" si="55"/>
        <v>1</v>
      </c>
      <c r="DA359">
        <f t="shared" si="56"/>
        <v>1</v>
      </c>
      <c r="DB359">
        <f t="shared" si="57"/>
        <v>54.92</v>
      </c>
      <c r="DC359">
        <f t="shared" si="58"/>
        <v>0</v>
      </c>
    </row>
    <row r="360" spans="1:107" x14ac:dyDescent="0.2">
      <c r="A360">
        <f>ROW(Source!A129)</f>
        <v>129</v>
      </c>
      <c r="B360">
        <v>27935368</v>
      </c>
      <c r="C360">
        <v>27935838</v>
      </c>
      <c r="D360">
        <v>25428833</v>
      </c>
      <c r="E360">
        <v>1</v>
      </c>
      <c r="F360">
        <v>1</v>
      </c>
      <c r="G360">
        <v>1</v>
      </c>
      <c r="H360">
        <v>1</v>
      </c>
      <c r="I360" t="s">
        <v>647</v>
      </c>
      <c r="J360" t="s">
        <v>6</v>
      </c>
      <c r="K360" t="s">
        <v>648</v>
      </c>
      <c r="L360">
        <v>1191</v>
      </c>
      <c r="N360">
        <v>1013</v>
      </c>
      <c r="O360" t="s">
        <v>459</v>
      </c>
      <c r="P360" t="s">
        <v>459</v>
      </c>
      <c r="Q360">
        <v>1</v>
      </c>
      <c r="W360">
        <v>0</v>
      </c>
      <c r="X360">
        <v>912892513</v>
      </c>
      <c r="Y360">
        <v>276.8</v>
      </c>
      <c r="AA360">
        <v>0</v>
      </c>
      <c r="AB360">
        <v>0</v>
      </c>
      <c r="AC360">
        <v>0</v>
      </c>
      <c r="AD360">
        <v>60.61</v>
      </c>
      <c r="AE360">
        <v>0</v>
      </c>
      <c r="AF360">
        <v>0</v>
      </c>
      <c r="AG360">
        <v>0</v>
      </c>
      <c r="AH360">
        <v>9.92</v>
      </c>
      <c r="AI360">
        <v>1</v>
      </c>
      <c r="AJ360">
        <v>1</v>
      </c>
      <c r="AK360">
        <v>1</v>
      </c>
      <c r="AL360">
        <v>6.11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276.8</v>
      </c>
      <c r="AU360" t="s">
        <v>6</v>
      </c>
      <c r="AV360">
        <v>1</v>
      </c>
      <c r="AW360">
        <v>2</v>
      </c>
      <c r="AX360">
        <v>27935852</v>
      </c>
      <c r="AY360">
        <v>1</v>
      </c>
      <c r="AZ360">
        <v>0</v>
      </c>
      <c r="BA360">
        <v>365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Y360*Source!I129</f>
        <v>13.840000000000002</v>
      </c>
      <c r="CY360">
        <f>AD360</f>
        <v>60.61</v>
      </c>
      <c r="CZ360">
        <f>AH360</f>
        <v>9.92</v>
      </c>
      <c r="DA360">
        <f>AL360</f>
        <v>6.11</v>
      </c>
      <c r="DB360">
        <f t="shared" si="57"/>
        <v>2745.86</v>
      </c>
      <c r="DC360">
        <f t="shared" si="58"/>
        <v>0</v>
      </c>
    </row>
    <row r="361" spans="1:107" x14ac:dyDescent="0.2">
      <c r="A361">
        <f>ROW(Source!A129)</f>
        <v>129</v>
      </c>
      <c r="B361">
        <v>27935368</v>
      </c>
      <c r="C361">
        <v>27935838</v>
      </c>
      <c r="D361">
        <v>25412928</v>
      </c>
      <c r="E361">
        <v>1</v>
      </c>
      <c r="F361">
        <v>1</v>
      </c>
      <c r="G361">
        <v>1</v>
      </c>
      <c r="H361">
        <v>1</v>
      </c>
      <c r="I361" t="s">
        <v>460</v>
      </c>
      <c r="J361" t="s">
        <v>6</v>
      </c>
      <c r="K361" t="s">
        <v>461</v>
      </c>
      <c r="L361">
        <v>1191</v>
      </c>
      <c r="N361">
        <v>1013</v>
      </c>
      <c r="O361" t="s">
        <v>459</v>
      </c>
      <c r="P361" t="s">
        <v>459</v>
      </c>
      <c r="Q361">
        <v>1</v>
      </c>
      <c r="W361">
        <v>0</v>
      </c>
      <c r="X361">
        <v>-1417349443</v>
      </c>
      <c r="Y361">
        <v>2.4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6.11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2.4</v>
      </c>
      <c r="AU361" t="s">
        <v>6</v>
      </c>
      <c r="AV361">
        <v>2</v>
      </c>
      <c r="AW361">
        <v>2</v>
      </c>
      <c r="AX361">
        <v>27935853</v>
      </c>
      <c r="AY361">
        <v>1</v>
      </c>
      <c r="AZ361">
        <v>0</v>
      </c>
      <c r="BA361">
        <v>366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Y361*Source!I129</f>
        <v>0.12</v>
      </c>
      <c r="CY361">
        <f>AD361</f>
        <v>0</v>
      </c>
      <c r="CZ361">
        <f>AH361</f>
        <v>0</v>
      </c>
      <c r="DA361">
        <f>AL361</f>
        <v>1</v>
      </c>
      <c r="DB361">
        <f t="shared" si="57"/>
        <v>0</v>
      </c>
      <c r="DC361">
        <f t="shared" si="58"/>
        <v>0</v>
      </c>
    </row>
    <row r="362" spans="1:107" x14ac:dyDescent="0.2">
      <c r="A362">
        <f>ROW(Source!A129)</f>
        <v>129</v>
      </c>
      <c r="B362">
        <v>27935368</v>
      </c>
      <c r="C362">
        <v>27935838</v>
      </c>
      <c r="D362">
        <v>25230220</v>
      </c>
      <c r="E362">
        <v>1</v>
      </c>
      <c r="F362">
        <v>1</v>
      </c>
      <c r="G362">
        <v>1</v>
      </c>
      <c r="H362">
        <v>2</v>
      </c>
      <c r="I362" t="s">
        <v>501</v>
      </c>
      <c r="J362" t="s">
        <v>502</v>
      </c>
      <c r="K362" t="s">
        <v>503</v>
      </c>
      <c r="L362">
        <v>1368</v>
      </c>
      <c r="N362">
        <v>1011</v>
      </c>
      <c r="O362" t="s">
        <v>465</v>
      </c>
      <c r="P362" t="s">
        <v>465</v>
      </c>
      <c r="Q362">
        <v>1</v>
      </c>
      <c r="W362">
        <v>0</v>
      </c>
      <c r="X362">
        <v>-1718674368</v>
      </c>
      <c r="Y362">
        <v>1.2</v>
      </c>
      <c r="AA362">
        <v>0</v>
      </c>
      <c r="AB362">
        <v>684.26</v>
      </c>
      <c r="AC362">
        <v>13.5</v>
      </c>
      <c r="AD362">
        <v>0</v>
      </c>
      <c r="AE362">
        <v>0</v>
      </c>
      <c r="AF362">
        <v>111.99</v>
      </c>
      <c r="AG362">
        <v>13.5</v>
      </c>
      <c r="AH362">
        <v>0</v>
      </c>
      <c r="AI362">
        <v>1</v>
      </c>
      <c r="AJ362">
        <v>6.11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1.2</v>
      </c>
      <c r="AU362" t="s">
        <v>6</v>
      </c>
      <c r="AV362">
        <v>0</v>
      </c>
      <c r="AW362">
        <v>2</v>
      </c>
      <c r="AX362">
        <v>27935854</v>
      </c>
      <c r="AY362">
        <v>1</v>
      </c>
      <c r="AZ362">
        <v>0</v>
      </c>
      <c r="BA362">
        <v>367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Y362*Source!I129</f>
        <v>0.06</v>
      </c>
      <c r="CY362">
        <f>AB362</f>
        <v>684.26</v>
      </c>
      <c r="CZ362">
        <f>AF362</f>
        <v>111.99</v>
      </c>
      <c r="DA362">
        <f>AJ362</f>
        <v>6.11</v>
      </c>
      <c r="DB362">
        <f t="shared" si="57"/>
        <v>134.38999999999999</v>
      </c>
      <c r="DC362">
        <f t="shared" si="58"/>
        <v>16.2</v>
      </c>
    </row>
    <row r="363" spans="1:107" x14ac:dyDescent="0.2">
      <c r="A363">
        <f>ROW(Source!A129)</f>
        <v>129</v>
      </c>
      <c r="B363">
        <v>27935368</v>
      </c>
      <c r="C363">
        <v>27935838</v>
      </c>
      <c r="D363">
        <v>25231607</v>
      </c>
      <c r="E363">
        <v>1</v>
      </c>
      <c r="F363">
        <v>1</v>
      </c>
      <c r="G363">
        <v>1</v>
      </c>
      <c r="H363">
        <v>2</v>
      </c>
      <c r="I363" t="s">
        <v>468</v>
      </c>
      <c r="J363" t="s">
        <v>469</v>
      </c>
      <c r="K363" t="s">
        <v>470</v>
      </c>
      <c r="L363">
        <v>1368</v>
      </c>
      <c r="N363">
        <v>1011</v>
      </c>
      <c r="O363" t="s">
        <v>465</v>
      </c>
      <c r="P363" t="s">
        <v>465</v>
      </c>
      <c r="Q363">
        <v>1</v>
      </c>
      <c r="W363">
        <v>0</v>
      </c>
      <c r="X363">
        <v>1372534845</v>
      </c>
      <c r="Y363">
        <v>1.2</v>
      </c>
      <c r="AA363">
        <v>0</v>
      </c>
      <c r="AB363">
        <v>401.49</v>
      </c>
      <c r="AC363">
        <v>11.6</v>
      </c>
      <c r="AD363">
        <v>0</v>
      </c>
      <c r="AE363">
        <v>0</v>
      </c>
      <c r="AF363">
        <v>65.709999999999994</v>
      </c>
      <c r="AG363">
        <v>11.6</v>
      </c>
      <c r="AH363">
        <v>0</v>
      </c>
      <c r="AI363">
        <v>1</v>
      </c>
      <c r="AJ363">
        <v>6.11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1.2</v>
      </c>
      <c r="AU363" t="s">
        <v>6</v>
      </c>
      <c r="AV363">
        <v>0</v>
      </c>
      <c r="AW363">
        <v>2</v>
      </c>
      <c r="AX363">
        <v>27935855</v>
      </c>
      <c r="AY363">
        <v>1</v>
      </c>
      <c r="AZ363">
        <v>0</v>
      </c>
      <c r="BA363">
        <v>368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Y363*Source!I129</f>
        <v>0.06</v>
      </c>
      <c r="CY363">
        <f>AB363</f>
        <v>401.49</v>
      </c>
      <c r="CZ363">
        <f>AF363</f>
        <v>65.709999999999994</v>
      </c>
      <c r="DA363">
        <f>AJ363</f>
        <v>6.11</v>
      </c>
      <c r="DB363">
        <f t="shared" si="57"/>
        <v>78.849999999999994</v>
      </c>
      <c r="DC363">
        <f t="shared" si="58"/>
        <v>13.92</v>
      </c>
    </row>
    <row r="364" spans="1:107" x14ac:dyDescent="0.2">
      <c r="A364">
        <f>ROW(Source!A129)</f>
        <v>129</v>
      </c>
      <c r="B364">
        <v>27935368</v>
      </c>
      <c r="C364">
        <v>27935838</v>
      </c>
      <c r="D364">
        <v>25231911</v>
      </c>
      <c r="E364">
        <v>1</v>
      </c>
      <c r="F364">
        <v>1</v>
      </c>
      <c r="G364">
        <v>1</v>
      </c>
      <c r="H364">
        <v>2</v>
      </c>
      <c r="I364" t="s">
        <v>649</v>
      </c>
      <c r="J364" t="s">
        <v>650</v>
      </c>
      <c r="K364" t="s">
        <v>651</v>
      </c>
      <c r="L364">
        <v>1368</v>
      </c>
      <c r="N364">
        <v>1011</v>
      </c>
      <c r="O364" t="s">
        <v>465</v>
      </c>
      <c r="P364" t="s">
        <v>465</v>
      </c>
      <c r="Q364">
        <v>1</v>
      </c>
      <c r="W364">
        <v>0</v>
      </c>
      <c r="X364">
        <v>-353815937</v>
      </c>
      <c r="Y364">
        <v>1.1399999999999999</v>
      </c>
      <c r="AA364">
        <v>0</v>
      </c>
      <c r="AB364">
        <v>49.49</v>
      </c>
      <c r="AC364">
        <v>0</v>
      </c>
      <c r="AD364">
        <v>0</v>
      </c>
      <c r="AE364">
        <v>0</v>
      </c>
      <c r="AF364">
        <v>8.1</v>
      </c>
      <c r="AG364">
        <v>0</v>
      </c>
      <c r="AH364">
        <v>0</v>
      </c>
      <c r="AI364">
        <v>1</v>
      </c>
      <c r="AJ364">
        <v>6.11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1.1399999999999999</v>
      </c>
      <c r="AU364" t="s">
        <v>6</v>
      </c>
      <c r="AV364">
        <v>0</v>
      </c>
      <c r="AW364">
        <v>2</v>
      </c>
      <c r="AX364">
        <v>27935856</v>
      </c>
      <c r="AY364">
        <v>1</v>
      </c>
      <c r="AZ364">
        <v>0</v>
      </c>
      <c r="BA364">
        <v>369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Y364*Source!I129</f>
        <v>5.6999999999999995E-2</v>
      </c>
      <c r="CY364">
        <f>AB364</f>
        <v>49.49</v>
      </c>
      <c r="CZ364">
        <f>AF364</f>
        <v>8.1</v>
      </c>
      <c r="DA364">
        <f>AJ364</f>
        <v>6.11</v>
      </c>
      <c r="DB364">
        <f t="shared" si="57"/>
        <v>9.23</v>
      </c>
      <c r="DC364">
        <f t="shared" si="58"/>
        <v>0</v>
      </c>
    </row>
    <row r="365" spans="1:107" x14ac:dyDescent="0.2">
      <c r="A365">
        <f>ROW(Source!A129)</f>
        <v>129</v>
      </c>
      <c r="B365">
        <v>27935368</v>
      </c>
      <c r="C365">
        <v>27935838</v>
      </c>
      <c r="D365">
        <v>25150263</v>
      </c>
      <c r="E365">
        <v>1</v>
      </c>
      <c r="F365">
        <v>1</v>
      </c>
      <c r="G365">
        <v>1</v>
      </c>
      <c r="H365">
        <v>3</v>
      </c>
      <c r="I365" t="s">
        <v>652</v>
      </c>
      <c r="J365" t="s">
        <v>653</v>
      </c>
      <c r="K365" t="s">
        <v>654</v>
      </c>
      <c r="L365">
        <v>1346</v>
      </c>
      <c r="N365">
        <v>1009</v>
      </c>
      <c r="O365" t="s">
        <v>60</v>
      </c>
      <c r="P365" t="s">
        <v>60</v>
      </c>
      <c r="Q365">
        <v>1</v>
      </c>
      <c r="W365">
        <v>0</v>
      </c>
      <c r="X365">
        <v>-1088866022</v>
      </c>
      <c r="Y365">
        <v>0.42</v>
      </c>
      <c r="AA365">
        <v>185.74</v>
      </c>
      <c r="AB365">
        <v>0</v>
      </c>
      <c r="AC365">
        <v>0</v>
      </c>
      <c r="AD365">
        <v>0</v>
      </c>
      <c r="AE365">
        <v>30.4</v>
      </c>
      <c r="AF365">
        <v>0</v>
      </c>
      <c r="AG365">
        <v>0</v>
      </c>
      <c r="AH365">
        <v>0</v>
      </c>
      <c r="AI365">
        <v>6.11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0.42</v>
      </c>
      <c r="AU365" t="s">
        <v>6</v>
      </c>
      <c r="AV365">
        <v>0</v>
      </c>
      <c r="AW365">
        <v>2</v>
      </c>
      <c r="AX365">
        <v>27935857</v>
      </c>
      <c r="AY365">
        <v>1</v>
      </c>
      <c r="AZ365">
        <v>0</v>
      </c>
      <c r="BA365">
        <v>370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Y365*Source!I129</f>
        <v>2.1000000000000001E-2</v>
      </c>
      <c r="CY365">
        <f t="shared" ref="CY365:CY372" si="59">AA365</f>
        <v>185.74</v>
      </c>
      <c r="CZ365">
        <f t="shared" ref="CZ365:CZ372" si="60">AE365</f>
        <v>30.4</v>
      </c>
      <c r="DA365">
        <f t="shared" ref="DA365:DA372" si="61">AI365</f>
        <v>6.11</v>
      </c>
      <c r="DB365">
        <f t="shared" si="57"/>
        <v>12.77</v>
      </c>
      <c r="DC365">
        <f t="shared" si="58"/>
        <v>0</v>
      </c>
    </row>
    <row r="366" spans="1:107" x14ac:dyDescent="0.2">
      <c r="A366">
        <f>ROW(Source!A129)</f>
        <v>129</v>
      </c>
      <c r="B366">
        <v>27935368</v>
      </c>
      <c r="C366">
        <v>27935838</v>
      </c>
      <c r="D366">
        <v>25150275</v>
      </c>
      <c r="E366">
        <v>1</v>
      </c>
      <c r="F366">
        <v>1</v>
      </c>
      <c r="G366">
        <v>1</v>
      </c>
      <c r="H366">
        <v>3</v>
      </c>
      <c r="I366" t="s">
        <v>655</v>
      </c>
      <c r="J366" t="s">
        <v>656</v>
      </c>
      <c r="K366" t="s">
        <v>657</v>
      </c>
      <c r="L366">
        <v>1308</v>
      </c>
      <c r="N366">
        <v>1003</v>
      </c>
      <c r="O366" t="s">
        <v>40</v>
      </c>
      <c r="P366" t="s">
        <v>40</v>
      </c>
      <c r="Q366">
        <v>100</v>
      </c>
      <c r="W366">
        <v>0</v>
      </c>
      <c r="X366">
        <v>568244124</v>
      </c>
      <c r="Y366">
        <v>0.1</v>
      </c>
      <c r="AA366">
        <v>733.2</v>
      </c>
      <c r="AB366">
        <v>0</v>
      </c>
      <c r="AC366">
        <v>0</v>
      </c>
      <c r="AD366">
        <v>0</v>
      </c>
      <c r="AE366">
        <v>120</v>
      </c>
      <c r="AF366">
        <v>0</v>
      </c>
      <c r="AG366">
        <v>0</v>
      </c>
      <c r="AH366">
        <v>0</v>
      </c>
      <c r="AI366">
        <v>6.11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0.1</v>
      </c>
      <c r="AU366" t="s">
        <v>6</v>
      </c>
      <c r="AV366">
        <v>0</v>
      </c>
      <c r="AW366">
        <v>2</v>
      </c>
      <c r="AX366">
        <v>27935858</v>
      </c>
      <c r="AY366">
        <v>1</v>
      </c>
      <c r="AZ366">
        <v>0</v>
      </c>
      <c r="BA366">
        <v>371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Y366*Source!I129</f>
        <v>5.000000000000001E-3</v>
      </c>
      <c r="CY366">
        <f t="shared" si="59"/>
        <v>733.2</v>
      </c>
      <c r="CZ366">
        <f t="shared" si="60"/>
        <v>120</v>
      </c>
      <c r="DA366">
        <f t="shared" si="61"/>
        <v>6.11</v>
      </c>
      <c r="DB366">
        <f t="shared" si="57"/>
        <v>12</v>
      </c>
      <c r="DC366">
        <f t="shared" si="58"/>
        <v>0</v>
      </c>
    </row>
    <row r="367" spans="1:107" x14ac:dyDescent="0.2">
      <c r="A367">
        <f>ROW(Source!A129)</f>
        <v>129</v>
      </c>
      <c r="B367">
        <v>27935368</v>
      </c>
      <c r="C367">
        <v>27935838</v>
      </c>
      <c r="D367">
        <v>25151427</v>
      </c>
      <c r="E367">
        <v>1</v>
      </c>
      <c r="F367">
        <v>1</v>
      </c>
      <c r="G367">
        <v>1</v>
      </c>
      <c r="H367">
        <v>3</v>
      </c>
      <c r="I367" t="s">
        <v>658</v>
      </c>
      <c r="J367" t="s">
        <v>659</v>
      </c>
      <c r="K367" t="s">
        <v>660</v>
      </c>
      <c r="L367">
        <v>1346</v>
      </c>
      <c r="N367">
        <v>1009</v>
      </c>
      <c r="O367" t="s">
        <v>60</v>
      </c>
      <c r="P367" t="s">
        <v>60</v>
      </c>
      <c r="Q367">
        <v>1</v>
      </c>
      <c r="W367">
        <v>0</v>
      </c>
      <c r="X367">
        <v>586013393</v>
      </c>
      <c r="Y367">
        <v>2.1</v>
      </c>
      <c r="AA367">
        <v>64.58</v>
      </c>
      <c r="AB367">
        <v>0</v>
      </c>
      <c r="AC367">
        <v>0</v>
      </c>
      <c r="AD367">
        <v>0</v>
      </c>
      <c r="AE367">
        <v>10.57</v>
      </c>
      <c r="AF367">
        <v>0</v>
      </c>
      <c r="AG367">
        <v>0</v>
      </c>
      <c r="AH367">
        <v>0</v>
      </c>
      <c r="AI367">
        <v>6.11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2.1</v>
      </c>
      <c r="AU367" t="s">
        <v>6</v>
      </c>
      <c r="AV367">
        <v>0</v>
      </c>
      <c r="AW367">
        <v>2</v>
      </c>
      <c r="AX367">
        <v>27935859</v>
      </c>
      <c r="AY367">
        <v>1</v>
      </c>
      <c r="AZ367">
        <v>0</v>
      </c>
      <c r="BA367">
        <v>372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Y367*Source!I129</f>
        <v>0.10500000000000001</v>
      </c>
      <c r="CY367">
        <f t="shared" si="59"/>
        <v>64.58</v>
      </c>
      <c r="CZ367">
        <f t="shared" si="60"/>
        <v>10.57</v>
      </c>
      <c r="DA367">
        <f t="shared" si="61"/>
        <v>6.11</v>
      </c>
      <c r="DB367">
        <f t="shared" si="57"/>
        <v>22.2</v>
      </c>
      <c r="DC367">
        <f t="shared" si="58"/>
        <v>0</v>
      </c>
    </row>
    <row r="368" spans="1:107" x14ac:dyDescent="0.2">
      <c r="A368">
        <f>ROW(Source!A129)</f>
        <v>129</v>
      </c>
      <c r="B368">
        <v>27935368</v>
      </c>
      <c r="C368">
        <v>27935838</v>
      </c>
      <c r="D368">
        <v>25152616</v>
      </c>
      <c r="E368">
        <v>1</v>
      </c>
      <c r="F368">
        <v>1</v>
      </c>
      <c r="G368">
        <v>1</v>
      </c>
      <c r="H368">
        <v>3</v>
      </c>
      <c r="I368" t="s">
        <v>661</v>
      </c>
      <c r="J368" t="s">
        <v>662</v>
      </c>
      <c r="K368" t="s">
        <v>524</v>
      </c>
      <c r="L368">
        <v>1346</v>
      </c>
      <c r="N368">
        <v>1009</v>
      </c>
      <c r="O368" t="s">
        <v>60</v>
      </c>
      <c r="P368" t="s">
        <v>60</v>
      </c>
      <c r="Q368">
        <v>1</v>
      </c>
      <c r="W368">
        <v>0</v>
      </c>
      <c r="X368">
        <v>103900845</v>
      </c>
      <c r="Y368">
        <v>10.4</v>
      </c>
      <c r="AA368">
        <v>55.23</v>
      </c>
      <c r="AB368">
        <v>0</v>
      </c>
      <c r="AC368">
        <v>0</v>
      </c>
      <c r="AD368">
        <v>0</v>
      </c>
      <c r="AE368">
        <v>9.0399999999999991</v>
      </c>
      <c r="AF368">
        <v>0</v>
      </c>
      <c r="AG368">
        <v>0</v>
      </c>
      <c r="AH368">
        <v>0</v>
      </c>
      <c r="AI368">
        <v>6.11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10.4</v>
      </c>
      <c r="AU368" t="s">
        <v>6</v>
      </c>
      <c r="AV368">
        <v>0</v>
      </c>
      <c r="AW368">
        <v>2</v>
      </c>
      <c r="AX368">
        <v>27935860</v>
      </c>
      <c r="AY368">
        <v>1</v>
      </c>
      <c r="AZ368">
        <v>0</v>
      </c>
      <c r="BA368">
        <v>373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Y368*Source!I129</f>
        <v>0.52</v>
      </c>
      <c r="CY368">
        <f t="shared" si="59"/>
        <v>55.23</v>
      </c>
      <c r="CZ368">
        <f t="shared" si="60"/>
        <v>9.0399999999999991</v>
      </c>
      <c r="DA368">
        <f t="shared" si="61"/>
        <v>6.11</v>
      </c>
      <c r="DB368">
        <f t="shared" si="57"/>
        <v>94.02</v>
      </c>
      <c r="DC368">
        <f t="shared" si="58"/>
        <v>0</v>
      </c>
    </row>
    <row r="369" spans="1:107" x14ac:dyDescent="0.2">
      <c r="A369">
        <f>ROW(Source!A129)</f>
        <v>129</v>
      </c>
      <c r="B369">
        <v>27935368</v>
      </c>
      <c r="C369">
        <v>27935838</v>
      </c>
      <c r="D369">
        <v>25174136</v>
      </c>
      <c r="E369">
        <v>1</v>
      </c>
      <c r="F369">
        <v>1</v>
      </c>
      <c r="G369">
        <v>1</v>
      </c>
      <c r="H369">
        <v>3</v>
      </c>
      <c r="I369" t="s">
        <v>663</v>
      </c>
      <c r="J369" t="s">
        <v>664</v>
      </c>
      <c r="K369" t="s">
        <v>665</v>
      </c>
      <c r="L369">
        <v>1348</v>
      </c>
      <c r="N369">
        <v>1009</v>
      </c>
      <c r="O369" t="s">
        <v>65</v>
      </c>
      <c r="P369" t="s">
        <v>65</v>
      </c>
      <c r="Q369">
        <v>1000</v>
      </c>
      <c r="W369">
        <v>0</v>
      </c>
      <c r="X369">
        <v>-1598896989</v>
      </c>
      <c r="Y369">
        <v>0.15</v>
      </c>
      <c r="AA369">
        <v>30550</v>
      </c>
      <c r="AB369">
        <v>0</v>
      </c>
      <c r="AC369">
        <v>0</v>
      </c>
      <c r="AD369">
        <v>0</v>
      </c>
      <c r="AE369">
        <v>5000</v>
      </c>
      <c r="AF369">
        <v>0</v>
      </c>
      <c r="AG369">
        <v>0</v>
      </c>
      <c r="AH369">
        <v>0</v>
      </c>
      <c r="AI369">
        <v>6.11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0.15</v>
      </c>
      <c r="AU369" t="s">
        <v>6</v>
      </c>
      <c r="AV369">
        <v>0</v>
      </c>
      <c r="AW369">
        <v>2</v>
      </c>
      <c r="AX369">
        <v>27935861</v>
      </c>
      <c r="AY369">
        <v>1</v>
      </c>
      <c r="AZ369">
        <v>0</v>
      </c>
      <c r="BA369">
        <v>374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Y369*Source!I129</f>
        <v>7.4999999999999997E-3</v>
      </c>
      <c r="CY369">
        <f t="shared" si="59"/>
        <v>30550</v>
      </c>
      <c r="CZ369">
        <f t="shared" si="60"/>
        <v>5000</v>
      </c>
      <c r="DA369">
        <f t="shared" si="61"/>
        <v>6.11</v>
      </c>
      <c r="DB369">
        <f t="shared" si="57"/>
        <v>750</v>
      </c>
      <c r="DC369">
        <f t="shared" si="58"/>
        <v>0</v>
      </c>
    </row>
    <row r="370" spans="1:107" x14ac:dyDescent="0.2">
      <c r="A370">
        <f>ROW(Source!A129)</f>
        <v>129</v>
      </c>
      <c r="B370">
        <v>27935368</v>
      </c>
      <c r="C370">
        <v>27935838</v>
      </c>
      <c r="D370">
        <v>25186459</v>
      </c>
      <c r="E370">
        <v>1</v>
      </c>
      <c r="F370">
        <v>1</v>
      </c>
      <c r="G370">
        <v>1</v>
      </c>
      <c r="H370">
        <v>3</v>
      </c>
      <c r="I370" t="s">
        <v>666</v>
      </c>
      <c r="J370" t="s">
        <v>667</v>
      </c>
      <c r="K370" t="s">
        <v>668</v>
      </c>
      <c r="L370">
        <v>1346</v>
      </c>
      <c r="N370">
        <v>1009</v>
      </c>
      <c r="O370" t="s">
        <v>60</v>
      </c>
      <c r="P370" t="s">
        <v>60</v>
      </c>
      <c r="Q370">
        <v>1</v>
      </c>
      <c r="W370">
        <v>0</v>
      </c>
      <c r="X370">
        <v>210558753</v>
      </c>
      <c r="Y370">
        <v>3</v>
      </c>
      <c r="AA370">
        <v>174.75</v>
      </c>
      <c r="AB370">
        <v>0</v>
      </c>
      <c r="AC370">
        <v>0</v>
      </c>
      <c r="AD370">
        <v>0</v>
      </c>
      <c r="AE370">
        <v>28.6</v>
      </c>
      <c r="AF370">
        <v>0</v>
      </c>
      <c r="AG370">
        <v>0</v>
      </c>
      <c r="AH370">
        <v>0</v>
      </c>
      <c r="AI370">
        <v>6.11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3</v>
      </c>
      <c r="AU370" t="s">
        <v>6</v>
      </c>
      <c r="AV370">
        <v>0</v>
      </c>
      <c r="AW370">
        <v>2</v>
      </c>
      <c r="AX370">
        <v>27935862</v>
      </c>
      <c r="AY370">
        <v>1</v>
      </c>
      <c r="AZ370">
        <v>0</v>
      </c>
      <c r="BA370">
        <v>375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Y370*Source!I129</f>
        <v>0.15000000000000002</v>
      </c>
      <c r="CY370">
        <f t="shared" si="59"/>
        <v>174.75</v>
      </c>
      <c r="CZ370">
        <f t="shared" si="60"/>
        <v>28.6</v>
      </c>
      <c r="DA370">
        <f t="shared" si="61"/>
        <v>6.11</v>
      </c>
      <c r="DB370">
        <f t="shared" si="57"/>
        <v>85.8</v>
      </c>
      <c r="DC370">
        <f t="shared" si="58"/>
        <v>0</v>
      </c>
    </row>
    <row r="371" spans="1:107" x14ac:dyDescent="0.2">
      <c r="A371">
        <f>ROW(Source!A129)</f>
        <v>129</v>
      </c>
      <c r="B371">
        <v>27935368</v>
      </c>
      <c r="C371">
        <v>27935838</v>
      </c>
      <c r="D371">
        <v>25202492</v>
      </c>
      <c r="E371">
        <v>1</v>
      </c>
      <c r="F371">
        <v>1</v>
      </c>
      <c r="G371">
        <v>1</v>
      </c>
      <c r="H371">
        <v>3</v>
      </c>
      <c r="I371" t="s">
        <v>280</v>
      </c>
      <c r="J371" t="s">
        <v>283</v>
      </c>
      <c r="K371" t="s">
        <v>281</v>
      </c>
      <c r="L371">
        <v>1354</v>
      </c>
      <c r="N371">
        <v>1010</v>
      </c>
      <c r="O371" t="s">
        <v>282</v>
      </c>
      <c r="P371" t="s">
        <v>282</v>
      </c>
      <c r="Q371">
        <v>1</v>
      </c>
      <c r="W371">
        <v>0</v>
      </c>
      <c r="X371">
        <v>248767468</v>
      </c>
      <c r="Y371">
        <v>100</v>
      </c>
      <c r="AA371">
        <v>949.74</v>
      </c>
      <c r="AB371">
        <v>0</v>
      </c>
      <c r="AC371">
        <v>0</v>
      </c>
      <c r="AD371">
        <v>0</v>
      </c>
      <c r="AE371">
        <v>155.44</v>
      </c>
      <c r="AF371">
        <v>0</v>
      </c>
      <c r="AG371">
        <v>0</v>
      </c>
      <c r="AH371">
        <v>0</v>
      </c>
      <c r="AI371">
        <v>6.11</v>
      </c>
      <c r="AJ371">
        <v>1</v>
      </c>
      <c r="AK371">
        <v>1</v>
      </c>
      <c r="AL371">
        <v>1</v>
      </c>
      <c r="AN371">
        <v>0</v>
      </c>
      <c r="AO371">
        <v>0</v>
      </c>
      <c r="AP371">
        <v>0</v>
      </c>
      <c r="AQ371">
        <v>0</v>
      </c>
      <c r="AR371">
        <v>0</v>
      </c>
      <c r="AS371" t="s">
        <v>6</v>
      </c>
      <c r="AT371">
        <v>100</v>
      </c>
      <c r="AU371" t="s">
        <v>6</v>
      </c>
      <c r="AV371">
        <v>0</v>
      </c>
      <c r="AW371">
        <v>1</v>
      </c>
      <c r="AX371">
        <v>-1</v>
      </c>
      <c r="AY371">
        <v>0</v>
      </c>
      <c r="AZ371">
        <v>0</v>
      </c>
      <c r="BA371" t="s">
        <v>6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Y371*Source!I129</f>
        <v>5</v>
      </c>
      <c r="CY371">
        <f t="shared" si="59"/>
        <v>949.74</v>
      </c>
      <c r="CZ371">
        <f t="shared" si="60"/>
        <v>155.44</v>
      </c>
      <c r="DA371">
        <f t="shared" si="61"/>
        <v>6.11</v>
      </c>
      <c r="DB371">
        <f t="shared" si="57"/>
        <v>15544</v>
      </c>
      <c r="DC371">
        <f t="shared" si="58"/>
        <v>0</v>
      </c>
    </row>
    <row r="372" spans="1:107" x14ac:dyDescent="0.2">
      <c r="A372">
        <f>ROW(Source!A129)</f>
        <v>129</v>
      </c>
      <c r="B372">
        <v>27935368</v>
      </c>
      <c r="C372">
        <v>27935838</v>
      </c>
      <c r="D372">
        <v>25147235</v>
      </c>
      <c r="E372">
        <v>17</v>
      </c>
      <c r="F372">
        <v>1</v>
      </c>
      <c r="G372">
        <v>1</v>
      </c>
      <c r="H372">
        <v>3</v>
      </c>
      <c r="I372" t="s">
        <v>669</v>
      </c>
      <c r="J372" t="s">
        <v>6</v>
      </c>
      <c r="K372" t="s">
        <v>670</v>
      </c>
      <c r="L372">
        <v>1374</v>
      </c>
      <c r="N372">
        <v>1013</v>
      </c>
      <c r="O372" t="s">
        <v>671</v>
      </c>
      <c r="P372" t="s">
        <v>671</v>
      </c>
      <c r="Q372">
        <v>1</v>
      </c>
      <c r="W372">
        <v>0</v>
      </c>
      <c r="X372">
        <v>-1731369543</v>
      </c>
      <c r="Y372">
        <v>54.92</v>
      </c>
      <c r="AA372">
        <v>1</v>
      </c>
      <c r="AB372">
        <v>0</v>
      </c>
      <c r="AC372">
        <v>0</v>
      </c>
      <c r="AD372">
        <v>0</v>
      </c>
      <c r="AE372">
        <v>1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54.92</v>
      </c>
      <c r="AU372" t="s">
        <v>6</v>
      </c>
      <c r="AV372">
        <v>0</v>
      </c>
      <c r="AW372">
        <v>2</v>
      </c>
      <c r="AX372">
        <v>27935863</v>
      </c>
      <c r="AY372">
        <v>1</v>
      </c>
      <c r="AZ372">
        <v>0</v>
      </c>
      <c r="BA372">
        <v>376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Y372*Source!I129</f>
        <v>2.7460000000000004</v>
      </c>
      <c r="CY372">
        <f t="shared" si="59"/>
        <v>1</v>
      </c>
      <c r="CZ372">
        <f t="shared" si="60"/>
        <v>1</v>
      </c>
      <c r="DA372">
        <f t="shared" si="61"/>
        <v>1</v>
      </c>
      <c r="DB372">
        <f t="shared" si="57"/>
        <v>54.92</v>
      </c>
      <c r="DC372">
        <f t="shared" si="58"/>
        <v>0</v>
      </c>
    </row>
    <row r="373" spans="1:107" x14ac:dyDescent="0.2">
      <c r="A373">
        <f>ROW(Source!A132)</f>
        <v>132</v>
      </c>
      <c r="B373">
        <v>27935367</v>
      </c>
      <c r="C373">
        <v>27935865</v>
      </c>
      <c r="D373">
        <v>25414791</v>
      </c>
      <c r="E373">
        <v>1</v>
      </c>
      <c r="F373">
        <v>1</v>
      </c>
      <c r="G373">
        <v>1</v>
      </c>
      <c r="H373">
        <v>1</v>
      </c>
      <c r="I373" t="s">
        <v>672</v>
      </c>
      <c r="J373" t="s">
        <v>6</v>
      </c>
      <c r="K373" t="s">
        <v>673</v>
      </c>
      <c r="L373">
        <v>1191</v>
      </c>
      <c r="N373">
        <v>1013</v>
      </c>
      <c r="O373" t="s">
        <v>459</v>
      </c>
      <c r="P373" t="s">
        <v>459</v>
      </c>
      <c r="Q373">
        <v>1</v>
      </c>
      <c r="W373">
        <v>0</v>
      </c>
      <c r="X373">
        <v>-608433632</v>
      </c>
      <c r="Y373">
        <v>85.3</v>
      </c>
      <c r="AA373">
        <v>0</v>
      </c>
      <c r="AB373">
        <v>0</v>
      </c>
      <c r="AC373">
        <v>0</v>
      </c>
      <c r="AD373">
        <v>8.4600000000000009</v>
      </c>
      <c r="AE373">
        <v>0</v>
      </c>
      <c r="AF373">
        <v>0</v>
      </c>
      <c r="AG373">
        <v>0</v>
      </c>
      <c r="AH373">
        <v>8.4600000000000009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85.3</v>
      </c>
      <c r="AU373" t="s">
        <v>6</v>
      </c>
      <c r="AV373">
        <v>1</v>
      </c>
      <c r="AW373">
        <v>2</v>
      </c>
      <c r="AX373">
        <v>27935870</v>
      </c>
      <c r="AY373">
        <v>1</v>
      </c>
      <c r="AZ373">
        <v>0</v>
      </c>
      <c r="BA373">
        <v>377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Y373*Source!I132</f>
        <v>10.235999999999999</v>
      </c>
      <c r="CY373">
        <f>AD373</f>
        <v>8.4600000000000009</v>
      </c>
      <c r="CZ373">
        <f>AH373</f>
        <v>8.4600000000000009</v>
      </c>
      <c r="DA373">
        <f>AL373</f>
        <v>1</v>
      </c>
      <c r="DB373">
        <f t="shared" si="57"/>
        <v>721.64</v>
      </c>
      <c r="DC373">
        <f t="shared" si="58"/>
        <v>0</v>
      </c>
    </row>
    <row r="374" spans="1:107" x14ac:dyDescent="0.2">
      <c r="A374">
        <f>ROW(Source!A132)</f>
        <v>132</v>
      </c>
      <c r="B374">
        <v>27935367</v>
      </c>
      <c r="C374">
        <v>27935865</v>
      </c>
      <c r="D374">
        <v>25412928</v>
      </c>
      <c r="E374">
        <v>1</v>
      </c>
      <c r="F374">
        <v>1</v>
      </c>
      <c r="G374">
        <v>1</v>
      </c>
      <c r="H374">
        <v>1</v>
      </c>
      <c r="I374" t="s">
        <v>460</v>
      </c>
      <c r="J374" t="s">
        <v>6</v>
      </c>
      <c r="K374" t="s">
        <v>461</v>
      </c>
      <c r="L374">
        <v>1191</v>
      </c>
      <c r="N374">
        <v>1013</v>
      </c>
      <c r="O374" t="s">
        <v>459</v>
      </c>
      <c r="P374" t="s">
        <v>459</v>
      </c>
      <c r="Q374">
        <v>1</v>
      </c>
      <c r="W374">
        <v>0</v>
      </c>
      <c r="X374">
        <v>-1417349443</v>
      </c>
      <c r="Y374">
        <v>0.32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0.32</v>
      </c>
      <c r="AU374" t="s">
        <v>6</v>
      </c>
      <c r="AV374">
        <v>2</v>
      </c>
      <c r="AW374">
        <v>2</v>
      </c>
      <c r="AX374">
        <v>27935871</v>
      </c>
      <c r="AY374">
        <v>1</v>
      </c>
      <c r="AZ374">
        <v>0</v>
      </c>
      <c r="BA374">
        <v>378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Y374*Source!I132</f>
        <v>3.8399999999999997E-2</v>
      </c>
      <c r="CY374">
        <f>AD374</f>
        <v>0</v>
      </c>
      <c r="CZ374">
        <f>AH374</f>
        <v>0</v>
      </c>
      <c r="DA374">
        <f>AL374</f>
        <v>1</v>
      </c>
      <c r="DB374">
        <f t="shared" si="57"/>
        <v>0</v>
      </c>
      <c r="DC374">
        <f t="shared" si="58"/>
        <v>0</v>
      </c>
    </row>
    <row r="375" spans="1:107" x14ac:dyDescent="0.2">
      <c r="A375">
        <f>ROW(Source!A132)</f>
        <v>132</v>
      </c>
      <c r="B375">
        <v>27935367</v>
      </c>
      <c r="C375">
        <v>27935865</v>
      </c>
      <c r="D375">
        <v>25230514</v>
      </c>
      <c r="E375">
        <v>1</v>
      </c>
      <c r="F375">
        <v>1</v>
      </c>
      <c r="G375">
        <v>1</v>
      </c>
      <c r="H375">
        <v>2</v>
      </c>
      <c r="I375" t="s">
        <v>462</v>
      </c>
      <c r="J375" t="s">
        <v>463</v>
      </c>
      <c r="K375" t="s">
        <v>464</v>
      </c>
      <c r="L375">
        <v>1368</v>
      </c>
      <c r="N375">
        <v>1011</v>
      </c>
      <c r="O375" t="s">
        <v>465</v>
      </c>
      <c r="P375" t="s">
        <v>465</v>
      </c>
      <c r="Q375">
        <v>1</v>
      </c>
      <c r="W375">
        <v>0</v>
      </c>
      <c r="X375">
        <v>1188625873</v>
      </c>
      <c r="Y375">
        <v>0.32</v>
      </c>
      <c r="AA375">
        <v>0</v>
      </c>
      <c r="AB375">
        <v>31.26</v>
      </c>
      <c r="AC375">
        <v>13.5</v>
      </c>
      <c r="AD375">
        <v>0</v>
      </c>
      <c r="AE375">
        <v>0</v>
      </c>
      <c r="AF375">
        <v>31.26</v>
      </c>
      <c r="AG375">
        <v>13.5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0.32</v>
      </c>
      <c r="AU375" t="s">
        <v>6</v>
      </c>
      <c r="AV375">
        <v>0</v>
      </c>
      <c r="AW375">
        <v>2</v>
      </c>
      <c r="AX375">
        <v>27935872</v>
      </c>
      <c r="AY375">
        <v>1</v>
      </c>
      <c r="AZ375">
        <v>0</v>
      </c>
      <c r="BA375">
        <v>379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Y375*Source!I132</f>
        <v>3.8399999999999997E-2</v>
      </c>
      <c r="CY375">
        <f>AB375</f>
        <v>31.26</v>
      </c>
      <c r="CZ375">
        <f>AF375</f>
        <v>31.26</v>
      </c>
      <c r="DA375">
        <f>AJ375</f>
        <v>1</v>
      </c>
      <c r="DB375">
        <f t="shared" si="57"/>
        <v>10</v>
      </c>
      <c r="DC375">
        <f t="shared" si="58"/>
        <v>4.32</v>
      </c>
    </row>
    <row r="376" spans="1:107" x14ac:dyDescent="0.2">
      <c r="A376">
        <f>ROW(Source!A132)</f>
        <v>132</v>
      </c>
      <c r="B376">
        <v>27935367</v>
      </c>
      <c r="C376">
        <v>27935865</v>
      </c>
      <c r="D376">
        <v>25147242</v>
      </c>
      <c r="E376">
        <v>17</v>
      </c>
      <c r="F376">
        <v>1</v>
      </c>
      <c r="G376">
        <v>1</v>
      </c>
      <c r="H376">
        <v>3</v>
      </c>
      <c r="I376" t="s">
        <v>218</v>
      </c>
      <c r="J376" t="s">
        <v>6</v>
      </c>
      <c r="K376" t="s">
        <v>219</v>
      </c>
      <c r="L376">
        <v>1348</v>
      </c>
      <c r="N376">
        <v>1009</v>
      </c>
      <c r="O376" t="s">
        <v>65</v>
      </c>
      <c r="P376" t="s">
        <v>65</v>
      </c>
      <c r="Q376">
        <v>1000</v>
      </c>
      <c r="W376">
        <v>0</v>
      </c>
      <c r="X376">
        <v>-66286256</v>
      </c>
      <c r="Y376">
        <v>1.34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6</v>
      </c>
      <c r="AT376">
        <v>1.34</v>
      </c>
      <c r="AU376" t="s">
        <v>6</v>
      </c>
      <c r="AV376">
        <v>0</v>
      </c>
      <c r="AW376">
        <v>2</v>
      </c>
      <c r="AX376">
        <v>27935873</v>
      </c>
      <c r="AY376">
        <v>1</v>
      </c>
      <c r="AZ376">
        <v>0</v>
      </c>
      <c r="BA376">
        <v>380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Y376*Source!I132</f>
        <v>0.1608</v>
      </c>
      <c r="CY376">
        <f>AA376</f>
        <v>0</v>
      </c>
      <c r="CZ376">
        <f>AE376</f>
        <v>0</v>
      </c>
      <c r="DA376">
        <f>AI376</f>
        <v>1</v>
      </c>
      <c r="DB376">
        <f t="shared" si="57"/>
        <v>0</v>
      </c>
      <c r="DC376">
        <f t="shared" si="58"/>
        <v>0</v>
      </c>
    </row>
    <row r="377" spans="1:107" x14ac:dyDescent="0.2">
      <c r="A377">
        <f>ROW(Source!A133)</f>
        <v>133</v>
      </c>
      <c r="B377">
        <v>27935368</v>
      </c>
      <c r="C377">
        <v>27935865</v>
      </c>
      <c r="D377">
        <v>25414791</v>
      </c>
      <c r="E377">
        <v>1</v>
      </c>
      <c r="F377">
        <v>1</v>
      </c>
      <c r="G377">
        <v>1</v>
      </c>
      <c r="H377">
        <v>1</v>
      </c>
      <c r="I377" t="s">
        <v>672</v>
      </c>
      <c r="J377" t="s">
        <v>6</v>
      </c>
      <c r="K377" t="s">
        <v>673</v>
      </c>
      <c r="L377">
        <v>1191</v>
      </c>
      <c r="N377">
        <v>1013</v>
      </c>
      <c r="O377" t="s">
        <v>459</v>
      </c>
      <c r="P377" t="s">
        <v>459</v>
      </c>
      <c r="Q377">
        <v>1</v>
      </c>
      <c r="W377">
        <v>0</v>
      </c>
      <c r="X377">
        <v>-608433632</v>
      </c>
      <c r="Y377">
        <v>85.3</v>
      </c>
      <c r="AA377">
        <v>0</v>
      </c>
      <c r="AB377">
        <v>0</v>
      </c>
      <c r="AC377">
        <v>0</v>
      </c>
      <c r="AD377">
        <v>51.69</v>
      </c>
      <c r="AE377">
        <v>0</v>
      </c>
      <c r="AF377">
        <v>0</v>
      </c>
      <c r="AG377">
        <v>0</v>
      </c>
      <c r="AH377">
        <v>8.4600000000000009</v>
      </c>
      <c r="AI377">
        <v>1</v>
      </c>
      <c r="AJ377">
        <v>1</v>
      </c>
      <c r="AK377">
        <v>1</v>
      </c>
      <c r="AL377">
        <v>6.11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85.3</v>
      </c>
      <c r="AU377" t="s">
        <v>6</v>
      </c>
      <c r="AV377">
        <v>1</v>
      </c>
      <c r="AW377">
        <v>2</v>
      </c>
      <c r="AX377">
        <v>27935870</v>
      </c>
      <c r="AY377">
        <v>1</v>
      </c>
      <c r="AZ377">
        <v>0</v>
      </c>
      <c r="BA377">
        <v>381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Y377*Source!I133</f>
        <v>10.235999999999999</v>
      </c>
      <c r="CY377">
        <f>AD377</f>
        <v>51.69</v>
      </c>
      <c r="CZ377">
        <f>AH377</f>
        <v>8.4600000000000009</v>
      </c>
      <c r="DA377">
        <f>AL377</f>
        <v>6.11</v>
      </c>
      <c r="DB377">
        <f t="shared" si="57"/>
        <v>721.64</v>
      </c>
      <c r="DC377">
        <f t="shared" si="58"/>
        <v>0</v>
      </c>
    </row>
    <row r="378" spans="1:107" x14ac:dyDescent="0.2">
      <c r="A378">
        <f>ROW(Source!A133)</f>
        <v>133</v>
      </c>
      <c r="B378">
        <v>27935368</v>
      </c>
      <c r="C378">
        <v>27935865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460</v>
      </c>
      <c r="J378" t="s">
        <v>6</v>
      </c>
      <c r="K378" t="s">
        <v>461</v>
      </c>
      <c r="L378">
        <v>1191</v>
      </c>
      <c r="N378">
        <v>1013</v>
      </c>
      <c r="O378" t="s">
        <v>459</v>
      </c>
      <c r="P378" t="s">
        <v>459</v>
      </c>
      <c r="Q378">
        <v>1</v>
      </c>
      <c r="W378">
        <v>0</v>
      </c>
      <c r="X378">
        <v>-1417349443</v>
      </c>
      <c r="Y378">
        <v>0.32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6.11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0.32</v>
      </c>
      <c r="AU378" t="s">
        <v>6</v>
      </c>
      <c r="AV378">
        <v>2</v>
      </c>
      <c r="AW378">
        <v>2</v>
      </c>
      <c r="AX378">
        <v>27935871</v>
      </c>
      <c r="AY378">
        <v>1</v>
      </c>
      <c r="AZ378">
        <v>0</v>
      </c>
      <c r="BA378">
        <v>382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Y378*Source!I133</f>
        <v>3.8399999999999997E-2</v>
      </c>
      <c r="CY378">
        <f>AD378</f>
        <v>0</v>
      </c>
      <c r="CZ378">
        <f>AH378</f>
        <v>0</v>
      </c>
      <c r="DA378">
        <f>AL378</f>
        <v>1</v>
      </c>
      <c r="DB378">
        <f t="shared" si="57"/>
        <v>0</v>
      </c>
      <c r="DC378">
        <f t="shared" si="58"/>
        <v>0</v>
      </c>
    </row>
    <row r="379" spans="1:107" x14ac:dyDescent="0.2">
      <c r="A379">
        <f>ROW(Source!A133)</f>
        <v>133</v>
      </c>
      <c r="B379">
        <v>27935368</v>
      </c>
      <c r="C379">
        <v>27935865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462</v>
      </c>
      <c r="J379" t="s">
        <v>463</v>
      </c>
      <c r="K379" t="s">
        <v>464</v>
      </c>
      <c r="L379">
        <v>1368</v>
      </c>
      <c r="N379">
        <v>1011</v>
      </c>
      <c r="O379" t="s">
        <v>465</v>
      </c>
      <c r="P379" t="s">
        <v>465</v>
      </c>
      <c r="Q379">
        <v>1</v>
      </c>
      <c r="W379">
        <v>0</v>
      </c>
      <c r="X379">
        <v>1188625873</v>
      </c>
      <c r="Y379">
        <v>0.32</v>
      </c>
      <c r="AA379">
        <v>0</v>
      </c>
      <c r="AB379">
        <v>191</v>
      </c>
      <c r="AC379">
        <v>13.5</v>
      </c>
      <c r="AD379">
        <v>0</v>
      </c>
      <c r="AE379">
        <v>0</v>
      </c>
      <c r="AF379">
        <v>31.26</v>
      </c>
      <c r="AG379">
        <v>13.5</v>
      </c>
      <c r="AH379">
        <v>0</v>
      </c>
      <c r="AI379">
        <v>1</v>
      </c>
      <c r="AJ379">
        <v>6.11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0.32</v>
      </c>
      <c r="AU379" t="s">
        <v>6</v>
      </c>
      <c r="AV379">
        <v>0</v>
      </c>
      <c r="AW379">
        <v>2</v>
      </c>
      <c r="AX379">
        <v>27935872</v>
      </c>
      <c r="AY379">
        <v>1</v>
      </c>
      <c r="AZ379">
        <v>0</v>
      </c>
      <c r="BA379">
        <v>383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Y379*Source!I133</f>
        <v>3.8399999999999997E-2</v>
      </c>
      <c r="CY379">
        <f>AB379</f>
        <v>191</v>
      </c>
      <c r="CZ379">
        <f>AF379</f>
        <v>31.26</v>
      </c>
      <c r="DA379">
        <f>AJ379</f>
        <v>6.11</v>
      </c>
      <c r="DB379">
        <f t="shared" si="57"/>
        <v>10</v>
      </c>
      <c r="DC379">
        <f t="shared" si="58"/>
        <v>4.32</v>
      </c>
    </row>
    <row r="380" spans="1:107" x14ac:dyDescent="0.2">
      <c r="A380">
        <f>ROW(Source!A133)</f>
        <v>133</v>
      </c>
      <c r="B380">
        <v>27935368</v>
      </c>
      <c r="C380">
        <v>27935865</v>
      </c>
      <c r="D380">
        <v>25147242</v>
      </c>
      <c r="E380">
        <v>17</v>
      </c>
      <c r="F380">
        <v>1</v>
      </c>
      <c r="G380">
        <v>1</v>
      </c>
      <c r="H380">
        <v>3</v>
      </c>
      <c r="I380" t="s">
        <v>218</v>
      </c>
      <c r="J380" t="s">
        <v>6</v>
      </c>
      <c r="K380" t="s">
        <v>219</v>
      </c>
      <c r="L380">
        <v>1348</v>
      </c>
      <c r="N380">
        <v>1009</v>
      </c>
      <c r="O380" t="s">
        <v>65</v>
      </c>
      <c r="P380" t="s">
        <v>65</v>
      </c>
      <c r="Q380">
        <v>1000</v>
      </c>
      <c r="W380">
        <v>0</v>
      </c>
      <c r="X380">
        <v>-66286256</v>
      </c>
      <c r="Y380">
        <v>1.34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6.11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6</v>
      </c>
      <c r="AT380">
        <v>1.34</v>
      </c>
      <c r="AU380" t="s">
        <v>6</v>
      </c>
      <c r="AV380">
        <v>0</v>
      </c>
      <c r="AW380">
        <v>2</v>
      </c>
      <c r="AX380">
        <v>27935873</v>
      </c>
      <c r="AY380">
        <v>1</v>
      </c>
      <c r="AZ380">
        <v>0</v>
      </c>
      <c r="BA380">
        <v>384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Y380*Source!I133</f>
        <v>0.1608</v>
      </c>
      <c r="CY380">
        <f>AA380</f>
        <v>0</v>
      </c>
      <c r="CZ380">
        <f>AE380</f>
        <v>0</v>
      </c>
      <c r="DA380">
        <f>AI380</f>
        <v>6.11</v>
      </c>
      <c r="DB380">
        <f t="shared" si="57"/>
        <v>0</v>
      </c>
      <c r="DC380">
        <f t="shared" si="58"/>
        <v>0</v>
      </c>
    </row>
    <row r="381" spans="1:107" x14ac:dyDescent="0.2">
      <c r="A381">
        <f>ROW(Source!A136)</f>
        <v>136</v>
      </c>
      <c r="B381">
        <v>27935367</v>
      </c>
      <c r="C381">
        <v>27935875</v>
      </c>
      <c r="D381">
        <v>25428833</v>
      </c>
      <c r="E381">
        <v>1</v>
      </c>
      <c r="F381">
        <v>1</v>
      </c>
      <c r="G381">
        <v>1</v>
      </c>
      <c r="H381">
        <v>1</v>
      </c>
      <c r="I381" t="s">
        <v>647</v>
      </c>
      <c r="J381" t="s">
        <v>6</v>
      </c>
      <c r="K381" t="s">
        <v>648</v>
      </c>
      <c r="L381">
        <v>1191</v>
      </c>
      <c r="N381">
        <v>1013</v>
      </c>
      <c r="O381" t="s">
        <v>459</v>
      </c>
      <c r="P381" t="s">
        <v>459</v>
      </c>
      <c r="Q381">
        <v>1</v>
      </c>
      <c r="W381">
        <v>0</v>
      </c>
      <c r="X381">
        <v>912892513</v>
      </c>
      <c r="Y381">
        <v>70.839999999999989</v>
      </c>
      <c r="AA381">
        <v>0</v>
      </c>
      <c r="AB381">
        <v>0</v>
      </c>
      <c r="AC381">
        <v>0</v>
      </c>
      <c r="AD381">
        <v>9.92</v>
      </c>
      <c r="AE381">
        <v>0</v>
      </c>
      <c r="AF381">
        <v>0</v>
      </c>
      <c r="AG381">
        <v>0</v>
      </c>
      <c r="AH381">
        <v>9.92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61.6</v>
      </c>
      <c r="AU381" t="s">
        <v>28</v>
      </c>
      <c r="AV381">
        <v>1</v>
      </c>
      <c r="AW381">
        <v>2</v>
      </c>
      <c r="AX381">
        <v>27935885</v>
      </c>
      <c r="AY381">
        <v>1</v>
      </c>
      <c r="AZ381">
        <v>0</v>
      </c>
      <c r="BA381">
        <v>385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Y381*Source!I136</f>
        <v>8.5007999999999981</v>
      </c>
      <c r="CY381">
        <f>AD381</f>
        <v>9.92</v>
      </c>
      <c r="CZ381">
        <f>AH381</f>
        <v>9.92</v>
      </c>
      <c r="DA381">
        <f>AL381</f>
        <v>1</v>
      </c>
      <c r="DB381">
        <f>ROUND((ROUND(AT381*CZ381,2)*1.15),2)</f>
        <v>702.73</v>
      </c>
      <c r="DC381">
        <f>ROUND((ROUND(AT381*AG381,2)*1.15),2)</f>
        <v>0</v>
      </c>
    </row>
    <row r="382" spans="1:107" x14ac:dyDescent="0.2">
      <c r="A382">
        <f>ROW(Source!A136)</f>
        <v>136</v>
      </c>
      <c r="B382">
        <v>27935367</v>
      </c>
      <c r="C382">
        <v>27935875</v>
      </c>
      <c r="D382">
        <v>25412928</v>
      </c>
      <c r="E382">
        <v>1</v>
      </c>
      <c r="F382">
        <v>1</v>
      </c>
      <c r="G382">
        <v>1</v>
      </c>
      <c r="H382">
        <v>1</v>
      </c>
      <c r="I382" t="s">
        <v>460</v>
      </c>
      <c r="J382" t="s">
        <v>6</v>
      </c>
      <c r="K382" t="s">
        <v>461</v>
      </c>
      <c r="L382">
        <v>1191</v>
      </c>
      <c r="N382">
        <v>1013</v>
      </c>
      <c r="O382" t="s">
        <v>459</v>
      </c>
      <c r="P382" t="s">
        <v>459</v>
      </c>
      <c r="Q382">
        <v>1</v>
      </c>
      <c r="W382">
        <v>0</v>
      </c>
      <c r="X382">
        <v>-1417349443</v>
      </c>
      <c r="Y382">
        <v>7.0000000000000007E-2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7.0000000000000007E-2</v>
      </c>
      <c r="AU382" t="s">
        <v>6</v>
      </c>
      <c r="AV382">
        <v>2</v>
      </c>
      <c r="AW382">
        <v>2</v>
      </c>
      <c r="AX382">
        <v>27935886</v>
      </c>
      <c r="AY382">
        <v>1</v>
      </c>
      <c r="AZ382">
        <v>2048</v>
      </c>
      <c r="BA382">
        <v>386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Y382*Source!I136</f>
        <v>8.4000000000000012E-3</v>
      </c>
      <c r="CY382">
        <f>AD382</f>
        <v>0</v>
      </c>
      <c r="CZ382">
        <f>AH382</f>
        <v>0</v>
      </c>
      <c r="DA382">
        <f>AL382</f>
        <v>1</v>
      </c>
      <c r="DB382">
        <f>ROUND(ROUND(AT382*CZ382,2),2)</f>
        <v>0</v>
      </c>
      <c r="DC382">
        <f>ROUND(ROUND(AT382*AG382,2),2)</f>
        <v>0</v>
      </c>
    </row>
    <row r="383" spans="1:107" x14ac:dyDescent="0.2">
      <c r="A383">
        <f>ROW(Source!A136)</f>
        <v>136</v>
      </c>
      <c r="B383">
        <v>27935367</v>
      </c>
      <c r="C383">
        <v>27935875</v>
      </c>
      <c r="D383">
        <v>25230118</v>
      </c>
      <c r="E383">
        <v>1</v>
      </c>
      <c r="F383">
        <v>1</v>
      </c>
      <c r="G383">
        <v>1</v>
      </c>
      <c r="H383">
        <v>2</v>
      </c>
      <c r="I383" t="s">
        <v>674</v>
      </c>
      <c r="J383" t="s">
        <v>675</v>
      </c>
      <c r="K383" t="s">
        <v>676</v>
      </c>
      <c r="L383">
        <v>1368</v>
      </c>
      <c r="N383">
        <v>1011</v>
      </c>
      <c r="O383" t="s">
        <v>465</v>
      </c>
      <c r="P383" t="s">
        <v>465</v>
      </c>
      <c r="Q383">
        <v>1</v>
      </c>
      <c r="W383">
        <v>0</v>
      </c>
      <c r="X383">
        <v>-1460065968</v>
      </c>
      <c r="Y383">
        <v>3.7499999999999999E-2</v>
      </c>
      <c r="AA383">
        <v>0</v>
      </c>
      <c r="AB383">
        <v>86.4</v>
      </c>
      <c r="AC383">
        <v>13.5</v>
      </c>
      <c r="AD383">
        <v>0</v>
      </c>
      <c r="AE383">
        <v>0</v>
      </c>
      <c r="AF383">
        <v>86.4</v>
      </c>
      <c r="AG383">
        <v>13.5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0.03</v>
      </c>
      <c r="AU383" t="s">
        <v>27</v>
      </c>
      <c r="AV383">
        <v>0</v>
      </c>
      <c r="AW383">
        <v>2</v>
      </c>
      <c r="AX383">
        <v>27935887</v>
      </c>
      <c r="AY383">
        <v>1</v>
      </c>
      <c r="AZ383">
        <v>0</v>
      </c>
      <c r="BA383">
        <v>387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Y383*Source!I136</f>
        <v>4.4999999999999997E-3</v>
      </c>
      <c r="CY383">
        <f>AB383</f>
        <v>86.4</v>
      </c>
      <c r="CZ383">
        <f>AF383</f>
        <v>86.4</v>
      </c>
      <c r="DA383">
        <f>AJ383</f>
        <v>1</v>
      </c>
      <c r="DB383">
        <f>ROUND((ROUND(AT383*CZ383,2)*1.25),2)</f>
        <v>3.24</v>
      </c>
      <c r="DC383">
        <f>ROUND((ROUND(AT383*AG383,2)*1.25),2)</f>
        <v>0.51</v>
      </c>
    </row>
    <row r="384" spans="1:107" x14ac:dyDescent="0.2">
      <c r="A384">
        <f>ROW(Source!A136)</f>
        <v>136</v>
      </c>
      <c r="B384">
        <v>27935367</v>
      </c>
      <c r="C384">
        <v>27935875</v>
      </c>
      <c r="D384">
        <v>25230220</v>
      </c>
      <c r="E384">
        <v>1</v>
      </c>
      <c r="F384">
        <v>1</v>
      </c>
      <c r="G384">
        <v>1</v>
      </c>
      <c r="H384">
        <v>2</v>
      </c>
      <c r="I384" t="s">
        <v>501</v>
      </c>
      <c r="J384" t="s">
        <v>502</v>
      </c>
      <c r="K384" t="s">
        <v>503</v>
      </c>
      <c r="L384">
        <v>1368</v>
      </c>
      <c r="N384">
        <v>1011</v>
      </c>
      <c r="O384" t="s">
        <v>465</v>
      </c>
      <c r="P384" t="s">
        <v>465</v>
      </c>
      <c r="Q384">
        <v>1</v>
      </c>
      <c r="W384">
        <v>0</v>
      </c>
      <c r="X384">
        <v>-1718674368</v>
      </c>
      <c r="Y384">
        <v>2.5000000000000001E-2</v>
      </c>
      <c r="AA384">
        <v>0</v>
      </c>
      <c r="AB384">
        <v>111.99</v>
      </c>
      <c r="AC384">
        <v>13.5</v>
      </c>
      <c r="AD384">
        <v>0</v>
      </c>
      <c r="AE384">
        <v>0</v>
      </c>
      <c r="AF384">
        <v>111.99</v>
      </c>
      <c r="AG384">
        <v>13.5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0.02</v>
      </c>
      <c r="AU384" t="s">
        <v>27</v>
      </c>
      <c r="AV384">
        <v>0</v>
      </c>
      <c r="AW384">
        <v>2</v>
      </c>
      <c r="AX384">
        <v>27935888</v>
      </c>
      <c r="AY384">
        <v>1</v>
      </c>
      <c r="AZ384">
        <v>0</v>
      </c>
      <c r="BA384">
        <v>388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Y384*Source!I136</f>
        <v>3.0000000000000001E-3</v>
      </c>
      <c r="CY384">
        <f>AB384</f>
        <v>111.99</v>
      </c>
      <c r="CZ384">
        <f>AF384</f>
        <v>111.99</v>
      </c>
      <c r="DA384">
        <f>AJ384</f>
        <v>1</v>
      </c>
      <c r="DB384">
        <f>ROUND((ROUND(AT384*CZ384,2)*1.25),2)</f>
        <v>2.8</v>
      </c>
      <c r="DC384">
        <f>ROUND((ROUND(AT384*AG384,2)*1.25),2)</f>
        <v>0.34</v>
      </c>
    </row>
    <row r="385" spans="1:107" x14ac:dyDescent="0.2">
      <c r="A385">
        <f>ROW(Source!A136)</f>
        <v>136</v>
      </c>
      <c r="B385">
        <v>27935367</v>
      </c>
      <c r="C385">
        <v>27935875</v>
      </c>
      <c r="D385">
        <v>25231607</v>
      </c>
      <c r="E385">
        <v>1</v>
      </c>
      <c r="F385">
        <v>1</v>
      </c>
      <c r="G385">
        <v>1</v>
      </c>
      <c r="H385">
        <v>2</v>
      </c>
      <c r="I385" t="s">
        <v>468</v>
      </c>
      <c r="J385" t="s">
        <v>469</v>
      </c>
      <c r="K385" t="s">
        <v>470</v>
      </c>
      <c r="L385">
        <v>1368</v>
      </c>
      <c r="N385">
        <v>1011</v>
      </c>
      <c r="O385" t="s">
        <v>465</v>
      </c>
      <c r="P385" t="s">
        <v>465</v>
      </c>
      <c r="Q385">
        <v>1</v>
      </c>
      <c r="W385">
        <v>0</v>
      </c>
      <c r="X385">
        <v>1372534845</v>
      </c>
      <c r="Y385">
        <v>2.5000000000000001E-2</v>
      </c>
      <c r="AA385">
        <v>0</v>
      </c>
      <c r="AB385">
        <v>65.709999999999994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0.02</v>
      </c>
      <c r="AU385" t="s">
        <v>27</v>
      </c>
      <c r="AV385">
        <v>0</v>
      </c>
      <c r="AW385">
        <v>2</v>
      </c>
      <c r="AX385">
        <v>27935889</v>
      </c>
      <c r="AY385">
        <v>1</v>
      </c>
      <c r="AZ385">
        <v>0</v>
      </c>
      <c r="BA385">
        <v>389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Y385*Source!I136</f>
        <v>3.0000000000000001E-3</v>
      </c>
      <c r="CY385">
        <f>AB385</f>
        <v>65.709999999999994</v>
      </c>
      <c r="CZ385">
        <f>AF385</f>
        <v>65.709999999999994</v>
      </c>
      <c r="DA385">
        <f>AJ385</f>
        <v>1</v>
      </c>
      <c r="DB385">
        <f>ROUND((ROUND(AT385*CZ385,2)*1.25),2)</f>
        <v>1.64</v>
      </c>
      <c r="DC385">
        <f>ROUND((ROUND(AT385*AG385,2)*1.25),2)</f>
        <v>0.28999999999999998</v>
      </c>
    </row>
    <row r="386" spans="1:107" x14ac:dyDescent="0.2">
      <c r="A386">
        <f>ROW(Source!A136)</f>
        <v>136</v>
      </c>
      <c r="B386">
        <v>27935367</v>
      </c>
      <c r="C386">
        <v>27935875</v>
      </c>
      <c r="D386">
        <v>25149961</v>
      </c>
      <c r="E386">
        <v>1</v>
      </c>
      <c r="F386">
        <v>1</v>
      </c>
      <c r="G386">
        <v>1</v>
      </c>
      <c r="H386">
        <v>3</v>
      </c>
      <c r="I386" t="s">
        <v>558</v>
      </c>
      <c r="J386" t="s">
        <v>559</v>
      </c>
      <c r="K386" t="s">
        <v>560</v>
      </c>
      <c r="L386">
        <v>1339</v>
      </c>
      <c r="N386">
        <v>1007</v>
      </c>
      <c r="O386" t="s">
        <v>133</v>
      </c>
      <c r="P386" t="s">
        <v>133</v>
      </c>
      <c r="Q386">
        <v>1</v>
      </c>
      <c r="W386">
        <v>0</v>
      </c>
      <c r="X386">
        <v>-1660354250</v>
      </c>
      <c r="Y386">
        <v>1.57</v>
      </c>
      <c r="AA386">
        <v>2.44</v>
      </c>
      <c r="AB386">
        <v>0</v>
      </c>
      <c r="AC386">
        <v>0</v>
      </c>
      <c r="AD386">
        <v>0</v>
      </c>
      <c r="AE386">
        <v>2.44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1.57</v>
      </c>
      <c r="AU386" t="s">
        <v>6</v>
      </c>
      <c r="AV386">
        <v>0</v>
      </c>
      <c r="AW386">
        <v>2</v>
      </c>
      <c r="AX386">
        <v>27935890</v>
      </c>
      <c r="AY386">
        <v>1</v>
      </c>
      <c r="AZ386">
        <v>0</v>
      </c>
      <c r="BA386">
        <v>390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Y386*Source!I136</f>
        <v>0.18840000000000001</v>
      </c>
      <c r="CY386">
        <f>AA386</f>
        <v>2.44</v>
      </c>
      <c r="CZ386">
        <f>AE386</f>
        <v>2.44</v>
      </c>
      <c r="DA386">
        <f>AI386</f>
        <v>1</v>
      </c>
      <c r="DB386">
        <f>ROUND(ROUND(AT386*CZ386,2),2)</f>
        <v>3.83</v>
      </c>
      <c r="DC386">
        <f>ROUND(ROUND(AT386*AG386,2),2)</f>
        <v>0</v>
      </c>
    </row>
    <row r="387" spans="1:107" x14ac:dyDescent="0.2">
      <c r="A387">
        <f>ROW(Source!A136)</f>
        <v>136</v>
      </c>
      <c r="B387">
        <v>27935367</v>
      </c>
      <c r="C387">
        <v>27935875</v>
      </c>
      <c r="D387">
        <v>25152598</v>
      </c>
      <c r="E387">
        <v>1</v>
      </c>
      <c r="F387">
        <v>1</v>
      </c>
      <c r="G387">
        <v>1</v>
      </c>
      <c r="H387">
        <v>3</v>
      </c>
      <c r="I387" t="s">
        <v>677</v>
      </c>
      <c r="J387" t="s">
        <v>678</v>
      </c>
      <c r="K387" t="s">
        <v>679</v>
      </c>
      <c r="L387">
        <v>1348</v>
      </c>
      <c r="N387">
        <v>1009</v>
      </c>
      <c r="O387" t="s">
        <v>65</v>
      </c>
      <c r="P387" t="s">
        <v>65</v>
      </c>
      <c r="Q387">
        <v>1000</v>
      </c>
      <c r="W387">
        <v>0</v>
      </c>
      <c r="X387">
        <v>-405065451</v>
      </c>
      <c r="Y387">
        <v>2.66E-3</v>
      </c>
      <c r="AA387">
        <v>14830</v>
      </c>
      <c r="AB387">
        <v>0</v>
      </c>
      <c r="AC387">
        <v>0</v>
      </c>
      <c r="AD387">
        <v>0</v>
      </c>
      <c r="AE387">
        <v>14830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2.66E-3</v>
      </c>
      <c r="AU387" t="s">
        <v>6</v>
      </c>
      <c r="AV387">
        <v>0</v>
      </c>
      <c r="AW387">
        <v>2</v>
      </c>
      <c r="AX387">
        <v>27935891</v>
      </c>
      <c r="AY387">
        <v>1</v>
      </c>
      <c r="AZ387">
        <v>0</v>
      </c>
      <c r="BA387">
        <v>391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Y387*Source!I136</f>
        <v>3.1920000000000001E-4</v>
      </c>
      <c r="CY387">
        <f>AA387</f>
        <v>14830</v>
      </c>
      <c r="CZ387">
        <f>AE387</f>
        <v>14830</v>
      </c>
      <c r="DA387">
        <f>AI387</f>
        <v>1</v>
      </c>
      <c r="DB387">
        <f>ROUND(ROUND(AT387*CZ387,2),2)</f>
        <v>39.450000000000003</v>
      </c>
      <c r="DC387">
        <f>ROUND(ROUND(AT387*AG387,2),2)</f>
        <v>0</v>
      </c>
    </row>
    <row r="388" spans="1:107" x14ac:dyDescent="0.2">
      <c r="A388">
        <f>ROW(Source!A136)</f>
        <v>136</v>
      </c>
      <c r="B388">
        <v>27935367</v>
      </c>
      <c r="C388">
        <v>27935875</v>
      </c>
      <c r="D388">
        <v>25153454</v>
      </c>
      <c r="E388">
        <v>1</v>
      </c>
      <c r="F388">
        <v>1</v>
      </c>
      <c r="G388">
        <v>1</v>
      </c>
      <c r="H388">
        <v>3</v>
      </c>
      <c r="I388" t="s">
        <v>680</v>
      </c>
      <c r="J388" t="s">
        <v>681</v>
      </c>
      <c r="K388" t="s">
        <v>682</v>
      </c>
      <c r="L388">
        <v>1346</v>
      </c>
      <c r="N388">
        <v>1009</v>
      </c>
      <c r="O388" t="s">
        <v>60</v>
      </c>
      <c r="P388" t="s">
        <v>60</v>
      </c>
      <c r="Q388">
        <v>1</v>
      </c>
      <c r="W388">
        <v>0</v>
      </c>
      <c r="X388">
        <v>1537401615</v>
      </c>
      <c r="Y388">
        <v>4</v>
      </c>
      <c r="AA388">
        <v>24.41</v>
      </c>
      <c r="AB388">
        <v>0</v>
      </c>
      <c r="AC388">
        <v>0</v>
      </c>
      <c r="AD388">
        <v>0</v>
      </c>
      <c r="AE388">
        <v>24.41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4</v>
      </c>
      <c r="AU388" t="s">
        <v>6</v>
      </c>
      <c r="AV388">
        <v>0</v>
      </c>
      <c r="AW388">
        <v>2</v>
      </c>
      <c r="AX388">
        <v>27935892</v>
      </c>
      <c r="AY388">
        <v>1</v>
      </c>
      <c r="AZ388">
        <v>0</v>
      </c>
      <c r="BA388">
        <v>392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Y388*Source!I136</f>
        <v>0.48</v>
      </c>
      <c r="CY388">
        <f>AA388</f>
        <v>24.41</v>
      </c>
      <c r="CZ388">
        <f>AE388</f>
        <v>24.41</v>
      </c>
      <c r="DA388">
        <f>AI388</f>
        <v>1</v>
      </c>
      <c r="DB388">
        <f>ROUND(ROUND(AT388*CZ388,2),2)</f>
        <v>97.64</v>
      </c>
      <c r="DC388">
        <f>ROUND(ROUND(AT388*AG388,2),2)</f>
        <v>0</v>
      </c>
    </row>
    <row r="389" spans="1:107" x14ac:dyDescent="0.2">
      <c r="A389">
        <f>ROW(Source!A136)</f>
        <v>136</v>
      </c>
      <c r="B389">
        <v>27935367</v>
      </c>
      <c r="C389">
        <v>27935875</v>
      </c>
      <c r="D389">
        <v>25216197</v>
      </c>
      <c r="E389">
        <v>1</v>
      </c>
      <c r="F389">
        <v>1</v>
      </c>
      <c r="G389">
        <v>1</v>
      </c>
      <c r="H389">
        <v>3</v>
      </c>
      <c r="I389" t="s">
        <v>298</v>
      </c>
      <c r="J389" t="s">
        <v>300</v>
      </c>
      <c r="K389" t="s">
        <v>299</v>
      </c>
      <c r="L389">
        <v>1301</v>
      </c>
      <c r="N389">
        <v>1003</v>
      </c>
      <c r="O389" t="s">
        <v>45</v>
      </c>
      <c r="P389" t="s">
        <v>45</v>
      </c>
      <c r="Q389">
        <v>1</v>
      </c>
      <c r="W389">
        <v>0</v>
      </c>
      <c r="X389">
        <v>2126135618</v>
      </c>
      <c r="Y389">
        <v>99.8</v>
      </c>
      <c r="AA389">
        <v>70.400000000000006</v>
      </c>
      <c r="AB389">
        <v>0</v>
      </c>
      <c r="AC389">
        <v>0</v>
      </c>
      <c r="AD389">
        <v>0</v>
      </c>
      <c r="AE389">
        <v>70.400000000000006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6</v>
      </c>
      <c r="AT389">
        <v>99.8</v>
      </c>
      <c r="AU389" t="s">
        <v>6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Y389*Source!I136</f>
        <v>11.975999999999999</v>
      </c>
      <c r="CY389">
        <f>AA389</f>
        <v>70.400000000000006</v>
      </c>
      <c r="CZ389">
        <f>AE389</f>
        <v>70.400000000000006</v>
      </c>
      <c r="DA389">
        <f>AI389</f>
        <v>1</v>
      </c>
      <c r="DB389">
        <f>ROUND(ROUND(AT389*CZ389,2),2)</f>
        <v>7025.92</v>
      </c>
      <c r="DC389">
        <f>ROUND(ROUND(AT389*AG389,2),2)</f>
        <v>0</v>
      </c>
    </row>
    <row r="390" spans="1:107" x14ac:dyDescent="0.2">
      <c r="A390">
        <f>ROW(Source!A137)</f>
        <v>137</v>
      </c>
      <c r="B390">
        <v>27935368</v>
      </c>
      <c r="C390">
        <v>27935875</v>
      </c>
      <c r="D390">
        <v>25428833</v>
      </c>
      <c r="E390">
        <v>1</v>
      </c>
      <c r="F390">
        <v>1</v>
      </c>
      <c r="G390">
        <v>1</v>
      </c>
      <c r="H390">
        <v>1</v>
      </c>
      <c r="I390" t="s">
        <v>647</v>
      </c>
      <c r="J390" t="s">
        <v>6</v>
      </c>
      <c r="K390" t="s">
        <v>648</v>
      </c>
      <c r="L390">
        <v>1191</v>
      </c>
      <c r="N390">
        <v>1013</v>
      </c>
      <c r="O390" t="s">
        <v>459</v>
      </c>
      <c r="P390" t="s">
        <v>459</v>
      </c>
      <c r="Q390">
        <v>1</v>
      </c>
      <c r="W390">
        <v>0</v>
      </c>
      <c r="X390">
        <v>912892513</v>
      </c>
      <c r="Y390">
        <v>70.839999999999989</v>
      </c>
      <c r="AA390">
        <v>0</v>
      </c>
      <c r="AB390">
        <v>0</v>
      </c>
      <c r="AC390">
        <v>0</v>
      </c>
      <c r="AD390">
        <v>60.61</v>
      </c>
      <c r="AE390">
        <v>0</v>
      </c>
      <c r="AF390">
        <v>0</v>
      </c>
      <c r="AG390">
        <v>0</v>
      </c>
      <c r="AH390">
        <v>9.92</v>
      </c>
      <c r="AI390">
        <v>1</v>
      </c>
      <c r="AJ390">
        <v>1</v>
      </c>
      <c r="AK390">
        <v>1</v>
      </c>
      <c r="AL390">
        <v>6.11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61.6</v>
      </c>
      <c r="AU390" t="s">
        <v>28</v>
      </c>
      <c r="AV390">
        <v>1</v>
      </c>
      <c r="AW390">
        <v>2</v>
      </c>
      <c r="AX390">
        <v>27935885</v>
      </c>
      <c r="AY390">
        <v>1</v>
      </c>
      <c r="AZ390">
        <v>0</v>
      </c>
      <c r="BA390">
        <v>396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Y390*Source!I137</f>
        <v>8.5007999999999981</v>
      </c>
      <c r="CY390">
        <f>AD390</f>
        <v>60.61</v>
      </c>
      <c r="CZ390">
        <f>AH390</f>
        <v>9.92</v>
      </c>
      <c r="DA390">
        <f>AL390</f>
        <v>6.11</v>
      </c>
      <c r="DB390">
        <f>ROUND((ROUND(AT390*CZ390,2)*1.15),2)</f>
        <v>702.73</v>
      </c>
      <c r="DC390">
        <f>ROUND((ROUND(AT390*AG390,2)*1.15),2)</f>
        <v>0</v>
      </c>
    </row>
    <row r="391" spans="1:107" x14ac:dyDescent="0.2">
      <c r="A391">
        <f>ROW(Source!A137)</f>
        <v>137</v>
      </c>
      <c r="B391">
        <v>27935368</v>
      </c>
      <c r="C391">
        <v>27935875</v>
      </c>
      <c r="D391">
        <v>25412928</v>
      </c>
      <c r="E391">
        <v>1</v>
      </c>
      <c r="F391">
        <v>1</v>
      </c>
      <c r="G391">
        <v>1</v>
      </c>
      <c r="H391">
        <v>1</v>
      </c>
      <c r="I391" t="s">
        <v>460</v>
      </c>
      <c r="J391" t="s">
        <v>6</v>
      </c>
      <c r="K391" t="s">
        <v>461</v>
      </c>
      <c r="L391">
        <v>1191</v>
      </c>
      <c r="N391">
        <v>1013</v>
      </c>
      <c r="O391" t="s">
        <v>459</v>
      </c>
      <c r="P391" t="s">
        <v>459</v>
      </c>
      <c r="Q391">
        <v>1</v>
      </c>
      <c r="W391">
        <v>0</v>
      </c>
      <c r="X391">
        <v>-1417349443</v>
      </c>
      <c r="Y391">
        <v>7.0000000000000007E-2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6.11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7.0000000000000007E-2</v>
      </c>
      <c r="AU391" t="s">
        <v>6</v>
      </c>
      <c r="AV391">
        <v>2</v>
      </c>
      <c r="AW391">
        <v>2</v>
      </c>
      <c r="AX391">
        <v>27935886</v>
      </c>
      <c r="AY391">
        <v>1</v>
      </c>
      <c r="AZ391">
        <v>2048</v>
      </c>
      <c r="BA391">
        <v>397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Y391*Source!I137</f>
        <v>8.4000000000000012E-3</v>
      </c>
      <c r="CY391">
        <f>AD391</f>
        <v>0</v>
      </c>
      <c r="CZ391">
        <f>AH391</f>
        <v>0</v>
      </c>
      <c r="DA391">
        <f>AL391</f>
        <v>1</v>
      </c>
      <c r="DB391">
        <f>ROUND(ROUND(AT391*CZ391,2),2)</f>
        <v>0</v>
      </c>
      <c r="DC391">
        <f>ROUND(ROUND(AT391*AG391,2),2)</f>
        <v>0</v>
      </c>
    </row>
    <row r="392" spans="1:107" x14ac:dyDescent="0.2">
      <c r="A392">
        <f>ROW(Source!A137)</f>
        <v>137</v>
      </c>
      <c r="B392">
        <v>27935368</v>
      </c>
      <c r="C392">
        <v>27935875</v>
      </c>
      <c r="D392">
        <v>25230118</v>
      </c>
      <c r="E392">
        <v>1</v>
      </c>
      <c r="F392">
        <v>1</v>
      </c>
      <c r="G392">
        <v>1</v>
      </c>
      <c r="H392">
        <v>2</v>
      </c>
      <c r="I392" t="s">
        <v>674</v>
      </c>
      <c r="J392" t="s">
        <v>675</v>
      </c>
      <c r="K392" t="s">
        <v>676</v>
      </c>
      <c r="L392">
        <v>1368</v>
      </c>
      <c r="N392">
        <v>1011</v>
      </c>
      <c r="O392" t="s">
        <v>465</v>
      </c>
      <c r="P392" t="s">
        <v>465</v>
      </c>
      <c r="Q392">
        <v>1</v>
      </c>
      <c r="W392">
        <v>0</v>
      </c>
      <c r="X392">
        <v>-1460065968</v>
      </c>
      <c r="Y392">
        <v>3.7499999999999999E-2</v>
      </c>
      <c r="AA392">
        <v>0</v>
      </c>
      <c r="AB392">
        <v>527.9</v>
      </c>
      <c r="AC392">
        <v>13.5</v>
      </c>
      <c r="AD392">
        <v>0</v>
      </c>
      <c r="AE392">
        <v>0</v>
      </c>
      <c r="AF392">
        <v>86.4</v>
      </c>
      <c r="AG392">
        <v>13.5</v>
      </c>
      <c r="AH392">
        <v>0</v>
      </c>
      <c r="AI392">
        <v>1</v>
      </c>
      <c r="AJ392">
        <v>6.11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0.03</v>
      </c>
      <c r="AU392" t="s">
        <v>27</v>
      </c>
      <c r="AV392">
        <v>0</v>
      </c>
      <c r="AW392">
        <v>2</v>
      </c>
      <c r="AX392">
        <v>27935887</v>
      </c>
      <c r="AY392">
        <v>1</v>
      </c>
      <c r="AZ392">
        <v>0</v>
      </c>
      <c r="BA392">
        <v>398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Y392*Source!I137</f>
        <v>4.4999999999999997E-3</v>
      </c>
      <c r="CY392">
        <f>AB392</f>
        <v>527.9</v>
      </c>
      <c r="CZ392">
        <f>AF392</f>
        <v>86.4</v>
      </c>
      <c r="DA392">
        <f>AJ392</f>
        <v>6.11</v>
      </c>
      <c r="DB392">
        <f>ROUND((ROUND(AT392*CZ392,2)*1.25),2)</f>
        <v>3.24</v>
      </c>
      <c r="DC392">
        <f>ROUND((ROUND(AT392*AG392,2)*1.25),2)</f>
        <v>0.51</v>
      </c>
    </row>
    <row r="393" spans="1:107" x14ac:dyDescent="0.2">
      <c r="A393">
        <f>ROW(Source!A137)</f>
        <v>137</v>
      </c>
      <c r="B393">
        <v>27935368</v>
      </c>
      <c r="C393">
        <v>27935875</v>
      </c>
      <c r="D393">
        <v>25230220</v>
      </c>
      <c r="E393">
        <v>1</v>
      </c>
      <c r="F393">
        <v>1</v>
      </c>
      <c r="G393">
        <v>1</v>
      </c>
      <c r="H393">
        <v>2</v>
      </c>
      <c r="I393" t="s">
        <v>501</v>
      </c>
      <c r="J393" t="s">
        <v>502</v>
      </c>
      <c r="K393" t="s">
        <v>503</v>
      </c>
      <c r="L393">
        <v>1368</v>
      </c>
      <c r="N393">
        <v>1011</v>
      </c>
      <c r="O393" t="s">
        <v>465</v>
      </c>
      <c r="P393" t="s">
        <v>465</v>
      </c>
      <c r="Q393">
        <v>1</v>
      </c>
      <c r="W393">
        <v>0</v>
      </c>
      <c r="X393">
        <v>-1718674368</v>
      </c>
      <c r="Y393">
        <v>2.5000000000000001E-2</v>
      </c>
      <c r="AA393">
        <v>0</v>
      </c>
      <c r="AB393">
        <v>684.26</v>
      </c>
      <c r="AC393">
        <v>13.5</v>
      </c>
      <c r="AD393">
        <v>0</v>
      </c>
      <c r="AE393">
        <v>0</v>
      </c>
      <c r="AF393">
        <v>111.99</v>
      </c>
      <c r="AG393">
        <v>13.5</v>
      </c>
      <c r="AH393">
        <v>0</v>
      </c>
      <c r="AI393">
        <v>1</v>
      </c>
      <c r="AJ393">
        <v>6.11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0.02</v>
      </c>
      <c r="AU393" t="s">
        <v>27</v>
      </c>
      <c r="AV393">
        <v>0</v>
      </c>
      <c r="AW393">
        <v>2</v>
      </c>
      <c r="AX393">
        <v>27935888</v>
      </c>
      <c r="AY393">
        <v>1</v>
      </c>
      <c r="AZ393">
        <v>0</v>
      </c>
      <c r="BA393">
        <v>399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Y393*Source!I137</f>
        <v>3.0000000000000001E-3</v>
      </c>
      <c r="CY393">
        <f>AB393</f>
        <v>684.26</v>
      </c>
      <c r="CZ393">
        <f>AF393</f>
        <v>111.99</v>
      </c>
      <c r="DA393">
        <f>AJ393</f>
        <v>6.11</v>
      </c>
      <c r="DB393">
        <f>ROUND((ROUND(AT393*CZ393,2)*1.25),2)</f>
        <v>2.8</v>
      </c>
      <c r="DC393">
        <f>ROUND((ROUND(AT393*AG393,2)*1.25),2)</f>
        <v>0.34</v>
      </c>
    </row>
    <row r="394" spans="1:107" x14ac:dyDescent="0.2">
      <c r="A394">
        <f>ROW(Source!A137)</f>
        <v>137</v>
      </c>
      <c r="B394">
        <v>27935368</v>
      </c>
      <c r="C394">
        <v>27935875</v>
      </c>
      <c r="D394">
        <v>25231607</v>
      </c>
      <c r="E394">
        <v>1</v>
      </c>
      <c r="F394">
        <v>1</v>
      </c>
      <c r="G394">
        <v>1</v>
      </c>
      <c r="H394">
        <v>2</v>
      </c>
      <c r="I394" t="s">
        <v>468</v>
      </c>
      <c r="J394" t="s">
        <v>469</v>
      </c>
      <c r="K394" t="s">
        <v>470</v>
      </c>
      <c r="L394">
        <v>1368</v>
      </c>
      <c r="N394">
        <v>1011</v>
      </c>
      <c r="O394" t="s">
        <v>465</v>
      </c>
      <c r="P394" t="s">
        <v>465</v>
      </c>
      <c r="Q394">
        <v>1</v>
      </c>
      <c r="W394">
        <v>0</v>
      </c>
      <c r="X394">
        <v>1372534845</v>
      </c>
      <c r="Y394">
        <v>2.5000000000000001E-2</v>
      </c>
      <c r="AA394">
        <v>0</v>
      </c>
      <c r="AB394">
        <v>401.49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6.11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0.02</v>
      </c>
      <c r="AU394" t="s">
        <v>27</v>
      </c>
      <c r="AV394">
        <v>0</v>
      </c>
      <c r="AW394">
        <v>2</v>
      </c>
      <c r="AX394">
        <v>27935889</v>
      </c>
      <c r="AY394">
        <v>1</v>
      </c>
      <c r="AZ394">
        <v>0</v>
      </c>
      <c r="BA394">
        <v>400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Y394*Source!I137</f>
        <v>3.0000000000000001E-3</v>
      </c>
      <c r="CY394">
        <f>AB394</f>
        <v>401.49</v>
      </c>
      <c r="CZ394">
        <f>AF394</f>
        <v>65.709999999999994</v>
      </c>
      <c r="DA394">
        <f>AJ394</f>
        <v>6.11</v>
      </c>
      <c r="DB394">
        <f>ROUND((ROUND(AT394*CZ394,2)*1.25),2)</f>
        <v>1.64</v>
      </c>
      <c r="DC394">
        <f>ROUND((ROUND(AT394*AG394,2)*1.25),2)</f>
        <v>0.28999999999999998</v>
      </c>
    </row>
    <row r="395" spans="1:107" x14ac:dyDescent="0.2">
      <c r="A395">
        <f>ROW(Source!A137)</f>
        <v>137</v>
      </c>
      <c r="B395">
        <v>27935368</v>
      </c>
      <c r="C395">
        <v>27935875</v>
      </c>
      <c r="D395">
        <v>25149961</v>
      </c>
      <c r="E395">
        <v>1</v>
      </c>
      <c r="F395">
        <v>1</v>
      </c>
      <c r="G395">
        <v>1</v>
      </c>
      <c r="H395">
        <v>3</v>
      </c>
      <c r="I395" t="s">
        <v>558</v>
      </c>
      <c r="J395" t="s">
        <v>559</v>
      </c>
      <c r="K395" t="s">
        <v>560</v>
      </c>
      <c r="L395">
        <v>1339</v>
      </c>
      <c r="N395">
        <v>1007</v>
      </c>
      <c r="O395" t="s">
        <v>133</v>
      </c>
      <c r="P395" t="s">
        <v>133</v>
      </c>
      <c r="Q395">
        <v>1</v>
      </c>
      <c r="W395">
        <v>0</v>
      </c>
      <c r="X395">
        <v>-1660354250</v>
      </c>
      <c r="Y395">
        <v>1.57</v>
      </c>
      <c r="AA395">
        <v>14.91</v>
      </c>
      <c r="AB395">
        <v>0</v>
      </c>
      <c r="AC395">
        <v>0</v>
      </c>
      <c r="AD395">
        <v>0</v>
      </c>
      <c r="AE395">
        <v>2.44</v>
      </c>
      <c r="AF395">
        <v>0</v>
      </c>
      <c r="AG395">
        <v>0</v>
      </c>
      <c r="AH395">
        <v>0</v>
      </c>
      <c r="AI395">
        <v>6.11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1.57</v>
      </c>
      <c r="AU395" t="s">
        <v>6</v>
      </c>
      <c r="AV395">
        <v>0</v>
      </c>
      <c r="AW395">
        <v>2</v>
      </c>
      <c r="AX395">
        <v>27935890</v>
      </c>
      <c r="AY395">
        <v>1</v>
      </c>
      <c r="AZ395">
        <v>0</v>
      </c>
      <c r="BA395">
        <v>401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Y395*Source!I137</f>
        <v>0.18840000000000001</v>
      </c>
      <c r="CY395">
        <f>AA395</f>
        <v>14.91</v>
      </c>
      <c r="CZ395">
        <f>AE395</f>
        <v>2.44</v>
      </c>
      <c r="DA395">
        <f>AI395</f>
        <v>6.11</v>
      </c>
      <c r="DB395">
        <f t="shared" ref="DB395:DB420" si="62">ROUND(ROUND(AT395*CZ395,2),2)</f>
        <v>3.83</v>
      </c>
      <c r="DC395">
        <f t="shared" ref="DC395:DC420" si="63">ROUND(ROUND(AT395*AG395,2),2)</f>
        <v>0</v>
      </c>
    </row>
    <row r="396" spans="1:107" x14ac:dyDescent="0.2">
      <c r="A396">
        <f>ROW(Source!A137)</f>
        <v>137</v>
      </c>
      <c r="B396">
        <v>27935368</v>
      </c>
      <c r="C396">
        <v>27935875</v>
      </c>
      <c r="D396">
        <v>25152598</v>
      </c>
      <c r="E396">
        <v>1</v>
      </c>
      <c r="F396">
        <v>1</v>
      </c>
      <c r="G396">
        <v>1</v>
      </c>
      <c r="H396">
        <v>3</v>
      </c>
      <c r="I396" t="s">
        <v>677</v>
      </c>
      <c r="J396" t="s">
        <v>678</v>
      </c>
      <c r="K396" t="s">
        <v>679</v>
      </c>
      <c r="L396">
        <v>1348</v>
      </c>
      <c r="N396">
        <v>1009</v>
      </c>
      <c r="O396" t="s">
        <v>65</v>
      </c>
      <c r="P396" t="s">
        <v>65</v>
      </c>
      <c r="Q396">
        <v>1000</v>
      </c>
      <c r="W396">
        <v>0</v>
      </c>
      <c r="X396">
        <v>-405065451</v>
      </c>
      <c r="Y396">
        <v>2.66E-3</v>
      </c>
      <c r="AA396">
        <v>90611.3</v>
      </c>
      <c r="AB396">
        <v>0</v>
      </c>
      <c r="AC396">
        <v>0</v>
      </c>
      <c r="AD396">
        <v>0</v>
      </c>
      <c r="AE396">
        <v>14830</v>
      </c>
      <c r="AF396">
        <v>0</v>
      </c>
      <c r="AG396">
        <v>0</v>
      </c>
      <c r="AH396">
        <v>0</v>
      </c>
      <c r="AI396">
        <v>6.11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2.66E-3</v>
      </c>
      <c r="AU396" t="s">
        <v>6</v>
      </c>
      <c r="AV396">
        <v>0</v>
      </c>
      <c r="AW396">
        <v>2</v>
      </c>
      <c r="AX396">
        <v>27935891</v>
      </c>
      <c r="AY396">
        <v>1</v>
      </c>
      <c r="AZ396">
        <v>0</v>
      </c>
      <c r="BA396">
        <v>402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Y396*Source!I137</f>
        <v>3.1920000000000001E-4</v>
      </c>
      <c r="CY396">
        <f>AA396</f>
        <v>90611.3</v>
      </c>
      <c r="CZ396">
        <f>AE396</f>
        <v>14830</v>
      </c>
      <c r="DA396">
        <f>AI396</f>
        <v>6.11</v>
      </c>
      <c r="DB396">
        <f t="shared" si="62"/>
        <v>39.450000000000003</v>
      </c>
      <c r="DC396">
        <f t="shared" si="63"/>
        <v>0</v>
      </c>
    </row>
    <row r="397" spans="1:107" x14ac:dyDescent="0.2">
      <c r="A397">
        <f>ROW(Source!A137)</f>
        <v>137</v>
      </c>
      <c r="B397">
        <v>27935368</v>
      </c>
      <c r="C397">
        <v>27935875</v>
      </c>
      <c r="D397">
        <v>25153454</v>
      </c>
      <c r="E397">
        <v>1</v>
      </c>
      <c r="F397">
        <v>1</v>
      </c>
      <c r="G397">
        <v>1</v>
      </c>
      <c r="H397">
        <v>3</v>
      </c>
      <c r="I397" t="s">
        <v>680</v>
      </c>
      <c r="J397" t="s">
        <v>681</v>
      </c>
      <c r="K397" t="s">
        <v>682</v>
      </c>
      <c r="L397">
        <v>1346</v>
      </c>
      <c r="N397">
        <v>1009</v>
      </c>
      <c r="O397" t="s">
        <v>60</v>
      </c>
      <c r="P397" t="s">
        <v>60</v>
      </c>
      <c r="Q397">
        <v>1</v>
      </c>
      <c r="W397">
        <v>0</v>
      </c>
      <c r="X397">
        <v>1537401615</v>
      </c>
      <c r="Y397">
        <v>4</v>
      </c>
      <c r="AA397">
        <v>149.15</v>
      </c>
      <c r="AB397">
        <v>0</v>
      </c>
      <c r="AC397">
        <v>0</v>
      </c>
      <c r="AD397">
        <v>0</v>
      </c>
      <c r="AE397">
        <v>24.41</v>
      </c>
      <c r="AF397">
        <v>0</v>
      </c>
      <c r="AG397">
        <v>0</v>
      </c>
      <c r="AH397">
        <v>0</v>
      </c>
      <c r="AI397">
        <v>6.11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4</v>
      </c>
      <c r="AU397" t="s">
        <v>6</v>
      </c>
      <c r="AV397">
        <v>0</v>
      </c>
      <c r="AW397">
        <v>2</v>
      </c>
      <c r="AX397">
        <v>27935892</v>
      </c>
      <c r="AY397">
        <v>1</v>
      </c>
      <c r="AZ397">
        <v>0</v>
      </c>
      <c r="BA397">
        <v>403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Y397*Source!I137</f>
        <v>0.48</v>
      </c>
      <c r="CY397">
        <f>AA397</f>
        <v>149.15</v>
      </c>
      <c r="CZ397">
        <f>AE397</f>
        <v>24.41</v>
      </c>
      <c r="DA397">
        <f>AI397</f>
        <v>6.11</v>
      </c>
      <c r="DB397">
        <f t="shared" si="62"/>
        <v>97.64</v>
      </c>
      <c r="DC397">
        <f t="shared" si="63"/>
        <v>0</v>
      </c>
    </row>
    <row r="398" spans="1:107" x14ac:dyDescent="0.2">
      <c r="A398">
        <f>ROW(Source!A137)</f>
        <v>137</v>
      </c>
      <c r="B398">
        <v>27935368</v>
      </c>
      <c r="C398">
        <v>27935875</v>
      </c>
      <c r="D398">
        <v>25216197</v>
      </c>
      <c r="E398">
        <v>1</v>
      </c>
      <c r="F398">
        <v>1</v>
      </c>
      <c r="G398">
        <v>1</v>
      </c>
      <c r="H398">
        <v>3</v>
      </c>
      <c r="I398" t="s">
        <v>298</v>
      </c>
      <c r="J398" t="s">
        <v>300</v>
      </c>
      <c r="K398" t="s">
        <v>299</v>
      </c>
      <c r="L398">
        <v>1301</v>
      </c>
      <c r="N398">
        <v>1003</v>
      </c>
      <c r="O398" t="s">
        <v>45</v>
      </c>
      <c r="P398" t="s">
        <v>45</v>
      </c>
      <c r="Q398">
        <v>1</v>
      </c>
      <c r="W398">
        <v>0</v>
      </c>
      <c r="X398">
        <v>2126135618</v>
      </c>
      <c r="Y398">
        <v>99.8</v>
      </c>
      <c r="AA398">
        <v>430.14</v>
      </c>
      <c r="AB398">
        <v>0</v>
      </c>
      <c r="AC398">
        <v>0</v>
      </c>
      <c r="AD398">
        <v>0</v>
      </c>
      <c r="AE398">
        <v>70.400000000000006</v>
      </c>
      <c r="AF398">
        <v>0</v>
      </c>
      <c r="AG398">
        <v>0</v>
      </c>
      <c r="AH398">
        <v>0</v>
      </c>
      <c r="AI398">
        <v>6.11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99.8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Y398*Source!I137</f>
        <v>11.975999999999999</v>
      </c>
      <c r="CY398">
        <f>AA398</f>
        <v>430.14</v>
      </c>
      <c r="CZ398">
        <f>AE398</f>
        <v>70.400000000000006</v>
      </c>
      <c r="DA398">
        <f>AI398</f>
        <v>6.11</v>
      </c>
      <c r="DB398">
        <f t="shared" si="62"/>
        <v>7025.92</v>
      </c>
      <c r="DC398">
        <f t="shared" si="63"/>
        <v>0</v>
      </c>
    </row>
    <row r="399" spans="1:107" x14ac:dyDescent="0.2">
      <c r="A399">
        <f>ROW(Source!A140)</f>
        <v>140</v>
      </c>
      <c r="B399">
        <v>27935367</v>
      </c>
      <c r="C399">
        <v>27935897</v>
      </c>
      <c r="D399">
        <v>25412980</v>
      </c>
      <c r="E399">
        <v>1</v>
      </c>
      <c r="F399">
        <v>1</v>
      </c>
      <c r="G399">
        <v>1</v>
      </c>
      <c r="H399">
        <v>1</v>
      </c>
      <c r="I399" t="s">
        <v>549</v>
      </c>
      <c r="J399" t="s">
        <v>6</v>
      </c>
      <c r="K399" t="s">
        <v>550</v>
      </c>
      <c r="L399">
        <v>1191</v>
      </c>
      <c r="N399">
        <v>1013</v>
      </c>
      <c r="O399" t="s">
        <v>459</v>
      </c>
      <c r="P399" t="s">
        <v>459</v>
      </c>
      <c r="Q399">
        <v>1</v>
      </c>
      <c r="W399">
        <v>0</v>
      </c>
      <c r="X399">
        <v>145020957</v>
      </c>
      <c r="Y399">
        <v>354.7</v>
      </c>
      <c r="AA399">
        <v>0</v>
      </c>
      <c r="AB399">
        <v>0</v>
      </c>
      <c r="AC399">
        <v>0</v>
      </c>
      <c r="AD399">
        <v>9.07</v>
      </c>
      <c r="AE399">
        <v>0</v>
      </c>
      <c r="AF399">
        <v>0</v>
      </c>
      <c r="AG399">
        <v>0</v>
      </c>
      <c r="AH399">
        <v>9.07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354.7</v>
      </c>
      <c r="AU399" t="s">
        <v>6</v>
      </c>
      <c r="AV399">
        <v>1</v>
      </c>
      <c r="AW399">
        <v>2</v>
      </c>
      <c r="AX399">
        <v>27935909</v>
      </c>
      <c r="AY399">
        <v>1</v>
      </c>
      <c r="AZ399">
        <v>0</v>
      </c>
      <c r="BA399">
        <v>407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Y399*Source!I140</f>
        <v>7.0940000000000003</v>
      </c>
      <c r="CY399">
        <f>AD399</f>
        <v>9.07</v>
      </c>
      <c r="CZ399">
        <f>AH399</f>
        <v>9.07</v>
      </c>
      <c r="DA399">
        <f>AL399</f>
        <v>1</v>
      </c>
      <c r="DB399">
        <f t="shared" si="62"/>
        <v>3217.13</v>
      </c>
      <c r="DC399">
        <f t="shared" si="63"/>
        <v>0</v>
      </c>
    </row>
    <row r="400" spans="1:107" x14ac:dyDescent="0.2">
      <c r="A400">
        <f>ROW(Source!A140)</f>
        <v>140</v>
      </c>
      <c r="B400">
        <v>27935367</v>
      </c>
      <c r="C400">
        <v>27935897</v>
      </c>
      <c r="D400">
        <v>25412928</v>
      </c>
      <c r="E400">
        <v>1</v>
      </c>
      <c r="F400">
        <v>1</v>
      </c>
      <c r="G400">
        <v>1</v>
      </c>
      <c r="H400">
        <v>1</v>
      </c>
      <c r="I400" t="s">
        <v>460</v>
      </c>
      <c r="J400" t="s">
        <v>6</v>
      </c>
      <c r="K400" t="s">
        <v>461</v>
      </c>
      <c r="L400">
        <v>1191</v>
      </c>
      <c r="N400">
        <v>1013</v>
      </c>
      <c r="O400" t="s">
        <v>459</v>
      </c>
      <c r="P400" t="s">
        <v>459</v>
      </c>
      <c r="Q400">
        <v>1</v>
      </c>
      <c r="W400">
        <v>0</v>
      </c>
      <c r="X400">
        <v>-1417349443</v>
      </c>
      <c r="Y400">
        <v>0.8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0.8</v>
      </c>
      <c r="AU400" t="s">
        <v>6</v>
      </c>
      <c r="AV400">
        <v>2</v>
      </c>
      <c r="AW400">
        <v>2</v>
      </c>
      <c r="AX400">
        <v>27935910</v>
      </c>
      <c r="AY400">
        <v>1</v>
      </c>
      <c r="AZ400">
        <v>0</v>
      </c>
      <c r="BA400">
        <v>408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Y400*Source!I140</f>
        <v>1.6E-2</v>
      </c>
      <c r="CY400">
        <f>AD400</f>
        <v>0</v>
      </c>
      <c r="CZ400">
        <f>AH400</f>
        <v>0</v>
      </c>
      <c r="DA400">
        <f>AL400</f>
        <v>1</v>
      </c>
      <c r="DB400">
        <f t="shared" si="62"/>
        <v>0</v>
      </c>
      <c r="DC400">
        <f t="shared" si="63"/>
        <v>0</v>
      </c>
    </row>
    <row r="401" spans="1:107" x14ac:dyDescent="0.2">
      <c r="A401">
        <f>ROW(Source!A140)</f>
        <v>140</v>
      </c>
      <c r="B401">
        <v>27935367</v>
      </c>
      <c r="C401">
        <v>27935897</v>
      </c>
      <c r="D401">
        <v>25230514</v>
      </c>
      <c r="E401">
        <v>1</v>
      </c>
      <c r="F401">
        <v>1</v>
      </c>
      <c r="G401">
        <v>1</v>
      </c>
      <c r="H401">
        <v>2</v>
      </c>
      <c r="I401" t="s">
        <v>462</v>
      </c>
      <c r="J401" t="s">
        <v>463</v>
      </c>
      <c r="K401" t="s">
        <v>464</v>
      </c>
      <c r="L401">
        <v>1368</v>
      </c>
      <c r="N401">
        <v>1011</v>
      </c>
      <c r="O401" t="s">
        <v>465</v>
      </c>
      <c r="P401" t="s">
        <v>465</v>
      </c>
      <c r="Q401">
        <v>1</v>
      </c>
      <c r="W401">
        <v>0</v>
      </c>
      <c r="X401">
        <v>1188625873</v>
      </c>
      <c r="Y401">
        <v>0.4</v>
      </c>
      <c r="AA401">
        <v>0</v>
      </c>
      <c r="AB401">
        <v>31.26</v>
      </c>
      <c r="AC401">
        <v>13.5</v>
      </c>
      <c r="AD401">
        <v>0</v>
      </c>
      <c r="AE401">
        <v>0</v>
      </c>
      <c r="AF401">
        <v>31.26</v>
      </c>
      <c r="AG401">
        <v>13.5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0.4</v>
      </c>
      <c r="AU401" t="s">
        <v>6</v>
      </c>
      <c r="AV401">
        <v>0</v>
      </c>
      <c r="AW401">
        <v>2</v>
      </c>
      <c r="AX401">
        <v>27935911</v>
      </c>
      <c r="AY401">
        <v>1</v>
      </c>
      <c r="AZ401">
        <v>0</v>
      </c>
      <c r="BA401">
        <v>409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Y401*Source!I140</f>
        <v>8.0000000000000002E-3</v>
      </c>
      <c r="CY401">
        <f>AB401</f>
        <v>31.26</v>
      </c>
      <c r="CZ401">
        <f>AF401</f>
        <v>31.26</v>
      </c>
      <c r="DA401">
        <f>AJ401</f>
        <v>1</v>
      </c>
      <c r="DB401">
        <f t="shared" si="62"/>
        <v>12.5</v>
      </c>
      <c r="DC401">
        <f t="shared" si="63"/>
        <v>5.4</v>
      </c>
    </row>
    <row r="402" spans="1:107" x14ac:dyDescent="0.2">
      <c r="A402">
        <f>ROW(Source!A140)</f>
        <v>140</v>
      </c>
      <c r="B402">
        <v>27935367</v>
      </c>
      <c r="C402">
        <v>27935897</v>
      </c>
      <c r="D402">
        <v>25231607</v>
      </c>
      <c r="E402">
        <v>1</v>
      </c>
      <c r="F402">
        <v>1</v>
      </c>
      <c r="G402">
        <v>1</v>
      </c>
      <c r="H402">
        <v>2</v>
      </c>
      <c r="I402" t="s">
        <v>468</v>
      </c>
      <c r="J402" t="s">
        <v>469</v>
      </c>
      <c r="K402" t="s">
        <v>470</v>
      </c>
      <c r="L402">
        <v>1368</v>
      </c>
      <c r="N402">
        <v>1011</v>
      </c>
      <c r="O402" t="s">
        <v>465</v>
      </c>
      <c r="P402" t="s">
        <v>465</v>
      </c>
      <c r="Q402">
        <v>1</v>
      </c>
      <c r="W402">
        <v>0</v>
      </c>
      <c r="X402">
        <v>1372534845</v>
      </c>
      <c r="Y402">
        <v>0.4</v>
      </c>
      <c r="AA402">
        <v>0</v>
      </c>
      <c r="AB402">
        <v>65.709999999999994</v>
      </c>
      <c r="AC402">
        <v>11.6</v>
      </c>
      <c r="AD402">
        <v>0</v>
      </c>
      <c r="AE402">
        <v>0</v>
      </c>
      <c r="AF402">
        <v>65.709999999999994</v>
      </c>
      <c r="AG402">
        <v>11.6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0.4</v>
      </c>
      <c r="AU402" t="s">
        <v>6</v>
      </c>
      <c r="AV402">
        <v>0</v>
      </c>
      <c r="AW402">
        <v>2</v>
      </c>
      <c r="AX402">
        <v>27935912</v>
      </c>
      <c r="AY402">
        <v>1</v>
      </c>
      <c r="AZ402">
        <v>0</v>
      </c>
      <c r="BA402">
        <v>410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Y402*Source!I140</f>
        <v>8.0000000000000002E-3</v>
      </c>
      <c r="CY402">
        <f>AB402</f>
        <v>65.709999999999994</v>
      </c>
      <c r="CZ402">
        <f>AF402</f>
        <v>65.709999999999994</v>
      </c>
      <c r="DA402">
        <f>AJ402</f>
        <v>1</v>
      </c>
      <c r="DB402">
        <f t="shared" si="62"/>
        <v>26.28</v>
      </c>
      <c r="DC402">
        <f t="shared" si="63"/>
        <v>4.6399999999999997</v>
      </c>
    </row>
    <row r="403" spans="1:107" x14ac:dyDescent="0.2">
      <c r="A403">
        <f>ROW(Source!A140)</f>
        <v>140</v>
      </c>
      <c r="B403">
        <v>27935367</v>
      </c>
      <c r="C403">
        <v>27935897</v>
      </c>
      <c r="D403">
        <v>25150630</v>
      </c>
      <c r="E403">
        <v>1</v>
      </c>
      <c r="F403">
        <v>1</v>
      </c>
      <c r="G403">
        <v>1</v>
      </c>
      <c r="H403">
        <v>3</v>
      </c>
      <c r="I403" t="s">
        <v>683</v>
      </c>
      <c r="J403" t="s">
        <v>684</v>
      </c>
      <c r="K403" t="s">
        <v>685</v>
      </c>
      <c r="L403">
        <v>1348</v>
      </c>
      <c r="N403">
        <v>1009</v>
      </c>
      <c r="O403" t="s">
        <v>65</v>
      </c>
      <c r="P403" t="s">
        <v>65</v>
      </c>
      <c r="Q403">
        <v>1000</v>
      </c>
      <c r="W403">
        <v>0</v>
      </c>
      <c r="X403">
        <v>-1699345571</v>
      </c>
      <c r="Y403">
        <v>3.5000000000000001E-3</v>
      </c>
      <c r="AA403">
        <v>30030</v>
      </c>
      <c r="AB403">
        <v>0</v>
      </c>
      <c r="AC403">
        <v>0</v>
      </c>
      <c r="AD403">
        <v>0</v>
      </c>
      <c r="AE403">
        <v>30030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3.5000000000000001E-3</v>
      </c>
      <c r="AU403" t="s">
        <v>6</v>
      </c>
      <c r="AV403">
        <v>0</v>
      </c>
      <c r="AW403">
        <v>2</v>
      </c>
      <c r="AX403">
        <v>27935913</v>
      </c>
      <c r="AY403">
        <v>1</v>
      </c>
      <c r="AZ403">
        <v>0</v>
      </c>
      <c r="BA403">
        <v>411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Y403*Source!I140</f>
        <v>7.0000000000000007E-5</v>
      </c>
      <c r="CY403">
        <f t="shared" ref="CY403:CY409" si="64">AA403</f>
        <v>30030</v>
      </c>
      <c r="CZ403">
        <f t="shared" ref="CZ403:CZ409" si="65">AE403</f>
        <v>30030</v>
      </c>
      <c r="DA403">
        <f t="shared" ref="DA403:DA409" si="66">AI403</f>
        <v>1</v>
      </c>
      <c r="DB403">
        <f t="shared" si="62"/>
        <v>105.11</v>
      </c>
      <c r="DC403">
        <f t="shared" si="63"/>
        <v>0</v>
      </c>
    </row>
    <row r="404" spans="1:107" x14ac:dyDescent="0.2">
      <c r="A404">
        <f>ROW(Source!A140)</f>
        <v>140</v>
      </c>
      <c r="B404">
        <v>27935367</v>
      </c>
      <c r="C404">
        <v>27935897</v>
      </c>
      <c r="D404">
        <v>25153116</v>
      </c>
      <c r="E404">
        <v>1</v>
      </c>
      <c r="F404">
        <v>1</v>
      </c>
      <c r="G404">
        <v>1</v>
      </c>
      <c r="H404">
        <v>3</v>
      </c>
      <c r="I404" t="s">
        <v>686</v>
      </c>
      <c r="J404" t="s">
        <v>687</v>
      </c>
      <c r="K404" t="s">
        <v>688</v>
      </c>
      <c r="L404">
        <v>1348</v>
      </c>
      <c r="N404">
        <v>1009</v>
      </c>
      <c r="O404" t="s">
        <v>65</v>
      </c>
      <c r="P404" t="s">
        <v>65</v>
      </c>
      <c r="Q404">
        <v>1000</v>
      </c>
      <c r="W404">
        <v>0</v>
      </c>
      <c r="X404">
        <v>-683016384</v>
      </c>
      <c r="Y404">
        <v>7.1999999999999998E-3</v>
      </c>
      <c r="AA404">
        <v>12430</v>
      </c>
      <c r="AB404">
        <v>0</v>
      </c>
      <c r="AC404">
        <v>0</v>
      </c>
      <c r="AD404">
        <v>0</v>
      </c>
      <c r="AE404">
        <v>12430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7.1999999999999998E-3</v>
      </c>
      <c r="AU404" t="s">
        <v>6</v>
      </c>
      <c r="AV404">
        <v>0</v>
      </c>
      <c r="AW404">
        <v>2</v>
      </c>
      <c r="AX404">
        <v>27935914</v>
      </c>
      <c r="AY404">
        <v>1</v>
      </c>
      <c r="AZ404">
        <v>0</v>
      </c>
      <c r="BA404">
        <v>412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Y404*Source!I140</f>
        <v>1.44E-4</v>
      </c>
      <c r="CY404">
        <f t="shared" si="64"/>
        <v>12430</v>
      </c>
      <c r="CZ404">
        <f t="shared" si="65"/>
        <v>12430</v>
      </c>
      <c r="DA404">
        <f t="shared" si="66"/>
        <v>1</v>
      </c>
      <c r="DB404">
        <f t="shared" si="62"/>
        <v>89.5</v>
      </c>
      <c r="DC404">
        <f t="shared" si="63"/>
        <v>0</v>
      </c>
    </row>
    <row r="405" spans="1:107" x14ac:dyDescent="0.2">
      <c r="A405">
        <f>ROW(Source!A140)</f>
        <v>140</v>
      </c>
      <c r="B405">
        <v>27935367</v>
      </c>
      <c r="C405">
        <v>27935897</v>
      </c>
      <c r="D405">
        <v>25153476</v>
      </c>
      <c r="E405">
        <v>1</v>
      </c>
      <c r="F405">
        <v>1</v>
      </c>
      <c r="G405">
        <v>1</v>
      </c>
      <c r="H405">
        <v>3</v>
      </c>
      <c r="I405" t="s">
        <v>315</v>
      </c>
      <c r="J405" t="s">
        <v>317</v>
      </c>
      <c r="K405" t="s">
        <v>316</v>
      </c>
      <c r="L405">
        <v>1354</v>
      </c>
      <c r="N405">
        <v>1010</v>
      </c>
      <c r="O405" t="s">
        <v>282</v>
      </c>
      <c r="P405" t="s">
        <v>282</v>
      </c>
      <c r="Q405">
        <v>1</v>
      </c>
      <c r="W405">
        <v>0</v>
      </c>
      <c r="X405">
        <v>-1962446151</v>
      </c>
      <c r="Y405">
        <v>100</v>
      </c>
      <c r="AA405">
        <v>6.81</v>
      </c>
      <c r="AB405">
        <v>0</v>
      </c>
      <c r="AC405">
        <v>0</v>
      </c>
      <c r="AD405">
        <v>0</v>
      </c>
      <c r="AE405">
        <v>6.81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6</v>
      </c>
      <c r="AT405">
        <v>100</v>
      </c>
      <c r="AU405" t="s">
        <v>6</v>
      </c>
      <c r="AV405">
        <v>0</v>
      </c>
      <c r="AW405">
        <v>1</v>
      </c>
      <c r="AX405">
        <v>-1</v>
      </c>
      <c r="AY405">
        <v>0</v>
      </c>
      <c r="AZ405">
        <v>0</v>
      </c>
      <c r="BA405" t="s">
        <v>6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Y405*Source!I140</f>
        <v>2</v>
      </c>
      <c r="CY405">
        <f t="shared" si="64"/>
        <v>6.81</v>
      </c>
      <c r="CZ405">
        <f t="shared" si="65"/>
        <v>6.81</v>
      </c>
      <c r="DA405">
        <f t="shared" si="66"/>
        <v>1</v>
      </c>
      <c r="DB405">
        <f t="shared" si="62"/>
        <v>681</v>
      </c>
      <c r="DC405">
        <f t="shared" si="63"/>
        <v>0</v>
      </c>
    </row>
    <row r="406" spans="1:107" x14ac:dyDescent="0.2">
      <c r="A406">
        <f>ROW(Source!A140)</f>
        <v>140</v>
      </c>
      <c r="B406">
        <v>27935367</v>
      </c>
      <c r="C406">
        <v>27935897</v>
      </c>
      <c r="D406">
        <v>25154789</v>
      </c>
      <c r="E406">
        <v>1</v>
      </c>
      <c r="F406">
        <v>1</v>
      </c>
      <c r="G406">
        <v>1</v>
      </c>
      <c r="H406">
        <v>3</v>
      </c>
      <c r="I406" t="s">
        <v>689</v>
      </c>
      <c r="J406" t="s">
        <v>690</v>
      </c>
      <c r="K406" t="s">
        <v>691</v>
      </c>
      <c r="L406">
        <v>1348</v>
      </c>
      <c r="N406">
        <v>1009</v>
      </c>
      <c r="O406" t="s">
        <v>65</v>
      </c>
      <c r="P406" t="s">
        <v>65</v>
      </c>
      <c r="Q406">
        <v>1000</v>
      </c>
      <c r="W406">
        <v>0</v>
      </c>
      <c r="X406">
        <v>2022036969</v>
      </c>
      <c r="Y406">
        <v>0.02</v>
      </c>
      <c r="AA406">
        <v>2165.8000000000002</v>
      </c>
      <c r="AB406">
        <v>0</v>
      </c>
      <c r="AC406">
        <v>0</v>
      </c>
      <c r="AD406">
        <v>0</v>
      </c>
      <c r="AE406">
        <v>2165.8000000000002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0.02</v>
      </c>
      <c r="AU406" t="s">
        <v>6</v>
      </c>
      <c r="AV406">
        <v>0</v>
      </c>
      <c r="AW406">
        <v>2</v>
      </c>
      <c r="AX406">
        <v>27935915</v>
      </c>
      <c r="AY406">
        <v>1</v>
      </c>
      <c r="AZ406">
        <v>0</v>
      </c>
      <c r="BA406">
        <v>413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Y406*Source!I140</f>
        <v>4.0000000000000002E-4</v>
      </c>
      <c r="CY406">
        <f t="shared" si="64"/>
        <v>2165.8000000000002</v>
      </c>
      <c r="CZ406">
        <f t="shared" si="65"/>
        <v>2165.8000000000002</v>
      </c>
      <c r="DA406">
        <f t="shared" si="66"/>
        <v>1</v>
      </c>
      <c r="DB406">
        <f t="shared" si="62"/>
        <v>43.32</v>
      </c>
      <c r="DC406">
        <f t="shared" si="63"/>
        <v>0</v>
      </c>
    </row>
    <row r="407" spans="1:107" x14ac:dyDescent="0.2">
      <c r="A407">
        <f>ROW(Source!A140)</f>
        <v>140</v>
      </c>
      <c r="B407">
        <v>27935367</v>
      </c>
      <c r="C407">
        <v>27935897</v>
      </c>
      <c r="D407">
        <v>25194311</v>
      </c>
      <c r="E407">
        <v>1</v>
      </c>
      <c r="F407">
        <v>1</v>
      </c>
      <c r="G407">
        <v>1</v>
      </c>
      <c r="H407">
        <v>3</v>
      </c>
      <c r="I407" t="s">
        <v>307</v>
      </c>
      <c r="J407" t="s">
        <v>309</v>
      </c>
      <c r="K407" t="s">
        <v>308</v>
      </c>
      <c r="L407">
        <v>1035</v>
      </c>
      <c r="N407">
        <v>1013</v>
      </c>
      <c r="O407" t="s">
        <v>231</v>
      </c>
      <c r="P407" t="s">
        <v>231</v>
      </c>
      <c r="Q407">
        <v>1</v>
      </c>
      <c r="W407">
        <v>0</v>
      </c>
      <c r="X407">
        <v>-1177463349</v>
      </c>
      <c r="Y407">
        <v>100</v>
      </c>
      <c r="AA407">
        <v>405.49</v>
      </c>
      <c r="AB407">
        <v>0</v>
      </c>
      <c r="AC407">
        <v>0</v>
      </c>
      <c r="AD407">
        <v>0</v>
      </c>
      <c r="AE407">
        <v>405.49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6</v>
      </c>
      <c r="AT407">
        <v>100</v>
      </c>
      <c r="AU407" t="s">
        <v>6</v>
      </c>
      <c r="AV407">
        <v>0</v>
      </c>
      <c r="AW407">
        <v>1</v>
      </c>
      <c r="AX407">
        <v>-1</v>
      </c>
      <c r="AY407">
        <v>0</v>
      </c>
      <c r="AZ407">
        <v>0</v>
      </c>
      <c r="BA407" t="s">
        <v>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Y407*Source!I140</f>
        <v>2</v>
      </c>
      <c r="CY407">
        <f t="shared" si="64"/>
        <v>405.49</v>
      </c>
      <c r="CZ407">
        <f t="shared" si="65"/>
        <v>405.49</v>
      </c>
      <c r="DA407">
        <f t="shared" si="66"/>
        <v>1</v>
      </c>
      <c r="DB407">
        <f t="shared" si="62"/>
        <v>40549</v>
      </c>
      <c r="DC407">
        <f t="shared" si="63"/>
        <v>0</v>
      </c>
    </row>
    <row r="408" spans="1:107" x14ac:dyDescent="0.2">
      <c r="A408">
        <f>ROW(Source!A140)</f>
        <v>140</v>
      </c>
      <c r="B408">
        <v>27935367</v>
      </c>
      <c r="C408">
        <v>27935897</v>
      </c>
      <c r="D408">
        <v>25194532</v>
      </c>
      <c r="E408">
        <v>1</v>
      </c>
      <c r="F408">
        <v>1</v>
      </c>
      <c r="G408">
        <v>1</v>
      </c>
      <c r="H408">
        <v>3</v>
      </c>
      <c r="I408" t="s">
        <v>311</v>
      </c>
      <c r="J408" t="s">
        <v>313</v>
      </c>
      <c r="K408" t="s">
        <v>312</v>
      </c>
      <c r="L408">
        <v>1035</v>
      </c>
      <c r="N408">
        <v>1013</v>
      </c>
      <c r="O408" t="s">
        <v>231</v>
      </c>
      <c r="P408" t="s">
        <v>231</v>
      </c>
      <c r="Q408">
        <v>1</v>
      </c>
      <c r="W408">
        <v>0</v>
      </c>
      <c r="X408">
        <v>995820444</v>
      </c>
      <c r="Y408">
        <v>100</v>
      </c>
      <c r="AA408">
        <v>198.3</v>
      </c>
      <c r="AB408">
        <v>0</v>
      </c>
      <c r="AC408">
        <v>0</v>
      </c>
      <c r="AD408">
        <v>0</v>
      </c>
      <c r="AE408">
        <v>198.3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6</v>
      </c>
      <c r="AT408">
        <v>100</v>
      </c>
      <c r="AU408" t="s">
        <v>6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Y408*Source!I140</f>
        <v>2</v>
      </c>
      <c r="CY408">
        <f t="shared" si="64"/>
        <v>198.3</v>
      </c>
      <c r="CZ408">
        <f t="shared" si="65"/>
        <v>198.3</v>
      </c>
      <c r="DA408">
        <f t="shared" si="66"/>
        <v>1</v>
      </c>
      <c r="DB408">
        <f t="shared" si="62"/>
        <v>19830</v>
      </c>
      <c r="DC408">
        <f t="shared" si="63"/>
        <v>0</v>
      </c>
    </row>
    <row r="409" spans="1:107" x14ac:dyDescent="0.2">
      <c r="A409">
        <f>ROW(Source!A140)</f>
        <v>140</v>
      </c>
      <c r="B409">
        <v>27935367</v>
      </c>
      <c r="C409">
        <v>27935897</v>
      </c>
      <c r="D409">
        <v>25217108</v>
      </c>
      <c r="E409">
        <v>1</v>
      </c>
      <c r="F409">
        <v>1</v>
      </c>
      <c r="G409">
        <v>1</v>
      </c>
      <c r="H409">
        <v>3</v>
      </c>
      <c r="I409" t="s">
        <v>692</v>
      </c>
      <c r="J409" t="s">
        <v>693</v>
      </c>
      <c r="K409" t="s">
        <v>694</v>
      </c>
      <c r="L409">
        <v>1355</v>
      </c>
      <c r="N409">
        <v>1010</v>
      </c>
      <c r="O409" t="s">
        <v>487</v>
      </c>
      <c r="P409" t="s">
        <v>487</v>
      </c>
      <c r="Q409">
        <v>100</v>
      </c>
      <c r="W409">
        <v>0</v>
      </c>
      <c r="X409">
        <v>-1210322684</v>
      </c>
      <c r="Y409">
        <v>4</v>
      </c>
      <c r="AA409">
        <v>93</v>
      </c>
      <c r="AB409">
        <v>0</v>
      </c>
      <c r="AC409">
        <v>0</v>
      </c>
      <c r="AD409">
        <v>0</v>
      </c>
      <c r="AE409">
        <v>93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4</v>
      </c>
      <c r="AU409" t="s">
        <v>6</v>
      </c>
      <c r="AV409">
        <v>0</v>
      </c>
      <c r="AW409">
        <v>2</v>
      </c>
      <c r="AX409">
        <v>27935917</v>
      </c>
      <c r="AY409">
        <v>1</v>
      </c>
      <c r="AZ409">
        <v>0</v>
      </c>
      <c r="BA409">
        <v>415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Y409*Source!I140</f>
        <v>0.08</v>
      </c>
      <c r="CY409">
        <f t="shared" si="64"/>
        <v>93</v>
      </c>
      <c r="CZ409">
        <f t="shared" si="65"/>
        <v>93</v>
      </c>
      <c r="DA409">
        <f t="shared" si="66"/>
        <v>1</v>
      </c>
      <c r="DB409">
        <f t="shared" si="62"/>
        <v>372</v>
      </c>
      <c r="DC409">
        <f t="shared" si="63"/>
        <v>0</v>
      </c>
    </row>
    <row r="410" spans="1:107" x14ac:dyDescent="0.2">
      <c r="A410">
        <f>ROW(Source!A141)</f>
        <v>141</v>
      </c>
      <c r="B410">
        <v>27935368</v>
      </c>
      <c r="C410">
        <v>27935897</v>
      </c>
      <c r="D410">
        <v>25412980</v>
      </c>
      <c r="E410">
        <v>1</v>
      </c>
      <c r="F410">
        <v>1</v>
      </c>
      <c r="G410">
        <v>1</v>
      </c>
      <c r="H410">
        <v>1</v>
      </c>
      <c r="I410" t="s">
        <v>549</v>
      </c>
      <c r="J410" t="s">
        <v>6</v>
      </c>
      <c r="K410" t="s">
        <v>550</v>
      </c>
      <c r="L410">
        <v>1191</v>
      </c>
      <c r="N410">
        <v>1013</v>
      </c>
      <c r="O410" t="s">
        <v>459</v>
      </c>
      <c r="P410" t="s">
        <v>459</v>
      </c>
      <c r="Q410">
        <v>1</v>
      </c>
      <c r="W410">
        <v>0</v>
      </c>
      <c r="X410">
        <v>145020957</v>
      </c>
      <c r="Y410">
        <v>354.7</v>
      </c>
      <c r="AA410">
        <v>0</v>
      </c>
      <c r="AB410">
        <v>0</v>
      </c>
      <c r="AC410">
        <v>0</v>
      </c>
      <c r="AD410">
        <v>55.42</v>
      </c>
      <c r="AE410">
        <v>0</v>
      </c>
      <c r="AF410">
        <v>0</v>
      </c>
      <c r="AG410">
        <v>0</v>
      </c>
      <c r="AH410">
        <v>9.07</v>
      </c>
      <c r="AI410">
        <v>1</v>
      </c>
      <c r="AJ410">
        <v>1</v>
      </c>
      <c r="AK410">
        <v>1</v>
      </c>
      <c r="AL410">
        <v>6.11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354.7</v>
      </c>
      <c r="AU410" t="s">
        <v>6</v>
      </c>
      <c r="AV410">
        <v>1</v>
      </c>
      <c r="AW410">
        <v>2</v>
      </c>
      <c r="AX410">
        <v>27935909</v>
      </c>
      <c r="AY410">
        <v>1</v>
      </c>
      <c r="AZ410">
        <v>0</v>
      </c>
      <c r="BA410">
        <v>416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Y410*Source!I141</f>
        <v>7.0940000000000003</v>
      </c>
      <c r="CY410">
        <f>AD410</f>
        <v>55.42</v>
      </c>
      <c r="CZ410">
        <f>AH410</f>
        <v>9.07</v>
      </c>
      <c r="DA410">
        <f>AL410</f>
        <v>6.11</v>
      </c>
      <c r="DB410">
        <f t="shared" si="62"/>
        <v>3217.13</v>
      </c>
      <c r="DC410">
        <f t="shared" si="63"/>
        <v>0</v>
      </c>
    </row>
    <row r="411" spans="1:107" x14ac:dyDescent="0.2">
      <c r="A411">
        <f>ROW(Source!A141)</f>
        <v>141</v>
      </c>
      <c r="B411">
        <v>27935368</v>
      </c>
      <c r="C411">
        <v>27935897</v>
      </c>
      <c r="D411">
        <v>25412928</v>
      </c>
      <c r="E411">
        <v>1</v>
      </c>
      <c r="F411">
        <v>1</v>
      </c>
      <c r="G411">
        <v>1</v>
      </c>
      <c r="H411">
        <v>1</v>
      </c>
      <c r="I411" t="s">
        <v>460</v>
      </c>
      <c r="J411" t="s">
        <v>6</v>
      </c>
      <c r="K411" t="s">
        <v>461</v>
      </c>
      <c r="L411">
        <v>1191</v>
      </c>
      <c r="N411">
        <v>1013</v>
      </c>
      <c r="O411" t="s">
        <v>459</v>
      </c>
      <c r="P411" t="s">
        <v>459</v>
      </c>
      <c r="Q411">
        <v>1</v>
      </c>
      <c r="W411">
        <v>0</v>
      </c>
      <c r="X411">
        <v>-1417349443</v>
      </c>
      <c r="Y411">
        <v>0.8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6.11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0.8</v>
      </c>
      <c r="AU411" t="s">
        <v>6</v>
      </c>
      <c r="AV411">
        <v>2</v>
      </c>
      <c r="AW411">
        <v>2</v>
      </c>
      <c r="AX411">
        <v>27935910</v>
      </c>
      <c r="AY411">
        <v>1</v>
      </c>
      <c r="AZ411">
        <v>0</v>
      </c>
      <c r="BA411">
        <v>417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Y411*Source!I141</f>
        <v>1.6E-2</v>
      </c>
      <c r="CY411">
        <f>AD411</f>
        <v>0</v>
      </c>
      <c r="CZ411">
        <f>AH411</f>
        <v>0</v>
      </c>
      <c r="DA411">
        <f>AL411</f>
        <v>1</v>
      </c>
      <c r="DB411">
        <f t="shared" si="62"/>
        <v>0</v>
      </c>
      <c r="DC411">
        <f t="shared" si="63"/>
        <v>0</v>
      </c>
    </row>
    <row r="412" spans="1:107" x14ac:dyDescent="0.2">
      <c r="A412">
        <f>ROW(Source!A141)</f>
        <v>141</v>
      </c>
      <c r="B412">
        <v>27935368</v>
      </c>
      <c r="C412">
        <v>27935897</v>
      </c>
      <c r="D412">
        <v>25230514</v>
      </c>
      <c r="E412">
        <v>1</v>
      </c>
      <c r="F412">
        <v>1</v>
      </c>
      <c r="G412">
        <v>1</v>
      </c>
      <c r="H412">
        <v>2</v>
      </c>
      <c r="I412" t="s">
        <v>462</v>
      </c>
      <c r="J412" t="s">
        <v>463</v>
      </c>
      <c r="K412" t="s">
        <v>464</v>
      </c>
      <c r="L412">
        <v>1368</v>
      </c>
      <c r="N412">
        <v>1011</v>
      </c>
      <c r="O412" t="s">
        <v>465</v>
      </c>
      <c r="P412" t="s">
        <v>465</v>
      </c>
      <c r="Q412">
        <v>1</v>
      </c>
      <c r="W412">
        <v>0</v>
      </c>
      <c r="X412">
        <v>1188625873</v>
      </c>
      <c r="Y412">
        <v>0.4</v>
      </c>
      <c r="AA412">
        <v>0</v>
      </c>
      <c r="AB412">
        <v>191</v>
      </c>
      <c r="AC412">
        <v>13.5</v>
      </c>
      <c r="AD412">
        <v>0</v>
      </c>
      <c r="AE412">
        <v>0</v>
      </c>
      <c r="AF412">
        <v>31.26</v>
      </c>
      <c r="AG412">
        <v>13.5</v>
      </c>
      <c r="AH412">
        <v>0</v>
      </c>
      <c r="AI412">
        <v>1</v>
      </c>
      <c r="AJ412">
        <v>6.11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0.4</v>
      </c>
      <c r="AU412" t="s">
        <v>6</v>
      </c>
      <c r="AV412">
        <v>0</v>
      </c>
      <c r="AW412">
        <v>2</v>
      </c>
      <c r="AX412">
        <v>27935911</v>
      </c>
      <c r="AY412">
        <v>1</v>
      </c>
      <c r="AZ412">
        <v>0</v>
      </c>
      <c r="BA412">
        <v>418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Y412*Source!I141</f>
        <v>8.0000000000000002E-3</v>
      </c>
      <c r="CY412">
        <f>AB412</f>
        <v>191</v>
      </c>
      <c r="CZ412">
        <f>AF412</f>
        <v>31.26</v>
      </c>
      <c r="DA412">
        <f>AJ412</f>
        <v>6.11</v>
      </c>
      <c r="DB412">
        <f t="shared" si="62"/>
        <v>12.5</v>
      </c>
      <c r="DC412">
        <f t="shared" si="63"/>
        <v>5.4</v>
      </c>
    </row>
    <row r="413" spans="1:107" x14ac:dyDescent="0.2">
      <c r="A413">
        <f>ROW(Source!A141)</f>
        <v>141</v>
      </c>
      <c r="B413">
        <v>27935368</v>
      </c>
      <c r="C413">
        <v>27935897</v>
      </c>
      <c r="D413">
        <v>25231607</v>
      </c>
      <c r="E413">
        <v>1</v>
      </c>
      <c r="F413">
        <v>1</v>
      </c>
      <c r="G413">
        <v>1</v>
      </c>
      <c r="H413">
        <v>2</v>
      </c>
      <c r="I413" t="s">
        <v>468</v>
      </c>
      <c r="J413" t="s">
        <v>469</v>
      </c>
      <c r="K413" t="s">
        <v>470</v>
      </c>
      <c r="L413">
        <v>1368</v>
      </c>
      <c r="N413">
        <v>1011</v>
      </c>
      <c r="O413" t="s">
        <v>465</v>
      </c>
      <c r="P413" t="s">
        <v>465</v>
      </c>
      <c r="Q413">
        <v>1</v>
      </c>
      <c r="W413">
        <v>0</v>
      </c>
      <c r="X413">
        <v>1372534845</v>
      </c>
      <c r="Y413">
        <v>0.4</v>
      </c>
      <c r="AA413">
        <v>0</v>
      </c>
      <c r="AB413">
        <v>401.49</v>
      </c>
      <c r="AC413">
        <v>11.6</v>
      </c>
      <c r="AD413">
        <v>0</v>
      </c>
      <c r="AE413">
        <v>0</v>
      </c>
      <c r="AF413">
        <v>65.709999999999994</v>
      </c>
      <c r="AG413">
        <v>11.6</v>
      </c>
      <c r="AH413">
        <v>0</v>
      </c>
      <c r="AI413">
        <v>1</v>
      </c>
      <c r="AJ413">
        <v>6.11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0.4</v>
      </c>
      <c r="AU413" t="s">
        <v>6</v>
      </c>
      <c r="AV413">
        <v>0</v>
      </c>
      <c r="AW413">
        <v>2</v>
      </c>
      <c r="AX413">
        <v>27935912</v>
      </c>
      <c r="AY413">
        <v>1</v>
      </c>
      <c r="AZ413">
        <v>0</v>
      </c>
      <c r="BA413">
        <v>419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Y413*Source!I141</f>
        <v>8.0000000000000002E-3</v>
      </c>
      <c r="CY413">
        <f>AB413</f>
        <v>401.49</v>
      </c>
      <c r="CZ413">
        <f>AF413</f>
        <v>65.709999999999994</v>
      </c>
      <c r="DA413">
        <f>AJ413</f>
        <v>6.11</v>
      </c>
      <c r="DB413">
        <f t="shared" si="62"/>
        <v>26.28</v>
      </c>
      <c r="DC413">
        <f t="shared" si="63"/>
        <v>4.6399999999999997</v>
      </c>
    </row>
    <row r="414" spans="1:107" x14ac:dyDescent="0.2">
      <c r="A414">
        <f>ROW(Source!A141)</f>
        <v>141</v>
      </c>
      <c r="B414">
        <v>27935368</v>
      </c>
      <c r="C414">
        <v>27935897</v>
      </c>
      <c r="D414">
        <v>25150630</v>
      </c>
      <c r="E414">
        <v>1</v>
      </c>
      <c r="F414">
        <v>1</v>
      </c>
      <c r="G414">
        <v>1</v>
      </c>
      <c r="H414">
        <v>3</v>
      </c>
      <c r="I414" t="s">
        <v>683</v>
      </c>
      <c r="J414" t="s">
        <v>684</v>
      </c>
      <c r="K414" t="s">
        <v>685</v>
      </c>
      <c r="L414">
        <v>1348</v>
      </c>
      <c r="N414">
        <v>1009</v>
      </c>
      <c r="O414" t="s">
        <v>65</v>
      </c>
      <c r="P414" t="s">
        <v>65</v>
      </c>
      <c r="Q414">
        <v>1000</v>
      </c>
      <c r="W414">
        <v>0</v>
      </c>
      <c r="X414">
        <v>-1699345571</v>
      </c>
      <c r="Y414">
        <v>3.5000000000000001E-3</v>
      </c>
      <c r="AA414">
        <v>183483.3</v>
      </c>
      <c r="AB414">
        <v>0</v>
      </c>
      <c r="AC414">
        <v>0</v>
      </c>
      <c r="AD414">
        <v>0</v>
      </c>
      <c r="AE414">
        <v>30030</v>
      </c>
      <c r="AF414">
        <v>0</v>
      </c>
      <c r="AG414">
        <v>0</v>
      </c>
      <c r="AH414">
        <v>0</v>
      </c>
      <c r="AI414">
        <v>6.11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3.5000000000000001E-3</v>
      </c>
      <c r="AU414" t="s">
        <v>6</v>
      </c>
      <c r="AV414">
        <v>0</v>
      </c>
      <c r="AW414">
        <v>2</v>
      </c>
      <c r="AX414">
        <v>27935913</v>
      </c>
      <c r="AY414">
        <v>1</v>
      </c>
      <c r="AZ414">
        <v>0</v>
      </c>
      <c r="BA414">
        <v>420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Y414*Source!I141</f>
        <v>7.0000000000000007E-5</v>
      </c>
      <c r="CY414">
        <f t="shared" ref="CY414:CY420" si="67">AA414</f>
        <v>183483.3</v>
      </c>
      <c r="CZ414">
        <f t="shared" ref="CZ414:CZ420" si="68">AE414</f>
        <v>30030</v>
      </c>
      <c r="DA414">
        <f t="shared" ref="DA414:DA420" si="69">AI414</f>
        <v>6.11</v>
      </c>
      <c r="DB414">
        <f t="shared" si="62"/>
        <v>105.11</v>
      </c>
      <c r="DC414">
        <f t="shared" si="63"/>
        <v>0</v>
      </c>
    </row>
    <row r="415" spans="1:107" x14ac:dyDescent="0.2">
      <c r="A415">
        <f>ROW(Source!A141)</f>
        <v>141</v>
      </c>
      <c r="B415">
        <v>27935368</v>
      </c>
      <c r="C415">
        <v>27935897</v>
      </c>
      <c r="D415">
        <v>25153116</v>
      </c>
      <c r="E415">
        <v>1</v>
      </c>
      <c r="F415">
        <v>1</v>
      </c>
      <c r="G415">
        <v>1</v>
      </c>
      <c r="H415">
        <v>3</v>
      </c>
      <c r="I415" t="s">
        <v>686</v>
      </c>
      <c r="J415" t="s">
        <v>687</v>
      </c>
      <c r="K415" t="s">
        <v>688</v>
      </c>
      <c r="L415">
        <v>1348</v>
      </c>
      <c r="N415">
        <v>1009</v>
      </c>
      <c r="O415" t="s">
        <v>65</v>
      </c>
      <c r="P415" t="s">
        <v>65</v>
      </c>
      <c r="Q415">
        <v>1000</v>
      </c>
      <c r="W415">
        <v>0</v>
      </c>
      <c r="X415">
        <v>-683016384</v>
      </c>
      <c r="Y415">
        <v>7.1999999999999998E-3</v>
      </c>
      <c r="AA415">
        <v>75947.3</v>
      </c>
      <c r="AB415">
        <v>0</v>
      </c>
      <c r="AC415">
        <v>0</v>
      </c>
      <c r="AD415">
        <v>0</v>
      </c>
      <c r="AE415">
        <v>12430</v>
      </c>
      <c r="AF415">
        <v>0</v>
      </c>
      <c r="AG415">
        <v>0</v>
      </c>
      <c r="AH415">
        <v>0</v>
      </c>
      <c r="AI415">
        <v>6.11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7.1999999999999998E-3</v>
      </c>
      <c r="AU415" t="s">
        <v>6</v>
      </c>
      <c r="AV415">
        <v>0</v>
      </c>
      <c r="AW415">
        <v>2</v>
      </c>
      <c r="AX415">
        <v>27935914</v>
      </c>
      <c r="AY415">
        <v>1</v>
      </c>
      <c r="AZ415">
        <v>0</v>
      </c>
      <c r="BA415">
        <v>421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Y415*Source!I141</f>
        <v>1.44E-4</v>
      </c>
      <c r="CY415">
        <f t="shared" si="67"/>
        <v>75947.3</v>
      </c>
      <c r="CZ415">
        <f t="shared" si="68"/>
        <v>12430</v>
      </c>
      <c r="DA415">
        <f t="shared" si="69"/>
        <v>6.11</v>
      </c>
      <c r="DB415">
        <f t="shared" si="62"/>
        <v>89.5</v>
      </c>
      <c r="DC415">
        <f t="shared" si="63"/>
        <v>0</v>
      </c>
    </row>
    <row r="416" spans="1:107" x14ac:dyDescent="0.2">
      <c r="A416">
        <f>ROW(Source!A141)</f>
        <v>141</v>
      </c>
      <c r="B416">
        <v>27935368</v>
      </c>
      <c r="C416">
        <v>27935897</v>
      </c>
      <c r="D416">
        <v>25153476</v>
      </c>
      <c r="E416">
        <v>1</v>
      </c>
      <c r="F416">
        <v>1</v>
      </c>
      <c r="G416">
        <v>1</v>
      </c>
      <c r="H416">
        <v>3</v>
      </c>
      <c r="I416" t="s">
        <v>315</v>
      </c>
      <c r="J416" t="s">
        <v>317</v>
      </c>
      <c r="K416" t="s">
        <v>316</v>
      </c>
      <c r="L416">
        <v>1354</v>
      </c>
      <c r="N416">
        <v>1010</v>
      </c>
      <c r="O416" t="s">
        <v>282</v>
      </c>
      <c r="P416" t="s">
        <v>282</v>
      </c>
      <c r="Q416">
        <v>1</v>
      </c>
      <c r="W416">
        <v>0</v>
      </c>
      <c r="X416">
        <v>-1962446151</v>
      </c>
      <c r="Y416">
        <v>100</v>
      </c>
      <c r="AA416">
        <v>41.61</v>
      </c>
      <c r="AB416">
        <v>0</v>
      </c>
      <c r="AC416">
        <v>0</v>
      </c>
      <c r="AD416">
        <v>0</v>
      </c>
      <c r="AE416">
        <v>6.81</v>
      </c>
      <c r="AF416">
        <v>0</v>
      </c>
      <c r="AG416">
        <v>0</v>
      </c>
      <c r="AH416">
        <v>0</v>
      </c>
      <c r="AI416">
        <v>6.11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100</v>
      </c>
      <c r="AU416" t="s">
        <v>6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Y416*Source!I141</f>
        <v>2</v>
      </c>
      <c r="CY416">
        <f t="shared" si="67"/>
        <v>41.61</v>
      </c>
      <c r="CZ416">
        <f t="shared" si="68"/>
        <v>6.81</v>
      </c>
      <c r="DA416">
        <f t="shared" si="69"/>
        <v>6.11</v>
      </c>
      <c r="DB416">
        <f t="shared" si="62"/>
        <v>681</v>
      </c>
      <c r="DC416">
        <f t="shared" si="63"/>
        <v>0</v>
      </c>
    </row>
    <row r="417" spans="1:107" x14ac:dyDescent="0.2">
      <c r="A417">
        <f>ROW(Source!A141)</f>
        <v>141</v>
      </c>
      <c r="B417">
        <v>27935368</v>
      </c>
      <c r="C417">
        <v>27935897</v>
      </c>
      <c r="D417">
        <v>25154789</v>
      </c>
      <c r="E417">
        <v>1</v>
      </c>
      <c r="F417">
        <v>1</v>
      </c>
      <c r="G417">
        <v>1</v>
      </c>
      <c r="H417">
        <v>3</v>
      </c>
      <c r="I417" t="s">
        <v>689</v>
      </c>
      <c r="J417" t="s">
        <v>690</v>
      </c>
      <c r="K417" t="s">
        <v>691</v>
      </c>
      <c r="L417">
        <v>1348</v>
      </c>
      <c r="N417">
        <v>1009</v>
      </c>
      <c r="O417" t="s">
        <v>65</v>
      </c>
      <c r="P417" t="s">
        <v>65</v>
      </c>
      <c r="Q417">
        <v>1000</v>
      </c>
      <c r="W417">
        <v>0</v>
      </c>
      <c r="X417">
        <v>2022036969</v>
      </c>
      <c r="Y417">
        <v>0.02</v>
      </c>
      <c r="AA417">
        <v>13233.04</v>
      </c>
      <c r="AB417">
        <v>0</v>
      </c>
      <c r="AC417">
        <v>0</v>
      </c>
      <c r="AD417">
        <v>0</v>
      </c>
      <c r="AE417">
        <v>2165.8000000000002</v>
      </c>
      <c r="AF417">
        <v>0</v>
      </c>
      <c r="AG417">
        <v>0</v>
      </c>
      <c r="AH417">
        <v>0</v>
      </c>
      <c r="AI417">
        <v>6.11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0.02</v>
      </c>
      <c r="AU417" t="s">
        <v>6</v>
      </c>
      <c r="AV417">
        <v>0</v>
      </c>
      <c r="AW417">
        <v>2</v>
      </c>
      <c r="AX417">
        <v>27935915</v>
      </c>
      <c r="AY417">
        <v>1</v>
      </c>
      <c r="AZ417">
        <v>0</v>
      </c>
      <c r="BA417">
        <v>422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Y417*Source!I141</f>
        <v>4.0000000000000002E-4</v>
      </c>
      <c r="CY417">
        <f t="shared" si="67"/>
        <v>13233.04</v>
      </c>
      <c r="CZ417">
        <f t="shared" si="68"/>
        <v>2165.8000000000002</v>
      </c>
      <c r="DA417">
        <f t="shared" si="69"/>
        <v>6.11</v>
      </c>
      <c r="DB417">
        <f t="shared" si="62"/>
        <v>43.32</v>
      </c>
      <c r="DC417">
        <f t="shared" si="63"/>
        <v>0</v>
      </c>
    </row>
    <row r="418" spans="1:107" x14ac:dyDescent="0.2">
      <c r="A418">
        <f>ROW(Source!A141)</f>
        <v>141</v>
      </c>
      <c r="B418">
        <v>27935368</v>
      </c>
      <c r="C418">
        <v>27935897</v>
      </c>
      <c r="D418">
        <v>25194311</v>
      </c>
      <c r="E418">
        <v>1</v>
      </c>
      <c r="F418">
        <v>1</v>
      </c>
      <c r="G418">
        <v>1</v>
      </c>
      <c r="H418">
        <v>3</v>
      </c>
      <c r="I418" t="s">
        <v>307</v>
      </c>
      <c r="J418" t="s">
        <v>309</v>
      </c>
      <c r="K418" t="s">
        <v>308</v>
      </c>
      <c r="L418">
        <v>1035</v>
      </c>
      <c r="N418">
        <v>1013</v>
      </c>
      <c r="O418" t="s">
        <v>231</v>
      </c>
      <c r="P418" t="s">
        <v>231</v>
      </c>
      <c r="Q418">
        <v>1</v>
      </c>
      <c r="W418">
        <v>0</v>
      </c>
      <c r="X418">
        <v>-1177463349</v>
      </c>
      <c r="Y418">
        <v>100</v>
      </c>
      <c r="AA418">
        <v>2477.54</v>
      </c>
      <c r="AB418">
        <v>0</v>
      </c>
      <c r="AC418">
        <v>0</v>
      </c>
      <c r="AD418">
        <v>0</v>
      </c>
      <c r="AE418">
        <v>405.49</v>
      </c>
      <c r="AF418">
        <v>0</v>
      </c>
      <c r="AG418">
        <v>0</v>
      </c>
      <c r="AH418">
        <v>0</v>
      </c>
      <c r="AI418">
        <v>6.11</v>
      </c>
      <c r="AJ418">
        <v>1</v>
      </c>
      <c r="AK418">
        <v>1</v>
      </c>
      <c r="AL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6</v>
      </c>
      <c r="AT418">
        <v>100</v>
      </c>
      <c r="AU418" t="s">
        <v>6</v>
      </c>
      <c r="AV418">
        <v>0</v>
      </c>
      <c r="AW418">
        <v>1</v>
      </c>
      <c r="AX418">
        <v>-1</v>
      </c>
      <c r="AY418">
        <v>0</v>
      </c>
      <c r="AZ418">
        <v>0</v>
      </c>
      <c r="BA418" t="s">
        <v>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Y418*Source!I141</f>
        <v>2</v>
      </c>
      <c r="CY418">
        <f t="shared" si="67"/>
        <v>2477.54</v>
      </c>
      <c r="CZ418">
        <f t="shared" si="68"/>
        <v>405.49</v>
      </c>
      <c r="DA418">
        <f t="shared" si="69"/>
        <v>6.11</v>
      </c>
      <c r="DB418">
        <f t="shared" si="62"/>
        <v>40549</v>
      </c>
      <c r="DC418">
        <f t="shared" si="63"/>
        <v>0</v>
      </c>
    </row>
    <row r="419" spans="1:107" x14ac:dyDescent="0.2">
      <c r="A419">
        <f>ROW(Source!A141)</f>
        <v>141</v>
      </c>
      <c r="B419">
        <v>27935368</v>
      </c>
      <c r="C419">
        <v>27935897</v>
      </c>
      <c r="D419">
        <v>25194532</v>
      </c>
      <c r="E419">
        <v>1</v>
      </c>
      <c r="F419">
        <v>1</v>
      </c>
      <c r="G419">
        <v>1</v>
      </c>
      <c r="H419">
        <v>3</v>
      </c>
      <c r="I419" t="s">
        <v>311</v>
      </c>
      <c r="J419" t="s">
        <v>313</v>
      </c>
      <c r="K419" t="s">
        <v>312</v>
      </c>
      <c r="L419">
        <v>1035</v>
      </c>
      <c r="N419">
        <v>1013</v>
      </c>
      <c r="O419" t="s">
        <v>231</v>
      </c>
      <c r="P419" t="s">
        <v>231</v>
      </c>
      <c r="Q419">
        <v>1</v>
      </c>
      <c r="W419">
        <v>0</v>
      </c>
      <c r="X419">
        <v>995820444</v>
      </c>
      <c r="Y419">
        <v>100</v>
      </c>
      <c r="AA419">
        <v>1211.6099999999999</v>
      </c>
      <c r="AB419">
        <v>0</v>
      </c>
      <c r="AC419">
        <v>0</v>
      </c>
      <c r="AD419">
        <v>0</v>
      </c>
      <c r="AE419">
        <v>198.3</v>
      </c>
      <c r="AF419">
        <v>0</v>
      </c>
      <c r="AG419">
        <v>0</v>
      </c>
      <c r="AH419">
        <v>0</v>
      </c>
      <c r="AI419">
        <v>6.11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6</v>
      </c>
      <c r="AT419">
        <v>100</v>
      </c>
      <c r="AU419" t="s">
        <v>6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Y419*Source!I141</f>
        <v>2</v>
      </c>
      <c r="CY419">
        <f t="shared" si="67"/>
        <v>1211.6099999999999</v>
      </c>
      <c r="CZ419">
        <f t="shared" si="68"/>
        <v>198.3</v>
      </c>
      <c r="DA419">
        <f t="shared" si="69"/>
        <v>6.11</v>
      </c>
      <c r="DB419">
        <f t="shared" si="62"/>
        <v>19830</v>
      </c>
      <c r="DC419">
        <f t="shared" si="63"/>
        <v>0</v>
      </c>
    </row>
    <row r="420" spans="1:107" x14ac:dyDescent="0.2">
      <c r="A420">
        <f>ROW(Source!A141)</f>
        <v>141</v>
      </c>
      <c r="B420">
        <v>27935368</v>
      </c>
      <c r="C420">
        <v>27935897</v>
      </c>
      <c r="D420">
        <v>25217108</v>
      </c>
      <c r="E420">
        <v>1</v>
      </c>
      <c r="F420">
        <v>1</v>
      </c>
      <c r="G420">
        <v>1</v>
      </c>
      <c r="H420">
        <v>3</v>
      </c>
      <c r="I420" t="s">
        <v>692</v>
      </c>
      <c r="J420" t="s">
        <v>693</v>
      </c>
      <c r="K420" t="s">
        <v>694</v>
      </c>
      <c r="L420">
        <v>1355</v>
      </c>
      <c r="N420">
        <v>1010</v>
      </c>
      <c r="O420" t="s">
        <v>487</v>
      </c>
      <c r="P420" t="s">
        <v>487</v>
      </c>
      <c r="Q420">
        <v>100</v>
      </c>
      <c r="W420">
        <v>0</v>
      </c>
      <c r="X420">
        <v>-1210322684</v>
      </c>
      <c r="Y420">
        <v>4</v>
      </c>
      <c r="AA420">
        <v>568.23</v>
      </c>
      <c r="AB420">
        <v>0</v>
      </c>
      <c r="AC420">
        <v>0</v>
      </c>
      <c r="AD420">
        <v>0</v>
      </c>
      <c r="AE420">
        <v>93</v>
      </c>
      <c r="AF420">
        <v>0</v>
      </c>
      <c r="AG420">
        <v>0</v>
      </c>
      <c r="AH420">
        <v>0</v>
      </c>
      <c r="AI420">
        <v>6.11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4</v>
      </c>
      <c r="AU420" t="s">
        <v>6</v>
      </c>
      <c r="AV420">
        <v>0</v>
      </c>
      <c r="AW420">
        <v>2</v>
      </c>
      <c r="AX420">
        <v>27935917</v>
      </c>
      <c r="AY420">
        <v>1</v>
      </c>
      <c r="AZ420">
        <v>0</v>
      </c>
      <c r="BA420">
        <v>424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Y420*Source!I141</f>
        <v>0.08</v>
      </c>
      <c r="CY420">
        <f t="shared" si="67"/>
        <v>568.23</v>
      </c>
      <c r="CZ420">
        <f t="shared" si="68"/>
        <v>93</v>
      </c>
      <c r="DA420">
        <f t="shared" si="69"/>
        <v>6.11</v>
      </c>
      <c r="DB420">
        <f t="shared" si="62"/>
        <v>372</v>
      </c>
      <c r="DC420">
        <f t="shared" si="63"/>
        <v>0</v>
      </c>
    </row>
    <row r="421" spans="1:107" x14ac:dyDescent="0.2">
      <c r="A421">
        <f>ROW(Source!A148)</f>
        <v>148</v>
      </c>
      <c r="B421">
        <v>27935367</v>
      </c>
      <c r="C421">
        <v>27935921</v>
      </c>
      <c r="D421">
        <v>25414889</v>
      </c>
      <c r="E421">
        <v>1</v>
      </c>
      <c r="F421">
        <v>1</v>
      </c>
      <c r="G421">
        <v>1</v>
      </c>
      <c r="H421">
        <v>1</v>
      </c>
      <c r="I421" t="s">
        <v>695</v>
      </c>
      <c r="J421" t="s">
        <v>6</v>
      </c>
      <c r="K421" t="s">
        <v>696</v>
      </c>
      <c r="L421">
        <v>1191</v>
      </c>
      <c r="N421">
        <v>1013</v>
      </c>
      <c r="O421" t="s">
        <v>459</v>
      </c>
      <c r="P421" t="s">
        <v>459</v>
      </c>
      <c r="Q421">
        <v>1</v>
      </c>
      <c r="W421">
        <v>0</v>
      </c>
      <c r="X421">
        <v>1850719656</v>
      </c>
      <c r="Y421">
        <v>39.858999999999995</v>
      </c>
      <c r="AA421">
        <v>0</v>
      </c>
      <c r="AB421">
        <v>0</v>
      </c>
      <c r="AC421">
        <v>0</v>
      </c>
      <c r="AD421">
        <v>8.31</v>
      </c>
      <c r="AE421">
        <v>0</v>
      </c>
      <c r="AF421">
        <v>0</v>
      </c>
      <c r="AG421">
        <v>0</v>
      </c>
      <c r="AH421">
        <v>8.31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34.659999999999997</v>
      </c>
      <c r="AU421" t="s">
        <v>28</v>
      </c>
      <c r="AV421">
        <v>1</v>
      </c>
      <c r="AW421">
        <v>2</v>
      </c>
      <c r="AX421">
        <v>27935928</v>
      </c>
      <c r="AY421">
        <v>1</v>
      </c>
      <c r="AZ421">
        <v>0</v>
      </c>
      <c r="BA421">
        <v>425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Y421*Source!I148</f>
        <v>1.9929499999999998</v>
      </c>
      <c r="CY421">
        <f>AD421</f>
        <v>8.31</v>
      </c>
      <c r="CZ421">
        <f>AH421</f>
        <v>8.31</v>
      </c>
      <c r="DA421">
        <f>AL421</f>
        <v>1</v>
      </c>
      <c r="DB421">
        <f>ROUND((ROUND(AT421*CZ421,2)*1.15),2)</f>
        <v>331.22</v>
      </c>
      <c r="DC421">
        <f>ROUND((ROUND(AT421*AG421,2)*1.15),2)</f>
        <v>0</v>
      </c>
    </row>
    <row r="422" spans="1:107" x14ac:dyDescent="0.2">
      <c r="A422">
        <f>ROW(Source!A148)</f>
        <v>148</v>
      </c>
      <c r="B422">
        <v>27935367</v>
      </c>
      <c r="C422">
        <v>27935921</v>
      </c>
      <c r="D422">
        <v>25412928</v>
      </c>
      <c r="E422">
        <v>1</v>
      </c>
      <c r="F422">
        <v>1</v>
      </c>
      <c r="G422">
        <v>1</v>
      </c>
      <c r="H422">
        <v>1</v>
      </c>
      <c r="I422" t="s">
        <v>460</v>
      </c>
      <c r="J422" t="s">
        <v>6</v>
      </c>
      <c r="K422" t="s">
        <v>461</v>
      </c>
      <c r="L422">
        <v>1191</v>
      </c>
      <c r="N422">
        <v>1013</v>
      </c>
      <c r="O422" t="s">
        <v>459</v>
      </c>
      <c r="P422" t="s">
        <v>459</v>
      </c>
      <c r="Q422">
        <v>1</v>
      </c>
      <c r="W422">
        <v>0</v>
      </c>
      <c r="X422">
        <v>-1417349443</v>
      </c>
      <c r="Y422">
        <v>0.1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</v>
      </c>
      <c r="AU422" t="s">
        <v>6</v>
      </c>
      <c r="AV422">
        <v>2</v>
      </c>
      <c r="AW422">
        <v>2</v>
      </c>
      <c r="AX422">
        <v>27935929</v>
      </c>
      <c r="AY422">
        <v>1</v>
      </c>
      <c r="AZ422">
        <v>2048</v>
      </c>
      <c r="BA422">
        <v>426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Y422*Source!I148</f>
        <v>5.000000000000001E-3</v>
      </c>
      <c r="CY422">
        <f>AD422</f>
        <v>0</v>
      </c>
      <c r="CZ422">
        <f>AH422</f>
        <v>0</v>
      </c>
      <c r="DA422">
        <f>AL422</f>
        <v>1</v>
      </c>
      <c r="DB422">
        <f>ROUND(ROUND(AT422*CZ422,2),2)</f>
        <v>0</v>
      </c>
      <c r="DC422">
        <f>ROUND(ROUND(AT422*AG422,2),2)</f>
        <v>0</v>
      </c>
    </row>
    <row r="423" spans="1:107" x14ac:dyDescent="0.2">
      <c r="A423">
        <f>ROW(Source!A148)</f>
        <v>148</v>
      </c>
      <c r="B423">
        <v>27935367</v>
      </c>
      <c r="C423">
        <v>27935921</v>
      </c>
      <c r="D423">
        <v>25230514</v>
      </c>
      <c r="E423">
        <v>1</v>
      </c>
      <c r="F423">
        <v>1</v>
      </c>
      <c r="G423">
        <v>1</v>
      </c>
      <c r="H423">
        <v>2</v>
      </c>
      <c r="I423" t="s">
        <v>462</v>
      </c>
      <c r="J423" t="s">
        <v>463</v>
      </c>
      <c r="K423" t="s">
        <v>464</v>
      </c>
      <c r="L423">
        <v>1368</v>
      </c>
      <c r="N423">
        <v>1011</v>
      </c>
      <c r="O423" t="s">
        <v>465</v>
      </c>
      <c r="P423" t="s">
        <v>465</v>
      </c>
      <c r="Q423">
        <v>1</v>
      </c>
      <c r="W423">
        <v>0</v>
      </c>
      <c r="X423">
        <v>1188625873</v>
      </c>
      <c r="Y423">
        <v>0.11499999999999999</v>
      </c>
      <c r="AA423">
        <v>0</v>
      </c>
      <c r="AB423">
        <v>31.26</v>
      </c>
      <c r="AC423">
        <v>13.5</v>
      </c>
      <c r="AD423">
        <v>0</v>
      </c>
      <c r="AE423">
        <v>0</v>
      </c>
      <c r="AF423">
        <v>31.26</v>
      </c>
      <c r="AG423">
        <v>13.5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0.1</v>
      </c>
      <c r="AU423" t="s">
        <v>28</v>
      </c>
      <c r="AV423">
        <v>0</v>
      </c>
      <c r="AW423">
        <v>2</v>
      </c>
      <c r="AX423">
        <v>27935930</v>
      </c>
      <c r="AY423">
        <v>1</v>
      </c>
      <c r="AZ423">
        <v>0</v>
      </c>
      <c r="BA423">
        <v>427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Y423*Source!I148</f>
        <v>5.7499999999999999E-3</v>
      </c>
      <c r="CY423">
        <f>AB423</f>
        <v>31.26</v>
      </c>
      <c r="CZ423">
        <f>AF423</f>
        <v>31.26</v>
      </c>
      <c r="DA423">
        <f>AJ423</f>
        <v>1</v>
      </c>
      <c r="DB423">
        <f>ROUND((ROUND(AT423*CZ423,2)*1.15),2)</f>
        <v>3.6</v>
      </c>
      <c r="DC423">
        <f>ROUND((ROUND(AT423*AG423,2)*1.15),2)</f>
        <v>1.55</v>
      </c>
    </row>
    <row r="424" spans="1:107" x14ac:dyDescent="0.2">
      <c r="A424">
        <f>ROW(Source!A148)</f>
        <v>148</v>
      </c>
      <c r="B424">
        <v>27935367</v>
      </c>
      <c r="C424">
        <v>27935921</v>
      </c>
      <c r="D424">
        <v>25231842</v>
      </c>
      <c r="E424">
        <v>1</v>
      </c>
      <c r="F424">
        <v>1</v>
      </c>
      <c r="G424">
        <v>1</v>
      </c>
      <c r="H424">
        <v>2</v>
      </c>
      <c r="I424" t="s">
        <v>507</v>
      </c>
      <c r="J424" t="s">
        <v>508</v>
      </c>
      <c r="K424" t="s">
        <v>509</v>
      </c>
      <c r="L424">
        <v>1368</v>
      </c>
      <c r="N424">
        <v>1011</v>
      </c>
      <c r="O424" t="s">
        <v>465</v>
      </c>
      <c r="P424" t="s">
        <v>465</v>
      </c>
      <c r="Q424">
        <v>1</v>
      </c>
      <c r="W424">
        <v>0</v>
      </c>
      <c r="X424">
        <v>792402865</v>
      </c>
      <c r="Y424">
        <v>3.7949999999999995</v>
      </c>
      <c r="AA424">
        <v>0</v>
      </c>
      <c r="AB424">
        <v>1.2</v>
      </c>
      <c r="AC424">
        <v>0</v>
      </c>
      <c r="AD424">
        <v>0</v>
      </c>
      <c r="AE424">
        <v>0</v>
      </c>
      <c r="AF424">
        <v>1.2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3.3</v>
      </c>
      <c r="AU424" t="s">
        <v>28</v>
      </c>
      <c r="AV424">
        <v>0</v>
      </c>
      <c r="AW424">
        <v>2</v>
      </c>
      <c r="AX424">
        <v>27935931</v>
      </c>
      <c r="AY424">
        <v>1</v>
      </c>
      <c r="AZ424">
        <v>0</v>
      </c>
      <c r="BA424">
        <v>428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Y424*Source!I148</f>
        <v>0.18974999999999997</v>
      </c>
      <c r="CY424">
        <f>AB424</f>
        <v>1.2</v>
      </c>
      <c r="CZ424">
        <f>AF424</f>
        <v>1.2</v>
      </c>
      <c r="DA424">
        <f>AJ424</f>
        <v>1</v>
      </c>
      <c r="DB424">
        <f>ROUND((ROUND(AT424*CZ424,2)*1.15),2)</f>
        <v>4.55</v>
      </c>
      <c r="DC424">
        <f>ROUND((ROUND(AT424*AG424,2)*1.15),2)</f>
        <v>0</v>
      </c>
    </row>
    <row r="425" spans="1:107" x14ac:dyDescent="0.2">
      <c r="A425">
        <f>ROW(Source!A148)</f>
        <v>148</v>
      </c>
      <c r="B425">
        <v>27935367</v>
      </c>
      <c r="C425">
        <v>27935921</v>
      </c>
      <c r="D425">
        <v>25148309</v>
      </c>
      <c r="E425">
        <v>1</v>
      </c>
      <c r="F425">
        <v>1</v>
      </c>
      <c r="G425">
        <v>1</v>
      </c>
      <c r="H425">
        <v>3</v>
      </c>
      <c r="I425" t="s">
        <v>697</v>
      </c>
      <c r="J425" t="s">
        <v>698</v>
      </c>
      <c r="K425" t="s">
        <v>699</v>
      </c>
      <c r="L425">
        <v>1339</v>
      </c>
      <c r="N425">
        <v>1007</v>
      </c>
      <c r="O425" t="s">
        <v>133</v>
      </c>
      <c r="P425" t="s">
        <v>133</v>
      </c>
      <c r="Q425">
        <v>1</v>
      </c>
      <c r="W425">
        <v>0</v>
      </c>
      <c r="X425">
        <v>1706747518</v>
      </c>
      <c r="Y425">
        <v>0.43</v>
      </c>
      <c r="AA425">
        <v>38.51</v>
      </c>
      <c r="AB425">
        <v>0</v>
      </c>
      <c r="AC425">
        <v>0</v>
      </c>
      <c r="AD425">
        <v>0</v>
      </c>
      <c r="AE425">
        <v>38.51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0.43</v>
      </c>
      <c r="AU425" t="s">
        <v>6</v>
      </c>
      <c r="AV425">
        <v>0</v>
      </c>
      <c r="AW425">
        <v>2</v>
      </c>
      <c r="AX425">
        <v>27935932</v>
      </c>
      <c r="AY425">
        <v>1</v>
      </c>
      <c r="AZ425">
        <v>0</v>
      </c>
      <c r="BA425">
        <v>429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Y425*Source!I148</f>
        <v>2.1500000000000002E-2</v>
      </c>
      <c r="CY425">
        <f>AA425</f>
        <v>38.51</v>
      </c>
      <c r="CZ425">
        <f>AE425</f>
        <v>38.51</v>
      </c>
      <c r="DA425">
        <f>AI425</f>
        <v>1</v>
      </c>
      <c r="DB425">
        <f>ROUND(ROUND(AT425*CZ425,2),2)</f>
        <v>16.559999999999999</v>
      </c>
      <c r="DC425">
        <f>ROUND(ROUND(AT425*AG425,2),2)</f>
        <v>0</v>
      </c>
    </row>
    <row r="426" spans="1:107" x14ac:dyDescent="0.2">
      <c r="A426">
        <f>ROW(Source!A148)</f>
        <v>148</v>
      </c>
      <c r="B426">
        <v>27935367</v>
      </c>
      <c r="C426">
        <v>27935921</v>
      </c>
      <c r="D426">
        <v>25148328</v>
      </c>
      <c r="E426">
        <v>1</v>
      </c>
      <c r="F426">
        <v>1</v>
      </c>
      <c r="G426">
        <v>1</v>
      </c>
      <c r="H426">
        <v>3</v>
      </c>
      <c r="I426" t="s">
        <v>513</v>
      </c>
      <c r="J426" t="s">
        <v>514</v>
      </c>
      <c r="K426" t="s">
        <v>515</v>
      </c>
      <c r="L426">
        <v>1339</v>
      </c>
      <c r="N426">
        <v>1007</v>
      </c>
      <c r="O426" t="s">
        <v>133</v>
      </c>
      <c r="P426" t="s">
        <v>133</v>
      </c>
      <c r="Q426">
        <v>1</v>
      </c>
      <c r="W426">
        <v>0</v>
      </c>
      <c r="X426">
        <v>1262771840</v>
      </c>
      <c r="Y426">
        <v>2.74</v>
      </c>
      <c r="AA426">
        <v>6.22</v>
      </c>
      <c r="AB426">
        <v>0</v>
      </c>
      <c r="AC426">
        <v>0</v>
      </c>
      <c r="AD426">
        <v>0</v>
      </c>
      <c r="AE426">
        <v>6.22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2.74</v>
      </c>
      <c r="AU426" t="s">
        <v>6</v>
      </c>
      <c r="AV426">
        <v>0</v>
      </c>
      <c r="AW426">
        <v>2</v>
      </c>
      <c r="AX426">
        <v>27935933</v>
      </c>
      <c r="AY426">
        <v>1</v>
      </c>
      <c r="AZ426">
        <v>0</v>
      </c>
      <c r="BA426">
        <v>430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Y426*Source!I148</f>
        <v>0.13700000000000001</v>
      </c>
      <c r="CY426">
        <f>AA426</f>
        <v>6.22</v>
      </c>
      <c r="CZ426">
        <f>AE426</f>
        <v>6.22</v>
      </c>
      <c r="DA426">
        <f>AI426</f>
        <v>1</v>
      </c>
      <c r="DB426">
        <f>ROUND(ROUND(AT426*CZ426,2),2)</f>
        <v>17.04</v>
      </c>
      <c r="DC426">
        <f>ROUND(ROUND(AT426*AG426,2),2)</f>
        <v>0</v>
      </c>
    </row>
    <row r="427" spans="1:107" x14ac:dyDescent="0.2">
      <c r="A427">
        <f>ROW(Source!A149)</f>
        <v>149</v>
      </c>
      <c r="B427">
        <v>27935368</v>
      </c>
      <c r="C427">
        <v>27935921</v>
      </c>
      <c r="D427">
        <v>25414889</v>
      </c>
      <c r="E427">
        <v>1</v>
      </c>
      <c r="F427">
        <v>1</v>
      </c>
      <c r="G427">
        <v>1</v>
      </c>
      <c r="H427">
        <v>1</v>
      </c>
      <c r="I427" t="s">
        <v>695</v>
      </c>
      <c r="J427" t="s">
        <v>6</v>
      </c>
      <c r="K427" t="s">
        <v>696</v>
      </c>
      <c r="L427">
        <v>1191</v>
      </c>
      <c r="N427">
        <v>1013</v>
      </c>
      <c r="O427" t="s">
        <v>459</v>
      </c>
      <c r="P427" t="s">
        <v>459</v>
      </c>
      <c r="Q427">
        <v>1</v>
      </c>
      <c r="W427">
        <v>0</v>
      </c>
      <c r="X427">
        <v>1850719656</v>
      </c>
      <c r="Y427">
        <v>39.858999999999995</v>
      </c>
      <c r="AA427">
        <v>0</v>
      </c>
      <c r="AB427">
        <v>0</v>
      </c>
      <c r="AC427">
        <v>0</v>
      </c>
      <c r="AD427">
        <v>50.77</v>
      </c>
      <c r="AE427">
        <v>0</v>
      </c>
      <c r="AF427">
        <v>0</v>
      </c>
      <c r="AG427">
        <v>0</v>
      </c>
      <c r="AH427">
        <v>8.31</v>
      </c>
      <c r="AI427">
        <v>1</v>
      </c>
      <c r="AJ427">
        <v>1</v>
      </c>
      <c r="AK427">
        <v>1</v>
      </c>
      <c r="AL427">
        <v>6.11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34.659999999999997</v>
      </c>
      <c r="AU427" t="s">
        <v>28</v>
      </c>
      <c r="AV427">
        <v>1</v>
      </c>
      <c r="AW427">
        <v>2</v>
      </c>
      <c r="AX427">
        <v>27935928</v>
      </c>
      <c r="AY427">
        <v>1</v>
      </c>
      <c r="AZ427">
        <v>0</v>
      </c>
      <c r="BA427">
        <v>432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Y427*Source!I149</f>
        <v>1.9929499999999998</v>
      </c>
      <c r="CY427">
        <f>AD427</f>
        <v>50.77</v>
      </c>
      <c r="CZ427">
        <f>AH427</f>
        <v>8.31</v>
      </c>
      <c r="DA427">
        <f>AL427</f>
        <v>6.11</v>
      </c>
      <c r="DB427">
        <f>ROUND((ROUND(AT427*CZ427,2)*1.15),2)</f>
        <v>331.22</v>
      </c>
      <c r="DC427">
        <f>ROUND((ROUND(AT427*AG427,2)*1.15),2)</f>
        <v>0</v>
      </c>
    </row>
    <row r="428" spans="1:107" x14ac:dyDescent="0.2">
      <c r="A428">
        <f>ROW(Source!A149)</f>
        <v>149</v>
      </c>
      <c r="B428">
        <v>27935368</v>
      </c>
      <c r="C428">
        <v>27935921</v>
      </c>
      <c r="D428">
        <v>25412928</v>
      </c>
      <c r="E428">
        <v>1</v>
      </c>
      <c r="F428">
        <v>1</v>
      </c>
      <c r="G428">
        <v>1</v>
      </c>
      <c r="H428">
        <v>1</v>
      </c>
      <c r="I428" t="s">
        <v>460</v>
      </c>
      <c r="J428" t="s">
        <v>6</v>
      </c>
      <c r="K428" t="s">
        <v>461</v>
      </c>
      <c r="L428">
        <v>1191</v>
      </c>
      <c r="N428">
        <v>1013</v>
      </c>
      <c r="O428" t="s">
        <v>459</v>
      </c>
      <c r="P428" t="s">
        <v>459</v>
      </c>
      <c r="Q428">
        <v>1</v>
      </c>
      <c r="W428">
        <v>0</v>
      </c>
      <c r="X428">
        <v>-1417349443</v>
      </c>
      <c r="Y428">
        <v>0.1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6.11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0.1</v>
      </c>
      <c r="AU428" t="s">
        <v>6</v>
      </c>
      <c r="AV428">
        <v>2</v>
      </c>
      <c r="AW428">
        <v>2</v>
      </c>
      <c r="AX428">
        <v>27935929</v>
      </c>
      <c r="AY428">
        <v>1</v>
      </c>
      <c r="AZ428">
        <v>2048</v>
      </c>
      <c r="BA428">
        <v>433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Y428*Source!I149</f>
        <v>5.000000000000001E-3</v>
      </c>
      <c r="CY428">
        <f>AD428</f>
        <v>0</v>
      </c>
      <c r="CZ428">
        <f>AH428</f>
        <v>0</v>
      </c>
      <c r="DA428">
        <f>AL428</f>
        <v>1</v>
      </c>
      <c r="DB428">
        <f>ROUND(ROUND(AT428*CZ428,2),2)</f>
        <v>0</v>
      </c>
      <c r="DC428">
        <f>ROUND(ROUND(AT428*AG428,2),2)</f>
        <v>0</v>
      </c>
    </row>
    <row r="429" spans="1:107" x14ac:dyDescent="0.2">
      <c r="A429">
        <f>ROW(Source!A149)</f>
        <v>149</v>
      </c>
      <c r="B429">
        <v>27935368</v>
      </c>
      <c r="C429">
        <v>27935921</v>
      </c>
      <c r="D429">
        <v>25230514</v>
      </c>
      <c r="E429">
        <v>1</v>
      </c>
      <c r="F429">
        <v>1</v>
      </c>
      <c r="G429">
        <v>1</v>
      </c>
      <c r="H429">
        <v>2</v>
      </c>
      <c r="I429" t="s">
        <v>462</v>
      </c>
      <c r="J429" t="s">
        <v>463</v>
      </c>
      <c r="K429" t="s">
        <v>464</v>
      </c>
      <c r="L429">
        <v>1368</v>
      </c>
      <c r="N429">
        <v>1011</v>
      </c>
      <c r="O429" t="s">
        <v>465</v>
      </c>
      <c r="P429" t="s">
        <v>465</v>
      </c>
      <c r="Q429">
        <v>1</v>
      </c>
      <c r="W429">
        <v>0</v>
      </c>
      <c r="X429">
        <v>1188625873</v>
      </c>
      <c r="Y429">
        <v>0.11499999999999999</v>
      </c>
      <c r="AA429">
        <v>0</v>
      </c>
      <c r="AB429">
        <v>191</v>
      </c>
      <c r="AC429">
        <v>13.5</v>
      </c>
      <c r="AD429">
        <v>0</v>
      </c>
      <c r="AE429">
        <v>0</v>
      </c>
      <c r="AF429">
        <v>31.26</v>
      </c>
      <c r="AG429">
        <v>13.5</v>
      </c>
      <c r="AH429">
        <v>0</v>
      </c>
      <c r="AI429">
        <v>1</v>
      </c>
      <c r="AJ429">
        <v>6.11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0.1</v>
      </c>
      <c r="AU429" t="s">
        <v>28</v>
      </c>
      <c r="AV429">
        <v>0</v>
      </c>
      <c r="AW429">
        <v>2</v>
      </c>
      <c r="AX429">
        <v>27935930</v>
      </c>
      <c r="AY429">
        <v>1</v>
      </c>
      <c r="AZ429">
        <v>0</v>
      </c>
      <c r="BA429">
        <v>434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Y429*Source!I149</f>
        <v>5.7499999999999999E-3</v>
      </c>
      <c r="CY429">
        <f>AB429</f>
        <v>191</v>
      </c>
      <c r="CZ429">
        <f>AF429</f>
        <v>31.26</v>
      </c>
      <c r="DA429">
        <f>AJ429</f>
        <v>6.11</v>
      </c>
      <c r="DB429">
        <f>ROUND((ROUND(AT429*CZ429,2)*1.15),2)</f>
        <v>3.6</v>
      </c>
      <c r="DC429">
        <f>ROUND((ROUND(AT429*AG429,2)*1.15),2)</f>
        <v>1.55</v>
      </c>
    </row>
    <row r="430" spans="1:107" x14ac:dyDescent="0.2">
      <c r="A430">
        <f>ROW(Source!A149)</f>
        <v>149</v>
      </c>
      <c r="B430">
        <v>27935368</v>
      </c>
      <c r="C430">
        <v>27935921</v>
      </c>
      <c r="D430">
        <v>25231842</v>
      </c>
      <c r="E430">
        <v>1</v>
      </c>
      <c r="F430">
        <v>1</v>
      </c>
      <c r="G430">
        <v>1</v>
      </c>
      <c r="H430">
        <v>2</v>
      </c>
      <c r="I430" t="s">
        <v>507</v>
      </c>
      <c r="J430" t="s">
        <v>508</v>
      </c>
      <c r="K430" t="s">
        <v>509</v>
      </c>
      <c r="L430">
        <v>1368</v>
      </c>
      <c r="N430">
        <v>1011</v>
      </c>
      <c r="O430" t="s">
        <v>465</v>
      </c>
      <c r="P430" t="s">
        <v>465</v>
      </c>
      <c r="Q430">
        <v>1</v>
      </c>
      <c r="W430">
        <v>0</v>
      </c>
      <c r="X430">
        <v>792402865</v>
      </c>
      <c r="Y430">
        <v>3.7949999999999995</v>
      </c>
      <c r="AA430">
        <v>0</v>
      </c>
      <c r="AB430">
        <v>7.33</v>
      </c>
      <c r="AC430">
        <v>0</v>
      </c>
      <c r="AD430">
        <v>0</v>
      </c>
      <c r="AE430">
        <v>0</v>
      </c>
      <c r="AF430">
        <v>1.2</v>
      </c>
      <c r="AG430">
        <v>0</v>
      </c>
      <c r="AH430">
        <v>0</v>
      </c>
      <c r="AI430">
        <v>1</v>
      </c>
      <c r="AJ430">
        <v>6.11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3.3</v>
      </c>
      <c r="AU430" t="s">
        <v>28</v>
      </c>
      <c r="AV430">
        <v>0</v>
      </c>
      <c r="AW430">
        <v>2</v>
      </c>
      <c r="AX430">
        <v>27935931</v>
      </c>
      <c r="AY430">
        <v>1</v>
      </c>
      <c r="AZ430">
        <v>0</v>
      </c>
      <c r="BA430">
        <v>435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Y430*Source!I149</f>
        <v>0.18974999999999997</v>
      </c>
      <c r="CY430">
        <f>AB430</f>
        <v>7.33</v>
      </c>
      <c r="CZ430">
        <f>AF430</f>
        <v>1.2</v>
      </c>
      <c r="DA430">
        <f>AJ430</f>
        <v>6.11</v>
      </c>
      <c r="DB430">
        <f>ROUND((ROUND(AT430*CZ430,2)*1.15),2)</f>
        <v>4.55</v>
      </c>
      <c r="DC430">
        <f>ROUND((ROUND(AT430*AG430,2)*1.15),2)</f>
        <v>0</v>
      </c>
    </row>
    <row r="431" spans="1:107" x14ac:dyDescent="0.2">
      <c r="A431">
        <f>ROW(Source!A149)</f>
        <v>149</v>
      </c>
      <c r="B431">
        <v>27935368</v>
      </c>
      <c r="C431">
        <v>27935921</v>
      </c>
      <c r="D431">
        <v>25148309</v>
      </c>
      <c r="E431">
        <v>1</v>
      </c>
      <c r="F431">
        <v>1</v>
      </c>
      <c r="G431">
        <v>1</v>
      </c>
      <c r="H431">
        <v>3</v>
      </c>
      <c r="I431" t="s">
        <v>697</v>
      </c>
      <c r="J431" t="s">
        <v>698</v>
      </c>
      <c r="K431" t="s">
        <v>699</v>
      </c>
      <c r="L431">
        <v>1339</v>
      </c>
      <c r="N431">
        <v>1007</v>
      </c>
      <c r="O431" t="s">
        <v>133</v>
      </c>
      <c r="P431" t="s">
        <v>133</v>
      </c>
      <c r="Q431">
        <v>1</v>
      </c>
      <c r="W431">
        <v>0</v>
      </c>
      <c r="X431">
        <v>1706747518</v>
      </c>
      <c r="Y431">
        <v>0.43</v>
      </c>
      <c r="AA431">
        <v>235.3</v>
      </c>
      <c r="AB431">
        <v>0</v>
      </c>
      <c r="AC431">
        <v>0</v>
      </c>
      <c r="AD431">
        <v>0</v>
      </c>
      <c r="AE431">
        <v>38.51</v>
      </c>
      <c r="AF431">
        <v>0</v>
      </c>
      <c r="AG431">
        <v>0</v>
      </c>
      <c r="AH431">
        <v>0</v>
      </c>
      <c r="AI431">
        <v>6.11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0.43</v>
      </c>
      <c r="AU431" t="s">
        <v>6</v>
      </c>
      <c r="AV431">
        <v>0</v>
      </c>
      <c r="AW431">
        <v>2</v>
      </c>
      <c r="AX431">
        <v>27935932</v>
      </c>
      <c r="AY431">
        <v>1</v>
      </c>
      <c r="AZ431">
        <v>0</v>
      </c>
      <c r="BA431">
        <v>436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Y431*Source!I149</f>
        <v>2.1500000000000002E-2</v>
      </c>
      <c r="CY431">
        <f>AA431</f>
        <v>235.3</v>
      </c>
      <c r="CZ431">
        <f>AE431</f>
        <v>38.51</v>
      </c>
      <c r="DA431">
        <f>AI431</f>
        <v>6.11</v>
      </c>
      <c r="DB431">
        <f>ROUND(ROUND(AT431*CZ431,2),2)</f>
        <v>16.559999999999999</v>
      </c>
      <c r="DC431">
        <f>ROUND(ROUND(AT431*AG431,2),2)</f>
        <v>0</v>
      </c>
    </row>
    <row r="432" spans="1:107" x14ac:dyDescent="0.2">
      <c r="A432">
        <f>ROW(Source!A149)</f>
        <v>149</v>
      </c>
      <c r="B432">
        <v>27935368</v>
      </c>
      <c r="C432">
        <v>27935921</v>
      </c>
      <c r="D432">
        <v>25148328</v>
      </c>
      <c r="E432">
        <v>1</v>
      </c>
      <c r="F432">
        <v>1</v>
      </c>
      <c r="G432">
        <v>1</v>
      </c>
      <c r="H432">
        <v>3</v>
      </c>
      <c r="I432" t="s">
        <v>513</v>
      </c>
      <c r="J432" t="s">
        <v>514</v>
      </c>
      <c r="K432" t="s">
        <v>515</v>
      </c>
      <c r="L432">
        <v>1339</v>
      </c>
      <c r="N432">
        <v>1007</v>
      </c>
      <c r="O432" t="s">
        <v>133</v>
      </c>
      <c r="P432" t="s">
        <v>133</v>
      </c>
      <c r="Q432">
        <v>1</v>
      </c>
      <c r="W432">
        <v>0</v>
      </c>
      <c r="X432">
        <v>1262771840</v>
      </c>
      <c r="Y432">
        <v>2.74</v>
      </c>
      <c r="AA432">
        <v>38</v>
      </c>
      <c r="AB432">
        <v>0</v>
      </c>
      <c r="AC432">
        <v>0</v>
      </c>
      <c r="AD432">
        <v>0</v>
      </c>
      <c r="AE432">
        <v>6.22</v>
      </c>
      <c r="AF432">
        <v>0</v>
      </c>
      <c r="AG432">
        <v>0</v>
      </c>
      <c r="AH432">
        <v>0</v>
      </c>
      <c r="AI432">
        <v>6.11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2.74</v>
      </c>
      <c r="AU432" t="s">
        <v>6</v>
      </c>
      <c r="AV432">
        <v>0</v>
      </c>
      <c r="AW432">
        <v>2</v>
      </c>
      <c r="AX432">
        <v>27935933</v>
      </c>
      <c r="AY432">
        <v>1</v>
      </c>
      <c r="AZ432">
        <v>0</v>
      </c>
      <c r="BA432">
        <v>437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Y432*Source!I149</f>
        <v>0.13700000000000001</v>
      </c>
      <c r="CY432">
        <f>AA432</f>
        <v>38</v>
      </c>
      <c r="CZ432">
        <f>AE432</f>
        <v>6.22</v>
      </c>
      <c r="DA432">
        <f>AI432</f>
        <v>6.11</v>
      </c>
      <c r="DB432">
        <f>ROUND(ROUND(AT432*CZ432,2),2)</f>
        <v>17.04</v>
      </c>
      <c r="DC432">
        <f>ROUND(ROUND(AT432*AG432,2),2)</f>
        <v>0</v>
      </c>
    </row>
    <row r="433" spans="1:107" x14ac:dyDescent="0.2">
      <c r="A433">
        <f>ROW(Source!A150)</f>
        <v>150</v>
      </c>
      <c r="B433">
        <v>27935367</v>
      </c>
      <c r="C433">
        <v>27935935</v>
      </c>
      <c r="D433">
        <v>25418254</v>
      </c>
      <c r="E433">
        <v>1</v>
      </c>
      <c r="F433">
        <v>1</v>
      </c>
      <c r="G433">
        <v>1</v>
      </c>
      <c r="H433">
        <v>1</v>
      </c>
      <c r="I433" t="s">
        <v>700</v>
      </c>
      <c r="J433" t="s">
        <v>6</v>
      </c>
      <c r="K433" t="s">
        <v>701</v>
      </c>
      <c r="L433">
        <v>1191</v>
      </c>
      <c r="N433">
        <v>1013</v>
      </c>
      <c r="O433" t="s">
        <v>459</v>
      </c>
      <c r="P433" t="s">
        <v>459</v>
      </c>
      <c r="Q433">
        <v>1</v>
      </c>
      <c r="W433">
        <v>0</v>
      </c>
      <c r="X433">
        <v>1983201532</v>
      </c>
      <c r="Y433">
        <v>111.49249999999999</v>
      </c>
      <c r="AA433">
        <v>0</v>
      </c>
      <c r="AB433">
        <v>0</v>
      </c>
      <c r="AC433">
        <v>0</v>
      </c>
      <c r="AD433">
        <v>9.51</v>
      </c>
      <c r="AE433">
        <v>0</v>
      </c>
      <c r="AF433">
        <v>0</v>
      </c>
      <c r="AG433">
        <v>0</v>
      </c>
      <c r="AH433">
        <v>9.51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96.95</v>
      </c>
      <c r="AU433" t="s">
        <v>28</v>
      </c>
      <c r="AV433">
        <v>1</v>
      </c>
      <c r="AW433">
        <v>2</v>
      </c>
      <c r="AX433">
        <v>27935948</v>
      </c>
      <c r="AY433">
        <v>1</v>
      </c>
      <c r="AZ433">
        <v>0</v>
      </c>
      <c r="BA433">
        <v>439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Y433*Source!I150</f>
        <v>5.5746250000000002</v>
      </c>
      <c r="CY433">
        <f>AD433</f>
        <v>9.51</v>
      </c>
      <c r="CZ433">
        <f>AH433</f>
        <v>9.51</v>
      </c>
      <c r="DA433">
        <f>AL433</f>
        <v>1</v>
      </c>
      <c r="DB433">
        <f>ROUND((ROUND(AT433*CZ433,2)*1.15),2)</f>
        <v>1060.29</v>
      </c>
      <c r="DC433">
        <f>ROUND((ROUND(AT433*AG433,2)*1.15),2)</f>
        <v>0</v>
      </c>
    </row>
    <row r="434" spans="1:107" x14ac:dyDescent="0.2">
      <c r="A434">
        <f>ROW(Source!A150)</f>
        <v>150</v>
      </c>
      <c r="B434">
        <v>27935367</v>
      </c>
      <c r="C434">
        <v>27935935</v>
      </c>
      <c r="D434">
        <v>25412928</v>
      </c>
      <c r="E434">
        <v>1</v>
      </c>
      <c r="F434">
        <v>1</v>
      </c>
      <c r="G434">
        <v>1</v>
      </c>
      <c r="H434">
        <v>1</v>
      </c>
      <c r="I434" t="s">
        <v>460</v>
      </c>
      <c r="J434" t="s">
        <v>6</v>
      </c>
      <c r="K434" t="s">
        <v>461</v>
      </c>
      <c r="L434">
        <v>1191</v>
      </c>
      <c r="N434">
        <v>1013</v>
      </c>
      <c r="O434" t="s">
        <v>459</v>
      </c>
      <c r="P434" t="s">
        <v>459</v>
      </c>
      <c r="Q434">
        <v>1</v>
      </c>
      <c r="W434">
        <v>0</v>
      </c>
      <c r="X434">
        <v>-1417349443</v>
      </c>
      <c r="Y434">
        <v>0.01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0.01</v>
      </c>
      <c r="AU434" t="s">
        <v>6</v>
      </c>
      <c r="AV434">
        <v>2</v>
      </c>
      <c r="AW434">
        <v>2</v>
      </c>
      <c r="AX434">
        <v>27935949</v>
      </c>
      <c r="AY434">
        <v>1</v>
      </c>
      <c r="AZ434">
        <v>2048</v>
      </c>
      <c r="BA434">
        <v>440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Y434*Source!I150</f>
        <v>5.0000000000000001E-4</v>
      </c>
      <c r="CY434">
        <f>AD434</f>
        <v>0</v>
      </c>
      <c r="CZ434">
        <f>AH434</f>
        <v>0</v>
      </c>
      <c r="DA434">
        <f>AL434</f>
        <v>1</v>
      </c>
      <c r="DB434">
        <f>ROUND(ROUND(AT434*CZ434,2),2)</f>
        <v>0</v>
      </c>
      <c r="DC434">
        <f>ROUND(ROUND(AT434*AG434,2),2)</f>
        <v>0</v>
      </c>
    </row>
    <row r="435" spans="1:107" x14ac:dyDescent="0.2">
      <c r="A435">
        <f>ROW(Source!A150)</f>
        <v>150</v>
      </c>
      <c r="B435">
        <v>27935367</v>
      </c>
      <c r="C435">
        <v>27935935</v>
      </c>
      <c r="D435">
        <v>25230116</v>
      </c>
      <c r="E435">
        <v>1</v>
      </c>
      <c r="F435">
        <v>1</v>
      </c>
      <c r="G435">
        <v>1</v>
      </c>
      <c r="H435">
        <v>2</v>
      </c>
      <c r="I435" t="s">
        <v>567</v>
      </c>
      <c r="J435" t="s">
        <v>568</v>
      </c>
      <c r="K435" t="s">
        <v>569</v>
      </c>
      <c r="L435">
        <v>1368</v>
      </c>
      <c r="N435">
        <v>1011</v>
      </c>
      <c r="O435" t="s">
        <v>465</v>
      </c>
      <c r="P435" t="s">
        <v>465</v>
      </c>
      <c r="Q435">
        <v>1</v>
      </c>
      <c r="W435">
        <v>0</v>
      </c>
      <c r="X435">
        <v>257150282</v>
      </c>
      <c r="Y435">
        <v>3.7499999999999999E-3</v>
      </c>
      <c r="AA435">
        <v>0</v>
      </c>
      <c r="AB435">
        <v>83.43</v>
      </c>
      <c r="AC435">
        <v>13.5</v>
      </c>
      <c r="AD435">
        <v>0</v>
      </c>
      <c r="AE435">
        <v>0</v>
      </c>
      <c r="AF435">
        <v>83.43</v>
      </c>
      <c r="AG435">
        <v>13.5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3.0000000000000001E-3</v>
      </c>
      <c r="AU435" t="s">
        <v>27</v>
      </c>
      <c r="AV435">
        <v>0</v>
      </c>
      <c r="AW435">
        <v>2</v>
      </c>
      <c r="AX435">
        <v>27935950</v>
      </c>
      <c r="AY435">
        <v>1</v>
      </c>
      <c r="AZ435">
        <v>0</v>
      </c>
      <c r="BA435">
        <v>441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Y435*Source!I150</f>
        <v>1.875E-4</v>
      </c>
      <c r="CY435">
        <f>AB435</f>
        <v>83.43</v>
      </c>
      <c r="CZ435">
        <f>AF435</f>
        <v>83.43</v>
      </c>
      <c r="DA435">
        <f>AJ435</f>
        <v>1</v>
      </c>
      <c r="DB435">
        <f>ROUND((ROUND(AT435*CZ435,2)*1.25),2)</f>
        <v>0.31</v>
      </c>
      <c r="DC435">
        <f>ROUND((ROUND(AT435*AG435,2)*1.25),2)</f>
        <v>0.05</v>
      </c>
    </row>
    <row r="436" spans="1:107" x14ac:dyDescent="0.2">
      <c r="A436">
        <f>ROW(Source!A150)</f>
        <v>150</v>
      </c>
      <c r="B436">
        <v>27935367</v>
      </c>
      <c r="C436">
        <v>27935935</v>
      </c>
      <c r="D436">
        <v>25230218</v>
      </c>
      <c r="E436">
        <v>1</v>
      </c>
      <c r="F436">
        <v>1</v>
      </c>
      <c r="G436">
        <v>1</v>
      </c>
      <c r="H436">
        <v>2</v>
      </c>
      <c r="I436" t="s">
        <v>570</v>
      </c>
      <c r="J436" t="s">
        <v>571</v>
      </c>
      <c r="K436" t="s">
        <v>572</v>
      </c>
      <c r="L436">
        <v>1368</v>
      </c>
      <c r="N436">
        <v>1011</v>
      </c>
      <c r="O436" t="s">
        <v>465</v>
      </c>
      <c r="P436" t="s">
        <v>465</v>
      </c>
      <c r="Q436">
        <v>1</v>
      </c>
      <c r="W436">
        <v>0</v>
      </c>
      <c r="X436">
        <v>1330025190</v>
      </c>
      <c r="Y436">
        <v>5.0000000000000001E-3</v>
      </c>
      <c r="AA436">
        <v>0</v>
      </c>
      <c r="AB436">
        <v>88.01</v>
      </c>
      <c r="AC436">
        <v>11.6</v>
      </c>
      <c r="AD436">
        <v>0</v>
      </c>
      <c r="AE436">
        <v>0</v>
      </c>
      <c r="AF436">
        <v>88.01</v>
      </c>
      <c r="AG436">
        <v>11.6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6</v>
      </c>
      <c r="AT436">
        <v>4.0000000000000001E-3</v>
      </c>
      <c r="AU436" t="s">
        <v>27</v>
      </c>
      <c r="AV436">
        <v>0</v>
      </c>
      <c r="AW436">
        <v>2</v>
      </c>
      <c r="AX436">
        <v>27935951</v>
      </c>
      <c r="AY436">
        <v>1</v>
      </c>
      <c r="AZ436">
        <v>0</v>
      </c>
      <c r="BA436">
        <v>442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Y436*Source!I150</f>
        <v>2.5000000000000001E-4</v>
      </c>
      <c r="CY436">
        <f>AB436</f>
        <v>88.01</v>
      </c>
      <c r="CZ436">
        <f>AF436</f>
        <v>88.01</v>
      </c>
      <c r="DA436">
        <f>AJ436</f>
        <v>1</v>
      </c>
      <c r="DB436">
        <f>ROUND((ROUND(AT436*CZ436,2)*1.25),2)</f>
        <v>0.44</v>
      </c>
      <c r="DC436">
        <f>ROUND((ROUND(AT436*AG436,2)*1.25),2)</f>
        <v>0.06</v>
      </c>
    </row>
    <row r="437" spans="1:107" x14ac:dyDescent="0.2">
      <c r="A437">
        <f>ROW(Source!A150)</f>
        <v>150</v>
      </c>
      <c r="B437">
        <v>27935367</v>
      </c>
      <c r="C437">
        <v>27935935</v>
      </c>
      <c r="D437">
        <v>25231327</v>
      </c>
      <c r="E437">
        <v>1</v>
      </c>
      <c r="F437">
        <v>1</v>
      </c>
      <c r="G437">
        <v>1</v>
      </c>
      <c r="H437">
        <v>2</v>
      </c>
      <c r="I437" t="s">
        <v>702</v>
      </c>
      <c r="J437" t="s">
        <v>703</v>
      </c>
      <c r="K437" t="s">
        <v>704</v>
      </c>
      <c r="L437">
        <v>1368</v>
      </c>
      <c r="N437">
        <v>1011</v>
      </c>
      <c r="O437" t="s">
        <v>465</v>
      </c>
      <c r="P437" t="s">
        <v>465</v>
      </c>
      <c r="Q437">
        <v>1</v>
      </c>
      <c r="W437">
        <v>0</v>
      </c>
      <c r="X437">
        <v>-1347092713</v>
      </c>
      <c r="Y437">
        <v>1.5874999999999999</v>
      </c>
      <c r="AA437">
        <v>0</v>
      </c>
      <c r="AB437">
        <v>29.67</v>
      </c>
      <c r="AC437">
        <v>0</v>
      </c>
      <c r="AD437">
        <v>0</v>
      </c>
      <c r="AE437">
        <v>0</v>
      </c>
      <c r="AF437">
        <v>29.67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1.27</v>
      </c>
      <c r="AU437" t="s">
        <v>27</v>
      </c>
      <c r="AV437">
        <v>0</v>
      </c>
      <c r="AW437">
        <v>2</v>
      </c>
      <c r="AX437">
        <v>27935952</v>
      </c>
      <c r="AY437">
        <v>1</v>
      </c>
      <c r="AZ437">
        <v>0</v>
      </c>
      <c r="BA437">
        <v>443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Y437*Source!I150</f>
        <v>7.9375000000000001E-2</v>
      </c>
      <c r="CY437">
        <f>AB437</f>
        <v>29.67</v>
      </c>
      <c r="CZ437">
        <f>AF437</f>
        <v>29.67</v>
      </c>
      <c r="DA437">
        <f>AJ437</f>
        <v>1</v>
      </c>
      <c r="DB437">
        <f>ROUND((ROUND(AT437*CZ437,2)*1.25),2)</f>
        <v>47.1</v>
      </c>
      <c r="DC437">
        <f>ROUND((ROUND(AT437*AG437,2)*1.25),2)</f>
        <v>0</v>
      </c>
    </row>
    <row r="438" spans="1:107" x14ac:dyDescent="0.2">
      <c r="A438">
        <f>ROW(Source!A150)</f>
        <v>150</v>
      </c>
      <c r="B438">
        <v>27935367</v>
      </c>
      <c r="C438">
        <v>27935935</v>
      </c>
      <c r="D438">
        <v>25231844</v>
      </c>
      <c r="E438">
        <v>1</v>
      </c>
      <c r="F438">
        <v>1</v>
      </c>
      <c r="G438">
        <v>1</v>
      </c>
      <c r="H438">
        <v>2</v>
      </c>
      <c r="I438" t="s">
        <v>705</v>
      </c>
      <c r="J438" t="s">
        <v>706</v>
      </c>
      <c r="K438" t="s">
        <v>707</v>
      </c>
      <c r="L438">
        <v>1368</v>
      </c>
      <c r="N438">
        <v>1011</v>
      </c>
      <c r="O438" t="s">
        <v>465</v>
      </c>
      <c r="P438" t="s">
        <v>465</v>
      </c>
      <c r="Q438">
        <v>1</v>
      </c>
      <c r="W438">
        <v>0</v>
      </c>
      <c r="X438">
        <v>1489131384</v>
      </c>
      <c r="Y438">
        <v>20.474999999999998</v>
      </c>
      <c r="AA438">
        <v>0</v>
      </c>
      <c r="AB438">
        <v>26.25</v>
      </c>
      <c r="AC438">
        <v>0</v>
      </c>
      <c r="AD438">
        <v>0</v>
      </c>
      <c r="AE438">
        <v>0</v>
      </c>
      <c r="AF438">
        <v>26.25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16.38</v>
      </c>
      <c r="AU438" t="s">
        <v>27</v>
      </c>
      <c r="AV438">
        <v>0</v>
      </c>
      <c r="AW438">
        <v>2</v>
      </c>
      <c r="AX438">
        <v>27935953</v>
      </c>
      <c r="AY438">
        <v>1</v>
      </c>
      <c r="AZ438">
        <v>0</v>
      </c>
      <c r="BA438">
        <v>444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Y438*Source!I150</f>
        <v>1.0237499999999999</v>
      </c>
      <c r="CY438">
        <f>AB438</f>
        <v>26.25</v>
      </c>
      <c r="CZ438">
        <f>AF438</f>
        <v>26.25</v>
      </c>
      <c r="DA438">
        <f>AJ438</f>
        <v>1</v>
      </c>
      <c r="DB438">
        <f>ROUND((ROUND(AT438*CZ438,2)*1.25),2)</f>
        <v>537.48</v>
      </c>
      <c r="DC438">
        <f>ROUND((ROUND(AT438*AG438,2)*1.25),2)</f>
        <v>0</v>
      </c>
    </row>
    <row r="439" spans="1:107" x14ac:dyDescent="0.2">
      <c r="A439">
        <f>ROW(Source!A150)</f>
        <v>150</v>
      </c>
      <c r="B439">
        <v>27935367</v>
      </c>
      <c r="C439">
        <v>27935935</v>
      </c>
      <c r="D439">
        <v>25149961</v>
      </c>
      <c r="E439">
        <v>1</v>
      </c>
      <c r="F439">
        <v>1</v>
      </c>
      <c r="G439">
        <v>1</v>
      </c>
      <c r="H439">
        <v>3</v>
      </c>
      <c r="I439" t="s">
        <v>558</v>
      </c>
      <c r="J439" t="s">
        <v>559</v>
      </c>
      <c r="K439" t="s">
        <v>560</v>
      </c>
      <c r="L439">
        <v>1339</v>
      </c>
      <c r="N439">
        <v>1007</v>
      </c>
      <c r="O439" t="s">
        <v>133</v>
      </c>
      <c r="P439" t="s">
        <v>133</v>
      </c>
      <c r="Q439">
        <v>1</v>
      </c>
      <c r="W439">
        <v>0</v>
      </c>
      <c r="X439">
        <v>-1660354250</v>
      </c>
      <c r="Y439">
        <v>0.14399999999999999</v>
      </c>
      <c r="AA439">
        <v>2.44</v>
      </c>
      <c r="AB439">
        <v>0</v>
      </c>
      <c r="AC439">
        <v>0</v>
      </c>
      <c r="AD439">
        <v>0</v>
      </c>
      <c r="AE439">
        <v>2.44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0.14399999999999999</v>
      </c>
      <c r="AU439" t="s">
        <v>6</v>
      </c>
      <c r="AV439">
        <v>0</v>
      </c>
      <c r="AW439">
        <v>2</v>
      </c>
      <c r="AX439">
        <v>27935954</v>
      </c>
      <c r="AY439">
        <v>1</v>
      </c>
      <c r="AZ439">
        <v>0</v>
      </c>
      <c r="BA439">
        <v>445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Y439*Source!I150</f>
        <v>7.1999999999999998E-3</v>
      </c>
      <c r="CY439">
        <f t="shared" ref="CY439:CY444" si="70">AA439</f>
        <v>2.44</v>
      </c>
      <c r="CZ439">
        <f t="shared" ref="CZ439:CZ444" si="71">AE439</f>
        <v>2.44</v>
      </c>
      <c r="DA439">
        <f t="shared" ref="DA439:DA444" si="72">AI439</f>
        <v>1</v>
      </c>
      <c r="DB439">
        <f t="shared" ref="DB439:DB444" si="73">ROUND(ROUND(AT439*CZ439,2),2)</f>
        <v>0.35</v>
      </c>
      <c r="DC439">
        <f t="shared" ref="DC439:DC444" si="74">ROUND(ROUND(AT439*AG439,2),2)</f>
        <v>0</v>
      </c>
    </row>
    <row r="440" spans="1:107" x14ac:dyDescent="0.2">
      <c r="A440">
        <f>ROW(Source!A150)</f>
        <v>150</v>
      </c>
      <c r="B440">
        <v>27935367</v>
      </c>
      <c r="C440">
        <v>27935935</v>
      </c>
      <c r="D440">
        <v>25152631</v>
      </c>
      <c r="E440">
        <v>1</v>
      </c>
      <c r="F440">
        <v>1</v>
      </c>
      <c r="G440">
        <v>1</v>
      </c>
      <c r="H440">
        <v>3</v>
      </c>
      <c r="I440" t="s">
        <v>708</v>
      </c>
      <c r="J440" t="s">
        <v>709</v>
      </c>
      <c r="K440" t="s">
        <v>710</v>
      </c>
      <c r="L440">
        <v>1348</v>
      </c>
      <c r="N440">
        <v>1009</v>
      </c>
      <c r="O440" t="s">
        <v>65</v>
      </c>
      <c r="P440" t="s">
        <v>65</v>
      </c>
      <c r="Q440">
        <v>1000</v>
      </c>
      <c r="W440">
        <v>0</v>
      </c>
      <c r="X440">
        <v>-172112227</v>
      </c>
      <c r="Y440">
        <v>8.9999999999999998E-4</v>
      </c>
      <c r="AA440">
        <v>13186.74</v>
      </c>
      <c r="AB440">
        <v>0</v>
      </c>
      <c r="AC440">
        <v>0</v>
      </c>
      <c r="AD440">
        <v>0</v>
      </c>
      <c r="AE440">
        <v>13186.74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6</v>
      </c>
      <c r="AT440">
        <v>8.9999999999999998E-4</v>
      </c>
      <c r="AU440" t="s">
        <v>6</v>
      </c>
      <c r="AV440">
        <v>0</v>
      </c>
      <c r="AW440">
        <v>2</v>
      </c>
      <c r="AX440">
        <v>27935955</v>
      </c>
      <c r="AY440">
        <v>1</v>
      </c>
      <c r="AZ440">
        <v>0</v>
      </c>
      <c r="BA440">
        <v>446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Y440*Source!I150</f>
        <v>4.5000000000000003E-5</v>
      </c>
      <c r="CY440">
        <f t="shared" si="70"/>
        <v>13186.74</v>
      </c>
      <c r="CZ440">
        <f t="shared" si="71"/>
        <v>13186.74</v>
      </c>
      <c r="DA440">
        <f t="shared" si="72"/>
        <v>1</v>
      </c>
      <c r="DB440">
        <f t="shared" si="73"/>
        <v>11.87</v>
      </c>
      <c r="DC440">
        <f t="shared" si="74"/>
        <v>0</v>
      </c>
    </row>
    <row r="441" spans="1:107" x14ac:dyDescent="0.2">
      <c r="A441">
        <f>ROW(Source!A150)</f>
        <v>150</v>
      </c>
      <c r="B441">
        <v>27935367</v>
      </c>
      <c r="C441">
        <v>27935935</v>
      </c>
      <c r="D441">
        <v>25152750</v>
      </c>
      <c r="E441">
        <v>1</v>
      </c>
      <c r="F441">
        <v>1</v>
      </c>
      <c r="G441">
        <v>1</v>
      </c>
      <c r="H441">
        <v>3</v>
      </c>
      <c r="I441" t="s">
        <v>711</v>
      </c>
      <c r="J441" t="s">
        <v>712</v>
      </c>
      <c r="K441" t="s">
        <v>713</v>
      </c>
      <c r="L441">
        <v>1356</v>
      </c>
      <c r="N441">
        <v>1010</v>
      </c>
      <c r="O441" t="s">
        <v>714</v>
      </c>
      <c r="P441" t="s">
        <v>714</v>
      </c>
      <c r="Q441">
        <v>1000</v>
      </c>
      <c r="W441">
        <v>0</v>
      </c>
      <c r="X441">
        <v>1975348994</v>
      </c>
      <c r="Y441">
        <v>0.14299999999999999</v>
      </c>
      <c r="AA441">
        <v>180</v>
      </c>
      <c r="AB441">
        <v>0</v>
      </c>
      <c r="AC441">
        <v>0</v>
      </c>
      <c r="AD441">
        <v>0</v>
      </c>
      <c r="AE441">
        <v>180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0.14299999999999999</v>
      </c>
      <c r="AU441" t="s">
        <v>6</v>
      </c>
      <c r="AV441">
        <v>0</v>
      </c>
      <c r="AW441">
        <v>2</v>
      </c>
      <c r="AX441">
        <v>27935956</v>
      </c>
      <c r="AY441">
        <v>1</v>
      </c>
      <c r="AZ441">
        <v>0</v>
      </c>
      <c r="BA441">
        <v>447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Y441*Source!I150</f>
        <v>7.1500000000000001E-3</v>
      </c>
      <c r="CY441">
        <f t="shared" si="70"/>
        <v>180</v>
      </c>
      <c r="CZ441">
        <f t="shared" si="71"/>
        <v>180</v>
      </c>
      <c r="DA441">
        <f t="shared" si="72"/>
        <v>1</v>
      </c>
      <c r="DB441">
        <f t="shared" si="73"/>
        <v>25.74</v>
      </c>
      <c r="DC441">
        <f t="shared" si="74"/>
        <v>0</v>
      </c>
    </row>
    <row r="442" spans="1:107" x14ac:dyDescent="0.2">
      <c r="A442">
        <f>ROW(Source!A150)</f>
        <v>150</v>
      </c>
      <c r="B442">
        <v>27935367</v>
      </c>
      <c r="C442">
        <v>27935935</v>
      </c>
      <c r="D442">
        <v>25154689</v>
      </c>
      <c r="E442">
        <v>1</v>
      </c>
      <c r="F442">
        <v>1</v>
      </c>
      <c r="G442">
        <v>1</v>
      </c>
      <c r="H442">
        <v>3</v>
      </c>
      <c r="I442" t="s">
        <v>715</v>
      </c>
      <c r="J442" t="s">
        <v>716</v>
      </c>
      <c r="K442" t="s">
        <v>717</v>
      </c>
      <c r="L442">
        <v>1346</v>
      </c>
      <c r="N442">
        <v>1009</v>
      </c>
      <c r="O442" t="s">
        <v>60</v>
      </c>
      <c r="P442" t="s">
        <v>60</v>
      </c>
      <c r="Q442">
        <v>1</v>
      </c>
      <c r="W442">
        <v>0</v>
      </c>
      <c r="X442">
        <v>450790165</v>
      </c>
      <c r="Y442">
        <v>1.6000000000000001E-3</v>
      </c>
      <c r="AA442">
        <v>2.15</v>
      </c>
      <c r="AB442">
        <v>0</v>
      </c>
      <c r="AC442">
        <v>0</v>
      </c>
      <c r="AD442">
        <v>0</v>
      </c>
      <c r="AE442">
        <v>2.15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</v>
      </c>
      <c r="AT442">
        <v>1.6000000000000001E-3</v>
      </c>
      <c r="AU442" t="s">
        <v>6</v>
      </c>
      <c r="AV442">
        <v>0</v>
      </c>
      <c r="AW442">
        <v>2</v>
      </c>
      <c r="AX442">
        <v>27935957</v>
      </c>
      <c r="AY442">
        <v>1</v>
      </c>
      <c r="AZ442">
        <v>0</v>
      </c>
      <c r="BA442">
        <v>448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Y442*Source!I150</f>
        <v>8.0000000000000007E-5</v>
      </c>
      <c r="CY442">
        <f t="shared" si="70"/>
        <v>2.15</v>
      </c>
      <c r="CZ442">
        <f t="shared" si="71"/>
        <v>2.15</v>
      </c>
      <c r="DA442">
        <f t="shared" si="72"/>
        <v>1</v>
      </c>
      <c r="DB442">
        <f t="shared" si="73"/>
        <v>0</v>
      </c>
      <c r="DC442">
        <f t="shared" si="74"/>
        <v>0</v>
      </c>
    </row>
    <row r="443" spans="1:107" x14ac:dyDescent="0.2">
      <c r="A443">
        <f>ROW(Source!A150)</f>
        <v>150</v>
      </c>
      <c r="B443">
        <v>27935367</v>
      </c>
      <c r="C443">
        <v>27935935</v>
      </c>
      <c r="D443">
        <v>25215465</v>
      </c>
      <c r="E443">
        <v>1</v>
      </c>
      <c r="F443">
        <v>1</v>
      </c>
      <c r="G443">
        <v>1</v>
      </c>
      <c r="H443">
        <v>3</v>
      </c>
      <c r="I443" t="s">
        <v>328</v>
      </c>
      <c r="J443" t="s">
        <v>330</v>
      </c>
      <c r="K443" t="s">
        <v>329</v>
      </c>
      <c r="L443">
        <v>1354</v>
      </c>
      <c r="N443">
        <v>1010</v>
      </c>
      <c r="O443" t="s">
        <v>282</v>
      </c>
      <c r="P443" t="s">
        <v>282</v>
      </c>
      <c r="Q443">
        <v>1</v>
      </c>
      <c r="W443">
        <v>0</v>
      </c>
      <c r="X443">
        <v>-697268462</v>
      </c>
      <c r="Y443">
        <v>143</v>
      </c>
      <c r="AA443">
        <v>8.09</v>
      </c>
      <c r="AB443">
        <v>0</v>
      </c>
      <c r="AC443">
        <v>0</v>
      </c>
      <c r="AD443">
        <v>0</v>
      </c>
      <c r="AE443">
        <v>8.09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6</v>
      </c>
      <c r="AT443">
        <v>143</v>
      </c>
      <c r="AU443" t="s">
        <v>6</v>
      </c>
      <c r="AV443">
        <v>0</v>
      </c>
      <c r="AW443">
        <v>1</v>
      </c>
      <c r="AX443">
        <v>-1</v>
      </c>
      <c r="AY443">
        <v>0</v>
      </c>
      <c r="AZ443">
        <v>0</v>
      </c>
      <c r="BA443" t="s">
        <v>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Y443*Source!I150</f>
        <v>7.15</v>
      </c>
      <c r="CY443">
        <f t="shared" si="70"/>
        <v>8.09</v>
      </c>
      <c r="CZ443">
        <f t="shared" si="71"/>
        <v>8.09</v>
      </c>
      <c r="DA443">
        <f t="shared" si="72"/>
        <v>1</v>
      </c>
      <c r="DB443">
        <f t="shared" si="73"/>
        <v>1156.8699999999999</v>
      </c>
      <c r="DC443">
        <f t="shared" si="74"/>
        <v>0</v>
      </c>
    </row>
    <row r="444" spans="1:107" x14ac:dyDescent="0.2">
      <c r="A444">
        <f>ROW(Source!A150)</f>
        <v>150</v>
      </c>
      <c r="B444">
        <v>27935367</v>
      </c>
      <c r="C444">
        <v>27935935</v>
      </c>
      <c r="D444">
        <v>25216067</v>
      </c>
      <c r="E444">
        <v>1</v>
      </c>
      <c r="F444">
        <v>1</v>
      </c>
      <c r="G444">
        <v>1</v>
      </c>
      <c r="H444">
        <v>3</v>
      </c>
      <c r="I444" t="s">
        <v>332</v>
      </c>
      <c r="J444" t="s">
        <v>334</v>
      </c>
      <c r="K444" t="s">
        <v>333</v>
      </c>
      <c r="L444">
        <v>1301</v>
      </c>
      <c r="N444">
        <v>1003</v>
      </c>
      <c r="O444" t="s">
        <v>45</v>
      </c>
      <c r="P444" t="s">
        <v>45</v>
      </c>
      <c r="Q444">
        <v>1</v>
      </c>
      <c r="W444">
        <v>0</v>
      </c>
      <c r="X444">
        <v>-2002545417</v>
      </c>
      <c r="Y444">
        <v>100.5</v>
      </c>
      <c r="AA444">
        <v>4.5999999999999996</v>
      </c>
      <c r="AB444">
        <v>0</v>
      </c>
      <c r="AC444">
        <v>0</v>
      </c>
      <c r="AD444">
        <v>0</v>
      </c>
      <c r="AE444">
        <v>4.5999999999999996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0</v>
      </c>
      <c r="AP444">
        <v>0</v>
      </c>
      <c r="AQ444">
        <v>0</v>
      </c>
      <c r="AR444">
        <v>0</v>
      </c>
      <c r="AS444" t="s">
        <v>6</v>
      </c>
      <c r="AT444">
        <v>100.5</v>
      </c>
      <c r="AU444" t="s">
        <v>6</v>
      </c>
      <c r="AV444">
        <v>0</v>
      </c>
      <c r="AW444">
        <v>1</v>
      </c>
      <c r="AX444">
        <v>-1</v>
      </c>
      <c r="AY444">
        <v>0</v>
      </c>
      <c r="AZ444">
        <v>0</v>
      </c>
      <c r="BA444" t="s">
        <v>6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Y444*Source!I150</f>
        <v>5.0250000000000004</v>
      </c>
      <c r="CY444">
        <f t="shared" si="70"/>
        <v>4.5999999999999996</v>
      </c>
      <c r="CZ444">
        <f t="shared" si="71"/>
        <v>4.5999999999999996</v>
      </c>
      <c r="DA444">
        <f t="shared" si="72"/>
        <v>1</v>
      </c>
      <c r="DB444">
        <f t="shared" si="73"/>
        <v>462.3</v>
      </c>
      <c r="DC444">
        <f t="shared" si="74"/>
        <v>0</v>
      </c>
    </row>
    <row r="445" spans="1:107" x14ac:dyDescent="0.2">
      <c r="A445">
        <f>ROW(Source!A151)</f>
        <v>151</v>
      </c>
      <c r="B445">
        <v>27935368</v>
      </c>
      <c r="C445">
        <v>27935935</v>
      </c>
      <c r="D445">
        <v>25418254</v>
      </c>
      <c r="E445">
        <v>1</v>
      </c>
      <c r="F445">
        <v>1</v>
      </c>
      <c r="G445">
        <v>1</v>
      </c>
      <c r="H445">
        <v>1</v>
      </c>
      <c r="I445" t="s">
        <v>700</v>
      </c>
      <c r="J445" t="s">
        <v>6</v>
      </c>
      <c r="K445" t="s">
        <v>701</v>
      </c>
      <c r="L445">
        <v>1191</v>
      </c>
      <c r="N445">
        <v>1013</v>
      </c>
      <c r="O445" t="s">
        <v>459</v>
      </c>
      <c r="P445" t="s">
        <v>459</v>
      </c>
      <c r="Q445">
        <v>1</v>
      </c>
      <c r="W445">
        <v>0</v>
      </c>
      <c r="X445">
        <v>1983201532</v>
      </c>
      <c r="Y445">
        <v>111.49249999999999</v>
      </c>
      <c r="AA445">
        <v>0</v>
      </c>
      <c r="AB445">
        <v>0</v>
      </c>
      <c r="AC445">
        <v>0</v>
      </c>
      <c r="AD445">
        <v>58.11</v>
      </c>
      <c r="AE445">
        <v>0</v>
      </c>
      <c r="AF445">
        <v>0</v>
      </c>
      <c r="AG445">
        <v>0</v>
      </c>
      <c r="AH445">
        <v>9.51</v>
      </c>
      <c r="AI445">
        <v>1</v>
      </c>
      <c r="AJ445">
        <v>1</v>
      </c>
      <c r="AK445">
        <v>1</v>
      </c>
      <c r="AL445">
        <v>6.11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96.95</v>
      </c>
      <c r="AU445" t="s">
        <v>28</v>
      </c>
      <c r="AV445">
        <v>1</v>
      </c>
      <c r="AW445">
        <v>2</v>
      </c>
      <c r="AX445">
        <v>27935948</v>
      </c>
      <c r="AY445">
        <v>1</v>
      </c>
      <c r="AZ445">
        <v>0</v>
      </c>
      <c r="BA445">
        <v>453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Y445*Source!I151</f>
        <v>5.5746250000000002</v>
      </c>
      <c r="CY445">
        <f>AD445</f>
        <v>58.11</v>
      </c>
      <c r="CZ445">
        <f>AH445</f>
        <v>9.51</v>
      </c>
      <c r="DA445">
        <f>AL445</f>
        <v>6.11</v>
      </c>
      <c r="DB445">
        <f>ROUND((ROUND(AT445*CZ445,2)*1.15),2)</f>
        <v>1060.29</v>
      </c>
      <c r="DC445">
        <f>ROUND((ROUND(AT445*AG445,2)*1.15),2)</f>
        <v>0</v>
      </c>
    </row>
    <row r="446" spans="1:107" x14ac:dyDescent="0.2">
      <c r="A446">
        <f>ROW(Source!A151)</f>
        <v>151</v>
      </c>
      <c r="B446">
        <v>27935368</v>
      </c>
      <c r="C446">
        <v>27935935</v>
      </c>
      <c r="D446">
        <v>25412928</v>
      </c>
      <c r="E446">
        <v>1</v>
      </c>
      <c r="F446">
        <v>1</v>
      </c>
      <c r="G446">
        <v>1</v>
      </c>
      <c r="H446">
        <v>1</v>
      </c>
      <c r="I446" t="s">
        <v>460</v>
      </c>
      <c r="J446" t="s">
        <v>6</v>
      </c>
      <c r="K446" t="s">
        <v>461</v>
      </c>
      <c r="L446">
        <v>1191</v>
      </c>
      <c r="N446">
        <v>1013</v>
      </c>
      <c r="O446" t="s">
        <v>459</v>
      </c>
      <c r="P446" t="s">
        <v>459</v>
      </c>
      <c r="Q446">
        <v>1</v>
      </c>
      <c r="W446">
        <v>0</v>
      </c>
      <c r="X446">
        <v>-1417349443</v>
      </c>
      <c r="Y446">
        <v>0.01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6.11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0.01</v>
      </c>
      <c r="AU446" t="s">
        <v>6</v>
      </c>
      <c r="AV446">
        <v>2</v>
      </c>
      <c r="AW446">
        <v>2</v>
      </c>
      <c r="AX446">
        <v>27935949</v>
      </c>
      <c r="AY446">
        <v>1</v>
      </c>
      <c r="AZ446">
        <v>2048</v>
      </c>
      <c r="BA446">
        <v>454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Y446*Source!I151</f>
        <v>5.0000000000000001E-4</v>
      </c>
      <c r="CY446">
        <f>AD446</f>
        <v>0</v>
      </c>
      <c r="CZ446">
        <f>AH446</f>
        <v>0</v>
      </c>
      <c r="DA446">
        <f>AL446</f>
        <v>1</v>
      </c>
      <c r="DB446">
        <f>ROUND(ROUND(AT446*CZ446,2),2)</f>
        <v>0</v>
      </c>
      <c r="DC446">
        <f>ROUND(ROUND(AT446*AG446,2),2)</f>
        <v>0</v>
      </c>
    </row>
    <row r="447" spans="1:107" x14ac:dyDescent="0.2">
      <c r="A447">
        <f>ROW(Source!A151)</f>
        <v>151</v>
      </c>
      <c r="B447">
        <v>27935368</v>
      </c>
      <c r="C447">
        <v>27935935</v>
      </c>
      <c r="D447">
        <v>25230116</v>
      </c>
      <c r="E447">
        <v>1</v>
      </c>
      <c r="F447">
        <v>1</v>
      </c>
      <c r="G447">
        <v>1</v>
      </c>
      <c r="H447">
        <v>2</v>
      </c>
      <c r="I447" t="s">
        <v>567</v>
      </c>
      <c r="J447" t="s">
        <v>568</v>
      </c>
      <c r="K447" t="s">
        <v>569</v>
      </c>
      <c r="L447">
        <v>1368</v>
      </c>
      <c r="N447">
        <v>1011</v>
      </c>
      <c r="O447" t="s">
        <v>465</v>
      </c>
      <c r="P447" t="s">
        <v>465</v>
      </c>
      <c r="Q447">
        <v>1</v>
      </c>
      <c r="W447">
        <v>0</v>
      </c>
      <c r="X447">
        <v>257150282</v>
      </c>
      <c r="Y447">
        <v>3.7499999999999999E-3</v>
      </c>
      <c r="AA447">
        <v>0</v>
      </c>
      <c r="AB447">
        <v>509.76</v>
      </c>
      <c r="AC447">
        <v>13.5</v>
      </c>
      <c r="AD447">
        <v>0</v>
      </c>
      <c r="AE447">
        <v>0</v>
      </c>
      <c r="AF447">
        <v>83.43</v>
      </c>
      <c r="AG447">
        <v>13.5</v>
      </c>
      <c r="AH447">
        <v>0</v>
      </c>
      <c r="AI447">
        <v>1</v>
      </c>
      <c r="AJ447">
        <v>6.11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3.0000000000000001E-3</v>
      </c>
      <c r="AU447" t="s">
        <v>27</v>
      </c>
      <c r="AV447">
        <v>0</v>
      </c>
      <c r="AW447">
        <v>2</v>
      </c>
      <c r="AX447">
        <v>27935950</v>
      </c>
      <c r="AY447">
        <v>1</v>
      </c>
      <c r="AZ447">
        <v>0</v>
      </c>
      <c r="BA447">
        <v>455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Y447*Source!I151</f>
        <v>1.875E-4</v>
      </c>
      <c r="CY447">
        <f>AB447</f>
        <v>509.76</v>
      </c>
      <c r="CZ447">
        <f>AF447</f>
        <v>83.43</v>
      </c>
      <c r="DA447">
        <f>AJ447</f>
        <v>6.11</v>
      </c>
      <c r="DB447">
        <f>ROUND((ROUND(AT447*CZ447,2)*1.25),2)</f>
        <v>0.31</v>
      </c>
      <c r="DC447">
        <f>ROUND((ROUND(AT447*AG447,2)*1.25),2)</f>
        <v>0.05</v>
      </c>
    </row>
    <row r="448" spans="1:107" x14ac:dyDescent="0.2">
      <c r="A448">
        <f>ROW(Source!A151)</f>
        <v>151</v>
      </c>
      <c r="B448">
        <v>27935368</v>
      </c>
      <c r="C448">
        <v>27935935</v>
      </c>
      <c r="D448">
        <v>25230218</v>
      </c>
      <c r="E448">
        <v>1</v>
      </c>
      <c r="F448">
        <v>1</v>
      </c>
      <c r="G448">
        <v>1</v>
      </c>
      <c r="H448">
        <v>2</v>
      </c>
      <c r="I448" t="s">
        <v>570</v>
      </c>
      <c r="J448" t="s">
        <v>571</v>
      </c>
      <c r="K448" t="s">
        <v>572</v>
      </c>
      <c r="L448">
        <v>1368</v>
      </c>
      <c r="N448">
        <v>1011</v>
      </c>
      <c r="O448" t="s">
        <v>465</v>
      </c>
      <c r="P448" t="s">
        <v>465</v>
      </c>
      <c r="Q448">
        <v>1</v>
      </c>
      <c r="W448">
        <v>0</v>
      </c>
      <c r="X448">
        <v>1330025190</v>
      </c>
      <c r="Y448">
        <v>5.0000000000000001E-3</v>
      </c>
      <c r="AA448">
        <v>0</v>
      </c>
      <c r="AB448">
        <v>537.74</v>
      </c>
      <c r="AC448">
        <v>11.6</v>
      </c>
      <c r="AD448">
        <v>0</v>
      </c>
      <c r="AE448">
        <v>0</v>
      </c>
      <c r="AF448">
        <v>88.01</v>
      </c>
      <c r="AG448">
        <v>11.6</v>
      </c>
      <c r="AH448">
        <v>0</v>
      </c>
      <c r="AI448">
        <v>1</v>
      </c>
      <c r="AJ448">
        <v>6.11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4.0000000000000001E-3</v>
      </c>
      <c r="AU448" t="s">
        <v>27</v>
      </c>
      <c r="AV448">
        <v>0</v>
      </c>
      <c r="AW448">
        <v>2</v>
      </c>
      <c r="AX448">
        <v>27935951</v>
      </c>
      <c r="AY448">
        <v>1</v>
      </c>
      <c r="AZ448">
        <v>0</v>
      </c>
      <c r="BA448">
        <v>456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Y448*Source!I151</f>
        <v>2.5000000000000001E-4</v>
      </c>
      <c r="CY448">
        <f>AB448</f>
        <v>537.74</v>
      </c>
      <c r="CZ448">
        <f>AF448</f>
        <v>88.01</v>
      </c>
      <c r="DA448">
        <f>AJ448</f>
        <v>6.11</v>
      </c>
      <c r="DB448">
        <f>ROUND((ROUND(AT448*CZ448,2)*1.25),2)</f>
        <v>0.44</v>
      </c>
      <c r="DC448">
        <f>ROUND((ROUND(AT448*AG448,2)*1.25),2)</f>
        <v>0.06</v>
      </c>
    </row>
    <row r="449" spans="1:107" x14ac:dyDescent="0.2">
      <c r="A449">
        <f>ROW(Source!A151)</f>
        <v>151</v>
      </c>
      <c r="B449">
        <v>27935368</v>
      </c>
      <c r="C449">
        <v>27935935</v>
      </c>
      <c r="D449">
        <v>25231327</v>
      </c>
      <c r="E449">
        <v>1</v>
      </c>
      <c r="F449">
        <v>1</v>
      </c>
      <c r="G449">
        <v>1</v>
      </c>
      <c r="H449">
        <v>2</v>
      </c>
      <c r="I449" t="s">
        <v>702</v>
      </c>
      <c r="J449" t="s">
        <v>703</v>
      </c>
      <c r="K449" t="s">
        <v>704</v>
      </c>
      <c r="L449">
        <v>1368</v>
      </c>
      <c r="N449">
        <v>1011</v>
      </c>
      <c r="O449" t="s">
        <v>465</v>
      </c>
      <c r="P449" t="s">
        <v>465</v>
      </c>
      <c r="Q449">
        <v>1</v>
      </c>
      <c r="W449">
        <v>0</v>
      </c>
      <c r="X449">
        <v>-1347092713</v>
      </c>
      <c r="Y449">
        <v>1.5874999999999999</v>
      </c>
      <c r="AA449">
        <v>0</v>
      </c>
      <c r="AB449">
        <v>181.28</v>
      </c>
      <c r="AC449">
        <v>0</v>
      </c>
      <c r="AD449">
        <v>0</v>
      </c>
      <c r="AE449">
        <v>0</v>
      </c>
      <c r="AF449">
        <v>29.67</v>
      </c>
      <c r="AG449">
        <v>0</v>
      </c>
      <c r="AH449">
        <v>0</v>
      </c>
      <c r="AI449">
        <v>1</v>
      </c>
      <c r="AJ449">
        <v>6.11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1.27</v>
      </c>
      <c r="AU449" t="s">
        <v>27</v>
      </c>
      <c r="AV449">
        <v>0</v>
      </c>
      <c r="AW449">
        <v>2</v>
      </c>
      <c r="AX449">
        <v>27935952</v>
      </c>
      <c r="AY449">
        <v>1</v>
      </c>
      <c r="AZ449">
        <v>0</v>
      </c>
      <c r="BA449">
        <v>457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Y449*Source!I151</f>
        <v>7.9375000000000001E-2</v>
      </c>
      <c r="CY449">
        <f>AB449</f>
        <v>181.28</v>
      </c>
      <c r="CZ449">
        <f>AF449</f>
        <v>29.67</v>
      </c>
      <c r="DA449">
        <f>AJ449</f>
        <v>6.11</v>
      </c>
      <c r="DB449">
        <f>ROUND((ROUND(AT449*CZ449,2)*1.25),2)</f>
        <v>47.1</v>
      </c>
      <c r="DC449">
        <f>ROUND((ROUND(AT449*AG449,2)*1.25),2)</f>
        <v>0</v>
      </c>
    </row>
    <row r="450" spans="1:107" x14ac:dyDescent="0.2">
      <c r="A450">
        <f>ROW(Source!A151)</f>
        <v>151</v>
      </c>
      <c r="B450">
        <v>27935368</v>
      </c>
      <c r="C450">
        <v>27935935</v>
      </c>
      <c r="D450">
        <v>25231844</v>
      </c>
      <c r="E450">
        <v>1</v>
      </c>
      <c r="F450">
        <v>1</v>
      </c>
      <c r="G450">
        <v>1</v>
      </c>
      <c r="H450">
        <v>2</v>
      </c>
      <c r="I450" t="s">
        <v>705</v>
      </c>
      <c r="J450" t="s">
        <v>706</v>
      </c>
      <c r="K450" t="s">
        <v>707</v>
      </c>
      <c r="L450">
        <v>1368</v>
      </c>
      <c r="N450">
        <v>1011</v>
      </c>
      <c r="O450" t="s">
        <v>465</v>
      </c>
      <c r="P450" t="s">
        <v>465</v>
      </c>
      <c r="Q450">
        <v>1</v>
      </c>
      <c r="W450">
        <v>0</v>
      </c>
      <c r="X450">
        <v>1489131384</v>
      </c>
      <c r="Y450">
        <v>20.474999999999998</v>
      </c>
      <c r="AA450">
        <v>0</v>
      </c>
      <c r="AB450">
        <v>160.38999999999999</v>
      </c>
      <c r="AC450">
        <v>0</v>
      </c>
      <c r="AD450">
        <v>0</v>
      </c>
      <c r="AE450">
        <v>0</v>
      </c>
      <c r="AF450">
        <v>26.25</v>
      </c>
      <c r="AG450">
        <v>0</v>
      </c>
      <c r="AH450">
        <v>0</v>
      </c>
      <c r="AI450">
        <v>1</v>
      </c>
      <c r="AJ450">
        <v>6.11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16.38</v>
      </c>
      <c r="AU450" t="s">
        <v>27</v>
      </c>
      <c r="AV450">
        <v>0</v>
      </c>
      <c r="AW450">
        <v>2</v>
      </c>
      <c r="AX450">
        <v>27935953</v>
      </c>
      <c r="AY450">
        <v>1</v>
      </c>
      <c r="AZ450">
        <v>0</v>
      </c>
      <c r="BA450">
        <v>458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Y450*Source!I151</f>
        <v>1.0237499999999999</v>
      </c>
      <c r="CY450">
        <f>AB450</f>
        <v>160.38999999999999</v>
      </c>
      <c r="CZ450">
        <f>AF450</f>
        <v>26.25</v>
      </c>
      <c r="DA450">
        <f>AJ450</f>
        <v>6.11</v>
      </c>
      <c r="DB450">
        <f>ROUND((ROUND(AT450*CZ450,2)*1.25),2)</f>
        <v>537.48</v>
      </c>
      <c r="DC450">
        <f>ROUND((ROUND(AT450*AG450,2)*1.25),2)</f>
        <v>0</v>
      </c>
    </row>
    <row r="451" spans="1:107" x14ac:dyDescent="0.2">
      <c r="A451">
        <f>ROW(Source!A151)</f>
        <v>151</v>
      </c>
      <c r="B451">
        <v>27935368</v>
      </c>
      <c r="C451">
        <v>27935935</v>
      </c>
      <c r="D451">
        <v>25149961</v>
      </c>
      <c r="E451">
        <v>1</v>
      </c>
      <c r="F451">
        <v>1</v>
      </c>
      <c r="G451">
        <v>1</v>
      </c>
      <c r="H451">
        <v>3</v>
      </c>
      <c r="I451" t="s">
        <v>558</v>
      </c>
      <c r="J451" t="s">
        <v>559</v>
      </c>
      <c r="K451" t="s">
        <v>560</v>
      </c>
      <c r="L451">
        <v>1339</v>
      </c>
      <c r="N451">
        <v>1007</v>
      </c>
      <c r="O451" t="s">
        <v>133</v>
      </c>
      <c r="P451" t="s">
        <v>133</v>
      </c>
      <c r="Q451">
        <v>1</v>
      </c>
      <c r="W451">
        <v>0</v>
      </c>
      <c r="X451">
        <v>-1660354250</v>
      </c>
      <c r="Y451">
        <v>0.14399999999999999</v>
      </c>
      <c r="AA451">
        <v>14.91</v>
      </c>
      <c r="AB451">
        <v>0</v>
      </c>
      <c r="AC451">
        <v>0</v>
      </c>
      <c r="AD451">
        <v>0</v>
      </c>
      <c r="AE451">
        <v>2.44</v>
      </c>
      <c r="AF451">
        <v>0</v>
      </c>
      <c r="AG451">
        <v>0</v>
      </c>
      <c r="AH451">
        <v>0</v>
      </c>
      <c r="AI451">
        <v>6.11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0.14399999999999999</v>
      </c>
      <c r="AU451" t="s">
        <v>6</v>
      </c>
      <c r="AV451">
        <v>0</v>
      </c>
      <c r="AW451">
        <v>2</v>
      </c>
      <c r="AX451">
        <v>27935954</v>
      </c>
      <c r="AY451">
        <v>1</v>
      </c>
      <c r="AZ451">
        <v>0</v>
      </c>
      <c r="BA451">
        <v>459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Y451*Source!I151</f>
        <v>7.1999999999999998E-3</v>
      </c>
      <c r="CY451">
        <f t="shared" ref="CY451:CY456" si="75">AA451</f>
        <v>14.91</v>
      </c>
      <c r="CZ451">
        <f t="shared" ref="CZ451:CZ456" si="76">AE451</f>
        <v>2.44</v>
      </c>
      <c r="DA451">
        <f t="shared" ref="DA451:DA456" si="77">AI451</f>
        <v>6.11</v>
      </c>
      <c r="DB451">
        <f t="shared" ref="DB451:DB456" si="78">ROUND(ROUND(AT451*CZ451,2),2)</f>
        <v>0.35</v>
      </c>
      <c r="DC451">
        <f t="shared" ref="DC451:DC456" si="79">ROUND(ROUND(AT451*AG451,2),2)</f>
        <v>0</v>
      </c>
    </row>
    <row r="452" spans="1:107" x14ac:dyDescent="0.2">
      <c r="A452">
        <f>ROW(Source!A151)</f>
        <v>151</v>
      </c>
      <c r="B452">
        <v>27935368</v>
      </c>
      <c r="C452">
        <v>27935935</v>
      </c>
      <c r="D452">
        <v>25152631</v>
      </c>
      <c r="E452">
        <v>1</v>
      </c>
      <c r="F452">
        <v>1</v>
      </c>
      <c r="G452">
        <v>1</v>
      </c>
      <c r="H452">
        <v>3</v>
      </c>
      <c r="I452" t="s">
        <v>708</v>
      </c>
      <c r="J452" t="s">
        <v>709</v>
      </c>
      <c r="K452" t="s">
        <v>710</v>
      </c>
      <c r="L452">
        <v>1348</v>
      </c>
      <c r="N452">
        <v>1009</v>
      </c>
      <c r="O452" t="s">
        <v>65</v>
      </c>
      <c r="P452" t="s">
        <v>65</v>
      </c>
      <c r="Q452">
        <v>1000</v>
      </c>
      <c r="W452">
        <v>0</v>
      </c>
      <c r="X452">
        <v>-172112227</v>
      </c>
      <c r="Y452">
        <v>8.9999999999999998E-4</v>
      </c>
      <c r="AA452">
        <v>80570.98</v>
      </c>
      <c r="AB452">
        <v>0</v>
      </c>
      <c r="AC452">
        <v>0</v>
      </c>
      <c r="AD452">
        <v>0</v>
      </c>
      <c r="AE452">
        <v>13186.74</v>
      </c>
      <c r="AF452">
        <v>0</v>
      </c>
      <c r="AG452">
        <v>0</v>
      </c>
      <c r="AH452">
        <v>0</v>
      </c>
      <c r="AI452">
        <v>6.11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8.9999999999999998E-4</v>
      </c>
      <c r="AU452" t="s">
        <v>6</v>
      </c>
      <c r="AV452">
        <v>0</v>
      </c>
      <c r="AW452">
        <v>2</v>
      </c>
      <c r="AX452">
        <v>27935955</v>
      </c>
      <c r="AY452">
        <v>1</v>
      </c>
      <c r="AZ452">
        <v>0</v>
      </c>
      <c r="BA452">
        <v>460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Y452*Source!I151</f>
        <v>4.5000000000000003E-5</v>
      </c>
      <c r="CY452">
        <f t="shared" si="75"/>
        <v>80570.98</v>
      </c>
      <c r="CZ452">
        <f t="shared" si="76"/>
        <v>13186.74</v>
      </c>
      <c r="DA452">
        <f t="shared" si="77"/>
        <v>6.11</v>
      </c>
      <c r="DB452">
        <f t="shared" si="78"/>
        <v>11.87</v>
      </c>
      <c r="DC452">
        <f t="shared" si="79"/>
        <v>0</v>
      </c>
    </row>
    <row r="453" spans="1:107" x14ac:dyDescent="0.2">
      <c r="A453">
        <f>ROW(Source!A151)</f>
        <v>151</v>
      </c>
      <c r="B453">
        <v>27935368</v>
      </c>
      <c r="C453">
        <v>27935935</v>
      </c>
      <c r="D453">
        <v>25152750</v>
      </c>
      <c r="E453">
        <v>1</v>
      </c>
      <c r="F453">
        <v>1</v>
      </c>
      <c r="G453">
        <v>1</v>
      </c>
      <c r="H453">
        <v>3</v>
      </c>
      <c r="I453" t="s">
        <v>711</v>
      </c>
      <c r="J453" t="s">
        <v>712</v>
      </c>
      <c r="K453" t="s">
        <v>713</v>
      </c>
      <c r="L453">
        <v>1356</v>
      </c>
      <c r="N453">
        <v>1010</v>
      </c>
      <c r="O453" t="s">
        <v>714</v>
      </c>
      <c r="P453" t="s">
        <v>714</v>
      </c>
      <c r="Q453">
        <v>1000</v>
      </c>
      <c r="W453">
        <v>0</v>
      </c>
      <c r="X453">
        <v>1975348994</v>
      </c>
      <c r="Y453">
        <v>0.14299999999999999</v>
      </c>
      <c r="AA453">
        <v>1099.8</v>
      </c>
      <c r="AB453">
        <v>0</v>
      </c>
      <c r="AC453">
        <v>0</v>
      </c>
      <c r="AD453">
        <v>0</v>
      </c>
      <c r="AE453">
        <v>180</v>
      </c>
      <c r="AF453">
        <v>0</v>
      </c>
      <c r="AG453">
        <v>0</v>
      </c>
      <c r="AH453">
        <v>0</v>
      </c>
      <c r="AI453">
        <v>6.11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0.14299999999999999</v>
      </c>
      <c r="AU453" t="s">
        <v>6</v>
      </c>
      <c r="AV453">
        <v>0</v>
      </c>
      <c r="AW453">
        <v>2</v>
      </c>
      <c r="AX453">
        <v>27935956</v>
      </c>
      <c r="AY453">
        <v>1</v>
      </c>
      <c r="AZ453">
        <v>0</v>
      </c>
      <c r="BA453">
        <v>461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Y453*Source!I151</f>
        <v>7.1500000000000001E-3</v>
      </c>
      <c r="CY453">
        <f t="shared" si="75"/>
        <v>1099.8</v>
      </c>
      <c r="CZ453">
        <f t="shared" si="76"/>
        <v>180</v>
      </c>
      <c r="DA453">
        <f t="shared" si="77"/>
        <v>6.11</v>
      </c>
      <c r="DB453">
        <f t="shared" si="78"/>
        <v>25.74</v>
      </c>
      <c r="DC453">
        <f t="shared" si="79"/>
        <v>0</v>
      </c>
    </row>
    <row r="454" spans="1:107" x14ac:dyDescent="0.2">
      <c r="A454">
        <f>ROW(Source!A151)</f>
        <v>151</v>
      </c>
      <c r="B454">
        <v>27935368</v>
      </c>
      <c r="C454">
        <v>27935935</v>
      </c>
      <c r="D454">
        <v>25154689</v>
      </c>
      <c r="E454">
        <v>1</v>
      </c>
      <c r="F454">
        <v>1</v>
      </c>
      <c r="G454">
        <v>1</v>
      </c>
      <c r="H454">
        <v>3</v>
      </c>
      <c r="I454" t="s">
        <v>715</v>
      </c>
      <c r="J454" t="s">
        <v>716</v>
      </c>
      <c r="K454" t="s">
        <v>717</v>
      </c>
      <c r="L454">
        <v>1346</v>
      </c>
      <c r="N454">
        <v>1009</v>
      </c>
      <c r="O454" t="s">
        <v>60</v>
      </c>
      <c r="P454" t="s">
        <v>60</v>
      </c>
      <c r="Q454">
        <v>1</v>
      </c>
      <c r="W454">
        <v>0</v>
      </c>
      <c r="X454">
        <v>450790165</v>
      </c>
      <c r="Y454">
        <v>1.6000000000000001E-3</v>
      </c>
      <c r="AA454">
        <v>13.14</v>
      </c>
      <c r="AB454">
        <v>0</v>
      </c>
      <c r="AC454">
        <v>0</v>
      </c>
      <c r="AD454">
        <v>0</v>
      </c>
      <c r="AE454">
        <v>2.15</v>
      </c>
      <c r="AF454">
        <v>0</v>
      </c>
      <c r="AG454">
        <v>0</v>
      </c>
      <c r="AH454">
        <v>0</v>
      </c>
      <c r="AI454">
        <v>6.11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1.6000000000000001E-3</v>
      </c>
      <c r="AU454" t="s">
        <v>6</v>
      </c>
      <c r="AV454">
        <v>0</v>
      </c>
      <c r="AW454">
        <v>2</v>
      </c>
      <c r="AX454">
        <v>27935957</v>
      </c>
      <c r="AY454">
        <v>1</v>
      </c>
      <c r="AZ454">
        <v>0</v>
      </c>
      <c r="BA454">
        <v>462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Y454*Source!I151</f>
        <v>8.0000000000000007E-5</v>
      </c>
      <c r="CY454">
        <f t="shared" si="75"/>
        <v>13.14</v>
      </c>
      <c r="CZ454">
        <f t="shared" si="76"/>
        <v>2.15</v>
      </c>
      <c r="DA454">
        <f t="shared" si="77"/>
        <v>6.11</v>
      </c>
      <c r="DB454">
        <f t="shared" si="78"/>
        <v>0</v>
      </c>
      <c r="DC454">
        <f t="shared" si="79"/>
        <v>0</v>
      </c>
    </row>
    <row r="455" spans="1:107" x14ac:dyDescent="0.2">
      <c r="A455">
        <f>ROW(Source!A151)</f>
        <v>151</v>
      </c>
      <c r="B455">
        <v>27935368</v>
      </c>
      <c r="C455">
        <v>27935935</v>
      </c>
      <c r="D455">
        <v>25215465</v>
      </c>
      <c r="E455">
        <v>1</v>
      </c>
      <c r="F455">
        <v>1</v>
      </c>
      <c r="G455">
        <v>1</v>
      </c>
      <c r="H455">
        <v>3</v>
      </c>
      <c r="I455" t="s">
        <v>328</v>
      </c>
      <c r="J455" t="s">
        <v>330</v>
      </c>
      <c r="K455" t="s">
        <v>329</v>
      </c>
      <c r="L455">
        <v>1354</v>
      </c>
      <c r="N455">
        <v>1010</v>
      </c>
      <c r="O455" t="s">
        <v>282</v>
      </c>
      <c r="P455" t="s">
        <v>282</v>
      </c>
      <c r="Q455">
        <v>1</v>
      </c>
      <c r="W455">
        <v>0</v>
      </c>
      <c r="X455">
        <v>-697268462</v>
      </c>
      <c r="Y455">
        <v>143</v>
      </c>
      <c r="AA455">
        <v>49.43</v>
      </c>
      <c r="AB455">
        <v>0</v>
      </c>
      <c r="AC455">
        <v>0</v>
      </c>
      <c r="AD455">
        <v>0</v>
      </c>
      <c r="AE455">
        <v>8.09</v>
      </c>
      <c r="AF455">
        <v>0</v>
      </c>
      <c r="AG455">
        <v>0</v>
      </c>
      <c r="AH455">
        <v>0</v>
      </c>
      <c r="AI455">
        <v>6.11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6</v>
      </c>
      <c r="AT455">
        <v>143</v>
      </c>
      <c r="AU455" t="s">
        <v>6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Y455*Source!I151</f>
        <v>7.15</v>
      </c>
      <c r="CY455">
        <f t="shared" si="75"/>
        <v>49.43</v>
      </c>
      <c r="CZ455">
        <f t="shared" si="76"/>
        <v>8.09</v>
      </c>
      <c r="DA455">
        <f t="shared" si="77"/>
        <v>6.11</v>
      </c>
      <c r="DB455">
        <f t="shared" si="78"/>
        <v>1156.8699999999999</v>
      </c>
      <c r="DC455">
        <f t="shared" si="79"/>
        <v>0</v>
      </c>
    </row>
    <row r="456" spans="1:107" x14ac:dyDescent="0.2">
      <c r="A456">
        <f>ROW(Source!A151)</f>
        <v>151</v>
      </c>
      <c r="B456">
        <v>27935368</v>
      </c>
      <c r="C456">
        <v>27935935</v>
      </c>
      <c r="D456">
        <v>25216067</v>
      </c>
      <c r="E456">
        <v>1</v>
      </c>
      <c r="F456">
        <v>1</v>
      </c>
      <c r="G456">
        <v>1</v>
      </c>
      <c r="H456">
        <v>3</v>
      </c>
      <c r="I456" t="s">
        <v>332</v>
      </c>
      <c r="J456" t="s">
        <v>334</v>
      </c>
      <c r="K456" t="s">
        <v>333</v>
      </c>
      <c r="L456">
        <v>1301</v>
      </c>
      <c r="N456">
        <v>1003</v>
      </c>
      <c r="O456" t="s">
        <v>45</v>
      </c>
      <c r="P456" t="s">
        <v>45</v>
      </c>
      <c r="Q456">
        <v>1</v>
      </c>
      <c r="W456">
        <v>0</v>
      </c>
      <c r="X456">
        <v>-2002545417</v>
      </c>
      <c r="Y456">
        <v>100.5</v>
      </c>
      <c r="AA456">
        <v>28.11</v>
      </c>
      <c r="AB456">
        <v>0</v>
      </c>
      <c r="AC456">
        <v>0</v>
      </c>
      <c r="AD456">
        <v>0</v>
      </c>
      <c r="AE456">
        <v>4.5999999999999996</v>
      </c>
      <c r="AF456">
        <v>0</v>
      </c>
      <c r="AG456">
        <v>0</v>
      </c>
      <c r="AH456">
        <v>0</v>
      </c>
      <c r="AI456">
        <v>6.11</v>
      </c>
      <c r="AJ456">
        <v>1</v>
      </c>
      <c r="AK456">
        <v>1</v>
      </c>
      <c r="AL456">
        <v>1</v>
      </c>
      <c r="AN456">
        <v>0</v>
      </c>
      <c r="AO456">
        <v>0</v>
      </c>
      <c r="AP456">
        <v>0</v>
      </c>
      <c r="AQ456">
        <v>0</v>
      </c>
      <c r="AR456">
        <v>0</v>
      </c>
      <c r="AS456" t="s">
        <v>6</v>
      </c>
      <c r="AT456">
        <v>100.5</v>
      </c>
      <c r="AU456" t="s">
        <v>6</v>
      </c>
      <c r="AV456">
        <v>0</v>
      </c>
      <c r="AW456">
        <v>1</v>
      </c>
      <c r="AX456">
        <v>-1</v>
      </c>
      <c r="AY456">
        <v>0</v>
      </c>
      <c r="AZ456">
        <v>0</v>
      </c>
      <c r="BA456" t="s">
        <v>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Y456*Source!I151</f>
        <v>5.0250000000000004</v>
      </c>
      <c r="CY456">
        <f t="shared" si="75"/>
        <v>28.11</v>
      </c>
      <c r="CZ456">
        <f t="shared" si="76"/>
        <v>4.5999999999999996</v>
      </c>
      <c r="DA456">
        <f t="shared" si="77"/>
        <v>6.11</v>
      </c>
      <c r="DB456">
        <f t="shared" si="78"/>
        <v>462.3</v>
      </c>
      <c r="DC456">
        <f t="shared" si="79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6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27935434</v>
      </c>
      <c r="C1">
        <v>27935430</v>
      </c>
      <c r="D1">
        <v>25416200</v>
      </c>
      <c r="E1">
        <v>1</v>
      </c>
      <c r="F1">
        <v>1</v>
      </c>
      <c r="G1">
        <v>1</v>
      </c>
      <c r="H1">
        <v>1</v>
      </c>
      <c r="I1" t="s">
        <v>457</v>
      </c>
      <c r="J1" t="s">
        <v>6</v>
      </c>
      <c r="K1" t="s">
        <v>458</v>
      </c>
      <c r="L1">
        <v>1191</v>
      </c>
      <c r="N1">
        <v>1013</v>
      </c>
      <c r="O1" t="s">
        <v>459</v>
      </c>
      <c r="P1" t="s">
        <v>459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27935431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27935435</v>
      </c>
      <c r="C2">
        <v>27935430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460</v>
      </c>
      <c r="J2" t="s">
        <v>6</v>
      </c>
      <c r="K2" t="s">
        <v>461</v>
      </c>
      <c r="L2">
        <v>1191</v>
      </c>
      <c r="N2">
        <v>1013</v>
      </c>
      <c r="O2" t="s">
        <v>459</v>
      </c>
      <c r="P2" t="s">
        <v>459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27935432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27935436</v>
      </c>
      <c r="C3">
        <v>27935430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462</v>
      </c>
      <c r="J3" t="s">
        <v>463</v>
      </c>
      <c r="K3" t="s">
        <v>464</v>
      </c>
      <c r="L3">
        <v>1368</v>
      </c>
      <c r="N3">
        <v>1011</v>
      </c>
      <c r="O3" t="s">
        <v>465</v>
      </c>
      <c r="P3" t="s">
        <v>465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27935433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27935434</v>
      </c>
      <c r="C4">
        <v>27935430</v>
      </c>
      <c r="D4">
        <v>25416200</v>
      </c>
      <c r="E4">
        <v>1</v>
      </c>
      <c r="F4">
        <v>1</v>
      </c>
      <c r="G4">
        <v>1</v>
      </c>
      <c r="H4">
        <v>1</v>
      </c>
      <c r="I4" t="s">
        <v>457</v>
      </c>
      <c r="J4" t="s">
        <v>6</v>
      </c>
      <c r="K4" t="s">
        <v>458</v>
      </c>
      <c r="L4">
        <v>1191</v>
      </c>
      <c r="N4">
        <v>1013</v>
      </c>
      <c r="O4" t="s">
        <v>459</v>
      </c>
      <c r="P4" t="s">
        <v>459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27935431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27935435</v>
      </c>
      <c r="C5">
        <v>27935430</v>
      </c>
      <c r="D5">
        <v>25412928</v>
      </c>
      <c r="E5">
        <v>1</v>
      </c>
      <c r="F5">
        <v>1</v>
      </c>
      <c r="G5">
        <v>1</v>
      </c>
      <c r="H5">
        <v>1</v>
      </c>
      <c r="I5" t="s">
        <v>460</v>
      </c>
      <c r="J5" t="s">
        <v>6</v>
      </c>
      <c r="K5" t="s">
        <v>461</v>
      </c>
      <c r="L5">
        <v>1191</v>
      </c>
      <c r="N5">
        <v>1013</v>
      </c>
      <c r="O5" t="s">
        <v>459</v>
      </c>
      <c r="P5" t="s">
        <v>459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27935432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27935436</v>
      </c>
      <c r="C6">
        <v>27935430</v>
      </c>
      <c r="D6">
        <v>25230514</v>
      </c>
      <c r="E6">
        <v>1</v>
      </c>
      <c r="F6">
        <v>1</v>
      </c>
      <c r="G6">
        <v>1</v>
      </c>
      <c r="H6">
        <v>2</v>
      </c>
      <c r="I6" t="s">
        <v>462</v>
      </c>
      <c r="J6" t="s">
        <v>463</v>
      </c>
      <c r="K6" t="s">
        <v>464</v>
      </c>
      <c r="L6">
        <v>1368</v>
      </c>
      <c r="N6">
        <v>1011</v>
      </c>
      <c r="O6" t="s">
        <v>465</v>
      </c>
      <c r="P6" t="s">
        <v>465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27935433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27935449</v>
      </c>
      <c r="C7">
        <v>27935437</v>
      </c>
      <c r="D7">
        <v>25418547</v>
      </c>
      <c r="E7">
        <v>1</v>
      </c>
      <c r="F7">
        <v>1</v>
      </c>
      <c r="G7">
        <v>1</v>
      </c>
      <c r="H7">
        <v>1</v>
      </c>
      <c r="I7" t="s">
        <v>466</v>
      </c>
      <c r="J7" t="s">
        <v>6</v>
      </c>
      <c r="K7" t="s">
        <v>467</v>
      </c>
      <c r="L7">
        <v>1191</v>
      </c>
      <c r="N7">
        <v>1013</v>
      </c>
      <c r="O7" t="s">
        <v>459</v>
      </c>
      <c r="P7" t="s">
        <v>459</v>
      </c>
      <c r="Q7">
        <v>1</v>
      </c>
      <c r="X7">
        <v>145.72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28</v>
      </c>
      <c r="AG7">
        <v>167.57799999999997</v>
      </c>
      <c r="AH7">
        <v>2</v>
      </c>
      <c r="AI7">
        <v>27935445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27935450</v>
      </c>
      <c r="C8">
        <v>27935437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460</v>
      </c>
      <c r="J8" t="s">
        <v>6</v>
      </c>
      <c r="K8" t="s">
        <v>461</v>
      </c>
      <c r="L8">
        <v>1191</v>
      </c>
      <c r="N8">
        <v>1013</v>
      </c>
      <c r="O8" t="s">
        <v>459</v>
      </c>
      <c r="P8" t="s">
        <v>459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27</v>
      </c>
      <c r="AG8">
        <v>5.2875000000000005</v>
      </c>
      <c r="AH8">
        <v>2</v>
      </c>
      <c r="AI8">
        <v>27935446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27935451</v>
      </c>
      <c r="C9">
        <v>27935437</v>
      </c>
      <c r="D9">
        <v>25230514</v>
      </c>
      <c r="E9">
        <v>1</v>
      </c>
      <c r="F9">
        <v>1</v>
      </c>
      <c r="G9">
        <v>1</v>
      </c>
      <c r="H9">
        <v>2</v>
      </c>
      <c r="I9" t="s">
        <v>462</v>
      </c>
      <c r="J9" t="s">
        <v>463</v>
      </c>
      <c r="K9" t="s">
        <v>464</v>
      </c>
      <c r="L9">
        <v>1368</v>
      </c>
      <c r="N9">
        <v>1011</v>
      </c>
      <c r="O9" t="s">
        <v>465</v>
      </c>
      <c r="P9" t="s">
        <v>465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27</v>
      </c>
      <c r="AG9">
        <v>0.82500000000000007</v>
      </c>
      <c r="AH9">
        <v>2</v>
      </c>
      <c r="AI9">
        <v>27935447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27935452</v>
      </c>
      <c r="C10">
        <v>27935437</v>
      </c>
      <c r="D10">
        <v>25231607</v>
      </c>
      <c r="E10">
        <v>1</v>
      </c>
      <c r="F10">
        <v>1</v>
      </c>
      <c r="G10">
        <v>1</v>
      </c>
      <c r="H10">
        <v>2</v>
      </c>
      <c r="I10" t="s">
        <v>468</v>
      </c>
      <c r="J10" t="s">
        <v>469</v>
      </c>
      <c r="K10" t="s">
        <v>470</v>
      </c>
      <c r="L10">
        <v>1368</v>
      </c>
      <c r="N10">
        <v>1011</v>
      </c>
      <c r="O10" t="s">
        <v>465</v>
      </c>
      <c r="P10" t="s">
        <v>465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27</v>
      </c>
      <c r="AG10">
        <v>4.4624999999999995</v>
      </c>
      <c r="AH10">
        <v>2</v>
      </c>
      <c r="AI10">
        <v>27935448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27935453</v>
      </c>
      <c r="C11">
        <v>27935437</v>
      </c>
      <c r="D11">
        <v>25150226</v>
      </c>
      <c r="E11">
        <v>1</v>
      </c>
      <c r="F11">
        <v>1</v>
      </c>
      <c r="G11">
        <v>1</v>
      </c>
      <c r="H11">
        <v>3</v>
      </c>
      <c r="I11" t="s">
        <v>471</v>
      </c>
      <c r="J11" t="s">
        <v>472</v>
      </c>
      <c r="K11" t="s">
        <v>473</v>
      </c>
      <c r="L11">
        <v>1301</v>
      </c>
      <c r="N11">
        <v>1003</v>
      </c>
      <c r="O11" t="s">
        <v>45</v>
      </c>
      <c r="P11" t="s">
        <v>45</v>
      </c>
      <c r="Q11">
        <v>1</v>
      </c>
      <c r="X11">
        <v>244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244</v>
      </c>
      <c r="AH11">
        <v>2</v>
      </c>
      <c r="AI11">
        <v>27935438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27935454</v>
      </c>
      <c r="C12">
        <v>27935437</v>
      </c>
      <c r="D12">
        <v>25150227</v>
      </c>
      <c r="E12">
        <v>1</v>
      </c>
      <c r="F12">
        <v>1</v>
      </c>
      <c r="G12">
        <v>1</v>
      </c>
      <c r="H12">
        <v>3</v>
      </c>
      <c r="I12" t="s">
        <v>474</v>
      </c>
      <c r="J12" t="s">
        <v>475</v>
      </c>
      <c r="K12" t="s">
        <v>476</v>
      </c>
      <c r="L12">
        <v>1301</v>
      </c>
      <c r="N12">
        <v>1003</v>
      </c>
      <c r="O12" t="s">
        <v>45</v>
      </c>
      <c r="P12" t="s">
        <v>45</v>
      </c>
      <c r="Q12">
        <v>1</v>
      </c>
      <c r="X12">
        <v>56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56</v>
      </c>
      <c r="AH12">
        <v>2</v>
      </c>
      <c r="AI12">
        <v>27935439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27935455</v>
      </c>
      <c r="C13">
        <v>27935437</v>
      </c>
      <c r="D13">
        <v>25150315</v>
      </c>
      <c r="E13">
        <v>1</v>
      </c>
      <c r="F13">
        <v>1</v>
      </c>
      <c r="G13">
        <v>1</v>
      </c>
      <c r="H13">
        <v>3</v>
      </c>
      <c r="I13" t="s">
        <v>477</v>
      </c>
      <c r="J13" t="s">
        <v>478</v>
      </c>
      <c r="K13" t="s">
        <v>479</v>
      </c>
      <c r="L13">
        <v>1302</v>
      </c>
      <c r="N13">
        <v>1003</v>
      </c>
      <c r="O13" t="s">
        <v>74</v>
      </c>
      <c r="P13" t="s">
        <v>74</v>
      </c>
      <c r="Q13">
        <v>10</v>
      </c>
      <c r="X13">
        <v>15.6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15.6</v>
      </c>
      <c r="AH13">
        <v>2</v>
      </c>
      <c r="AI13">
        <v>27935440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27935456</v>
      </c>
      <c r="C14">
        <v>27935437</v>
      </c>
      <c r="D14">
        <v>25152739</v>
      </c>
      <c r="E14">
        <v>1</v>
      </c>
      <c r="F14">
        <v>1</v>
      </c>
      <c r="G14">
        <v>1</v>
      </c>
      <c r="H14">
        <v>3</v>
      </c>
      <c r="I14" t="s">
        <v>480</v>
      </c>
      <c r="J14" t="s">
        <v>481</v>
      </c>
      <c r="K14" t="s">
        <v>482</v>
      </c>
      <c r="L14">
        <v>1358</v>
      </c>
      <c r="N14">
        <v>1010</v>
      </c>
      <c r="O14" t="s">
        <v>483</v>
      </c>
      <c r="P14" t="s">
        <v>483</v>
      </c>
      <c r="Q14">
        <v>10</v>
      </c>
      <c r="X14">
        <v>38.9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38.9</v>
      </c>
      <c r="AH14">
        <v>2</v>
      </c>
      <c r="AI14">
        <v>27935441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27935457</v>
      </c>
      <c r="C15">
        <v>27935437</v>
      </c>
      <c r="D15">
        <v>25145142</v>
      </c>
      <c r="E15">
        <v>17</v>
      </c>
      <c r="F15">
        <v>1</v>
      </c>
      <c r="G15">
        <v>1</v>
      </c>
      <c r="H15">
        <v>3</v>
      </c>
      <c r="I15" t="s">
        <v>718</v>
      </c>
      <c r="J15" t="s">
        <v>6</v>
      </c>
      <c r="K15" t="s">
        <v>719</v>
      </c>
      <c r="L15">
        <v>1327</v>
      </c>
      <c r="N15">
        <v>1005</v>
      </c>
      <c r="O15" t="s">
        <v>35</v>
      </c>
      <c r="P15" t="s">
        <v>35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27935458</v>
      </c>
      <c r="C16">
        <v>27935437</v>
      </c>
      <c r="D16">
        <v>25180423</v>
      </c>
      <c r="E16">
        <v>1</v>
      </c>
      <c r="F16">
        <v>1</v>
      </c>
      <c r="G16">
        <v>1</v>
      </c>
      <c r="H16">
        <v>3</v>
      </c>
      <c r="I16" t="s">
        <v>484</v>
      </c>
      <c r="J16" t="s">
        <v>485</v>
      </c>
      <c r="K16" t="s">
        <v>486</v>
      </c>
      <c r="L16">
        <v>1355</v>
      </c>
      <c r="N16">
        <v>1010</v>
      </c>
      <c r="O16" t="s">
        <v>487</v>
      </c>
      <c r="P16" t="s">
        <v>487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27935442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27935459</v>
      </c>
      <c r="C17">
        <v>27935437</v>
      </c>
      <c r="D17">
        <v>25186863</v>
      </c>
      <c r="E17">
        <v>1</v>
      </c>
      <c r="F17">
        <v>1</v>
      </c>
      <c r="G17">
        <v>1</v>
      </c>
      <c r="H17">
        <v>3</v>
      </c>
      <c r="I17" t="s">
        <v>488</v>
      </c>
      <c r="J17" t="s">
        <v>489</v>
      </c>
      <c r="K17" t="s">
        <v>490</v>
      </c>
      <c r="L17">
        <v>1354</v>
      </c>
      <c r="N17">
        <v>1010</v>
      </c>
      <c r="O17" t="s">
        <v>282</v>
      </c>
      <c r="P17" t="s">
        <v>282</v>
      </c>
      <c r="Q17">
        <v>1</v>
      </c>
      <c r="X17">
        <v>69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69</v>
      </c>
      <c r="AH17">
        <v>2</v>
      </c>
      <c r="AI17">
        <v>27935443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27935449</v>
      </c>
      <c r="C18">
        <v>27935437</v>
      </c>
      <c r="D18">
        <v>25418547</v>
      </c>
      <c r="E18">
        <v>1</v>
      </c>
      <c r="F18">
        <v>1</v>
      </c>
      <c r="G18">
        <v>1</v>
      </c>
      <c r="H18">
        <v>1</v>
      </c>
      <c r="I18" t="s">
        <v>466</v>
      </c>
      <c r="J18" t="s">
        <v>6</v>
      </c>
      <c r="K18" t="s">
        <v>467</v>
      </c>
      <c r="L18">
        <v>1191</v>
      </c>
      <c r="N18">
        <v>1013</v>
      </c>
      <c r="O18" t="s">
        <v>459</v>
      </c>
      <c r="P18" t="s">
        <v>459</v>
      </c>
      <c r="Q18">
        <v>1</v>
      </c>
      <c r="X18">
        <v>145.72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28</v>
      </c>
      <c r="AG18">
        <v>167.57799999999997</v>
      </c>
      <c r="AH18">
        <v>2</v>
      </c>
      <c r="AI18">
        <v>27935445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27935450</v>
      </c>
      <c r="C19">
        <v>27935437</v>
      </c>
      <c r="D19">
        <v>25412928</v>
      </c>
      <c r="E19">
        <v>1</v>
      </c>
      <c r="F19">
        <v>1</v>
      </c>
      <c r="G19">
        <v>1</v>
      </c>
      <c r="H19">
        <v>1</v>
      </c>
      <c r="I19" t="s">
        <v>460</v>
      </c>
      <c r="J19" t="s">
        <v>6</v>
      </c>
      <c r="K19" t="s">
        <v>461</v>
      </c>
      <c r="L19">
        <v>1191</v>
      </c>
      <c r="N19">
        <v>1013</v>
      </c>
      <c r="O19" t="s">
        <v>459</v>
      </c>
      <c r="P19" t="s">
        <v>459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27</v>
      </c>
      <c r="AG19">
        <v>5.2875000000000005</v>
      </c>
      <c r="AH19">
        <v>2</v>
      </c>
      <c r="AI19">
        <v>27935446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27935451</v>
      </c>
      <c r="C20">
        <v>27935437</v>
      </c>
      <c r="D20">
        <v>25230514</v>
      </c>
      <c r="E20">
        <v>1</v>
      </c>
      <c r="F20">
        <v>1</v>
      </c>
      <c r="G20">
        <v>1</v>
      </c>
      <c r="H20">
        <v>2</v>
      </c>
      <c r="I20" t="s">
        <v>462</v>
      </c>
      <c r="J20" t="s">
        <v>463</v>
      </c>
      <c r="K20" t="s">
        <v>464</v>
      </c>
      <c r="L20">
        <v>1368</v>
      </c>
      <c r="N20">
        <v>1011</v>
      </c>
      <c r="O20" t="s">
        <v>465</v>
      </c>
      <c r="P20" t="s">
        <v>465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27</v>
      </c>
      <c r="AG20">
        <v>0.82500000000000007</v>
      </c>
      <c r="AH20">
        <v>2</v>
      </c>
      <c r="AI20">
        <v>27935447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27935452</v>
      </c>
      <c r="C21">
        <v>27935437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468</v>
      </c>
      <c r="J21" t="s">
        <v>469</v>
      </c>
      <c r="K21" t="s">
        <v>470</v>
      </c>
      <c r="L21">
        <v>1368</v>
      </c>
      <c r="N21">
        <v>1011</v>
      </c>
      <c r="O21" t="s">
        <v>465</v>
      </c>
      <c r="P21" t="s">
        <v>465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27</v>
      </c>
      <c r="AG21">
        <v>4.4624999999999995</v>
      </c>
      <c r="AH21">
        <v>2</v>
      </c>
      <c r="AI21">
        <v>27935448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27935453</v>
      </c>
      <c r="C22">
        <v>27935437</v>
      </c>
      <c r="D22">
        <v>25150226</v>
      </c>
      <c r="E22">
        <v>1</v>
      </c>
      <c r="F22">
        <v>1</v>
      </c>
      <c r="G22">
        <v>1</v>
      </c>
      <c r="H22">
        <v>3</v>
      </c>
      <c r="I22" t="s">
        <v>471</v>
      </c>
      <c r="J22" t="s">
        <v>472</v>
      </c>
      <c r="K22" t="s">
        <v>473</v>
      </c>
      <c r="L22">
        <v>1301</v>
      </c>
      <c r="N22">
        <v>1003</v>
      </c>
      <c r="O22" t="s">
        <v>45</v>
      </c>
      <c r="P22" t="s">
        <v>45</v>
      </c>
      <c r="Q22">
        <v>1</v>
      </c>
      <c r="X22">
        <v>244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244</v>
      </c>
      <c r="AH22">
        <v>2</v>
      </c>
      <c r="AI22">
        <v>27935438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27935454</v>
      </c>
      <c r="C23">
        <v>27935437</v>
      </c>
      <c r="D23">
        <v>25150227</v>
      </c>
      <c r="E23">
        <v>1</v>
      </c>
      <c r="F23">
        <v>1</v>
      </c>
      <c r="G23">
        <v>1</v>
      </c>
      <c r="H23">
        <v>3</v>
      </c>
      <c r="I23" t="s">
        <v>474</v>
      </c>
      <c r="J23" t="s">
        <v>475</v>
      </c>
      <c r="K23" t="s">
        <v>476</v>
      </c>
      <c r="L23">
        <v>1301</v>
      </c>
      <c r="N23">
        <v>1003</v>
      </c>
      <c r="O23" t="s">
        <v>45</v>
      </c>
      <c r="P23" t="s">
        <v>45</v>
      </c>
      <c r="Q23">
        <v>1</v>
      </c>
      <c r="X23">
        <v>56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56</v>
      </c>
      <c r="AH23">
        <v>2</v>
      </c>
      <c r="AI23">
        <v>27935439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27935455</v>
      </c>
      <c r="C24">
        <v>27935437</v>
      </c>
      <c r="D24">
        <v>25150315</v>
      </c>
      <c r="E24">
        <v>1</v>
      </c>
      <c r="F24">
        <v>1</v>
      </c>
      <c r="G24">
        <v>1</v>
      </c>
      <c r="H24">
        <v>3</v>
      </c>
      <c r="I24" t="s">
        <v>477</v>
      </c>
      <c r="J24" t="s">
        <v>478</v>
      </c>
      <c r="K24" t="s">
        <v>479</v>
      </c>
      <c r="L24">
        <v>1302</v>
      </c>
      <c r="N24">
        <v>1003</v>
      </c>
      <c r="O24" t="s">
        <v>74</v>
      </c>
      <c r="P24" t="s">
        <v>74</v>
      </c>
      <c r="Q24">
        <v>10</v>
      </c>
      <c r="X24">
        <v>15.6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15.6</v>
      </c>
      <c r="AH24">
        <v>2</v>
      </c>
      <c r="AI24">
        <v>27935440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27935456</v>
      </c>
      <c r="C25">
        <v>27935437</v>
      </c>
      <c r="D25">
        <v>25152739</v>
      </c>
      <c r="E25">
        <v>1</v>
      </c>
      <c r="F25">
        <v>1</v>
      </c>
      <c r="G25">
        <v>1</v>
      </c>
      <c r="H25">
        <v>3</v>
      </c>
      <c r="I25" t="s">
        <v>480</v>
      </c>
      <c r="J25" t="s">
        <v>481</v>
      </c>
      <c r="K25" t="s">
        <v>482</v>
      </c>
      <c r="L25">
        <v>1358</v>
      </c>
      <c r="N25">
        <v>1010</v>
      </c>
      <c r="O25" t="s">
        <v>483</v>
      </c>
      <c r="P25" t="s">
        <v>483</v>
      </c>
      <c r="Q25">
        <v>10</v>
      </c>
      <c r="X25">
        <v>38.9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38.9</v>
      </c>
      <c r="AH25">
        <v>2</v>
      </c>
      <c r="AI25">
        <v>27935441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27935457</v>
      </c>
      <c r="C26">
        <v>27935437</v>
      </c>
      <c r="D26">
        <v>25145142</v>
      </c>
      <c r="E26">
        <v>17</v>
      </c>
      <c r="F26">
        <v>1</v>
      </c>
      <c r="G26">
        <v>1</v>
      </c>
      <c r="H26">
        <v>3</v>
      </c>
      <c r="I26" t="s">
        <v>718</v>
      </c>
      <c r="J26" t="s">
        <v>6</v>
      </c>
      <c r="K26" t="s">
        <v>719</v>
      </c>
      <c r="L26">
        <v>1327</v>
      </c>
      <c r="N26">
        <v>1005</v>
      </c>
      <c r="O26" t="s">
        <v>35</v>
      </c>
      <c r="P26" t="s">
        <v>35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27935458</v>
      </c>
      <c r="C27">
        <v>27935437</v>
      </c>
      <c r="D27">
        <v>25180423</v>
      </c>
      <c r="E27">
        <v>1</v>
      </c>
      <c r="F27">
        <v>1</v>
      </c>
      <c r="G27">
        <v>1</v>
      </c>
      <c r="H27">
        <v>3</v>
      </c>
      <c r="I27" t="s">
        <v>484</v>
      </c>
      <c r="J27" t="s">
        <v>485</v>
      </c>
      <c r="K27" t="s">
        <v>486</v>
      </c>
      <c r="L27">
        <v>1355</v>
      </c>
      <c r="N27">
        <v>1010</v>
      </c>
      <c r="O27" t="s">
        <v>487</v>
      </c>
      <c r="P27" t="s">
        <v>487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27935442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27935459</v>
      </c>
      <c r="C28">
        <v>27935437</v>
      </c>
      <c r="D28">
        <v>25186863</v>
      </c>
      <c r="E28">
        <v>1</v>
      </c>
      <c r="F28">
        <v>1</v>
      </c>
      <c r="G28">
        <v>1</v>
      </c>
      <c r="H28">
        <v>3</v>
      </c>
      <c r="I28" t="s">
        <v>488</v>
      </c>
      <c r="J28" t="s">
        <v>489</v>
      </c>
      <c r="K28" t="s">
        <v>490</v>
      </c>
      <c r="L28">
        <v>1354</v>
      </c>
      <c r="N28">
        <v>1010</v>
      </c>
      <c r="O28" t="s">
        <v>282</v>
      </c>
      <c r="P28" t="s">
        <v>282</v>
      </c>
      <c r="Q28">
        <v>1</v>
      </c>
      <c r="X28">
        <v>69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69</v>
      </c>
      <c r="AH28">
        <v>2</v>
      </c>
      <c r="AI28">
        <v>27935443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27935469</v>
      </c>
      <c r="C29">
        <v>27935461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491</v>
      </c>
      <c r="J29" t="s">
        <v>6</v>
      </c>
      <c r="K29" t="s">
        <v>492</v>
      </c>
      <c r="L29">
        <v>1191</v>
      </c>
      <c r="N29">
        <v>1013</v>
      </c>
      <c r="O29" t="s">
        <v>459</v>
      </c>
      <c r="P29" t="s">
        <v>459</v>
      </c>
      <c r="Q29">
        <v>1</v>
      </c>
      <c r="X29">
        <v>21.38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28</v>
      </c>
      <c r="AG29">
        <v>24.586999999999996</v>
      </c>
      <c r="AH29">
        <v>2</v>
      </c>
      <c r="AI29">
        <v>27935462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27935470</v>
      </c>
      <c r="C30">
        <v>27935461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460</v>
      </c>
      <c r="J30" t="s">
        <v>6</v>
      </c>
      <c r="K30" t="s">
        <v>461</v>
      </c>
      <c r="L30">
        <v>1191</v>
      </c>
      <c r="N30">
        <v>1013</v>
      </c>
      <c r="O30" t="s">
        <v>459</v>
      </c>
      <c r="P30" t="s">
        <v>459</v>
      </c>
      <c r="Q30">
        <v>1</v>
      </c>
      <c r="X30">
        <v>0.37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27</v>
      </c>
      <c r="AG30">
        <v>0.46250000000000002</v>
      </c>
      <c r="AH30">
        <v>2</v>
      </c>
      <c r="AI30">
        <v>27935463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27935471</v>
      </c>
      <c r="C31">
        <v>27935461</v>
      </c>
      <c r="D31">
        <v>25230514</v>
      </c>
      <c r="E31">
        <v>1</v>
      </c>
      <c r="F31">
        <v>1</v>
      </c>
      <c r="G31">
        <v>1</v>
      </c>
      <c r="H31">
        <v>2</v>
      </c>
      <c r="I31" t="s">
        <v>462</v>
      </c>
      <c r="J31" t="s">
        <v>463</v>
      </c>
      <c r="K31" t="s">
        <v>464</v>
      </c>
      <c r="L31">
        <v>1368</v>
      </c>
      <c r="N31">
        <v>1011</v>
      </c>
      <c r="O31" t="s">
        <v>465</v>
      </c>
      <c r="P31" t="s">
        <v>465</v>
      </c>
      <c r="Q31">
        <v>1</v>
      </c>
      <c r="X31">
        <v>7.0000000000000007E-2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27</v>
      </c>
      <c r="AG31">
        <v>8.7500000000000008E-2</v>
      </c>
      <c r="AH31">
        <v>2</v>
      </c>
      <c r="AI31">
        <v>27935464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27935472</v>
      </c>
      <c r="C32">
        <v>27935461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468</v>
      </c>
      <c r="J32" t="s">
        <v>469</v>
      </c>
      <c r="K32" t="s">
        <v>470</v>
      </c>
      <c r="L32">
        <v>1368</v>
      </c>
      <c r="N32">
        <v>1011</v>
      </c>
      <c r="O32" t="s">
        <v>465</v>
      </c>
      <c r="P32" t="s">
        <v>465</v>
      </c>
      <c r="Q32">
        <v>1</v>
      </c>
      <c r="X32">
        <v>0.3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27</v>
      </c>
      <c r="AG32">
        <v>0.375</v>
      </c>
      <c r="AH32">
        <v>2</v>
      </c>
      <c r="AI32">
        <v>27935465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27935473</v>
      </c>
      <c r="C33">
        <v>27935461</v>
      </c>
      <c r="D33">
        <v>25145145</v>
      </c>
      <c r="E33">
        <v>17</v>
      </c>
      <c r="F33">
        <v>1</v>
      </c>
      <c r="G33">
        <v>1</v>
      </c>
      <c r="H33">
        <v>3</v>
      </c>
      <c r="I33" t="s">
        <v>720</v>
      </c>
      <c r="J33" t="s">
        <v>6</v>
      </c>
      <c r="K33" t="s">
        <v>721</v>
      </c>
      <c r="L33">
        <v>1301</v>
      </c>
      <c r="N33">
        <v>1003</v>
      </c>
      <c r="O33" t="s">
        <v>45</v>
      </c>
      <c r="P33" t="s">
        <v>45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27935474</v>
      </c>
      <c r="C34">
        <v>27935461</v>
      </c>
      <c r="D34">
        <v>25180423</v>
      </c>
      <c r="E34">
        <v>1</v>
      </c>
      <c r="F34">
        <v>1</v>
      </c>
      <c r="G34">
        <v>1</v>
      </c>
      <c r="H34">
        <v>3</v>
      </c>
      <c r="I34" t="s">
        <v>484</v>
      </c>
      <c r="J34" t="s">
        <v>485</v>
      </c>
      <c r="K34" t="s">
        <v>486</v>
      </c>
      <c r="L34">
        <v>1355</v>
      </c>
      <c r="N34">
        <v>1010</v>
      </c>
      <c r="O34" t="s">
        <v>487</v>
      </c>
      <c r="P34" t="s">
        <v>487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27935466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27935475</v>
      </c>
      <c r="C35">
        <v>27935461</v>
      </c>
      <c r="D35">
        <v>25186863</v>
      </c>
      <c r="E35">
        <v>1</v>
      </c>
      <c r="F35">
        <v>1</v>
      </c>
      <c r="G35">
        <v>1</v>
      </c>
      <c r="H35">
        <v>3</v>
      </c>
      <c r="I35" t="s">
        <v>488</v>
      </c>
      <c r="J35" t="s">
        <v>489</v>
      </c>
      <c r="K35" t="s">
        <v>490</v>
      </c>
      <c r="L35">
        <v>1354</v>
      </c>
      <c r="N35">
        <v>1010</v>
      </c>
      <c r="O35" t="s">
        <v>282</v>
      </c>
      <c r="P35" t="s">
        <v>282</v>
      </c>
      <c r="Q35">
        <v>1</v>
      </c>
      <c r="X35">
        <v>90.7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90.7</v>
      </c>
      <c r="AH35">
        <v>2</v>
      </c>
      <c r="AI35">
        <v>27935467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27935469</v>
      </c>
      <c r="C36">
        <v>27935461</v>
      </c>
      <c r="D36">
        <v>25413300</v>
      </c>
      <c r="E36">
        <v>1</v>
      </c>
      <c r="F36">
        <v>1</v>
      </c>
      <c r="G36">
        <v>1</v>
      </c>
      <c r="H36">
        <v>1</v>
      </c>
      <c r="I36" t="s">
        <v>491</v>
      </c>
      <c r="J36" t="s">
        <v>6</v>
      </c>
      <c r="K36" t="s">
        <v>492</v>
      </c>
      <c r="L36">
        <v>1191</v>
      </c>
      <c r="N36">
        <v>1013</v>
      </c>
      <c r="O36" t="s">
        <v>459</v>
      </c>
      <c r="P36" t="s">
        <v>459</v>
      </c>
      <c r="Q36">
        <v>1</v>
      </c>
      <c r="X36">
        <v>21.38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28</v>
      </c>
      <c r="AG36">
        <v>24.586999999999996</v>
      </c>
      <c r="AH36">
        <v>2</v>
      </c>
      <c r="AI36">
        <v>27935462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27935470</v>
      </c>
      <c r="C37">
        <v>27935461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460</v>
      </c>
      <c r="J37" t="s">
        <v>6</v>
      </c>
      <c r="K37" t="s">
        <v>461</v>
      </c>
      <c r="L37">
        <v>1191</v>
      </c>
      <c r="N37">
        <v>1013</v>
      </c>
      <c r="O37" t="s">
        <v>459</v>
      </c>
      <c r="P37" t="s">
        <v>459</v>
      </c>
      <c r="Q37">
        <v>1</v>
      </c>
      <c r="X37">
        <v>0.37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27</v>
      </c>
      <c r="AG37">
        <v>0.46250000000000002</v>
      </c>
      <c r="AH37">
        <v>2</v>
      </c>
      <c r="AI37">
        <v>27935463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27935471</v>
      </c>
      <c r="C38">
        <v>27935461</v>
      </c>
      <c r="D38">
        <v>25230514</v>
      </c>
      <c r="E38">
        <v>1</v>
      </c>
      <c r="F38">
        <v>1</v>
      </c>
      <c r="G38">
        <v>1</v>
      </c>
      <c r="H38">
        <v>2</v>
      </c>
      <c r="I38" t="s">
        <v>462</v>
      </c>
      <c r="J38" t="s">
        <v>463</v>
      </c>
      <c r="K38" t="s">
        <v>464</v>
      </c>
      <c r="L38">
        <v>1368</v>
      </c>
      <c r="N38">
        <v>1011</v>
      </c>
      <c r="O38" t="s">
        <v>465</v>
      </c>
      <c r="P38" t="s">
        <v>465</v>
      </c>
      <c r="Q38">
        <v>1</v>
      </c>
      <c r="X38">
        <v>7.0000000000000007E-2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27</v>
      </c>
      <c r="AG38">
        <v>8.7500000000000008E-2</v>
      </c>
      <c r="AH38">
        <v>2</v>
      </c>
      <c r="AI38">
        <v>27935464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27935472</v>
      </c>
      <c r="C39">
        <v>27935461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468</v>
      </c>
      <c r="J39" t="s">
        <v>469</v>
      </c>
      <c r="K39" t="s">
        <v>470</v>
      </c>
      <c r="L39">
        <v>1368</v>
      </c>
      <c r="N39">
        <v>1011</v>
      </c>
      <c r="O39" t="s">
        <v>465</v>
      </c>
      <c r="P39" t="s">
        <v>465</v>
      </c>
      <c r="Q39">
        <v>1</v>
      </c>
      <c r="X39">
        <v>0.3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27</v>
      </c>
      <c r="AG39">
        <v>0.375</v>
      </c>
      <c r="AH39">
        <v>2</v>
      </c>
      <c r="AI39">
        <v>27935465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27935473</v>
      </c>
      <c r="C40">
        <v>27935461</v>
      </c>
      <c r="D40">
        <v>25145145</v>
      </c>
      <c r="E40">
        <v>17</v>
      </c>
      <c r="F40">
        <v>1</v>
      </c>
      <c r="G40">
        <v>1</v>
      </c>
      <c r="H40">
        <v>3</v>
      </c>
      <c r="I40" t="s">
        <v>720</v>
      </c>
      <c r="J40" t="s">
        <v>6</v>
      </c>
      <c r="K40" t="s">
        <v>721</v>
      </c>
      <c r="L40">
        <v>1301</v>
      </c>
      <c r="N40">
        <v>1003</v>
      </c>
      <c r="O40" t="s">
        <v>45</v>
      </c>
      <c r="P40" t="s">
        <v>45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27935474</v>
      </c>
      <c r="C41">
        <v>27935461</v>
      </c>
      <c r="D41">
        <v>25180423</v>
      </c>
      <c r="E41">
        <v>1</v>
      </c>
      <c r="F41">
        <v>1</v>
      </c>
      <c r="G41">
        <v>1</v>
      </c>
      <c r="H41">
        <v>3</v>
      </c>
      <c r="I41" t="s">
        <v>484</v>
      </c>
      <c r="J41" t="s">
        <v>485</v>
      </c>
      <c r="K41" t="s">
        <v>486</v>
      </c>
      <c r="L41">
        <v>1355</v>
      </c>
      <c r="N41">
        <v>1010</v>
      </c>
      <c r="O41" t="s">
        <v>487</v>
      </c>
      <c r="P41" t="s">
        <v>487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27935466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27935475</v>
      </c>
      <c r="C42">
        <v>27935461</v>
      </c>
      <c r="D42">
        <v>25186863</v>
      </c>
      <c r="E42">
        <v>1</v>
      </c>
      <c r="F42">
        <v>1</v>
      </c>
      <c r="G42">
        <v>1</v>
      </c>
      <c r="H42">
        <v>3</v>
      </c>
      <c r="I42" t="s">
        <v>488</v>
      </c>
      <c r="J42" t="s">
        <v>489</v>
      </c>
      <c r="K42" t="s">
        <v>490</v>
      </c>
      <c r="L42">
        <v>1354</v>
      </c>
      <c r="N42">
        <v>1010</v>
      </c>
      <c r="O42" t="s">
        <v>282</v>
      </c>
      <c r="P42" t="s">
        <v>282</v>
      </c>
      <c r="Q42">
        <v>1</v>
      </c>
      <c r="X42">
        <v>90.7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90.7</v>
      </c>
      <c r="AH42">
        <v>2</v>
      </c>
      <c r="AI42">
        <v>27935467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27935486</v>
      </c>
      <c r="C43">
        <v>27935477</v>
      </c>
      <c r="D43">
        <v>25420819</v>
      </c>
      <c r="E43">
        <v>1</v>
      </c>
      <c r="F43">
        <v>1</v>
      </c>
      <c r="G43">
        <v>1</v>
      </c>
      <c r="H43">
        <v>1</v>
      </c>
      <c r="I43" t="s">
        <v>493</v>
      </c>
      <c r="J43" t="s">
        <v>6</v>
      </c>
      <c r="K43" t="s">
        <v>494</v>
      </c>
      <c r="L43">
        <v>1191</v>
      </c>
      <c r="N43">
        <v>1013</v>
      </c>
      <c r="O43" t="s">
        <v>459</v>
      </c>
      <c r="P43" t="s">
        <v>459</v>
      </c>
      <c r="Q43">
        <v>1</v>
      </c>
      <c r="X43">
        <v>166.47</v>
      </c>
      <c r="Y43">
        <v>0</v>
      </c>
      <c r="Z43">
        <v>0</v>
      </c>
      <c r="AA43">
        <v>0</v>
      </c>
      <c r="AB43">
        <v>9.18</v>
      </c>
      <c r="AC43">
        <v>0</v>
      </c>
      <c r="AD43">
        <v>1</v>
      </c>
      <c r="AE43">
        <v>1</v>
      </c>
      <c r="AF43" t="s">
        <v>28</v>
      </c>
      <c r="AG43">
        <v>191.44049999999999</v>
      </c>
      <c r="AH43">
        <v>2</v>
      </c>
      <c r="AI43">
        <v>27935478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ROW(Source!A34)</f>
        <v>34</v>
      </c>
      <c r="B44">
        <v>27935487</v>
      </c>
      <c r="C44">
        <v>27935477</v>
      </c>
      <c r="D44">
        <v>25412928</v>
      </c>
      <c r="E44">
        <v>1</v>
      </c>
      <c r="F44">
        <v>1</v>
      </c>
      <c r="G44">
        <v>1</v>
      </c>
      <c r="H44">
        <v>1</v>
      </c>
      <c r="I44" t="s">
        <v>460</v>
      </c>
      <c r="J44" t="s">
        <v>6</v>
      </c>
      <c r="K44" t="s">
        <v>461</v>
      </c>
      <c r="L44">
        <v>1191</v>
      </c>
      <c r="N44">
        <v>1013</v>
      </c>
      <c r="O44" t="s">
        <v>459</v>
      </c>
      <c r="P44" t="s">
        <v>459</v>
      </c>
      <c r="Q44">
        <v>1</v>
      </c>
      <c r="X44">
        <v>0.57999999999999996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27</v>
      </c>
      <c r="AG44">
        <v>0.72499999999999998</v>
      </c>
      <c r="AH44">
        <v>2</v>
      </c>
      <c r="AI44">
        <v>27935479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ROW(Source!A34)</f>
        <v>34</v>
      </c>
      <c r="B45">
        <v>27935488</v>
      </c>
      <c r="C45">
        <v>27935477</v>
      </c>
      <c r="D45">
        <v>25230514</v>
      </c>
      <c r="E45">
        <v>1</v>
      </c>
      <c r="F45">
        <v>1</v>
      </c>
      <c r="G45">
        <v>1</v>
      </c>
      <c r="H45">
        <v>2</v>
      </c>
      <c r="I45" t="s">
        <v>462</v>
      </c>
      <c r="J45" t="s">
        <v>463</v>
      </c>
      <c r="K45" t="s">
        <v>464</v>
      </c>
      <c r="L45">
        <v>1368</v>
      </c>
      <c r="N45">
        <v>1011</v>
      </c>
      <c r="O45" t="s">
        <v>465</v>
      </c>
      <c r="P45" t="s">
        <v>465</v>
      </c>
      <c r="Q45">
        <v>1</v>
      </c>
      <c r="X45">
        <v>0.08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27</v>
      </c>
      <c r="AG45">
        <v>0.1</v>
      </c>
      <c r="AH45">
        <v>2</v>
      </c>
      <c r="AI45">
        <v>27935480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27935489</v>
      </c>
      <c r="C46">
        <v>27935477</v>
      </c>
      <c r="D46">
        <v>25231607</v>
      </c>
      <c r="E46">
        <v>1</v>
      </c>
      <c r="F46">
        <v>1</v>
      </c>
      <c r="G46">
        <v>1</v>
      </c>
      <c r="H46">
        <v>2</v>
      </c>
      <c r="I46" t="s">
        <v>468</v>
      </c>
      <c r="J46" t="s">
        <v>469</v>
      </c>
      <c r="K46" t="s">
        <v>470</v>
      </c>
      <c r="L46">
        <v>1368</v>
      </c>
      <c r="N46">
        <v>1011</v>
      </c>
      <c r="O46" t="s">
        <v>465</v>
      </c>
      <c r="P46" t="s">
        <v>465</v>
      </c>
      <c r="Q46">
        <v>1</v>
      </c>
      <c r="X46">
        <v>0.5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27</v>
      </c>
      <c r="AG46">
        <v>0.625</v>
      </c>
      <c r="AH46">
        <v>2</v>
      </c>
      <c r="AI46">
        <v>27935481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27935490</v>
      </c>
      <c r="C47">
        <v>27935477</v>
      </c>
      <c r="D47">
        <v>25145642</v>
      </c>
      <c r="E47">
        <v>17</v>
      </c>
      <c r="F47">
        <v>1</v>
      </c>
      <c r="G47">
        <v>1</v>
      </c>
      <c r="H47">
        <v>3</v>
      </c>
      <c r="I47" t="s">
        <v>722</v>
      </c>
      <c r="J47" t="s">
        <v>6</v>
      </c>
      <c r="K47" t="s">
        <v>723</v>
      </c>
      <c r="L47">
        <v>1327</v>
      </c>
      <c r="N47">
        <v>1005</v>
      </c>
      <c r="O47" t="s">
        <v>35</v>
      </c>
      <c r="P47" t="s">
        <v>35</v>
      </c>
      <c r="Q47">
        <v>1</v>
      </c>
      <c r="X47">
        <v>105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6</v>
      </c>
      <c r="AG47">
        <v>105</v>
      </c>
      <c r="AH47">
        <v>3</v>
      </c>
      <c r="AI47">
        <v>-1</v>
      </c>
      <c r="AJ47" t="s">
        <v>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27935491</v>
      </c>
      <c r="C48">
        <v>27935477</v>
      </c>
      <c r="D48">
        <v>25153690</v>
      </c>
      <c r="E48">
        <v>1</v>
      </c>
      <c r="F48">
        <v>1</v>
      </c>
      <c r="G48">
        <v>1</v>
      </c>
      <c r="H48">
        <v>3</v>
      </c>
      <c r="I48" t="s">
        <v>495</v>
      </c>
      <c r="J48" t="s">
        <v>496</v>
      </c>
      <c r="K48" t="s">
        <v>497</v>
      </c>
      <c r="L48">
        <v>1346</v>
      </c>
      <c r="N48">
        <v>1009</v>
      </c>
      <c r="O48" t="s">
        <v>60</v>
      </c>
      <c r="P48" t="s">
        <v>60</v>
      </c>
      <c r="Q48">
        <v>1</v>
      </c>
      <c r="X48">
        <v>0.2</v>
      </c>
      <c r="Y48">
        <v>1.82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0.2</v>
      </c>
      <c r="AH48">
        <v>2</v>
      </c>
      <c r="AI48">
        <v>27935482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27935492</v>
      </c>
      <c r="C49">
        <v>27935477</v>
      </c>
      <c r="D49">
        <v>25144933</v>
      </c>
      <c r="E49">
        <v>17</v>
      </c>
      <c r="F49">
        <v>1</v>
      </c>
      <c r="G49">
        <v>1</v>
      </c>
      <c r="H49">
        <v>3</v>
      </c>
      <c r="I49" t="s">
        <v>724</v>
      </c>
      <c r="J49" t="s">
        <v>6</v>
      </c>
      <c r="K49" t="s">
        <v>725</v>
      </c>
      <c r="L49">
        <v>1346</v>
      </c>
      <c r="N49">
        <v>1009</v>
      </c>
      <c r="O49" t="s">
        <v>60</v>
      </c>
      <c r="P49" t="s">
        <v>60</v>
      </c>
      <c r="Q49">
        <v>1</v>
      </c>
      <c r="X49">
        <v>30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6</v>
      </c>
      <c r="AG49">
        <v>30</v>
      </c>
      <c r="AH49">
        <v>3</v>
      </c>
      <c r="AI49">
        <v>-1</v>
      </c>
      <c r="AJ49" t="s">
        <v>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27935493</v>
      </c>
      <c r="C50">
        <v>27935477</v>
      </c>
      <c r="D50">
        <v>25145248</v>
      </c>
      <c r="E50">
        <v>17</v>
      </c>
      <c r="F50">
        <v>1</v>
      </c>
      <c r="G50">
        <v>1</v>
      </c>
      <c r="H50">
        <v>3</v>
      </c>
      <c r="I50" t="s">
        <v>726</v>
      </c>
      <c r="J50" t="s">
        <v>6</v>
      </c>
      <c r="K50" t="s">
        <v>727</v>
      </c>
      <c r="L50">
        <v>1348</v>
      </c>
      <c r="N50">
        <v>1009</v>
      </c>
      <c r="O50" t="s">
        <v>65</v>
      </c>
      <c r="P50" t="s">
        <v>65</v>
      </c>
      <c r="Q50">
        <v>1000</v>
      </c>
      <c r="X50">
        <v>8.8999999999999999E-3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8.8999999999999999E-3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27935486</v>
      </c>
      <c r="C51">
        <v>27935477</v>
      </c>
      <c r="D51">
        <v>25420819</v>
      </c>
      <c r="E51">
        <v>1</v>
      </c>
      <c r="F51">
        <v>1</v>
      </c>
      <c r="G51">
        <v>1</v>
      </c>
      <c r="H51">
        <v>1</v>
      </c>
      <c r="I51" t="s">
        <v>493</v>
      </c>
      <c r="J51" t="s">
        <v>6</v>
      </c>
      <c r="K51" t="s">
        <v>494</v>
      </c>
      <c r="L51">
        <v>1191</v>
      </c>
      <c r="N51">
        <v>1013</v>
      </c>
      <c r="O51" t="s">
        <v>459</v>
      </c>
      <c r="P51" t="s">
        <v>459</v>
      </c>
      <c r="Q51">
        <v>1</v>
      </c>
      <c r="X51">
        <v>166.47</v>
      </c>
      <c r="Y51">
        <v>0</v>
      </c>
      <c r="Z51">
        <v>0</v>
      </c>
      <c r="AA51">
        <v>0</v>
      </c>
      <c r="AB51">
        <v>9.18</v>
      </c>
      <c r="AC51">
        <v>0</v>
      </c>
      <c r="AD51">
        <v>1</v>
      </c>
      <c r="AE51">
        <v>1</v>
      </c>
      <c r="AF51" t="s">
        <v>28</v>
      </c>
      <c r="AG51">
        <v>191.44049999999999</v>
      </c>
      <c r="AH51">
        <v>2</v>
      </c>
      <c r="AI51">
        <v>27935478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27935487</v>
      </c>
      <c r="C52">
        <v>27935477</v>
      </c>
      <c r="D52">
        <v>25412928</v>
      </c>
      <c r="E52">
        <v>1</v>
      </c>
      <c r="F52">
        <v>1</v>
      </c>
      <c r="G52">
        <v>1</v>
      </c>
      <c r="H52">
        <v>1</v>
      </c>
      <c r="I52" t="s">
        <v>460</v>
      </c>
      <c r="J52" t="s">
        <v>6</v>
      </c>
      <c r="K52" t="s">
        <v>461</v>
      </c>
      <c r="L52">
        <v>1191</v>
      </c>
      <c r="N52">
        <v>1013</v>
      </c>
      <c r="O52" t="s">
        <v>459</v>
      </c>
      <c r="P52" t="s">
        <v>459</v>
      </c>
      <c r="Q52">
        <v>1</v>
      </c>
      <c r="X52">
        <v>0.57999999999999996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27</v>
      </c>
      <c r="AG52">
        <v>0.72499999999999998</v>
      </c>
      <c r="AH52">
        <v>2</v>
      </c>
      <c r="AI52">
        <v>27935479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ROW(Source!A35)</f>
        <v>35</v>
      </c>
      <c r="B53">
        <v>27935488</v>
      </c>
      <c r="C53">
        <v>27935477</v>
      </c>
      <c r="D53">
        <v>25230514</v>
      </c>
      <c r="E53">
        <v>1</v>
      </c>
      <c r="F53">
        <v>1</v>
      </c>
      <c r="G53">
        <v>1</v>
      </c>
      <c r="H53">
        <v>2</v>
      </c>
      <c r="I53" t="s">
        <v>462</v>
      </c>
      <c r="J53" t="s">
        <v>463</v>
      </c>
      <c r="K53" t="s">
        <v>464</v>
      </c>
      <c r="L53">
        <v>1368</v>
      </c>
      <c r="N53">
        <v>1011</v>
      </c>
      <c r="O53" t="s">
        <v>465</v>
      </c>
      <c r="P53" t="s">
        <v>465</v>
      </c>
      <c r="Q53">
        <v>1</v>
      </c>
      <c r="X53">
        <v>0.08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27</v>
      </c>
      <c r="AG53">
        <v>0.1</v>
      </c>
      <c r="AH53">
        <v>2</v>
      </c>
      <c r="AI53">
        <v>27935480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ROW(Source!A35)</f>
        <v>35</v>
      </c>
      <c r="B54">
        <v>27935489</v>
      </c>
      <c r="C54">
        <v>27935477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468</v>
      </c>
      <c r="J54" t="s">
        <v>469</v>
      </c>
      <c r="K54" t="s">
        <v>470</v>
      </c>
      <c r="L54">
        <v>1368</v>
      </c>
      <c r="N54">
        <v>1011</v>
      </c>
      <c r="O54" t="s">
        <v>465</v>
      </c>
      <c r="P54" t="s">
        <v>465</v>
      </c>
      <c r="Q54">
        <v>1</v>
      </c>
      <c r="X54">
        <v>0.5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27</v>
      </c>
      <c r="AG54">
        <v>0.625</v>
      </c>
      <c r="AH54">
        <v>2</v>
      </c>
      <c r="AI54">
        <v>27935481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ROW(Source!A35)</f>
        <v>35</v>
      </c>
      <c r="B55">
        <v>27935490</v>
      </c>
      <c r="C55">
        <v>27935477</v>
      </c>
      <c r="D55">
        <v>25145642</v>
      </c>
      <c r="E55">
        <v>17</v>
      </c>
      <c r="F55">
        <v>1</v>
      </c>
      <c r="G55">
        <v>1</v>
      </c>
      <c r="H55">
        <v>3</v>
      </c>
      <c r="I55" t="s">
        <v>722</v>
      </c>
      <c r="J55" t="s">
        <v>6</v>
      </c>
      <c r="K55" t="s">
        <v>723</v>
      </c>
      <c r="L55">
        <v>1327</v>
      </c>
      <c r="N55">
        <v>1005</v>
      </c>
      <c r="O55" t="s">
        <v>35</v>
      </c>
      <c r="P55" t="s">
        <v>35</v>
      </c>
      <c r="Q55">
        <v>1</v>
      </c>
      <c r="X55">
        <v>105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105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ROW(Source!A35)</f>
        <v>35</v>
      </c>
      <c r="B56">
        <v>27935491</v>
      </c>
      <c r="C56">
        <v>27935477</v>
      </c>
      <c r="D56">
        <v>25153690</v>
      </c>
      <c r="E56">
        <v>1</v>
      </c>
      <c r="F56">
        <v>1</v>
      </c>
      <c r="G56">
        <v>1</v>
      </c>
      <c r="H56">
        <v>3</v>
      </c>
      <c r="I56" t="s">
        <v>495</v>
      </c>
      <c r="J56" t="s">
        <v>496</v>
      </c>
      <c r="K56" t="s">
        <v>497</v>
      </c>
      <c r="L56">
        <v>1346</v>
      </c>
      <c r="N56">
        <v>1009</v>
      </c>
      <c r="O56" t="s">
        <v>60</v>
      </c>
      <c r="P56" t="s">
        <v>60</v>
      </c>
      <c r="Q56">
        <v>1</v>
      </c>
      <c r="X56">
        <v>0.2</v>
      </c>
      <c r="Y56">
        <v>1.82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0.2</v>
      </c>
      <c r="AH56">
        <v>2</v>
      </c>
      <c r="AI56">
        <v>27935482</v>
      </c>
      <c r="AJ56">
        <v>55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ROW(Source!A35)</f>
        <v>35</v>
      </c>
      <c r="B57">
        <v>27935492</v>
      </c>
      <c r="C57">
        <v>27935477</v>
      </c>
      <c r="D57">
        <v>25144933</v>
      </c>
      <c r="E57">
        <v>17</v>
      </c>
      <c r="F57">
        <v>1</v>
      </c>
      <c r="G57">
        <v>1</v>
      </c>
      <c r="H57">
        <v>3</v>
      </c>
      <c r="I57" t="s">
        <v>724</v>
      </c>
      <c r="J57" t="s">
        <v>6</v>
      </c>
      <c r="K57" t="s">
        <v>725</v>
      </c>
      <c r="L57">
        <v>1346</v>
      </c>
      <c r="N57">
        <v>1009</v>
      </c>
      <c r="O57" t="s">
        <v>60</v>
      </c>
      <c r="P57" t="s">
        <v>60</v>
      </c>
      <c r="Q57">
        <v>1</v>
      </c>
      <c r="X57">
        <v>30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30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ROW(Source!A35)</f>
        <v>35</v>
      </c>
      <c r="B58">
        <v>27935493</v>
      </c>
      <c r="C58">
        <v>27935477</v>
      </c>
      <c r="D58">
        <v>25145248</v>
      </c>
      <c r="E58">
        <v>17</v>
      </c>
      <c r="F58">
        <v>1</v>
      </c>
      <c r="G58">
        <v>1</v>
      </c>
      <c r="H58">
        <v>3</v>
      </c>
      <c r="I58" t="s">
        <v>726</v>
      </c>
      <c r="J58" t="s">
        <v>6</v>
      </c>
      <c r="K58" t="s">
        <v>727</v>
      </c>
      <c r="L58">
        <v>1348</v>
      </c>
      <c r="N58">
        <v>1009</v>
      </c>
      <c r="O58" t="s">
        <v>65</v>
      </c>
      <c r="P58" t="s">
        <v>65</v>
      </c>
      <c r="Q58">
        <v>1000</v>
      </c>
      <c r="X58">
        <v>8.8999999999999999E-3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8.8999999999999999E-3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27935501</v>
      </c>
      <c r="C59">
        <v>27935497</v>
      </c>
      <c r="D59">
        <v>25413300</v>
      </c>
      <c r="E59">
        <v>1</v>
      </c>
      <c r="F59">
        <v>1</v>
      </c>
      <c r="G59">
        <v>1</v>
      </c>
      <c r="H59">
        <v>1</v>
      </c>
      <c r="I59" t="s">
        <v>491</v>
      </c>
      <c r="J59" t="s">
        <v>6</v>
      </c>
      <c r="K59" t="s">
        <v>492</v>
      </c>
      <c r="L59">
        <v>1191</v>
      </c>
      <c r="N59">
        <v>1013</v>
      </c>
      <c r="O59" t="s">
        <v>459</v>
      </c>
      <c r="P59" t="s">
        <v>459</v>
      </c>
      <c r="Q59">
        <v>1</v>
      </c>
      <c r="X59">
        <v>6.7</v>
      </c>
      <c r="Y59">
        <v>0</v>
      </c>
      <c r="Z59">
        <v>0</v>
      </c>
      <c r="AA59">
        <v>0</v>
      </c>
      <c r="AB59">
        <v>8.5299999999999994</v>
      </c>
      <c r="AC59">
        <v>0</v>
      </c>
      <c r="AD59">
        <v>1</v>
      </c>
      <c r="AE59">
        <v>1</v>
      </c>
      <c r="AF59" t="s">
        <v>28</v>
      </c>
      <c r="AG59">
        <v>7.7049999999999992</v>
      </c>
      <c r="AH59">
        <v>2</v>
      </c>
      <c r="AI59">
        <v>27935498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27935502</v>
      </c>
      <c r="C60">
        <v>27935497</v>
      </c>
      <c r="D60">
        <v>25145148</v>
      </c>
      <c r="E60">
        <v>17</v>
      </c>
      <c r="F60">
        <v>1</v>
      </c>
      <c r="G60">
        <v>1</v>
      </c>
      <c r="H60">
        <v>3</v>
      </c>
      <c r="I60" t="s">
        <v>728</v>
      </c>
      <c r="J60" t="s">
        <v>6</v>
      </c>
      <c r="K60" t="s">
        <v>729</v>
      </c>
      <c r="L60">
        <v>2233</v>
      </c>
      <c r="N60">
        <v>1013</v>
      </c>
      <c r="O60" t="s">
        <v>99</v>
      </c>
      <c r="P60" t="s">
        <v>99</v>
      </c>
      <c r="Q60">
        <v>1</v>
      </c>
      <c r="X60">
        <v>100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100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27935503</v>
      </c>
      <c r="C61">
        <v>27935497</v>
      </c>
      <c r="D61">
        <v>25185138</v>
      </c>
      <c r="E61">
        <v>1</v>
      </c>
      <c r="F61">
        <v>1</v>
      </c>
      <c r="G61">
        <v>1</v>
      </c>
      <c r="H61">
        <v>3</v>
      </c>
      <c r="I61" t="s">
        <v>498</v>
      </c>
      <c r="J61" t="s">
        <v>499</v>
      </c>
      <c r="K61" t="s">
        <v>500</v>
      </c>
      <c r="L61">
        <v>1346</v>
      </c>
      <c r="N61">
        <v>1009</v>
      </c>
      <c r="O61" t="s">
        <v>60</v>
      </c>
      <c r="P61" t="s">
        <v>60</v>
      </c>
      <c r="Q61">
        <v>1</v>
      </c>
      <c r="X61">
        <v>0.8</v>
      </c>
      <c r="Y61">
        <v>45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0.8</v>
      </c>
      <c r="AH61">
        <v>2</v>
      </c>
      <c r="AI61">
        <v>27935499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27935501</v>
      </c>
      <c r="C62">
        <v>27935497</v>
      </c>
      <c r="D62">
        <v>25413300</v>
      </c>
      <c r="E62">
        <v>1</v>
      </c>
      <c r="F62">
        <v>1</v>
      </c>
      <c r="G62">
        <v>1</v>
      </c>
      <c r="H62">
        <v>1</v>
      </c>
      <c r="I62" t="s">
        <v>491</v>
      </c>
      <c r="J62" t="s">
        <v>6</v>
      </c>
      <c r="K62" t="s">
        <v>492</v>
      </c>
      <c r="L62">
        <v>1191</v>
      </c>
      <c r="N62">
        <v>1013</v>
      </c>
      <c r="O62" t="s">
        <v>459</v>
      </c>
      <c r="P62" t="s">
        <v>459</v>
      </c>
      <c r="Q62">
        <v>1</v>
      </c>
      <c r="X62">
        <v>6.7</v>
      </c>
      <c r="Y62">
        <v>0</v>
      </c>
      <c r="Z62">
        <v>0</v>
      </c>
      <c r="AA62">
        <v>0</v>
      </c>
      <c r="AB62">
        <v>8.5299999999999994</v>
      </c>
      <c r="AC62">
        <v>0</v>
      </c>
      <c r="AD62">
        <v>1</v>
      </c>
      <c r="AE62">
        <v>1</v>
      </c>
      <c r="AF62" t="s">
        <v>28</v>
      </c>
      <c r="AG62">
        <v>7.7049999999999992</v>
      </c>
      <c r="AH62">
        <v>2</v>
      </c>
      <c r="AI62">
        <v>27935498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27935502</v>
      </c>
      <c r="C63">
        <v>27935497</v>
      </c>
      <c r="D63">
        <v>25145148</v>
      </c>
      <c r="E63">
        <v>17</v>
      </c>
      <c r="F63">
        <v>1</v>
      </c>
      <c r="G63">
        <v>1</v>
      </c>
      <c r="H63">
        <v>3</v>
      </c>
      <c r="I63" t="s">
        <v>728</v>
      </c>
      <c r="J63" t="s">
        <v>6</v>
      </c>
      <c r="K63" t="s">
        <v>729</v>
      </c>
      <c r="L63">
        <v>2233</v>
      </c>
      <c r="N63">
        <v>1013</v>
      </c>
      <c r="O63" t="s">
        <v>99</v>
      </c>
      <c r="P63" t="s">
        <v>99</v>
      </c>
      <c r="Q63">
        <v>1</v>
      </c>
      <c r="X63">
        <v>100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100</v>
      </c>
      <c r="AH63">
        <v>3</v>
      </c>
      <c r="AI63">
        <v>-1</v>
      </c>
      <c r="AJ63" t="s">
        <v>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27935503</v>
      </c>
      <c r="C64">
        <v>27935497</v>
      </c>
      <c r="D64">
        <v>25185138</v>
      </c>
      <c r="E64">
        <v>1</v>
      </c>
      <c r="F64">
        <v>1</v>
      </c>
      <c r="G64">
        <v>1</v>
      </c>
      <c r="H64">
        <v>3</v>
      </c>
      <c r="I64" t="s">
        <v>498</v>
      </c>
      <c r="J64" t="s">
        <v>499</v>
      </c>
      <c r="K64" t="s">
        <v>500</v>
      </c>
      <c r="L64">
        <v>1346</v>
      </c>
      <c r="N64">
        <v>1009</v>
      </c>
      <c r="O64" t="s">
        <v>60</v>
      </c>
      <c r="P64" t="s">
        <v>60</v>
      </c>
      <c r="Q64">
        <v>1</v>
      </c>
      <c r="X64">
        <v>0.8</v>
      </c>
      <c r="Y64">
        <v>45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0.8</v>
      </c>
      <c r="AH64">
        <v>2</v>
      </c>
      <c r="AI64">
        <v>27935499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27935524</v>
      </c>
      <c r="C65">
        <v>27935505</v>
      </c>
      <c r="D65">
        <v>25413300</v>
      </c>
      <c r="E65">
        <v>1</v>
      </c>
      <c r="F65">
        <v>1</v>
      </c>
      <c r="G65">
        <v>1</v>
      </c>
      <c r="H65">
        <v>1</v>
      </c>
      <c r="I65" t="s">
        <v>491</v>
      </c>
      <c r="J65" t="s">
        <v>6</v>
      </c>
      <c r="K65" t="s">
        <v>492</v>
      </c>
      <c r="L65">
        <v>1191</v>
      </c>
      <c r="N65">
        <v>1013</v>
      </c>
      <c r="O65" t="s">
        <v>459</v>
      </c>
      <c r="P65" t="s">
        <v>459</v>
      </c>
      <c r="Q65">
        <v>1</v>
      </c>
      <c r="X65">
        <v>50.79</v>
      </c>
      <c r="Y65">
        <v>0</v>
      </c>
      <c r="Z65">
        <v>0</v>
      </c>
      <c r="AA65">
        <v>0</v>
      </c>
      <c r="AB65">
        <v>8.5299999999999994</v>
      </c>
      <c r="AC65">
        <v>0</v>
      </c>
      <c r="AD65">
        <v>1</v>
      </c>
      <c r="AE65">
        <v>1</v>
      </c>
      <c r="AF65" t="s">
        <v>82</v>
      </c>
      <c r="AG65">
        <v>35.552999999999997</v>
      </c>
      <c r="AH65">
        <v>2</v>
      </c>
      <c r="AI65">
        <v>27935506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27935525</v>
      </c>
      <c r="C66">
        <v>27935505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460</v>
      </c>
      <c r="J66" t="s">
        <v>6</v>
      </c>
      <c r="K66" t="s">
        <v>461</v>
      </c>
      <c r="L66">
        <v>1191</v>
      </c>
      <c r="N66">
        <v>1013</v>
      </c>
      <c r="O66" t="s">
        <v>459</v>
      </c>
      <c r="P66" t="s">
        <v>459</v>
      </c>
      <c r="Q66">
        <v>1</v>
      </c>
      <c r="X66">
        <v>0.31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82</v>
      </c>
      <c r="AG66">
        <v>0.217</v>
      </c>
      <c r="AH66">
        <v>2</v>
      </c>
      <c r="AI66">
        <v>27935507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27935526</v>
      </c>
      <c r="C67">
        <v>27935505</v>
      </c>
      <c r="D67">
        <v>25230220</v>
      </c>
      <c r="E67">
        <v>1</v>
      </c>
      <c r="F67">
        <v>1</v>
      </c>
      <c r="G67">
        <v>1</v>
      </c>
      <c r="H67">
        <v>2</v>
      </c>
      <c r="I67" t="s">
        <v>501</v>
      </c>
      <c r="J67" t="s">
        <v>502</v>
      </c>
      <c r="K67" t="s">
        <v>503</v>
      </c>
      <c r="L67">
        <v>1368</v>
      </c>
      <c r="N67">
        <v>1011</v>
      </c>
      <c r="O67" t="s">
        <v>465</v>
      </c>
      <c r="P67" t="s">
        <v>465</v>
      </c>
      <c r="Q67">
        <v>1</v>
      </c>
      <c r="X67">
        <v>0.12</v>
      </c>
      <c r="Y67">
        <v>0</v>
      </c>
      <c r="Z67">
        <v>111.99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82</v>
      </c>
      <c r="AG67">
        <v>8.3999999999999991E-2</v>
      </c>
      <c r="AH67">
        <v>2</v>
      </c>
      <c r="AI67">
        <v>27935508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27935527</v>
      </c>
      <c r="C68">
        <v>27935505</v>
      </c>
      <c r="D68">
        <v>25230420</v>
      </c>
      <c r="E68">
        <v>1</v>
      </c>
      <c r="F68">
        <v>1</v>
      </c>
      <c r="G68">
        <v>1</v>
      </c>
      <c r="H68">
        <v>2</v>
      </c>
      <c r="I68" t="s">
        <v>504</v>
      </c>
      <c r="J68" t="s">
        <v>505</v>
      </c>
      <c r="K68" t="s">
        <v>506</v>
      </c>
      <c r="L68">
        <v>1368</v>
      </c>
      <c r="N68">
        <v>1011</v>
      </c>
      <c r="O68" t="s">
        <v>465</v>
      </c>
      <c r="P68" t="s">
        <v>465</v>
      </c>
      <c r="Q68">
        <v>1</v>
      </c>
      <c r="X68">
        <v>10.53</v>
      </c>
      <c r="Y68">
        <v>0</v>
      </c>
      <c r="Z68">
        <v>6.9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82</v>
      </c>
      <c r="AG68">
        <v>7.3709999999999987</v>
      </c>
      <c r="AH68">
        <v>2</v>
      </c>
      <c r="AI68">
        <v>27935509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27935528</v>
      </c>
      <c r="C69">
        <v>27935505</v>
      </c>
      <c r="D69">
        <v>25231607</v>
      </c>
      <c r="E69">
        <v>1</v>
      </c>
      <c r="F69">
        <v>1</v>
      </c>
      <c r="G69">
        <v>1</v>
      </c>
      <c r="H69">
        <v>2</v>
      </c>
      <c r="I69" t="s">
        <v>468</v>
      </c>
      <c r="J69" t="s">
        <v>469</v>
      </c>
      <c r="K69" t="s">
        <v>470</v>
      </c>
      <c r="L69">
        <v>1368</v>
      </c>
      <c r="N69">
        <v>1011</v>
      </c>
      <c r="O69" t="s">
        <v>465</v>
      </c>
      <c r="P69" t="s">
        <v>465</v>
      </c>
      <c r="Q69">
        <v>1</v>
      </c>
      <c r="X69">
        <v>0.19</v>
      </c>
      <c r="Y69">
        <v>0</v>
      </c>
      <c r="Z69">
        <v>65.709999999999994</v>
      </c>
      <c r="AA69">
        <v>11.6</v>
      </c>
      <c r="AB69">
        <v>0</v>
      </c>
      <c r="AC69">
        <v>0</v>
      </c>
      <c r="AD69">
        <v>1</v>
      </c>
      <c r="AE69">
        <v>0</v>
      </c>
      <c r="AF69" t="s">
        <v>82</v>
      </c>
      <c r="AG69">
        <v>0.13299999999999998</v>
      </c>
      <c r="AH69">
        <v>2</v>
      </c>
      <c r="AI69">
        <v>27935510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27935529</v>
      </c>
      <c r="C70">
        <v>27935505</v>
      </c>
      <c r="D70">
        <v>25231842</v>
      </c>
      <c r="E70">
        <v>1</v>
      </c>
      <c r="F70">
        <v>1</v>
      </c>
      <c r="G70">
        <v>1</v>
      </c>
      <c r="H70">
        <v>2</v>
      </c>
      <c r="I70" t="s">
        <v>507</v>
      </c>
      <c r="J70" t="s">
        <v>508</v>
      </c>
      <c r="K70" t="s">
        <v>509</v>
      </c>
      <c r="L70">
        <v>1368</v>
      </c>
      <c r="N70">
        <v>1011</v>
      </c>
      <c r="O70" t="s">
        <v>465</v>
      </c>
      <c r="P70" t="s">
        <v>465</v>
      </c>
      <c r="Q70">
        <v>1</v>
      </c>
      <c r="X70">
        <v>1.86</v>
      </c>
      <c r="Y70">
        <v>0</v>
      </c>
      <c r="Z70">
        <v>1.2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82</v>
      </c>
      <c r="AG70">
        <v>1.302</v>
      </c>
      <c r="AH70">
        <v>2</v>
      </c>
      <c r="AI70">
        <v>27935511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27935530</v>
      </c>
      <c r="C71">
        <v>27935505</v>
      </c>
      <c r="D71">
        <v>25231889</v>
      </c>
      <c r="E71">
        <v>1</v>
      </c>
      <c r="F71">
        <v>1</v>
      </c>
      <c r="G71">
        <v>1</v>
      </c>
      <c r="H71">
        <v>2</v>
      </c>
      <c r="I71" t="s">
        <v>510</v>
      </c>
      <c r="J71" t="s">
        <v>511</v>
      </c>
      <c r="K71" t="s">
        <v>512</v>
      </c>
      <c r="L71">
        <v>1368</v>
      </c>
      <c r="N71">
        <v>1011</v>
      </c>
      <c r="O71" t="s">
        <v>465</v>
      </c>
      <c r="P71" t="s">
        <v>465</v>
      </c>
      <c r="Q71">
        <v>1</v>
      </c>
      <c r="X71">
        <v>2.0299999999999998</v>
      </c>
      <c r="Y71">
        <v>0</v>
      </c>
      <c r="Z71">
        <v>12.31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82</v>
      </c>
      <c r="AG71">
        <v>1.4209999999999998</v>
      </c>
      <c r="AH71">
        <v>2</v>
      </c>
      <c r="AI71">
        <v>27935512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ROW(Source!A46)</f>
        <v>46</v>
      </c>
      <c r="B72">
        <v>27935531</v>
      </c>
      <c r="C72">
        <v>27935505</v>
      </c>
      <c r="D72">
        <v>25148328</v>
      </c>
      <c r="E72">
        <v>1</v>
      </c>
      <c r="F72">
        <v>1</v>
      </c>
      <c r="G72">
        <v>1</v>
      </c>
      <c r="H72">
        <v>3</v>
      </c>
      <c r="I72" t="s">
        <v>513</v>
      </c>
      <c r="J72" t="s">
        <v>514</v>
      </c>
      <c r="K72" t="s">
        <v>515</v>
      </c>
      <c r="L72">
        <v>1339</v>
      </c>
      <c r="N72">
        <v>1007</v>
      </c>
      <c r="O72" t="s">
        <v>133</v>
      </c>
      <c r="P72" t="s">
        <v>133</v>
      </c>
      <c r="Q72">
        <v>1</v>
      </c>
      <c r="X72">
        <v>1.5</v>
      </c>
      <c r="Y72">
        <v>6.22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81</v>
      </c>
      <c r="AG72">
        <v>0</v>
      </c>
      <c r="AH72">
        <v>2</v>
      </c>
      <c r="AI72">
        <v>27935513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ROW(Source!A46)</f>
        <v>46</v>
      </c>
      <c r="B73">
        <v>27935532</v>
      </c>
      <c r="C73">
        <v>27935505</v>
      </c>
      <c r="D73">
        <v>25148335</v>
      </c>
      <c r="E73">
        <v>1</v>
      </c>
      <c r="F73">
        <v>1</v>
      </c>
      <c r="G73">
        <v>1</v>
      </c>
      <c r="H73">
        <v>3</v>
      </c>
      <c r="I73" t="s">
        <v>516</v>
      </c>
      <c r="J73" t="s">
        <v>517</v>
      </c>
      <c r="K73" t="s">
        <v>518</v>
      </c>
      <c r="L73">
        <v>1346</v>
      </c>
      <c r="N73">
        <v>1009</v>
      </c>
      <c r="O73" t="s">
        <v>60</v>
      </c>
      <c r="P73" t="s">
        <v>60</v>
      </c>
      <c r="Q73">
        <v>1</v>
      </c>
      <c r="X73">
        <v>0.45</v>
      </c>
      <c r="Y73">
        <v>6.09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81</v>
      </c>
      <c r="AG73">
        <v>0</v>
      </c>
      <c r="AH73">
        <v>2</v>
      </c>
      <c r="AI73">
        <v>27935514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ROW(Source!A46)</f>
        <v>46</v>
      </c>
      <c r="B74">
        <v>27935533</v>
      </c>
      <c r="C74">
        <v>27935505</v>
      </c>
      <c r="D74">
        <v>25151428</v>
      </c>
      <c r="E74">
        <v>1</v>
      </c>
      <c r="F74">
        <v>1</v>
      </c>
      <c r="G74">
        <v>1</v>
      </c>
      <c r="H74">
        <v>3</v>
      </c>
      <c r="I74" t="s">
        <v>519</v>
      </c>
      <c r="J74" t="s">
        <v>520</v>
      </c>
      <c r="K74" t="s">
        <v>521</v>
      </c>
      <c r="L74">
        <v>1348</v>
      </c>
      <c r="N74">
        <v>1009</v>
      </c>
      <c r="O74" t="s">
        <v>65</v>
      </c>
      <c r="P74" t="s">
        <v>65</v>
      </c>
      <c r="Q74">
        <v>1000</v>
      </c>
      <c r="X74">
        <v>1.4E-3</v>
      </c>
      <c r="Y74">
        <v>10749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81</v>
      </c>
      <c r="AG74">
        <v>0</v>
      </c>
      <c r="AH74">
        <v>2</v>
      </c>
      <c r="AI74">
        <v>27935515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ROW(Source!A46)</f>
        <v>46</v>
      </c>
      <c r="B75">
        <v>27935534</v>
      </c>
      <c r="C75">
        <v>27935505</v>
      </c>
      <c r="D75">
        <v>25152615</v>
      </c>
      <c r="E75">
        <v>1</v>
      </c>
      <c r="F75">
        <v>1</v>
      </c>
      <c r="G75">
        <v>1</v>
      </c>
      <c r="H75">
        <v>3</v>
      </c>
      <c r="I75" t="s">
        <v>522</v>
      </c>
      <c r="J75" t="s">
        <v>523</v>
      </c>
      <c r="K75" t="s">
        <v>524</v>
      </c>
      <c r="L75">
        <v>1348</v>
      </c>
      <c r="N75">
        <v>1009</v>
      </c>
      <c r="O75" t="s">
        <v>65</v>
      </c>
      <c r="P75" t="s">
        <v>65</v>
      </c>
      <c r="Q75">
        <v>1000</v>
      </c>
      <c r="X75">
        <v>3.3E-3</v>
      </c>
      <c r="Y75">
        <v>9040.01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81</v>
      </c>
      <c r="AG75">
        <v>0</v>
      </c>
      <c r="AH75">
        <v>2</v>
      </c>
      <c r="AI75">
        <v>27935516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ROW(Source!A46)</f>
        <v>46</v>
      </c>
      <c r="B76">
        <v>27935535</v>
      </c>
      <c r="C76">
        <v>27935505</v>
      </c>
      <c r="D76">
        <v>25152713</v>
      </c>
      <c r="E76">
        <v>1</v>
      </c>
      <c r="F76">
        <v>1</v>
      </c>
      <c r="G76">
        <v>1</v>
      </c>
      <c r="H76">
        <v>3</v>
      </c>
      <c r="I76" t="s">
        <v>525</v>
      </c>
      <c r="J76" t="s">
        <v>526</v>
      </c>
      <c r="K76" t="s">
        <v>527</v>
      </c>
      <c r="L76">
        <v>1348</v>
      </c>
      <c r="N76">
        <v>1009</v>
      </c>
      <c r="O76" t="s">
        <v>65</v>
      </c>
      <c r="P76" t="s">
        <v>65</v>
      </c>
      <c r="Q76">
        <v>1000</v>
      </c>
      <c r="X76">
        <v>1.0000000000000001E-5</v>
      </c>
      <c r="Y76">
        <v>11978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81</v>
      </c>
      <c r="AG76">
        <v>0</v>
      </c>
      <c r="AH76">
        <v>2</v>
      </c>
      <c r="AI76">
        <v>27935517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ROW(Source!A46)</f>
        <v>46</v>
      </c>
      <c r="B77">
        <v>27935536</v>
      </c>
      <c r="C77">
        <v>27935505</v>
      </c>
      <c r="D77">
        <v>25153693</v>
      </c>
      <c r="E77">
        <v>1</v>
      </c>
      <c r="F77">
        <v>1</v>
      </c>
      <c r="G77">
        <v>1</v>
      </c>
      <c r="H77">
        <v>3</v>
      </c>
      <c r="I77" t="s">
        <v>528</v>
      </c>
      <c r="J77" t="s">
        <v>529</v>
      </c>
      <c r="K77" t="s">
        <v>530</v>
      </c>
      <c r="L77">
        <v>1348</v>
      </c>
      <c r="N77">
        <v>1009</v>
      </c>
      <c r="O77" t="s">
        <v>65</v>
      </c>
      <c r="P77" t="s">
        <v>65</v>
      </c>
      <c r="Q77">
        <v>1000</v>
      </c>
      <c r="X77">
        <v>1E-4</v>
      </c>
      <c r="Y77">
        <v>37900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81</v>
      </c>
      <c r="AG77">
        <v>0</v>
      </c>
      <c r="AH77">
        <v>2</v>
      </c>
      <c r="AI77">
        <v>27935518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ROW(Source!A46)</f>
        <v>46</v>
      </c>
      <c r="B78">
        <v>27935537</v>
      </c>
      <c r="C78">
        <v>27935505</v>
      </c>
      <c r="D78">
        <v>25144501</v>
      </c>
      <c r="E78">
        <v>17</v>
      </c>
      <c r="F78">
        <v>1</v>
      </c>
      <c r="G78">
        <v>1</v>
      </c>
      <c r="H78">
        <v>3</v>
      </c>
      <c r="I78" t="s">
        <v>730</v>
      </c>
      <c r="J78" t="s">
        <v>6</v>
      </c>
      <c r="K78" t="s">
        <v>731</v>
      </c>
      <c r="L78">
        <v>1348</v>
      </c>
      <c r="N78">
        <v>1009</v>
      </c>
      <c r="O78" t="s">
        <v>65</v>
      </c>
      <c r="P78" t="s">
        <v>65</v>
      </c>
      <c r="Q78">
        <v>1000</v>
      </c>
      <c r="X78">
        <v>1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81</v>
      </c>
      <c r="AG78">
        <v>0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ROW(Source!A46)</f>
        <v>46</v>
      </c>
      <c r="B79">
        <v>27935538</v>
      </c>
      <c r="C79">
        <v>27935505</v>
      </c>
      <c r="D79">
        <v>25173443</v>
      </c>
      <c r="E79">
        <v>1</v>
      </c>
      <c r="F79">
        <v>1</v>
      </c>
      <c r="G79">
        <v>1</v>
      </c>
      <c r="H79">
        <v>3</v>
      </c>
      <c r="I79" t="s">
        <v>531</v>
      </c>
      <c r="J79" t="s">
        <v>532</v>
      </c>
      <c r="K79" t="s">
        <v>533</v>
      </c>
      <c r="L79">
        <v>1302</v>
      </c>
      <c r="N79">
        <v>1003</v>
      </c>
      <c r="O79" t="s">
        <v>74</v>
      </c>
      <c r="P79" t="s">
        <v>74</v>
      </c>
      <c r="Q79">
        <v>10</v>
      </c>
      <c r="X79">
        <v>1.8700000000000001E-2</v>
      </c>
      <c r="Y79">
        <v>50.24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81</v>
      </c>
      <c r="AG79">
        <v>0</v>
      </c>
      <c r="AH79">
        <v>2</v>
      </c>
      <c r="AI79">
        <v>27935519</v>
      </c>
      <c r="AJ79">
        <v>78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ROW(Source!A46)</f>
        <v>46</v>
      </c>
      <c r="B80">
        <v>27935539</v>
      </c>
      <c r="C80">
        <v>27935505</v>
      </c>
      <c r="D80">
        <v>25173801</v>
      </c>
      <c r="E80">
        <v>1</v>
      </c>
      <c r="F80">
        <v>1</v>
      </c>
      <c r="G80">
        <v>1</v>
      </c>
      <c r="H80">
        <v>3</v>
      </c>
      <c r="I80" t="s">
        <v>534</v>
      </c>
      <c r="J80" t="s">
        <v>535</v>
      </c>
      <c r="K80" t="s">
        <v>536</v>
      </c>
      <c r="L80">
        <v>1348</v>
      </c>
      <c r="N80">
        <v>1009</v>
      </c>
      <c r="O80" t="s">
        <v>65</v>
      </c>
      <c r="P80" t="s">
        <v>65</v>
      </c>
      <c r="Q80">
        <v>1000</v>
      </c>
      <c r="X80">
        <v>3.0000000000000001E-5</v>
      </c>
      <c r="Y80">
        <v>4455.2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81</v>
      </c>
      <c r="AG80">
        <v>0</v>
      </c>
      <c r="AH80">
        <v>2</v>
      </c>
      <c r="AI80">
        <v>27935520</v>
      </c>
      <c r="AJ80">
        <v>79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ROW(Source!A46)</f>
        <v>46</v>
      </c>
      <c r="B81">
        <v>27935540</v>
      </c>
      <c r="C81">
        <v>27935505</v>
      </c>
      <c r="D81">
        <v>25174560</v>
      </c>
      <c r="E81">
        <v>1</v>
      </c>
      <c r="F81">
        <v>1</v>
      </c>
      <c r="G81">
        <v>1</v>
      </c>
      <c r="H81">
        <v>3</v>
      </c>
      <c r="I81" t="s">
        <v>537</v>
      </c>
      <c r="J81" t="s">
        <v>538</v>
      </c>
      <c r="K81" t="s">
        <v>539</v>
      </c>
      <c r="L81">
        <v>1348</v>
      </c>
      <c r="N81">
        <v>1009</v>
      </c>
      <c r="O81" t="s">
        <v>65</v>
      </c>
      <c r="P81" t="s">
        <v>65</v>
      </c>
      <c r="Q81">
        <v>1000</v>
      </c>
      <c r="X81">
        <v>1.9400000000000001E-3</v>
      </c>
      <c r="Y81">
        <v>4920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81</v>
      </c>
      <c r="AG81">
        <v>0</v>
      </c>
      <c r="AH81">
        <v>2</v>
      </c>
      <c r="AI81">
        <v>27935521</v>
      </c>
      <c r="AJ81">
        <v>80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ROW(Source!A46)</f>
        <v>46</v>
      </c>
      <c r="B82">
        <v>27935541</v>
      </c>
      <c r="C82">
        <v>27935505</v>
      </c>
      <c r="D82">
        <v>25186091</v>
      </c>
      <c r="E82">
        <v>1</v>
      </c>
      <c r="F82">
        <v>1</v>
      </c>
      <c r="G82">
        <v>1</v>
      </c>
      <c r="H82">
        <v>3</v>
      </c>
      <c r="I82" t="s">
        <v>540</v>
      </c>
      <c r="J82" t="s">
        <v>541</v>
      </c>
      <c r="K82" t="s">
        <v>542</v>
      </c>
      <c r="L82">
        <v>1348</v>
      </c>
      <c r="N82">
        <v>1009</v>
      </c>
      <c r="O82" t="s">
        <v>65</v>
      </c>
      <c r="P82" t="s">
        <v>65</v>
      </c>
      <c r="Q82">
        <v>1000</v>
      </c>
      <c r="X82">
        <v>3.1E-4</v>
      </c>
      <c r="Y82">
        <v>15620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81</v>
      </c>
      <c r="AG82">
        <v>0</v>
      </c>
      <c r="AH82">
        <v>2</v>
      </c>
      <c r="AI82">
        <v>27935522</v>
      </c>
      <c r="AJ82">
        <v>81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ROW(Source!A46)</f>
        <v>46</v>
      </c>
      <c r="B83">
        <v>27935542</v>
      </c>
      <c r="C83">
        <v>27935505</v>
      </c>
      <c r="D83">
        <v>25187286</v>
      </c>
      <c r="E83">
        <v>1</v>
      </c>
      <c r="F83">
        <v>1</v>
      </c>
      <c r="G83">
        <v>1</v>
      </c>
      <c r="H83">
        <v>3</v>
      </c>
      <c r="I83" t="s">
        <v>543</v>
      </c>
      <c r="J83" t="s">
        <v>544</v>
      </c>
      <c r="K83" t="s">
        <v>545</v>
      </c>
      <c r="L83">
        <v>1348</v>
      </c>
      <c r="N83">
        <v>1009</v>
      </c>
      <c r="O83" t="s">
        <v>65</v>
      </c>
      <c r="P83" t="s">
        <v>65</v>
      </c>
      <c r="Q83">
        <v>1000</v>
      </c>
      <c r="X83">
        <v>5.9999999999999995E-4</v>
      </c>
      <c r="Y83">
        <v>9420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81</v>
      </c>
      <c r="AG83">
        <v>0</v>
      </c>
      <c r="AH83">
        <v>2</v>
      </c>
      <c r="AI83">
        <v>27935523</v>
      </c>
      <c r="AJ83">
        <v>82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ROW(Source!A47)</f>
        <v>47</v>
      </c>
      <c r="B84">
        <v>27935524</v>
      </c>
      <c r="C84">
        <v>27935505</v>
      </c>
      <c r="D84">
        <v>25413300</v>
      </c>
      <c r="E84">
        <v>1</v>
      </c>
      <c r="F84">
        <v>1</v>
      </c>
      <c r="G84">
        <v>1</v>
      </c>
      <c r="H84">
        <v>1</v>
      </c>
      <c r="I84" t="s">
        <v>491</v>
      </c>
      <c r="J84" t="s">
        <v>6</v>
      </c>
      <c r="K84" t="s">
        <v>492</v>
      </c>
      <c r="L84">
        <v>1191</v>
      </c>
      <c r="N84">
        <v>1013</v>
      </c>
      <c r="O84" t="s">
        <v>459</v>
      </c>
      <c r="P84" t="s">
        <v>459</v>
      </c>
      <c r="Q84">
        <v>1</v>
      </c>
      <c r="X84">
        <v>50.79</v>
      </c>
      <c r="Y84">
        <v>0</v>
      </c>
      <c r="Z84">
        <v>0</v>
      </c>
      <c r="AA84">
        <v>0</v>
      </c>
      <c r="AB84">
        <v>8.5299999999999994</v>
      </c>
      <c r="AC84">
        <v>0</v>
      </c>
      <c r="AD84">
        <v>1</v>
      </c>
      <c r="AE84">
        <v>1</v>
      </c>
      <c r="AF84" t="s">
        <v>82</v>
      </c>
      <c r="AG84">
        <v>35.552999999999997</v>
      </c>
      <c r="AH84">
        <v>2</v>
      </c>
      <c r="AI84">
        <v>27935506</v>
      </c>
      <c r="AJ84">
        <v>83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ROW(Source!A47)</f>
        <v>47</v>
      </c>
      <c r="B85">
        <v>27935525</v>
      </c>
      <c r="C85">
        <v>27935505</v>
      </c>
      <c r="D85">
        <v>25412928</v>
      </c>
      <c r="E85">
        <v>1</v>
      </c>
      <c r="F85">
        <v>1</v>
      </c>
      <c r="G85">
        <v>1</v>
      </c>
      <c r="H85">
        <v>1</v>
      </c>
      <c r="I85" t="s">
        <v>460</v>
      </c>
      <c r="J85" t="s">
        <v>6</v>
      </c>
      <c r="K85" t="s">
        <v>461</v>
      </c>
      <c r="L85">
        <v>1191</v>
      </c>
      <c r="N85">
        <v>1013</v>
      </c>
      <c r="O85" t="s">
        <v>459</v>
      </c>
      <c r="P85" t="s">
        <v>459</v>
      </c>
      <c r="Q85">
        <v>1</v>
      </c>
      <c r="X85">
        <v>0.31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82</v>
      </c>
      <c r="AG85">
        <v>0.217</v>
      </c>
      <c r="AH85">
        <v>2</v>
      </c>
      <c r="AI85">
        <v>27935507</v>
      </c>
      <c r="AJ85">
        <v>84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ROW(Source!A47)</f>
        <v>47</v>
      </c>
      <c r="B86">
        <v>27935526</v>
      </c>
      <c r="C86">
        <v>27935505</v>
      </c>
      <c r="D86">
        <v>25230220</v>
      </c>
      <c r="E86">
        <v>1</v>
      </c>
      <c r="F86">
        <v>1</v>
      </c>
      <c r="G86">
        <v>1</v>
      </c>
      <c r="H86">
        <v>2</v>
      </c>
      <c r="I86" t="s">
        <v>501</v>
      </c>
      <c r="J86" t="s">
        <v>502</v>
      </c>
      <c r="K86" t="s">
        <v>503</v>
      </c>
      <c r="L86">
        <v>1368</v>
      </c>
      <c r="N86">
        <v>1011</v>
      </c>
      <c r="O86" t="s">
        <v>465</v>
      </c>
      <c r="P86" t="s">
        <v>465</v>
      </c>
      <c r="Q86">
        <v>1</v>
      </c>
      <c r="X86">
        <v>0.12</v>
      </c>
      <c r="Y86">
        <v>0</v>
      </c>
      <c r="Z86">
        <v>111.99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82</v>
      </c>
      <c r="AG86">
        <v>8.3999999999999991E-2</v>
      </c>
      <c r="AH86">
        <v>2</v>
      </c>
      <c r="AI86">
        <v>27935508</v>
      </c>
      <c r="AJ86">
        <v>85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ROW(Source!A47)</f>
        <v>47</v>
      </c>
      <c r="B87">
        <v>27935527</v>
      </c>
      <c r="C87">
        <v>27935505</v>
      </c>
      <c r="D87">
        <v>25230420</v>
      </c>
      <c r="E87">
        <v>1</v>
      </c>
      <c r="F87">
        <v>1</v>
      </c>
      <c r="G87">
        <v>1</v>
      </c>
      <c r="H87">
        <v>2</v>
      </c>
      <c r="I87" t="s">
        <v>504</v>
      </c>
      <c r="J87" t="s">
        <v>505</v>
      </c>
      <c r="K87" t="s">
        <v>506</v>
      </c>
      <c r="L87">
        <v>1368</v>
      </c>
      <c r="N87">
        <v>1011</v>
      </c>
      <c r="O87" t="s">
        <v>465</v>
      </c>
      <c r="P87" t="s">
        <v>465</v>
      </c>
      <c r="Q87">
        <v>1</v>
      </c>
      <c r="X87">
        <v>10.53</v>
      </c>
      <c r="Y87">
        <v>0</v>
      </c>
      <c r="Z87">
        <v>6.9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82</v>
      </c>
      <c r="AG87">
        <v>7.3709999999999987</v>
      </c>
      <c r="AH87">
        <v>2</v>
      </c>
      <c r="AI87">
        <v>27935509</v>
      </c>
      <c r="AJ87">
        <v>86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ROW(Source!A47)</f>
        <v>47</v>
      </c>
      <c r="B88">
        <v>27935528</v>
      </c>
      <c r="C88">
        <v>27935505</v>
      </c>
      <c r="D88">
        <v>25231607</v>
      </c>
      <c r="E88">
        <v>1</v>
      </c>
      <c r="F88">
        <v>1</v>
      </c>
      <c r="G88">
        <v>1</v>
      </c>
      <c r="H88">
        <v>2</v>
      </c>
      <c r="I88" t="s">
        <v>468</v>
      </c>
      <c r="J88" t="s">
        <v>469</v>
      </c>
      <c r="K88" t="s">
        <v>470</v>
      </c>
      <c r="L88">
        <v>1368</v>
      </c>
      <c r="N88">
        <v>1011</v>
      </c>
      <c r="O88" t="s">
        <v>465</v>
      </c>
      <c r="P88" t="s">
        <v>465</v>
      </c>
      <c r="Q88">
        <v>1</v>
      </c>
      <c r="X88">
        <v>0.19</v>
      </c>
      <c r="Y88">
        <v>0</v>
      </c>
      <c r="Z88">
        <v>65.709999999999994</v>
      </c>
      <c r="AA88">
        <v>11.6</v>
      </c>
      <c r="AB88">
        <v>0</v>
      </c>
      <c r="AC88">
        <v>0</v>
      </c>
      <c r="AD88">
        <v>1</v>
      </c>
      <c r="AE88">
        <v>0</v>
      </c>
      <c r="AF88" t="s">
        <v>82</v>
      </c>
      <c r="AG88">
        <v>0.13299999999999998</v>
      </c>
      <c r="AH88">
        <v>2</v>
      </c>
      <c r="AI88">
        <v>27935510</v>
      </c>
      <c r="AJ88">
        <v>87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ROW(Source!A47)</f>
        <v>47</v>
      </c>
      <c r="B89">
        <v>27935529</v>
      </c>
      <c r="C89">
        <v>27935505</v>
      </c>
      <c r="D89">
        <v>25231842</v>
      </c>
      <c r="E89">
        <v>1</v>
      </c>
      <c r="F89">
        <v>1</v>
      </c>
      <c r="G89">
        <v>1</v>
      </c>
      <c r="H89">
        <v>2</v>
      </c>
      <c r="I89" t="s">
        <v>507</v>
      </c>
      <c r="J89" t="s">
        <v>508</v>
      </c>
      <c r="K89" t="s">
        <v>509</v>
      </c>
      <c r="L89">
        <v>1368</v>
      </c>
      <c r="N89">
        <v>1011</v>
      </c>
      <c r="O89" t="s">
        <v>465</v>
      </c>
      <c r="P89" t="s">
        <v>465</v>
      </c>
      <c r="Q89">
        <v>1</v>
      </c>
      <c r="X89">
        <v>1.86</v>
      </c>
      <c r="Y89">
        <v>0</v>
      </c>
      <c r="Z89">
        <v>1.2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82</v>
      </c>
      <c r="AG89">
        <v>1.302</v>
      </c>
      <c r="AH89">
        <v>2</v>
      </c>
      <c r="AI89">
        <v>27935511</v>
      </c>
      <c r="AJ89">
        <v>88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ROW(Source!A47)</f>
        <v>47</v>
      </c>
      <c r="B90">
        <v>27935530</v>
      </c>
      <c r="C90">
        <v>27935505</v>
      </c>
      <c r="D90">
        <v>25231889</v>
      </c>
      <c r="E90">
        <v>1</v>
      </c>
      <c r="F90">
        <v>1</v>
      </c>
      <c r="G90">
        <v>1</v>
      </c>
      <c r="H90">
        <v>2</v>
      </c>
      <c r="I90" t="s">
        <v>510</v>
      </c>
      <c r="J90" t="s">
        <v>511</v>
      </c>
      <c r="K90" t="s">
        <v>512</v>
      </c>
      <c r="L90">
        <v>1368</v>
      </c>
      <c r="N90">
        <v>1011</v>
      </c>
      <c r="O90" t="s">
        <v>465</v>
      </c>
      <c r="P90" t="s">
        <v>465</v>
      </c>
      <c r="Q90">
        <v>1</v>
      </c>
      <c r="X90">
        <v>2.0299999999999998</v>
      </c>
      <c r="Y90">
        <v>0</v>
      </c>
      <c r="Z90">
        <v>12.31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82</v>
      </c>
      <c r="AG90">
        <v>1.4209999999999998</v>
      </c>
      <c r="AH90">
        <v>2</v>
      </c>
      <c r="AI90">
        <v>27935512</v>
      </c>
      <c r="AJ90">
        <v>89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ROW(Source!A47)</f>
        <v>47</v>
      </c>
      <c r="B91">
        <v>27935531</v>
      </c>
      <c r="C91">
        <v>27935505</v>
      </c>
      <c r="D91">
        <v>25148328</v>
      </c>
      <c r="E91">
        <v>1</v>
      </c>
      <c r="F91">
        <v>1</v>
      </c>
      <c r="G91">
        <v>1</v>
      </c>
      <c r="H91">
        <v>3</v>
      </c>
      <c r="I91" t="s">
        <v>513</v>
      </c>
      <c r="J91" t="s">
        <v>514</v>
      </c>
      <c r="K91" t="s">
        <v>515</v>
      </c>
      <c r="L91">
        <v>1339</v>
      </c>
      <c r="N91">
        <v>1007</v>
      </c>
      <c r="O91" t="s">
        <v>133</v>
      </c>
      <c r="P91" t="s">
        <v>133</v>
      </c>
      <c r="Q91">
        <v>1</v>
      </c>
      <c r="X91">
        <v>1.5</v>
      </c>
      <c r="Y91">
        <v>6.22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81</v>
      </c>
      <c r="AG91">
        <v>0</v>
      </c>
      <c r="AH91">
        <v>2</v>
      </c>
      <c r="AI91">
        <v>27935513</v>
      </c>
      <c r="AJ91">
        <v>90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ROW(Source!A47)</f>
        <v>47</v>
      </c>
      <c r="B92">
        <v>27935532</v>
      </c>
      <c r="C92">
        <v>27935505</v>
      </c>
      <c r="D92">
        <v>25148335</v>
      </c>
      <c r="E92">
        <v>1</v>
      </c>
      <c r="F92">
        <v>1</v>
      </c>
      <c r="G92">
        <v>1</v>
      </c>
      <c r="H92">
        <v>3</v>
      </c>
      <c r="I92" t="s">
        <v>516</v>
      </c>
      <c r="J92" t="s">
        <v>517</v>
      </c>
      <c r="K92" t="s">
        <v>518</v>
      </c>
      <c r="L92">
        <v>1346</v>
      </c>
      <c r="N92">
        <v>1009</v>
      </c>
      <c r="O92" t="s">
        <v>60</v>
      </c>
      <c r="P92" t="s">
        <v>60</v>
      </c>
      <c r="Q92">
        <v>1</v>
      </c>
      <c r="X92">
        <v>0.45</v>
      </c>
      <c r="Y92">
        <v>6.09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81</v>
      </c>
      <c r="AG92">
        <v>0</v>
      </c>
      <c r="AH92">
        <v>2</v>
      </c>
      <c r="AI92">
        <v>27935514</v>
      </c>
      <c r="AJ92">
        <v>91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ROW(Source!A47)</f>
        <v>47</v>
      </c>
      <c r="B93">
        <v>27935533</v>
      </c>
      <c r="C93">
        <v>27935505</v>
      </c>
      <c r="D93">
        <v>25151428</v>
      </c>
      <c r="E93">
        <v>1</v>
      </c>
      <c r="F93">
        <v>1</v>
      </c>
      <c r="G93">
        <v>1</v>
      </c>
      <c r="H93">
        <v>3</v>
      </c>
      <c r="I93" t="s">
        <v>519</v>
      </c>
      <c r="J93" t="s">
        <v>520</v>
      </c>
      <c r="K93" t="s">
        <v>521</v>
      </c>
      <c r="L93">
        <v>1348</v>
      </c>
      <c r="N93">
        <v>1009</v>
      </c>
      <c r="O93" t="s">
        <v>65</v>
      </c>
      <c r="P93" t="s">
        <v>65</v>
      </c>
      <c r="Q93">
        <v>1000</v>
      </c>
      <c r="X93">
        <v>1.4E-3</v>
      </c>
      <c r="Y93">
        <v>10749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81</v>
      </c>
      <c r="AG93">
        <v>0</v>
      </c>
      <c r="AH93">
        <v>2</v>
      </c>
      <c r="AI93">
        <v>27935515</v>
      </c>
      <c r="AJ93">
        <v>92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ROW(Source!A47)</f>
        <v>47</v>
      </c>
      <c r="B94">
        <v>27935534</v>
      </c>
      <c r="C94">
        <v>27935505</v>
      </c>
      <c r="D94">
        <v>25152615</v>
      </c>
      <c r="E94">
        <v>1</v>
      </c>
      <c r="F94">
        <v>1</v>
      </c>
      <c r="G94">
        <v>1</v>
      </c>
      <c r="H94">
        <v>3</v>
      </c>
      <c r="I94" t="s">
        <v>522</v>
      </c>
      <c r="J94" t="s">
        <v>523</v>
      </c>
      <c r="K94" t="s">
        <v>524</v>
      </c>
      <c r="L94">
        <v>1348</v>
      </c>
      <c r="N94">
        <v>1009</v>
      </c>
      <c r="O94" t="s">
        <v>65</v>
      </c>
      <c r="P94" t="s">
        <v>65</v>
      </c>
      <c r="Q94">
        <v>1000</v>
      </c>
      <c r="X94">
        <v>3.3E-3</v>
      </c>
      <c r="Y94">
        <v>9040.01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81</v>
      </c>
      <c r="AG94">
        <v>0</v>
      </c>
      <c r="AH94">
        <v>2</v>
      </c>
      <c r="AI94">
        <v>27935516</v>
      </c>
      <c r="AJ94">
        <v>93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ROW(Source!A47)</f>
        <v>47</v>
      </c>
      <c r="B95">
        <v>27935535</v>
      </c>
      <c r="C95">
        <v>27935505</v>
      </c>
      <c r="D95">
        <v>25152713</v>
      </c>
      <c r="E95">
        <v>1</v>
      </c>
      <c r="F95">
        <v>1</v>
      </c>
      <c r="G95">
        <v>1</v>
      </c>
      <c r="H95">
        <v>3</v>
      </c>
      <c r="I95" t="s">
        <v>525</v>
      </c>
      <c r="J95" t="s">
        <v>526</v>
      </c>
      <c r="K95" t="s">
        <v>527</v>
      </c>
      <c r="L95">
        <v>1348</v>
      </c>
      <c r="N95">
        <v>1009</v>
      </c>
      <c r="O95" t="s">
        <v>65</v>
      </c>
      <c r="P95" t="s">
        <v>65</v>
      </c>
      <c r="Q95">
        <v>1000</v>
      </c>
      <c r="X95">
        <v>1.0000000000000001E-5</v>
      </c>
      <c r="Y95">
        <v>11978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81</v>
      </c>
      <c r="AG95">
        <v>0</v>
      </c>
      <c r="AH95">
        <v>2</v>
      </c>
      <c r="AI95">
        <v>27935517</v>
      </c>
      <c r="AJ95">
        <v>94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ROW(Source!A47)</f>
        <v>47</v>
      </c>
      <c r="B96">
        <v>27935536</v>
      </c>
      <c r="C96">
        <v>27935505</v>
      </c>
      <c r="D96">
        <v>25153693</v>
      </c>
      <c r="E96">
        <v>1</v>
      </c>
      <c r="F96">
        <v>1</v>
      </c>
      <c r="G96">
        <v>1</v>
      </c>
      <c r="H96">
        <v>3</v>
      </c>
      <c r="I96" t="s">
        <v>528</v>
      </c>
      <c r="J96" t="s">
        <v>529</v>
      </c>
      <c r="K96" t="s">
        <v>530</v>
      </c>
      <c r="L96">
        <v>1348</v>
      </c>
      <c r="N96">
        <v>1009</v>
      </c>
      <c r="O96" t="s">
        <v>65</v>
      </c>
      <c r="P96" t="s">
        <v>65</v>
      </c>
      <c r="Q96">
        <v>1000</v>
      </c>
      <c r="X96">
        <v>1E-4</v>
      </c>
      <c r="Y96">
        <v>37900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81</v>
      </c>
      <c r="AG96">
        <v>0</v>
      </c>
      <c r="AH96">
        <v>2</v>
      </c>
      <c r="AI96">
        <v>27935518</v>
      </c>
      <c r="AJ96">
        <v>95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ROW(Source!A47)</f>
        <v>47</v>
      </c>
      <c r="B97">
        <v>27935537</v>
      </c>
      <c r="C97">
        <v>27935505</v>
      </c>
      <c r="D97">
        <v>25144501</v>
      </c>
      <c r="E97">
        <v>17</v>
      </c>
      <c r="F97">
        <v>1</v>
      </c>
      <c r="G97">
        <v>1</v>
      </c>
      <c r="H97">
        <v>3</v>
      </c>
      <c r="I97" t="s">
        <v>730</v>
      </c>
      <c r="J97" t="s">
        <v>6</v>
      </c>
      <c r="K97" t="s">
        <v>731</v>
      </c>
      <c r="L97">
        <v>1348</v>
      </c>
      <c r="N97">
        <v>1009</v>
      </c>
      <c r="O97" t="s">
        <v>65</v>
      </c>
      <c r="P97" t="s">
        <v>65</v>
      </c>
      <c r="Q97">
        <v>1000</v>
      </c>
      <c r="X97">
        <v>1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81</v>
      </c>
      <c r="AG97">
        <v>0</v>
      </c>
      <c r="AH97">
        <v>3</v>
      </c>
      <c r="AI97">
        <v>-1</v>
      </c>
      <c r="AJ97" t="s">
        <v>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ROW(Source!A47)</f>
        <v>47</v>
      </c>
      <c r="B98">
        <v>27935538</v>
      </c>
      <c r="C98">
        <v>27935505</v>
      </c>
      <c r="D98">
        <v>25173443</v>
      </c>
      <c r="E98">
        <v>1</v>
      </c>
      <c r="F98">
        <v>1</v>
      </c>
      <c r="G98">
        <v>1</v>
      </c>
      <c r="H98">
        <v>3</v>
      </c>
      <c r="I98" t="s">
        <v>531</v>
      </c>
      <c r="J98" t="s">
        <v>532</v>
      </c>
      <c r="K98" t="s">
        <v>533</v>
      </c>
      <c r="L98">
        <v>1302</v>
      </c>
      <c r="N98">
        <v>1003</v>
      </c>
      <c r="O98" t="s">
        <v>74</v>
      </c>
      <c r="P98" t="s">
        <v>74</v>
      </c>
      <c r="Q98">
        <v>10</v>
      </c>
      <c r="X98">
        <v>1.8700000000000001E-2</v>
      </c>
      <c r="Y98">
        <v>50.24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81</v>
      </c>
      <c r="AG98">
        <v>0</v>
      </c>
      <c r="AH98">
        <v>2</v>
      </c>
      <c r="AI98">
        <v>27935519</v>
      </c>
      <c r="AJ98">
        <v>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ROW(Source!A47)</f>
        <v>47</v>
      </c>
      <c r="B99">
        <v>27935539</v>
      </c>
      <c r="C99">
        <v>27935505</v>
      </c>
      <c r="D99">
        <v>25173801</v>
      </c>
      <c r="E99">
        <v>1</v>
      </c>
      <c r="F99">
        <v>1</v>
      </c>
      <c r="G99">
        <v>1</v>
      </c>
      <c r="H99">
        <v>3</v>
      </c>
      <c r="I99" t="s">
        <v>534</v>
      </c>
      <c r="J99" t="s">
        <v>535</v>
      </c>
      <c r="K99" t="s">
        <v>536</v>
      </c>
      <c r="L99">
        <v>1348</v>
      </c>
      <c r="N99">
        <v>1009</v>
      </c>
      <c r="O99" t="s">
        <v>65</v>
      </c>
      <c r="P99" t="s">
        <v>65</v>
      </c>
      <c r="Q99">
        <v>1000</v>
      </c>
      <c r="X99">
        <v>3.0000000000000001E-5</v>
      </c>
      <c r="Y99">
        <v>4455.2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81</v>
      </c>
      <c r="AG99">
        <v>0</v>
      </c>
      <c r="AH99">
        <v>2</v>
      </c>
      <c r="AI99">
        <v>27935520</v>
      </c>
      <c r="AJ99">
        <v>97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ROW(Source!A47)</f>
        <v>47</v>
      </c>
      <c r="B100">
        <v>27935540</v>
      </c>
      <c r="C100">
        <v>27935505</v>
      </c>
      <c r="D100">
        <v>25174560</v>
      </c>
      <c r="E100">
        <v>1</v>
      </c>
      <c r="F100">
        <v>1</v>
      </c>
      <c r="G100">
        <v>1</v>
      </c>
      <c r="H100">
        <v>3</v>
      </c>
      <c r="I100" t="s">
        <v>537</v>
      </c>
      <c r="J100" t="s">
        <v>538</v>
      </c>
      <c r="K100" t="s">
        <v>539</v>
      </c>
      <c r="L100">
        <v>1348</v>
      </c>
      <c r="N100">
        <v>1009</v>
      </c>
      <c r="O100" t="s">
        <v>65</v>
      </c>
      <c r="P100" t="s">
        <v>65</v>
      </c>
      <c r="Q100">
        <v>1000</v>
      </c>
      <c r="X100">
        <v>1.9400000000000001E-3</v>
      </c>
      <c r="Y100">
        <v>4920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81</v>
      </c>
      <c r="AG100">
        <v>0</v>
      </c>
      <c r="AH100">
        <v>2</v>
      </c>
      <c r="AI100">
        <v>27935521</v>
      </c>
      <c r="AJ100">
        <v>98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ROW(Source!A47)</f>
        <v>47</v>
      </c>
      <c r="B101">
        <v>27935541</v>
      </c>
      <c r="C101">
        <v>27935505</v>
      </c>
      <c r="D101">
        <v>25186091</v>
      </c>
      <c r="E101">
        <v>1</v>
      </c>
      <c r="F101">
        <v>1</v>
      </c>
      <c r="G101">
        <v>1</v>
      </c>
      <c r="H101">
        <v>3</v>
      </c>
      <c r="I101" t="s">
        <v>540</v>
      </c>
      <c r="J101" t="s">
        <v>541</v>
      </c>
      <c r="K101" t="s">
        <v>542</v>
      </c>
      <c r="L101">
        <v>1348</v>
      </c>
      <c r="N101">
        <v>1009</v>
      </c>
      <c r="O101" t="s">
        <v>65</v>
      </c>
      <c r="P101" t="s">
        <v>65</v>
      </c>
      <c r="Q101">
        <v>1000</v>
      </c>
      <c r="X101">
        <v>3.1E-4</v>
      </c>
      <c r="Y101">
        <v>15620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81</v>
      </c>
      <c r="AG101">
        <v>0</v>
      </c>
      <c r="AH101">
        <v>2</v>
      </c>
      <c r="AI101">
        <v>27935522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ROW(Source!A47)</f>
        <v>47</v>
      </c>
      <c r="B102">
        <v>27935542</v>
      </c>
      <c r="C102">
        <v>27935505</v>
      </c>
      <c r="D102">
        <v>25187286</v>
      </c>
      <c r="E102">
        <v>1</v>
      </c>
      <c r="F102">
        <v>1</v>
      </c>
      <c r="G102">
        <v>1</v>
      </c>
      <c r="H102">
        <v>3</v>
      </c>
      <c r="I102" t="s">
        <v>543</v>
      </c>
      <c r="J102" t="s">
        <v>544</v>
      </c>
      <c r="K102" t="s">
        <v>545</v>
      </c>
      <c r="L102">
        <v>1348</v>
      </c>
      <c r="N102">
        <v>1009</v>
      </c>
      <c r="O102" t="s">
        <v>65</v>
      </c>
      <c r="P102" t="s">
        <v>65</v>
      </c>
      <c r="Q102">
        <v>1000</v>
      </c>
      <c r="X102">
        <v>5.9999999999999995E-4</v>
      </c>
      <c r="Y102">
        <v>9420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81</v>
      </c>
      <c r="AG102">
        <v>0</v>
      </c>
      <c r="AH102">
        <v>2</v>
      </c>
      <c r="AI102">
        <v>27935523</v>
      </c>
      <c r="AJ102">
        <v>100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ROW(Source!A48)</f>
        <v>48</v>
      </c>
      <c r="B103">
        <v>27935552</v>
      </c>
      <c r="C103">
        <v>27935543</v>
      </c>
      <c r="D103">
        <v>25413300</v>
      </c>
      <c r="E103">
        <v>1</v>
      </c>
      <c r="F103">
        <v>1</v>
      </c>
      <c r="G103">
        <v>1</v>
      </c>
      <c r="H103">
        <v>1</v>
      </c>
      <c r="I103" t="s">
        <v>491</v>
      </c>
      <c r="J103" t="s">
        <v>6</v>
      </c>
      <c r="K103" t="s">
        <v>492</v>
      </c>
      <c r="L103">
        <v>1191</v>
      </c>
      <c r="N103">
        <v>1013</v>
      </c>
      <c r="O103" t="s">
        <v>459</v>
      </c>
      <c r="P103" t="s">
        <v>459</v>
      </c>
      <c r="Q103">
        <v>1</v>
      </c>
      <c r="X103">
        <v>41.41</v>
      </c>
      <c r="Y103">
        <v>0</v>
      </c>
      <c r="Z103">
        <v>0</v>
      </c>
      <c r="AA103">
        <v>0</v>
      </c>
      <c r="AB103">
        <v>8.5299999999999994</v>
      </c>
      <c r="AC103">
        <v>0</v>
      </c>
      <c r="AD103">
        <v>1</v>
      </c>
      <c r="AE103">
        <v>1</v>
      </c>
      <c r="AF103" t="s">
        <v>6</v>
      </c>
      <c r="AG103">
        <v>41.41</v>
      </c>
      <c r="AH103">
        <v>2</v>
      </c>
      <c r="AI103">
        <v>27935544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ROW(Source!A48)</f>
        <v>48</v>
      </c>
      <c r="B104">
        <v>27935553</v>
      </c>
      <c r="C104">
        <v>27935543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460</v>
      </c>
      <c r="J104" t="s">
        <v>6</v>
      </c>
      <c r="K104" t="s">
        <v>461</v>
      </c>
      <c r="L104">
        <v>1191</v>
      </c>
      <c r="N104">
        <v>1013</v>
      </c>
      <c r="O104" t="s">
        <v>459</v>
      </c>
      <c r="P104" t="s">
        <v>459</v>
      </c>
      <c r="Q104">
        <v>1</v>
      </c>
      <c r="X104">
        <v>0.12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6</v>
      </c>
      <c r="AG104">
        <v>0.12</v>
      </c>
      <c r="AH104">
        <v>2</v>
      </c>
      <c r="AI104">
        <v>27935545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ROW(Source!A48)</f>
        <v>48</v>
      </c>
      <c r="B105">
        <v>27935554</v>
      </c>
      <c r="C105">
        <v>27935543</v>
      </c>
      <c r="D105">
        <v>25230514</v>
      </c>
      <c r="E105">
        <v>1</v>
      </c>
      <c r="F105">
        <v>1</v>
      </c>
      <c r="G105">
        <v>1</v>
      </c>
      <c r="H105">
        <v>2</v>
      </c>
      <c r="I105" t="s">
        <v>462</v>
      </c>
      <c r="J105" t="s">
        <v>463</v>
      </c>
      <c r="K105" t="s">
        <v>464</v>
      </c>
      <c r="L105">
        <v>1368</v>
      </c>
      <c r="N105">
        <v>1011</v>
      </c>
      <c r="O105" t="s">
        <v>465</v>
      </c>
      <c r="P105" t="s">
        <v>465</v>
      </c>
      <c r="Q105">
        <v>1</v>
      </c>
      <c r="X105">
        <v>0.08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0.08</v>
      </c>
      <c r="AH105">
        <v>2</v>
      </c>
      <c r="AI105">
        <v>27935546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ROW(Source!A48)</f>
        <v>48</v>
      </c>
      <c r="B106">
        <v>27935555</v>
      </c>
      <c r="C106">
        <v>27935543</v>
      </c>
      <c r="D106">
        <v>25231607</v>
      </c>
      <c r="E106">
        <v>1</v>
      </c>
      <c r="F106">
        <v>1</v>
      </c>
      <c r="G106">
        <v>1</v>
      </c>
      <c r="H106">
        <v>2</v>
      </c>
      <c r="I106" t="s">
        <v>468</v>
      </c>
      <c r="J106" t="s">
        <v>469</v>
      </c>
      <c r="K106" t="s">
        <v>470</v>
      </c>
      <c r="L106">
        <v>1368</v>
      </c>
      <c r="N106">
        <v>1011</v>
      </c>
      <c r="O106" t="s">
        <v>465</v>
      </c>
      <c r="P106" t="s">
        <v>465</v>
      </c>
      <c r="Q106">
        <v>1</v>
      </c>
      <c r="X106">
        <v>0.04</v>
      </c>
      <c r="Y106">
        <v>0</v>
      </c>
      <c r="Z106">
        <v>65.709999999999994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0.04</v>
      </c>
      <c r="AH106">
        <v>2</v>
      </c>
      <c r="AI106">
        <v>27935547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ROW(Source!A48)</f>
        <v>48</v>
      </c>
      <c r="B107">
        <v>27935556</v>
      </c>
      <c r="C107">
        <v>27935543</v>
      </c>
      <c r="D107">
        <v>25147242</v>
      </c>
      <c r="E107">
        <v>17</v>
      </c>
      <c r="F107">
        <v>1</v>
      </c>
      <c r="G107">
        <v>1</v>
      </c>
      <c r="H107">
        <v>3</v>
      </c>
      <c r="I107" t="s">
        <v>218</v>
      </c>
      <c r="J107" t="s">
        <v>6</v>
      </c>
      <c r="K107" t="s">
        <v>732</v>
      </c>
      <c r="L107">
        <v>1348</v>
      </c>
      <c r="N107">
        <v>1009</v>
      </c>
      <c r="O107" t="s">
        <v>65</v>
      </c>
      <c r="P107" t="s">
        <v>65</v>
      </c>
      <c r="Q107">
        <v>1000</v>
      </c>
      <c r="X107">
        <v>0.224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 t="s">
        <v>6</v>
      </c>
      <c r="AG107">
        <v>0.224</v>
      </c>
      <c r="AH107">
        <v>3</v>
      </c>
      <c r="AI107">
        <v>-1</v>
      </c>
      <c r="AJ107" t="s">
        <v>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ROW(Source!A48)</f>
        <v>48</v>
      </c>
      <c r="B108">
        <v>27935557</v>
      </c>
      <c r="C108">
        <v>27935543</v>
      </c>
      <c r="D108">
        <v>25152713</v>
      </c>
      <c r="E108">
        <v>1</v>
      </c>
      <c r="F108">
        <v>1</v>
      </c>
      <c r="G108">
        <v>1</v>
      </c>
      <c r="H108">
        <v>3</v>
      </c>
      <c r="I108" t="s">
        <v>525</v>
      </c>
      <c r="J108" t="s">
        <v>526</v>
      </c>
      <c r="K108" t="s">
        <v>527</v>
      </c>
      <c r="L108">
        <v>1348</v>
      </c>
      <c r="N108">
        <v>1009</v>
      </c>
      <c r="O108" t="s">
        <v>65</v>
      </c>
      <c r="P108" t="s">
        <v>65</v>
      </c>
      <c r="Q108">
        <v>1000</v>
      </c>
      <c r="X108">
        <v>4.0000000000000001E-3</v>
      </c>
      <c r="Y108">
        <v>11978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4.0000000000000001E-3</v>
      </c>
      <c r="AH108">
        <v>2</v>
      </c>
      <c r="AI108">
        <v>27935548</v>
      </c>
      <c r="AJ108">
        <v>105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ROW(Source!A48)</f>
        <v>48</v>
      </c>
      <c r="B109">
        <v>27935558</v>
      </c>
      <c r="C109">
        <v>27935543</v>
      </c>
      <c r="D109">
        <v>25173787</v>
      </c>
      <c r="E109">
        <v>1</v>
      </c>
      <c r="F109">
        <v>1</v>
      </c>
      <c r="G109">
        <v>1</v>
      </c>
      <c r="H109">
        <v>3</v>
      </c>
      <c r="I109" t="s">
        <v>546</v>
      </c>
      <c r="J109" t="s">
        <v>547</v>
      </c>
      <c r="K109" t="s">
        <v>548</v>
      </c>
      <c r="L109">
        <v>1348</v>
      </c>
      <c r="N109">
        <v>1009</v>
      </c>
      <c r="O109" t="s">
        <v>65</v>
      </c>
      <c r="P109" t="s">
        <v>65</v>
      </c>
      <c r="Q109">
        <v>1000</v>
      </c>
      <c r="X109">
        <v>6.0000000000000001E-3</v>
      </c>
      <c r="Y109">
        <v>8023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6.0000000000000001E-3</v>
      </c>
      <c r="AH109">
        <v>2</v>
      </c>
      <c r="AI109">
        <v>27935549</v>
      </c>
      <c r="AJ109">
        <v>107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ROW(Source!A48)</f>
        <v>48</v>
      </c>
      <c r="B110">
        <v>27935559</v>
      </c>
      <c r="C110">
        <v>27935543</v>
      </c>
      <c r="D110">
        <v>25147246</v>
      </c>
      <c r="E110">
        <v>17</v>
      </c>
      <c r="F110">
        <v>1</v>
      </c>
      <c r="G110">
        <v>1</v>
      </c>
      <c r="H110">
        <v>3</v>
      </c>
      <c r="I110" t="s">
        <v>94</v>
      </c>
      <c r="J110" t="s">
        <v>6</v>
      </c>
      <c r="K110" t="s">
        <v>95</v>
      </c>
      <c r="L110">
        <v>1348</v>
      </c>
      <c r="N110">
        <v>1009</v>
      </c>
      <c r="O110" t="s">
        <v>65</v>
      </c>
      <c r="P110" t="s">
        <v>65</v>
      </c>
      <c r="Q110">
        <v>1000</v>
      </c>
      <c r="X110">
        <v>0.184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0.184</v>
      </c>
      <c r="AH110">
        <v>2</v>
      </c>
      <c r="AI110">
        <v>27935550</v>
      </c>
      <c r="AJ110">
        <v>108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ROW(Source!A49)</f>
        <v>49</v>
      </c>
      <c r="B111">
        <v>27935552</v>
      </c>
      <c r="C111">
        <v>27935543</v>
      </c>
      <c r="D111">
        <v>25413300</v>
      </c>
      <c r="E111">
        <v>1</v>
      </c>
      <c r="F111">
        <v>1</v>
      </c>
      <c r="G111">
        <v>1</v>
      </c>
      <c r="H111">
        <v>1</v>
      </c>
      <c r="I111" t="s">
        <v>491</v>
      </c>
      <c r="J111" t="s">
        <v>6</v>
      </c>
      <c r="K111" t="s">
        <v>492</v>
      </c>
      <c r="L111">
        <v>1191</v>
      </c>
      <c r="N111">
        <v>1013</v>
      </c>
      <c r="O111" t="s">
        <v>459</v>
      </c>
      <c r="P111" t="s">
        <v>459</v>
      </c>
      <c r="Q111">
        <v>1</v>
      </c>
      <c r="X111">
        <v>41.41</v>
      </c>
      <c r="Y111">
        <v>0</v>
      </c>
      <c r="Z111">
        <v>0</v>
      </c>
      <c r="AA111">
        <v>0</v>
      </c>
      <c r="AB111">
        <v>8.5299999999999994</v>
      </c>
      <c r="AC111">
        <v>0</v>
      </c>
      <c r="AD111">
        <v>1</v>
      </c>
      <c r="AE111">
        <v>1</v>
      </c>
      <c r="AF111" t="s">
        <v>6</v>
      </c>
      <c r="AG111">
        <v>41.41</v>
      </c>
      <c r="AH111">
        <v>2</v>
      </c>
      <c r="AI111">
        <v>27935544</v>
      </c>
      <c r="AJ111">
        <v>109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ROW(Source!A49)</f>
        <v>49</v>
      </c>
      <c r="B112">
        <v>27935553</v>
      </c>
      <c r="C112">
        <v>27935543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460</v>
      </c>
      <c r="J112" t="s">
        <v>6</v>
      </c>
      <c r="K112" t="s">
        <v>461</v>
      </c>
      <c r="L112">
        <v>1191</v>
      </c>
      <c r="N112">
        <v>1013</v>
      </c>
      <c r="O112" t="s">
        <v>459</v>
      </c>
      <c r="P112" t="s">
        <v>459</v>
      </c>
      <c r="Q112">
        <v>1</v>
      </c>
      <c r="X112">
        <v>0.12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6</v>
      </c>
      <c r="AG112">
        <v>0.12</v>
      </c>
      <c r="AH112">
        <v>2</v>
      </c>
      <c r="AI112">
        <v>27935545</v>
      </c>
      <c r="AJ112">
        <v>110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ROW(Source!A49)</f>
        <v>49</v>
      </c>
      <c r="B113">
        <v>27935554</v>
      </c>
      <c r="C113">
        <v>27935543</v>
      </c>
      <c r="D113">
        <v>25230514</v>
      </c>
      <c r="E113">
        <v>1</v>
      </c>
      <c r="F113">
        <v>1</v>
      </c>
      <c r="G113">
        <v>1</v>
      </c>
      <c r="H113">
        <v>2</v>
      </c>
      <c r="I113" t="s">
        <v>462</v>
      </c>
      <c r="J113" t="s">
        <v>463</v>
      </c>
      <c r="K113" t="s">
        <v>464</v>
      </c>
      <c r="L113">
        <v>1368</v>
      </c>
      <c r="N113">
        <v>1011</v>
      </c>
      <c r="O113" t="s">
        <v>465</v>
      </c>
      <c r="P113" t="s">
        <v>465</v>
      </c>
      <c r="Q113">
        <v>1</v>
      </c>
      <c r="X113">
        <v>0.08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0.08</v>
      </c>
      <c r="AH113">
        <v>2</v>
      </c>
      <c r="AI113">
        <v>27935546</v>
      </c>
      <c r="AJ113">
        <v>111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ROW(Source!A49)</f>
        <v>49</v>
      </c>
      <c r="B114">
        <v>27935555</v>
      </c>
      <c r="C114">
        <v>27935543</v>
      </c>
      <c r="D114">
        <v>25231607</v>
      </c>
      <c r="E114">
        <v>1</v>
      </c>
      <c r="F114">
        <v>1</v>
      </c>
      <c r="G114">
        <v>1</v>
      </c>
      <c r="H114">
        <v>2</v>
      </c>
      <c r="I114" t="s">
        <v>468</v>
      </c>
      <c r="J114" t="s">
        <v>469</v>
      </c>
      <c r="K114" t="s">
        <v>470</v>
      </c>
      <c r="L114">
        <v>1368</v>
      </c>
      <c r="N114">
        <v>1011</v>
      </c>
      <c r="O114" t="s">
        <v>465</v>
      </c>
      <c r="P114" t="s">
        <v>465</v>
      </c>
      <c r="Q114">
        <v>1</v>
      </c>
      <c r="X114">
        <v>0.04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0.04</v>
      </c>
      <c r="AH114">
        <v>2</v>
      </c>
      <c r="AI114">
        <v>27935547</v>
      </c>
      <c r="AJ114">
        <v>112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ROW(Source!A49)</f>
        <v>49</v>
      </c>
      <c r="B115">
        <v>27935556</v>
      </c>
      <c r="C115">
        <v>27935543</v>
      </c>
      <c r="D115">
        <v>25147242</v>
      </c>
      <c r="E115">
        <v>17</v>
      </c>
      <c r="F115">
        <v>1</v>
      </c>
      <c r="G115">
        <v>1</v>
      </c>
      <c r="H115">
        <v>3</v>
      </c>
      <c r="I115" t="s">
        <v>218</v>
      </c>
      <c r="J115" t="s">
        <v>6</v>
      </c>
      <c r="K115" t="s">
        <v>732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X115">
        <v>0.224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6</v>
      </c>
      <c r="AG115">
        <v>0.224</v>
      </c>
      <c r="AH115">
        <v>3</v>
      </c>
      <c r="AI115">
        <v>-1</v>
      </c>
      <c r="AJ115" t="s">
        <v>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ROW(Source!A49)</f>
        <v>49</v>
      </c>
      <c r="B116">
        <v>27935557</v>
      </c>
      <c r="C116">
        <v>27935543</v>
      </c>
      <c r="D116">
        <v>25152713</v>
      </c>
      <c r="E116">
        <v>1</v>
      </c>
      <c r="F116">
        <v>1</v>
      </c>
      <c r="G116">
        <v>1</v>
      </c>
      <c r="H116">
        <v>3</v>
      </c>
      <c r="I116" t="s">
        <v>525</v>
      </c>
      <c r="J116" t="s">
        <v>526</v>
      </c>
      <c r="K116" t="s">
        <v>527</v>
      </c>
      <c r="L116">
        <v>1348</v>
      </c>
      <c r="N116">
        <v>1009</v>
      </c>
      <c r="O116" t="s">
        <v>65</v>
      </c>
      <c r="P116" t="s">
        <v>65</v>
      </c>
      <c r="Q116">
        <v>1000</v>
      </c>
      <c r="X116">
        <v>4.0000000000000001E-3</v>
      </c>
      <c r="Y116">
        <v>11978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4.0000000000000001E-3</v>
      </c>
      <c r="AH116">
        <v>2</v>
      </c>
      <c r="AI116">
        <v>27935548</v>
      </c>
      <c r="AJ116">
        <v>113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ROW(Source!A49)</f>
        <v>49</v>
      </c>
      <c r="B117">
        <v>27935558</v>
      </c>
      <c r="C117">
        <v>27935543</v>
      </c>
      <c r="D117">
        <v>25173787</v>
      </c>
      <c r="E117">
        <v>1</v>
      </c>
      <c r="F117">
        <v>1</v>
      </c>
      <c r="G117">
        <v>1</v>
      </c>
      <c r="H117">
        <v>3</v>
      </c>
      <c r="I117" t="s">
        <v>546</v>
      </c>
      <c r="J117" t="s">
        <v>547</v>
      </c>
      <c r="K117" t="s">
        <v>548</v>
      </c>
      <c r="L117">
        <v>1348</v>
      </c>
      <c r="N117">
        <v>1009</v>
      </c>
      <c r="O117" t="s">
        <v>65</v>
      </c>
      <c r="P117" t="s">
        <v>65</v>
      </c>
      <c r="Q117">
        <v>1000</v>
      </c>
      <c r="X117">
        <v>6.0000000000000001E-3</v>
      </c>
      <c r="Y117">
        <v>8023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6.0000000000000001E-3</v>
      </c>
      <c r="AH117">
        <v>2</v>
      </c>
      <c r="AI117">
        <v>27935549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ROW(Source!A49)</f>
        <v>49</v>
      </c>
      <c r="B118">
        <v>27935559</v>
      </c>
      <c r="C118">
        <v>27935543</v>
      </c>
      <c r="D118">
        <v>25147246</v>
      </c>
      <c r="E118">
        <v>17</v>
      </c>
      <c r="F118">
        <v>1</v>
      </c>
      <c r="G118">
        <v>1</v>
      </c>
      <c r="H118">
        <v>3</v>
      </c>
      <c r="I118" t="s">
        <v>94</v>
      </c>
      <c r="J118" t="s">
        <v>6</v>
      </c>
      <c r="K118" t="s">
        <v>95</v>
      </c>
      <c r="L118">
        <v>1348</v>
      </c>
      <c r="N118">
        <v>1009</v>
      </c>
      <c r="O118" t="s">
        <v>65</v>
      </c>
      <c r="P118" t="s">
        <v>65</v>
      </c>
      <c r="Q118">
        <v>1000</v>
      </c>
      <c r="X118">
        <v>0.184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6</v>
      </c>
      <c r="AG118">
        <v>0.184</v>
      </c>
      <c r="AH118">
        <v>2</v>
      </c>
      <c r="AI118">
        <v>27935550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ROW(Source!A54)</f>
        <v>54</v>
      </c>
      <c r="B119">
        <v>27936102</v>
      </c>
      <c r="C119">
        <v>27935562</v>
      </c>
      <c r="D119">
        <v>25412980</v>
      </c>
      <c r="E119">
        <v>1</v>
      </c>
      <c r="F119">
        <v>1</v>
      </c>
      <c r="G119">
        <v>1</v>
      </c>
      <c r="H119">
        <v>1</v>
      </c>
      <c r="I119" t="s">
        <v>549</v>
      </c>
      <c r="J119" t="s">
        <v>6</v>
      </c>
      <c r="K119" t="s">
        <v>550</v>
      </c>
      <c r="L119">
        <v>1191</v>
      </c>
      <c r="N119">
        <v>1013</v>
      </c>
      <c r="O119" t="s">
        <v>459</v>
      </c>
      <c r="P119" t="s">
        <v>459</v>
      </c>
      <c r="Q119">
        <v>1</v>
      </c>
      <c r="X119">
        <v>69.28</v>
      </c>
      <c r="Y119">
        <v>0</v>
      </c>
      <c r="Z119">
        <v>0</v>
      </c>
      <c r="AA119">
        <v>0</v>
      </c>
      <c r="AB119">
        <v>9.07</v>
      </c>
      <c r="AC119">
        <v>0</v>
      </c>
      <c r="AD119">
        <v>1</v>
      </c>
      <c r="AE119">
        <v>1</v>
      </c>
      <c r="AF119" t="s">
        <v>6</v>
      </c>
      <c r="AG119">
        <v>69.28</v>
      </c>
      <c r="AH119">
        <v>2</v>
      </c>
      <c r="AI119">
        <v>27936102</v>
      </c>
      <c r="AJ119">
        <v>117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ROW(Source!A54)</f>
        <v>54</v>
      </c>
      <c r="B120">
        <v>27936103</v>
      </c>
      <c r="C120">
        <v>27935562</v>
      </c>
      <c r="D120">
        <v>25412928</v>
      </c>
      <c r="E120">
        <v>1</v>
      </c>
      <c r="F120">
        <v>1</v>
      </c>
      <c r="G120">
        <v>1</v>
      </c>
      <c r="H120">
        <v>1</v>
      </c>
      <c r="I120" t="s">
        <v>460</v>
      </c>
      <c r="J120" t="s">
        <v>6</v>
      </c>
      <c r="K120" t="s">
        <v>461</v>
      </c>
      <c r="L120">
        <v>1191</v>
      </c>
      <c r="N120">
        <v>1013</v>
      </c>
      <c r="O120" t="s">
        <v>459</v>
      </c>
      <c r="P120" t="s">
        <v>459</v>
      </c>
      <c r="Q120">
        <v>1</v>
      </c>
      <c r="X120">
        <v>0.02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6</v>
      </c>
      <c r="AG120">
        <v>0.02</v>
      </c>
      <c r="AH120">
        <v>2</v>
      </c>
      <c r="AI120">
        <v>27936103</v>
      </c>
      <c r="AJ120">
        <v>118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ROW(Source!A54)</f>
        <v>54</v>
      </c>
      <c r="B121">
        <v>27936104</v>
      </c>
      <c r="C121">
        <v>27935562</v>
      </c>
      <c r="D121">
        <v>25230514</v>
      </c>
      <c r="E121">
        <v>1</v>
      </c>
      <c r="F121">
        <v>1</v>
      </c>
      <c r="G121">
        <v>1</v>
      </c>
      <c r="H121">
        <v>2</v>
      </c>
      <c r="I121" t="s">
        <v>462</v>
      </c>
      <c r="J121" t="s">
        <v>463</v>
      </c>
      <c r="K121" t="s">
        <v>464</v>
      </c>
      <c r="L121">
        <v>1368</v>
      </c>
      <c r="N121">
        <v>1011</v>
      </c>
      <c r="O121" t="s">
        <v>465</v>
      </c>
      <c r="P121" t="s">
        <v>465</v>
      </c>
      <c r="Q121">
        <v>1</v>
      </c>
      <c r="X121">
        <v>0.02</v>
      </c>
      <c r="Y121">
        <v>0</v>
      </c>
      <c r="Z121">
        <v>31.26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0.02</v>
      </c>
      <c r="AH121">
        <v>2</v>
      </c>
      <c r="AI121">
        <v>27936104</v>
      </c>
      <c r="AJ121">
        <v>119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ROW(Source!A54)</f>
        <v>54</v>
      </c>
      <c r="B122">
        <v>27936105</v>
      </c>
      <c r="C122">
        <v>27935562</v>
      </c>
      <c r="D122">
        <v>25231607</v>
      </c>
      <c r="E122">
        <v>1</v>
      </c>
      <c r="F122">
        <v>1</v>
      </c>
      <c r="G122">
        <v>1</v>
      </c>
      <c r="H122">
        <v>2</v>
      </c>
      <c r="I122" t="s">
        <v>468</v>
      </c>
      <c r="J122" t="s">
        <v>469</v>
      </c>
      <c r="K122" t="s">
        <v>470</v>
      </c>
      <c r="L122">
        <v>1368</v>
      </c>
      <c r="N122">
        <v>1011</v>
      </c>
      <c r="O122" t="s">
        <v>465</v>
      </c>
      <c r="P122" t="s">
        <v>465</v>
      </c>
      <c r="Q122">
        <v>1</v>
      </c>
      <c r="X122">
        <v>2E-3</v>
      </c>
      <c r="Y122">
        <v>0</v>
      </c>
      <c r="Z122">
        <v>65.709999999999994</v>
      </c>
      <c r="AA122">
        <v>11.6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2E-3</v>
      </c>
      <c r="AH122">
        <v>2</v>
      </c>
      <c r="AI122">
        <v>27936105</v>
      </c>
      <c r="AJ122">
        <v>120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ROW(Source!A54)</f>
        <v>54</v>
      </c>
      <c r="B123">
        <v>27936106</v>
      </c>
      <c r="C123">
        <v>27935562</v>
      </c>
      <c r="D123">
        <v>25175512</v>
      </c>
      <c r="E123">
        <v>1</v>
      </c>
      <c r="F123">
        <v>1</v>
      </c>
      <c r="G123">
        <v>1</v>
      </c>
      <c r="H123">
        <v>3</v>
      </c>
      <c r="I123" t="s">
        <v>108</v>
      </c>
      <c r="J123" t="s">
        <v>110</v>
      </c>
      <c r="K123" t="s">
        <v>109</v>
      </c>
      <c r="L123">
        <v>1301</v>
      </c>
      <c r="N123">
        <v>1003</v>
      </c>
      <c r="O123" t="s">
        <v>45</v>
      </c>
      <c r="P123" t="s">
        <v>45</v>
      </c>
      <c r="Q123">
        <v>1</v>
      </c>
      <c r="X123">
        <v>1050</v>
      </c>
      <c r="Y123">
        <v>24.71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1050</v>
      </c>
      <c r="AH123">
        <v>2</v>
      </c>
      <c r="AI123">
        <v>27936106</v>
      </c>
      <c r="AJ123">
        <v>122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ROW(Source!A55)</f>
        <v>55</v>
      </c>
      <c r="B124">
        <v>27936102</v>
      </c>
      <c r="C124">
        <v>27935562</v>
      </c>
      <c r="D124">
        <v>25412980</v>
      </c>
      <c r="E124">
        <v>1</v>
      </c>
      <c r="F124">
        <v>1</v>
      </c>
      <c r="G124">
        <v>1</v>
      </c>
      <c r="H124">
        <v>1</v>
      </c>
      <c r="I124" t="s">
        <v>549</v>
      </c>
      <c r="J124" t="s">
        <v>6</v>
      </c>
      <c r="K124" t="s">
        <v>550</v>
      </c>
      <c r="L124">
        <v>1191</v>
      </c>
      <c r="N124">
        <v>1013</v>
      </c>
      <c r="O124" t="s">
        <v>459</v>
      </c>
      <c r="P124" t="s">
        <v>459</v>
      </c>
      <c r="Q124">
        <v>1</v>
      </c>
      <c r="X124">
        <v>69.28</v>
      </c>
      <c r="Y124">
        <v>0</v>
      </c>
      <c r="Z124">
        <v>0</v>
      </c>
      <c r="AA124">
        <v>0</v>
      </c>
      <c r="AB124">
        <v>9.07</v>
      </c>
      <c r="AC124">
        <v>0</v>
      </c>
      <c r="AD124">
        <v>1</v>
      </c>
      <c r="AE124">
        <v>1</v>
      </c>
      <c r="AF124" t="s">
        <v>6</v>
      </c>
      <c r="AG124">
        <v>69.28</v>
      </c>
      <c r="AH124">
        <v>2</v>
      </c>
      <c r="AI124">
        <v>27936102</v>
      </c>
      <c r="AJ124">
        <v>123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ROW(Source!A55)</f>
        <v>55</v>
      </c>
      <c r="B125">
        <v>27936103</v>
      </c>
      <c r="C125">
        <v>27935562</v>
      </c>
      <c r="D125">
        <v>25412928</v>
      </c>
      <c r="E125">
        <v>1</v>
      </c>
      <c r="F125">
        <v>1</v>
      </c>
      <c r="G125">
        <v>1</v>
      </c>
      <c r="H125">
        <v>1</v>
      </c>
      <c r="I125" t="s">
        <v>460</v>
      </c>
      <c r="J125" t="s">
        <v>6</v>
      </c>
      <c r="K125" t="s">
        <v>461</v>
      </c>
      <c r="L125">
        <v>1191</v>
      </c>
      <c r="N125">
        <v>1013</v>
      </c>
      <c r="O125" t="s">
        <v>459</v>
      </c>
      <c r="P125" t="s">
        <v>459</v>
      </c>
      <c r="Q125">
        <v>1</v>
      </c>
      <c r="X125">
        <v>0.02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6</v>
      </c>
      <c r="AG125">
        <v>0.02</v>
      </c>
      <c r="AH125">
        <v>2</v>
      </c>
      <c r="AI125">
        <v>27936103</v>
      </c>
      <c r="AJ125">
        <v>124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ROW(Source!A55)</f>
        <v>55</v>
      </c>
      <c r="B126">
        <v>27936104</v>
      </c>
      <c r="C126">
        <v>27935562</v>
      </c>
      <c r="D126">
        <v>25230514</v>
      </c>
      <c r="E126">
        <v>1</v>
      </c>
      <c r="F126">
        <v>1</v>
      </c>
      <c r="G126">
        <v>1</v>
      </c>
      <c r="H126">
        <v>2</v>
      </c>
      <c r="I126" t="s">
        <v>462</v>
      </c>
      <c r="J126" t="s">
        <v>463</v>
      </c>
      <c r="K126" t="s">
        <v>464</v>
      </c>
      <c r="L126">
        <v>1368</v>
      </c>
      <c r="N126">
        <v>1011</v>
      </c>
      <c r="O126" t="s">
        <v>465</v>
      </c>
      <c r="P126" t="s">
        <v>465</v>
      </c>
      <c r="Q126">
        <v>1</v>
      </c>
      <c r="X126">
        <v>0.02</v>
      </c>
      <c r="Y126">
        <v>0</v>
      </c>
      <c r="Z126">
        <v>31.26</v>
      </c>
      <c r="AA126">
        <v>13.5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0.02</v>
      </c>
      <c r="AH126">
        <v>2</v>
      </c>
      <c r="AI126">
        <v>27936104</v>
      </c>
      <c r="AJ126">
        <v>125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ROW(Source!A55)</f>
        <v>55</v>
      </c>
      <c r="B127">
        <v>27936105</v>
      </c>
      <c r="C127">
        <v>27935562</v>
      </c>
      <c r="D127">
        <v>25231607</v>
      </c>
      <c r="E127">
        <v>1</v>
      </c>
      <c r="F127">
        <v>1</v>
      </c>
      <c r="G127">
        <v>1</v>
      </c>
      <c r="H127">
        <v>2</v>
      </c>
      <c r="I127" t="s">
        <v>468</v>
      </c>
      <c r="J127" t="s">
        <v>469</v>
      </c>
      <c r="K127" t="s">
        <v>470</v>
      </c>
      <c r="L127">
        <v>1368</v>
      </c>
      <c r="N127">
        <v>1011</v>
      </c>
      <c r="O127" t="s">
        <v>465</v>
      </c>
      <c r="P127" t="s">
        <v>465</v>
      </c>
      <c r="Q127">
        <v>1</v>
      </c>
      <c r="X127">
        <v>2E-3</v>
      </c>
      <c r="Y127">
        <v>0</v>
      </c>
      <c r="Z127">
        <v>65.709999999999994</v>
      </c>
      <c r="AA127">
        <v>11.6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2E-3</v>
      </c>
      <c r="AH127">
        <v>2</v>
      </c>
      <c r="AI127">
        <v>27936105</v>
      </c>
      <c r="AJ127">
        <v>126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ROW(Source!A55)</f>
        <v>55</v>
      </c>
      <c r="B128">
        <v>27936106</v>
      </c>
      <c r="C128">
        <v>27935562</v>
      </c>
      <c r="D128">
        <v>25175512</v>
      </c>
      <c r="E128">
        <v>1</v>
      </c>
      <c r="F128">
        <v>1</v>
      </c>
      <c r="G128">
        <v>1</v>
      </c>
      <c r="H128">
        <v>3</v>
      </c>
      <c r="I128" t="s">
        <v>108</v>
      </c>
      <c r="J128" t="s">
        <v>110</v>
      </c>
      <c r="K128" t="s">
        <v>109</v>
      </c>
      <c r="L128">
        <v>1301</v>
      </c>
      <c r="N128">
        <v>1003</v>
      </c>
      <c r="O128" t="s">
        <v>45</v>
      </c>
      <c r="P128" t="s">
        <v>45</v>
      </c>
      <c r="Q128">
        <v>1</v>
      </c>
      <c r="X128">
        <v>1050</v>
      </c>
      <c r="Y128">
        <v>24.71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1050</v>
      </c>
      <c r="AH128">
        <v>2</v>
      </c>
      <c r="AI128">
        <v>27936106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ROW(Source!A60)</f>
        <v>60</v>
      </c>
      <c r="B129">
        <v>27935583</v>
      </c>
      <c r="C129">
        <v>27935579</v>
      </c>
      <c r="D129">
        <v>25413300</v>
      </c>
      <c r="E129">
        <v>1</v>
      </c>
      <c r="F129">
        <v>1</v>
      </c>
      <c r="G129">
        <v>1</v>
      </c>
      <c r="H129">
        <v>1</v>
      </c>
      <c r="I129" t="s">
        <v>491</v>
      </c>
      <c r="J129" t="s">
        <v>6</v>
      </c>
      <c r="K129" t="s">
        <v>492</v>
      </c>
      <c r="L129">
        <v>1191</v>
      </c>
      <c r="N129">
        <v>1013</v>
      </c>
      <c r="O129" t="s">
        <v>459</v>
      </c>
      <c r="P129" t="s">
        <v>459</v>
      </c>
      <c r="Q129">
        <v>1</v>
      </c>
      <c r="X129">
        <v>69.87</v>
      </c>
      <c r="Y129">
        <v>0</v>
      </c>
      <c r="Z129">
        <v>0</v>
      </c>
      <c r="AA129">
        <v>0</v>
      </c>
      <c r="AB129">
        <v>8.5299999999999994</v>
      </c>
      <c r="AC129">
        <v>0</v>
      </c>
      <c r="AD129">
        <v>1</v>
      </c>
      <c r="AE129">
        <v>1</v>
      </c>
      <c r="AF129" t="s">
        <v>6</v>
      </c>
      <c r="AG129">
        <v>69.87</v>
      </c>
      <c r="AH129">
        <v>2</v>
      </c>
      <c r="AI129">
        <v>27935580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ROW(Source!A60)</f>
        <v>60</v>
      </c>
      <c r="B130">
        <v>27935584</v>
      </c>
      <c r="C130">
        <v>27935579</v>
      </c>
      <c r="D130">
        <v>25412928</v>
      </c>
      <c r="E130">
        <v>1</v>
      </c>
      <c r="F130">
        <v>1</v>
      </c>
      <c r="G130">
        <v>1</v>
      </c>
      <c r="H130">
        <v>1</v>
      </c>
      <c r="I130" t="s">
        <v>460</v>
      </c>
      <c r="J130" t="s">
        <v>6</v>
      </c>
      <c r="K130" t="s">
        <v>461</v>
      </c>
      <c r="L130">
        <v>1191</v>
      </c>
      <c r="N130">
        <v>1013</v>
      </c>
      <c r="O130" t="s">
        <v>459</v>
      </c>
      <c r="P130" t="s">
        <v>459</v>
      </c>
      <c r="Q130">
        <v>1</v>
      </c>
      <c r="X130">
        <v>1.44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6</v>
      </c>
      <c r="AG130">
        <v>1.44</v>
      </c>
      <c r="AH130">
        <v>2</v>
      </c>
      <c r="AI130">
        <v>27935581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ROW(Source!A60)</f>
        <v>60</v>
      </c>
      <c r="B131">
        <v>27935585</v>
      </c>
      <c r="C131">
        <v>27935579</v>
      </c>
      <c r="D131">
        <v>25230514</v>
      </c>
      <c r="E131">
        <v>1</v>
      </c>
      <c r="F131">
        <v>1</v>
      </c>
      <c r="G131">
        <v>1</v>
      </c>
      <c r="H131">
        <v>2</v>
      </c>
      <c r="I131" t="s">
        <v>462</v>
      </c>
      <c r="J131" t="s">
        <v>463</v>
      </c>
      <c r="K131" t="s">
        <v>464</v>
      </c>
      <c r="L131">
        <v>1368</v>
      </c>
      <c r="N131">
        <v>1011</v>
      </c>
      <c r="O131" t="s">
        <v>465</v>
      </c>
      <c r="P131" t="s">
        <v>465</v>
      </c>
      <c r="Q131">
        <v>1</v>
      </c>
      <c r="X131">
        <v>1.44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1.44</v>
      </c>
      <c r="AH131">
        <v>2</v>
      </c>
      <c r="AI131">
        <v>27935582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ROW(Source!A60)</f>
        <v>60</v>
      </c>
      <c r="B132">
        <v>27935586</v>
      </c>
      <c r="C132">
        <v>27935579</v>
      </c>
      <c r="D132">
        <v>25147242</v>
      </c>
      <c r="E132">
        <v>17</v>
      </c>
      <c r="F132">
        <v>1</v>
      </c>
      <c r="G132">
        <v>1</v>
      </c>
      <c r="H132">
        <v>3</v>
      </c>
      <c r="I132" t="s">
        <v>218</v>
      </c>
      <c r="J132" t="s">
        <v>6</v>
      </c>
      <c r="K132" t="s">
        <v>732</v>
      </c>
      <c r="L132">
        <v>1348</v>
      </c>
      <c r="N132">
        <v>1009</v>
      </c>
      <c r="O132" t="s">
        <v>65</v>
      </c>
      <c r="P132" t="s">
        <v>65</v>
      </c>
      <c r="Q132">
        <v>1000</v>
      </c>
      <c r="X132">
        <v>5.2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5.2</v>
      </c>
      <c r="AH132">
        <v>3</v>
      </c>
      <c r="AI132">
        <v>-1</v>
      </c>
      <c r="AJ132" t="s">
        <v>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ROW(Source!A61)</f>
        <v>61</v>
      </c>
      <c r="B133">
        <v>27935583</v>
      </c>
      <c r="C133">
        <v>27935579</v>
      </c>
      <c r="D133">
        <v>25413300</v>
      </c>
      <c r="E133">
        <v>1</v>
      </c>
      <c r="F133">
        <v>1</v>
      </c>
      <c r="G133">
        <v>1</v>
      </c>
      <c r="H133">
        <v>1</v>
      </c>
      <c r="I133" t="s">
        <v>491</v>
      </c>
      <c r="J133" t="s">
        <v>6</v>
      </c>
      <c r="K133" t="s">
        <v>492</v>
      </c>
      <c r="L133">
        <v>1191</v>
      </c>
      <c r="N133">
        <v>1013</v>
      </c>
      <c r="O133" t="s">
        <v>459</v>
      </c>
      <c r="P133" t="s">
        <v>459</v>
      </c>
      <c r="Q133">
        <v>1</v>
      </c>
      <c r="X133">
        <v>69.87</v>
      </c>
      <c r="Y133">
        <v>0</v>
      </c>
      <c r="Z133">
        <v>0</v>
      </c>
      <c r="AA133">
        <v>0</v>
      </c>
      <c r="AB133">
        <v>8.5299999999999994</v>
      </c>
      <c r="AC133">
        <v>0</v>
      </c>
      <c r="AD133">
        <v>1</v>
      </c>
      <c r="AE133">
        <v>1</v>
      </c>
      <c r="AF133" t="s">
        <v>6</v>
      </c>
      <c r="AG133">
        <v>69.87</v>
      </c>
      <c r="AH133">
        <v>2</v>
      </c>
      <c r="AI133">
        <v>27935580</v>
      </c>
      <c r="AJ133">
        <v>132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ROW(Source!A61)</f>
        <v>61</v>
      </c>
      <c r="B134">
        <v>27935584</v>
      </c>
      <c r="C134">
        <v>27935579</v>
      </c>
      <c r="D134">
        <v>25412928</v>
      </c>
      <c r="E134">
        <v>1</v>
      </c>
      <c r="F134">
        <v>1</v>
      </c>
      <c r="G134">
        <v>1</v>
      </c>
      <c r="H134">
        <v>1</v>
      </c>
      <c r="I134" t="s">
        <v>460</v>
      </c>
      <c r="J134" t="s">
        <v>6</v>
      </c>
      <c r="K134" t="s">
        <v>461</v>
      </c>
      <c r="L134">
        <v>1191</v>
      </c>
      <c r="N134">
        <v>1013</v>
      </c>
      <c r="O134" t="s">
        <v>459</v>
      </c>
      <c r="P134" t="s">
        <v>459</v>
      </c>
      <c r="Q134">
        <v>1</v>
      </c>
      <c r="X134">
        <v>1.44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6</v>
      </c>
      <c r="AG134">
        <v>1.44</v>
      </c>
      <c r="AH134">
        <v>2</v>
      </c>
      <c r="AI134">
        <v>27935581</v>
      </c>
      <c r="AJ134">
        <v>133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ROW(Source!A61)</f>
        <v>61</v>
      </c>
      <c r="B135">
        <v>27935585</v>
      </c>
      <c r="C135">
        <v>27935579</v>
      </c>
      <c r="D135">
        <v>25230514</v>
      </c>
      <c r="E135">
        <v>1</v>
      </c>
      <c r="F135">
        <v>1</v>
      </c>
      <c r="G135">
        <v>1</v>
      </c>
      <c r="H135">
        <v>2</v>
      </c>
      <c r="I135" t="s">
        <v>462</v>
      </c>
      <c r="J135" t="s">
        <v>463</v>
      </c>
      <c r="K135" t="s">
        <v>464</v>
      </c>
      <c r="L135">
        <v>1368</v>
      </c>
      <c r="N135">
        <v>1011</v>
      </c>
      <c r="O135" t="s">
        <v>465</v>
      </c>
      <c r="P135" t="s">
        <v>465</v>
      </c>
      <c r="Q135">
        <v>1</v>
      </c>
      <c r="X135">
        <v>1.44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1.44</v>
      </c>
      <c r="AH135">
        <v>2</v>
      </c>
      <c r="AI135">
        <v>27935582</v>
      </c>
      <c r="AJ135">
        <v>134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ROW(Source!A61)</f>
        <v>61</v>
      </c>
      <c r="B136">
        <v>27935586</v>
      </c>
      <c r="C136">
        <v>27935579</v>
      </c>
      <c r="D136">
        <v>25147242</v>
      </c>
      <c r="E136">
        <v>17</v>
      </c>
      <c r="F136">
        <v>1</v>
      </c>
      <c r="G136">
        <v>1</v>
      </c>
      <c r="H136">
        <v>3</v>
      </c>
      <c r="I136" t="s">
        <v>218</v>
      </c>
      <c r="J136" t="s">
        <v>6</v>
      </c>
      <c r="K136" t="s">
        <v>732</v>
      </c>
      <c r="L136">
        <v>1348</v>
      </c>
      <c r="N136">
        <v>1009</v>
      </c>
      <c r="O136" t="s">
        <v>65</v>
      </c>
      <c r="P136" t="s">
        <v>65</v>
      </c>
      <c r="Q136">
        <v>1000</v>
      </c>
      <c r="X136">
        <v>5.2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5.2</v>
      </c>
      <c r="AH136">
        <v>3</v>
      </c>
      <c r="AI136">
        <v>-1</v>
      </c>
      <c r="AJ136" t="s">
        <v>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ROW(Source!A62)</f>
        <v>62</v>
      </c>
      <c r="B137">
        <v>27935589</v>
      </c>
      <c r="C137">
        <v>27935587</v>
      </c>
      <c r="D137">
        <v>25413050</v>
      </c>
      <c r="E137">
        <v>1</v>
      </c>
      <c r="F137">
        <v>1</v>
      </c>
      <c r="G137">
        <v>1</v>
      </c>
      <c r="H137">
        <v>1</v>
      </c>
      <c r="I137" t="s">
        <v>551</v>
      </c>
      <c r="J137" t="s">
        <v>6</v>
      </c>
      <c r="K137" t="s">
        <v>552</v>
      </c>
      <c r="L137">
        <v>1191</v>
      </c>
      <c r="N137">
        <v>1013</v>
      </c>
      <c r="O137" t="s">
        <v>459</v>
      </c>
      <c r="P137" t="s">
        <v>459</v>
      </c>
      <c r="Q137">
        <v>1</v>
      </c>
      <c r="X137">
        <v>3.77</v>
      </c>
      <c r="Y137">
        <v>0</v>
      </c>
      <c r="Z137">
        <v>0</v>
      </c>
      <c r="AA137">
        <v>0</v>
      </c>
      <c r="AB137">
        <v>7.8</v>
      </c>
      <c r="AC137">
        <v>0</v>
      </c>
      <c r="AD137">
        <v>1</v>
      </c>
      <c r="AE137">
        <v>1</v>
      </c>
      <c r="AF137" t="s">
        <v>6</v>
      </c>
      <c r="AG137">
        <v>3.77</v>
      </c>
      <c r="AH137">
        <v>2</v>
      </c>
      <c r="AI137">
        <v>27935588</v>
      </c>
      <c r="AJ137">
        <v>135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ROW(Source!A62)</f>
        <v>62</v>
      </c>
      <c r="B138">
        <v>27935590</v>
      </c>
      <c r="C138">
        <v>27935587</v>
      </c>
      <c r="D138">
        <v>25147242</v>
      </c>
      <c r="E138">
        <v>17</v>
      </c>
      <c r="F138">
        <v>1</v>
      </c>
      <c r="G138">
        <v>1</v>
      </c>
      <c r="H138">
        <v>3</v>
      </c>
      <c r="I138" t="s">
        <v>218</v>
      </c>
      <c r="J138" t="s">
        <v>6</v>
      </c>
      <c r="K138" t="s">
        <v>732</v>
      </c>
      <c r="L138">
        <v>1348</v>
      </c>
      <c r="N138">
        <v>1009</v>
      </c>
      <c r="O138" t="s">
        <v>65</v>
      </c>
      <c r="P138" t="s">
        <v>65</v>
      </c>
      <c r="Q138">
        <v>1000</v>
      </c>
      <c r="X138">
        <v>0.11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6</v>
      </c>
      <c r="AG138">
        <v>0.11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ROW(Source!A63)</f>
        <v>63</v>
      </c>
      <c r="B139">
        <v>27935589</v>
      </c>
      <c r="C139">
        <v>27935587</v>
      </c>
      <c r="D139">
        <v>25413050</v>
      </c>
      <c r="E139">
        <v>1</v>
      </c>
      <c r="F139">
        <v>1</v>
      </c>
      <c r="G139">
        <v>1</v>
      </c>
      <c r="H139">
        <v>1</v>
      </c>
      <c r="I139" t="s">
        <v>551</v>
      </c>
      <c r="J139" t="s">
        <v>6</v>
      </c>
      <c r="K139" t="s">
        <v>552</v>
      </c>
      <c r="L139">
        <v>1191</v>
      </c>
      <c r="N139">
        <v>1013</v>
      </c>
      <c r="O139" t="s">
        <v>459</v>
      </c>
      <c r="P139" t="s">
        <v>459</v>
      </c>
      <c r="Q139">
        <v>1</v>
      </c>
      <c r="X139">
        <v>3.77</v>
      </c>
      <c r="Y139">
        <v>0</v>
      </c>
      <c r="Z139">
        <v>0</v>
      </c>
      <c r="AA139">
        <v>0</v>
      </c>
      <c r="AB139">
        <v>7.8</v>
      </c>
      <c r="AC139">
        <v>0</v>
      </c>
      <c r="AD139">
        <v>1</v>
      </c>
      <c r="AE139">
        <v>1</v>
      </c>
      <c r="AF139" t="s">
        <v>6</v>
      </c>
      <c r="AG139">
        <v>3.77</v>
      </c>
      <c r="AH139">
        <v>2</v>
      </c>
      <c r="AI139">
        <v>27935588</v>
      </c>
      <c r="AJ139">
        <v>136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ROW(Source!A63)</f>
        <v>63</v>
      </c>
      <c r="B140">
        <v>27935590</v>
      </c>
      <c r="C140">
        <v>27935587</v>
      </c>
      <c r="D140">
        <v>25147242</v>
      </c>
      <c r="E140">
        <v>17</v>
      </c>
      <c r="F140">
        <v>1</v>
      </c>
      <c r="G140">
        <v>1</v>
      </c>
      <c r="H140">
        <v>3</v>
      </c>
      <c r="I140" t="s">
        <v>218</v>
      </c>
      <c r="J140" t="s">
        <v>6</v>
      </c>
      <c r="K140" t="s">
        <v>732</v>
      </c>
      <c r="L140">
        <v>1348</v>
      </c>
      <c r="N140">
        <v>1009</v>
      </c>
      <c r="O140" t="s">
        <v>65</v>
      </c>
      <c r="P140" t="s">
        <v>65</v>
      </c>
      <c r="Q140">
        <v>1000</v>
      </c>
      <c r="X140">
        <v>0.11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0.11</v>
      </c>
      <c r="AH140">
        <v>3</v>
      </c>
      <c r="AI140">
        <v>-1</v>
      </c>
      <c r="AJ140" t="s">
        <v>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ROW(Source!A64)</f>
        <v>64</v>
      </c>
      <c r="B141">
        <v>27935598</v>
      </c>
      <c r="C141">
        <v>27935591</v>
      </c>
      <c r="D141">
        <v>25416173</v>
      </c>
      <c r="E141">
        <v>1</v>
      </c>
      <c r="F141">
        <v>1</v>
      </c>
      <c r="G141">
        <v>1</v>
      </c>
      <c r="H141">
        <v>1</v>
      </c>
      <c r="I141" t="s">
        <v>553</v>
      </c>
      <c r="J141" t="s">
        <v>6</v>
      </c>
      <c r="K141" t="s">
        <v>554</v>
      </c>
      <c r="L141">
        <v>1191</v>
      </c>
      <c r="N141">
        <v>1013</v>
      </c>
      <c r="O141" t="s">
        <v>459</v>
      </c>
      <c r="P141" t="s">
        <v>459</v>
      </c>
      <c r="Q141">
        <v>1</v>
      </c>
      <c r="X141">
        <v>39.51</v>
      </c>
      <c r="Y141">
        <v>0</v>
      </c>
      <c r="Z141">
        <v>0</v>
      </c>
      <c r="AA141">
        <v>0</v>
      </c>
      <c r="AB141">
        <v>7.94</v>
      </c>
      <c r="AC141">
        <v>0</v>
      </c>
      <c r="AD141">
        <v>1</v>
      </c>
      <c r="AE141">
        <v>1</v>
      </c>
      <c r="AF141" t="s">
        <v>28</v>
      </c>
      <c r="AG141">
        <v>45.436499999999995</v>
      </c>
      <c r="AH141">
        <v>2</v>
      </c>
      <c r="AI141">
        <v>27935592</v>
      </c>
      <c r="AJ141">
        <v>137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ROW(Source!A64)</f>
        <v>64</v>
      </c>
      <c r="B142">
        <v>27935599</v>
      </c>
      <c r="C142">
        <v>27935591</v>
      </c>
      <c r="D142">
        <v>25412928</v>
      </c>
      <c r="E142">
        <v>1</v>
      </c>
      <c r="F142">
        <v>1</v>
      </c>
      <c r="G142">
        <v>1</v>
      </c>
      <c r="H142">
        <v>1</v>
      </c>
      <c r="I142" t="s">
        <v>460</v>
      </c>
      <c r="J142" t="s">
        <v>6</v>
      </c>
      <c r="K142" t="s">
        <v>461</v>
      </c>
      <c r="L142">
        <v>1191</v>
      </c>
      <c r="N142">
        <v>1013</v>
      </c>
      <c r="O142" t="s">
        <v>459</v>
      </c>
      <c r="P142" t="s">
        <v>459</v>
      </c>
      <c r="Q142">
        <v>1</v>
      </c>
      <c r="X142">
        <v>1.27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27</v>
      </c>
      <c r="AG142">
        <v>1.5874999999999999</v>
      </c>
      <c r="AH142">
        <v>2</v>
      </c>
      <c r="AI142">
        <v>27935593</v>
      </c>
      <c r="AJ142">
        <v>138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ROW(Source!A64)</f>
        <v>64</v>
      </c>
      <c r="B143">
        <v>27935600</v>
      </c>
      <c r="C143">
        <v>27935591</v>
      </c>
      <c r="D143">
        <v>25230514</v>
      </c>
      <c r="E143">
        <v>1</v>
      </c>
      <c r="F143">
        <v>1</v>
      </c>
      <c r="G143">
        <v>1</v>
      </c>
      <c r="H143">
        <v>2</v>
      </c>
      <c r="I143" t="s">
        <v>462</v>
      </c>
      <c r="J143" t="s">
        <v>463</v>
      </c>
      <c r="K143" t="s">
        <v>464</v>
      </c>
      <c r="L143">
        <v>1368</v>
      </c>
      <c r="N143">
        <v>1011</v>
      </c>
      <c r="O143" t="s">
        <v>465</v>
      </c>
      <c r="P143" t="s">
        <v>465</v>
      </c>
      <c r="Q143">
        <v>1</v>
      </c>
      <c r="X143">
        <v>1.27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27</v>
      </c>
      <c r="AG143">
        <v>1.5874999999999999</v>
      </c>
      <c r="AH143">
        <v>2</v>
      </c>
      <c r="AI143">
        <v>27935594</v>
      </c>
      <c r="AJ143">
        <v>139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ROW(Source!A64)</f>
        <v>64</v>
      </c>
      <c r="B144">
        <v>27935601</v>
      </c>
      <c r="C144">
        <v>27935591</v>
      </c>
      <c r="D144">
        <v>25230627</v>
      </c>
      <c r="E144">
        <v>1</v>
      </c>
      <c r="F144">
        <v>1</v>
      </c>
      <c r="G144">
        <v>1</v>
      </c>
      <c r="H144">
        <v>2</v>
      </c>
      <c r="I144" t="s">
        <v>555</v>
      </c>
      <c r="J144" t="s">
        <v>556</v>
      </c>
      <c r="K144" t="s">
        <v>557</v>
      </c>
      <c r="L144">
        <v>1368</v>
      </c>
      <c r="N144">
        <v>1011</v>
      </c>
      <c r="O144" t="s">
        <v>465</v>
      </c>
      <c r="P144" t="s">
        <v>465</v>
      </c>
      <c r="Q144">
        <v>1</v>
      </c>
      <c r="X144">
        <v>9.07</v>
      </c>
      <c r="Y144">
        <v>0</v>
      </c>
      <c r="Z144">
        <v>0.5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27</v>
      </c>
      <c r="AG144">
        <v>11.3375</v>
      </c>
      <c r="AH144">
        <v>2</v>
      </c>
      <c r="AI144">
        <v>27935595</v>
      </c>
      <c r="AJ144">
        <v>140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ROW(Source!A64)</f>
        <v>64</v>
      </c>
      <c r="B145">
        <v>27935602</v>
      </c>
      <c r="C145">
        <v>27935591</v>
      </c>
      <c r="D145">
        <v>25149961</v>
      </c>
      <c r="E145">
        <v>1</v>
      </c>
      <c r="F145">
        <v>1</v>
      </c>
      <c r="G145">
        <v>1</v>
      </c>
      <c r="H145">
        <v>3</v>
      </c>
      <c r="I145" t="s">
        <v>558</v>
      </c>
      <c r="J145" t="s">
        <v>559</v>
      </c>
      <c r="K145" t="s">
        <v>560</v>
      </c>
      <c r="L145">
        <v>1339</v>
      </c>
      <c r="N145">
        <v>1007</v>
      </c>
      <c r="O145" t="s">
        <v>133</v>
      </c>
      <c r="P145" t="s">
        <v>133</v>
      </c>
      <c r="Q145">
        <v>1</v>
      </c>
      <c r="X145">
        <v>3.5</v>
      </c>
      <c r="Y145">
        <v>2.44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3.5</v>
      </c>
      <c r="AH145">
        <v>2</v>
      </c>
      <c r="AI145">
        <v>27935596</v>
      </c>
      <c r="AJ145">
        <v>141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ROW(Source!A64)</f>
        <v>64</v>
      </c>
      <c r="B146">
        <v>27935603</v>
      </c>
      <c r="C146">
        <v>27935591</v>
      </c>
      <c r="D146">
        <v>25144380</v>
      </c>
      <c r="E146">
        <v>17</v>
      </c>
      <c r="F146">
        <v>1</v>
      </c>
      <c r="G146">
        <v>1</v>
      </c>
      <c r="H146">
        <v>3</v>
      </c>
      <c r="I146" t="s">
        <v>733</v>
      </c>
      <c r="J146" t="s">
        <v>6</v>
      </c>
      <c r="K146" t="s">
        <v>734</v>
      </c>
      <c r="L146">
        <v>1339</v>
      </c>
      <c r="N146">
        <v>1007</v>
      </c>
      <c r="O146" t="s">
        <v>133</v>
      </c>
      <c r="P146" t="s">
        <v>133</v>
      </c>
      <c r="Q146">
        <v>1</v>
      </c>
      <c r="X146">
        <v>2.04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6</v>
      </c>
      <c r="AG146">
        <v>2.04</v>
      </c>
      <c r="AH146">
        <v>3</v>
      </c>
      <c r="AI146">
        <v>-1</v>
      </c>
      <c r="AJ146" t="s">
        <v>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ROW(Source!A65)</f>
        <v>65</v>
      </c>
      <c r="B147">
        <v>27935598</v>
      </c>
      <c r="C147">
        <v>27935591</v>
      </c>
      <c r="D147">
        <v>25416173</v>
      </c>
      <c r="E147">
        <v>1</v>
      </c>
      <c r="F147">
        <v>1</v>
      </c>
      <c r="G147">
        <v>1</v>
      </c>
      <c r="H147">
        <v>1</v>
      </c>
      <c r="I147" t="s">
        <v>553</v>
      </c>
      <c r="J147" t="s">
        <v>6</v>
      </c>
      <c r="K147" t="s">
        <v>554</v>
      </c>
      <c r="L147">
        <v>1191</v>
      </c>
      <c r="N147">
        <v>1013</v>
      </c>
      <c r="O147" t="s">
        <v>459</v>
      </c>
      <c r="P147" t="s">
        <v>459</v>
      </c>
      <c r="Q147">
        <v>1</v>
      </c>
      <c r="X147">
        <v>39.51</v>
      </c>
      <c r="Y147">
        <v>0</v>
      </c>
      <c r="Z147">
        <v>0</v>
      </c>
      <c r="AA147">
        <v>0</v>
      </c>
      <c r="AB147">
        <v>7.94</v>
      </c>
      <c r="AC147">
        <v>0</v>
      </c>
      <c r="AD147">
        <v>1</v>
      </c>
      <c r="AE147">
        <v>1</v>
      </c>
      <c r="AF147" t="s">
        <v>28</v>
      </c>
      <c r="AG147">
        <v>45.436499999999995</v>
      </c>
      <c r="AH147">
        <v>2</v>
      </c>
      <c r="AI147">
        <v>27935592</v>
      </c>
      <c r="AJ147">
        <v>143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ROW(Source!A65)</f>
        <v>65</v>
      </c>
      <c r="B148">
        <v>27935599</v>
      </c>
      <c r="C148">
        <v>27935591</v>
      </c>
      <c r="D148">
        <v>25412928</v>
      </c>
      <c r="E148">
        <v>1</v>
      </c>
      <c r="F148">
        <v>1</v>
      </c>
      <c r="G148">
        <v>1</v>
      </c>
      <c r="H148">
        <v>1</v>
      </c>
      <c r="I148" t="s">
        <v>460</v>
      </c>
      <c r="J148" t="s">
        <v>6</v>
      </c>
      <c r="K148" t="s">
        <v>461</v>
      </c>
      <c r="L148">
        <v>1191</v>
      </c>
      <c r="N148">
        <v>1013</v>
      </c>
      <c r="O148" t="s">
        <v>459</v>
      </c>
      <c r="P148" t="s">
        <v>459</v>
      </c>
      <c r="Q148">
        <v>1</v>
      </c>
      <c r="X148">
        <v>1.27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27</v>
      </c>
      <c r="AG148">
        <v>1.5874999999999999</v>
      </c>
      <c r="AH148">
        <v>2</v>
      </c>
      <c r="AI148">
        <v>27935593</v>
      </c>
      <c r="AJ148">
        <v>144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ROW(Source!A65)</f>
        <v>65</v>
      </c>
      <c r="B149">
        <v>27935600</v>
      </c>
      <c r="C149">
        <v>27935591</v>
      </c>
      <c r="D149">
        <v>25230514</v>
      </c>
      <c r="E149">
        <v>1</v>
      </c>
      <c r="F149">
        <v>1</v>
      </c>
      <c r="G149">
        <v>1</v>
      </c>
      <c r="H149">
        <v>2</v>
      </c>
      <c r="I149" t="s">
        <v>462</v>
      </c>
      <c r="J149" t="s">
        <v>463</v>
      </c>
      <c r="K149" t="s">
        <v>464</v>
      </c>
      <c r="L149">
        <v>1368</v>
      </c>
      <c r="N149">
        <v>1011</v>
      </c>
      <c r="O149" t="s">
        <v>465</v>
      </c>
      <c r="P149" t="s">
        <v>465</v>
      </c>
      <c r="Q149">
        <v>1</v>
      </c>
      <c r="X149">
        <v>1.27</v>
      </c>
      <c r="Y149">
        <v>0</v>
      </c>
      <c r="Z149">
        <v>31.26</v>
      </c>
      <c r="AA149">
        <v>13.5</v>
      </c>
      <c r="AB149">
        <v>0</v>
      </c>
      <c r="AC149">
        <v>0</v>
      </c>
      <c r="AD149">
        <v>1</v>
      </c>
      <c r="AE149">
        <v>0</v>
      </c>
      <c r="AF149" t="s">
        <v>27</v>
      </c>
      <c r="AG149">
        <v>1.5874999999999999</v>
      </c>
      <c r="AH149">
        <v>2</v>
      </c>
      <c r="AI149">
        <v>27935594</v>
      </c>
      <c r="AJ149">
        <v>145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ROW(Source!A65)</f>
        <v>65</v>
      </c>
      <c r="B150">
        <v>27935601</v>
      </c>
      <c r="C150">
        <v>27935591</v>
      </c>
      <c r="D150">
        <v>25230627</v>
      </c>
      <c r="E150">
        <v>1</v>
      </c>
      <c r="F150">
        <v>1</v>
      </c>
      <c r="G150">
        <v>1</v>
      </c>
      <c r="H150">
        <v>2</v>
      </c>
      <c r="I150" t="s">
        <v>555</v>
      </c>
      <c r="J150" t="s">
        <v>556</v>
      </c>
      <c r="K150" t="s">
        <v>557</v>
      </c>
      <c r="L150">
        <v>1368</v>
      </c>
      <c r="N150">
        <v>1011</v>
      </c>
      <c r="O150" t="s">
        <v>465</v>
      </c>
      <c r="P150" t="s">
        <v>465</v>
      </c>
      <c r="Q150">
        <v>1</v>
      </c>
      <c r="X150">
        <v>9.07</v>
      </c>
      <c r="Y150">
        <v>0</v>
      </c>
      <c r="Z150">
        <v>0.5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27</v>
      </c>
      <c r="AG150">
        <v>11.3375</v>
      </c>
      <c r="AH150">
        <v>2</v>
      </c>
      <c r="AI150">
        <v>27935595</v>
      </c>
      <c r="AJ150">
        <v>146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ROW(Source!A65)</f>
        <v>65</v>
      </c>
      <c r="B151">
        <v>27935602</v>
      </c>
      <c r="C151">
        <v>27935591</v>
      </c>
      <c r="D151">
        <v>25149961</v>
      </c>
      <c r="E151">
        <v>1</v>
      </c>
      <c r="F151">
        <v>1</v>
      </c>
      <c r="G151">
        <v>1</v>
      </c>
      <c r="H151">
        <v>3</v>
      </c>
      <c r="I151" t="s">
        <v>558</v>
      </c>
      <c r="J151" t="s">
        <v>559</v>
      </c>
      <c r="K151" t="s">
        <v>560</v>
      </c>
      <c r="L151">
        <v>1339</v>
      </c>
      <c r="N151">
        <v>1007</v>
      </c>
      <c r="O151" t="s">
        <v>133</v>
      </c>
      <c r="P151" t="s">
        <v>133</v>
      </c>
      <c r="Q151">
        <v>1</v>
      </c>
      <c r="X151">
        <v>3.5</v>
      </c>
      <c r="Y151">
        <v>2.44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3.5</v>
      </c>
      <c r="AH151">
        <v>2</v>
      </c>
      <c r="AI151">
        <v>27935596</v>
      </c>
      <c r="AJ151">
        <v>147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ROW(Source!A65)</f>
        <v>65</v>
      </c>
      <c r="B152">
        <v>27935603</v>
      </c>
      <c r="C152">
        <v>27935591</v>
      </c>
      <c r="D152">
        <v>25144380</v>
      </c>
      <c r="E152">
        <v>17</v>
      </c>
      <c r="F152">
        <v>1</v>
      </c>
      <c r="G152">
        <v>1</v>
      </c>
      <c r="H152">
        <v>3</v>
      </c>
      <c r="I152" t="s">
        <v>733</v>
      </c>
      <c r="J152" t="s">
        <v>6</v>
      </c>
      <c r="K152" t="s">
        <v>734</v>
      </c>
      <c r="L152">
        <v>1339</v>
      </c>
      <c r="N152">
        <v>1007</v>
      </c>
      <c r="O152" t="s">
        <v>133</v>
      </c>
      <c r="P152" t="s">
        <v>133</v>
      </c>
      <c r="Q152">
        <v>1</v>
      </c>
      <c r="X152">
        <v>2.04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2.04</v>
      </c>
      <c r="AH152">
        <v>3</v>
      </c>
      <c r="AI152">
        <v>-1</v>
      </c>
      <c r="AJ152" t="s">
        <v>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ROW(Source!A68)</f>
        <v>68</v>
      </c>
      <c r="B153">
        <v>27935613</v>
      </c>
      <c r="C153">
        <v>27935605</v>
      </c>
      <c r="D153">
        <v>25413300</v>
      </c>
      <c r="E153">
        <v>1</v>
      </c>
      <c r="F153">
        <v>1</v>
      </c>
      <c r="G153">
        <v>1</v>
      </c>
      <c r="H153">
        <v>1</v>
      </c>
      <c r="I153" t="s">
        <v>491</v>
      </c>
      <c r="J153" t="s">
        <v>6</v>
      </c>
      <c r="K153" t="s">
        <v>492</v>
      </c>
      <c r="L153">
        <v>1191</v>
      </c>
      <c r="N153">
        <v>1013</v>
      </c>
      <c r="O153" t="s">
        <v>459</v>
      </c>
      <c r="P153" t="s">
        <v>459</v>
      </c>
      <c r="Q153">
        <v>1</v>
      </c>
      <c r="X153">
        <v>37.67</v>
      </c>
      <c r="Y153">
        <v>0</v>
      </c>
      <c r="Z153">
        <v>0</v>
      </c>
      <c r="AA153">
        <v>0</v>
      </c>
      <c r="AB153">
        <v>8.5299999999999994</v>
      </c>
      <c r="AC153">
        <v>0</v>
      </c>
      <c r="AD153">
        <v>1</v>
      </c>
      <c r="AE153">
        <v>1</v>
      </c>
      <c r="AF153" t="s">
        <v>28</v>
      </c>
      <c r="AG153">
        <v>43.320499999999996</v>
      </c>
      <c r="AH153">
        <v>2</v>
      </c>
      <c r="AI153">
        <v>27935606</v>
      </c>
      <c r="AJ153">
        <v>149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ROW(Source!A68)</f>
        <v>68</v>
      </c>
      <c r="B154">
        <v>27935614</v>
      </c>
      <c r="C154">
        <v>27935605</v>
      </c>
      <c r="D154">
        <v>25412928</v>
      </c>
      <c r="E154">
        <v>1</v>
      </c>
      <c r="F154">
        <v>1</v>
      </c>
      <c r="G154">
        <v>1</v>
      </c>
      <c r="H154">
        <v>1</v>
      </c>
      <c r="I154" t="s">
        <v>460</v>
      </c>
      <c r="J154" t="s">
        <v>6</v>
      </c>
      <c r="K154" t="s">
        <v>461</v>
      </c>
      <c r="L154">
        <v>1191</v>
      </c>
      <c r="N154">
        <v>1013</v>
      </c>
      <c r="O154" t="s">
        <v>459</v>
      </c>
      <c r="P154" t="s">
        <v>459</v>
      </c>
      <c r="Q154">
        <v>1</v>
      </c>
      <c r="X154">
        <v>0.17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27</v>
      </c>
      <c r="AG154">
        <v>0.21250000000000002</v>
      </c>
      <c r="AH154">
        <v>2</v>
      </c>
      <c r="AI154">
        <v>27935607</v>
      </c>
      <c r="AJ154">
        <v>150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ROW(Source!A68)</f>
        <v>68</v>
      </c>
      <c r="B155">
        <v>27935615</v>
      </c>
      <c r="C155">
        <v>27935605</v>
      </c>
      <c r="D155">
        <v>25230510</v>
      </c>
      <c r="E155">
        <v>1</v>
      </c>
      <c r="F155">
        <v>1</v>
      </c>
      <c r="G155">
        <v>1</v>
      </c>
      <c r="H155">
        <v>2</v>
      </c>
      <c r="I155" t="s">
        <v>561</v>
      </c>
      <c r="J155" t="s">
        <v>562</v>
      </c>
      <c r="K155" t="s">
        <v>563</v>
      </c>
      <c r="L155">
        <v>1368</v>
      </c>
      <c r="N155">
        <v>1011</v>
      </c>
      <c r="O155" t="s">
        <v>465</v>
      </c>
      <c r="P155" t="s">
        <v>465</v>
      </c>
      <c r="Q155">
        <v>1</v>
      </c>
      <c r="X155">
        <v>0.13</v>
      </c>
      <c r="Y155">
        <v>0</v>
      </c>
      <c r="Z155">
        <v>27.66</v>
      </c>
      <c r="AA155">
        <v>11.6</v>
      </c>
      <c r="AB155">
        <v>0</v>
      </c>
      <c r="AC155">
        <v>0</v>
      </c>
      <c r="AD155">
        <v>1</v>
      </c>
      <c r="AE155">
        <v>0</v>
      </c>
      <c r="AF155" t="s">
        <v>27</v>
      </c>
      <c r="AG155">
        <v>0.16250000000000001</v>
      </c>
      <c r="AH155">
        <v>2</v>
      </c>
      <c r="AI155">
        <v>27935608</v>
      </c>
      <c r="AJ155">
        <v>151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ROW(Source!A68)</f>
        <v>68</v>
      </c>
      <c r="B156">
        <v>27935616</v>
      </c>
      <c r="C156">
        <v>27935605</v>
      </c>
      <c r="D156">
        <v>25231607</v>
      </c>
      <c r="E156">
        <v>1</v>
      </c>
      <c r="F156">
        <v>1</v>
      </c>
      <c r="G156">
        <v>1</v>
      </c>
      <c r="H156">
        <v>2</v>
      </c>
      <c r="I156" t="s">
        <v>468</v>
      </c>
      <c r="J156" t="s">
        <v>469</v>
      </c>
      <c r="K156" t="s">
        <v>470</v>
      </c>
      <c r="L156">
        <v>1368</v>
      </c>
      <c r="N156">
        <v>1011</v>
      </c>
      <c r="O156" t="s">
        <v>465</v>
      </c>
      <c r="P156" t="s">
        <v>465</v>
      </c>
      <c r="Q156">
        <v>1</v>
      </c>
      <c r="X156">
        <v>0.04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27</v>
      </c>
      <c r="AG156">
        <v>0.05</v>
      </c>
      <c r="AH156">
        <v>2</v>
      </c>
      <c r="AI156">
        <v>27935609</v>
      </c>
      <c r="AJ156">
        <v>152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ROW(Source!A68)</f>
        <v>68</v>
      </c>
      <c r="B157">
        <v>27935617</v>
      </c>
      <c r="C157">
        <v>27935605</v>
      </c>
      <c r="D157">
        <v>25149961</v>
      </c>
      <c r="E157">
        <v>1</v>
      </c>
      <c r="F157">
        <v>1</v>
      </c>
      <c r="G157">
        <v>1</v>
      </c>
      <c r="H157">
        <v>3</v>
      </c>
      <c r="I157" t="s">
        <v>558</v>
      </c>
      <c r="J157" t="s">
        <v>559</v>
      </c>
      <c r="K157" t="s">
        <v>560</v>
      </c>
      <c r="L157">
        <v>1339</v>
      </c>
      <c r="N157">
        <v>1007</v>
      </c>
      <c r="O157" t="s">
        <v>133</v>
      </c>
      <c r="P157" t="s">
        <v>133</v>
      </c>
      <c r="Q157">
        <v>1</v>
      </c>
      <c r="X157">
        <v>0.17399999999999999</v>
      </c>
      <c r="Y157">
        <v>2.44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0.17399999999999999</v>
      </c>
      <c r="AH157">
        <v>2</v>
      </c>
      <c r="AI157">
        <v>27935610</v>
      </c>
      <c r="AJ157">
        <v>153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ROW(Source!A68)</f>
        <v>68</v>
      </c>
      <c r="B158">
        <v>27935618</v>
      </c>
      <c r="C158">
        <v>27935605</v>
      </c>
      <c r="D158">
        <v>25155574</v>
      </c>
      <c r="E158">
        <v>1</v>
      </c>
      <c r="F158">
        <v>1</v>
      </c>
      <c r="G158">
        <v>1</v>
      </c>
      <c r="H158">
        <v>3</v>
      </c>
      <c r="I158" t="s">
        <v>564</v>
      </c>
      <c r="J158" t="s">
        <v>565</v>
      </c>
      <c r="K158" t="s">
        <v>566</v>
      </c>
      <c r="L158">
        <v>1348</v>
      </c>
      <c r="N158">
        <v>1009</v>
      </c>
      <c r="O158" t="s">
        <v>65</v>
      </c>
      <c r="P158" t="s">
        <v>65</v>
      </c>
      <c r="Q158">
        <v>1000</v>
      </c>
      <c r="X158">
        <v>0.9</v>
      </c>
      <c r="Y158">
        <v>11381.57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0.9</v>
      </c>
      <c r="AH158">
        <v>2</v>
      </c>
      <c r="AI158">
        <v>27935611</v>
      </c>
      <c r="AJ158">
        <v>154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ROW(Source!A68)</f>
        <v>68</v>
      </c>
      <c r="B159">
        <v>27935619</v>
      </c>
      <c r="C159">
        <v>27935605</v>
      </c>
      <c r="D159">
        <v>25186115</v>
      </c>
      <c r="E159">
        <v>1</v>
      </c>
      <c r="F159">
        <v>1</v>
      </c>
      <c r="G159">
        <v>1</v>
      </c>
      <c r="H159">
        <v>3</v>
      </c>
      <c r="I159" t="s">
        <v>144</v>
      </c>
      <c r="J159" t="s">
        <v>146</v>
      </c>
      <c r="K159" t="s">
        <v>145</v>
      </c>
      <c r="L159">
        <v>1346</v>
      </c>
      <c r="N159">
        <v>1009</v>
      </c>
      <c r="O159" t="s">
        <v>60</v>
      </c>
      <c r="P159" t="s">
        <v>60</v>
      </c>
      <c r="Q159">
        <v>1</v>
      </c>
      <c r="X159">
        <v>30</v>
      </c>
      <c r="Y159">
        <v>15.25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30</v>
      </c>
      <c r="AH159">
        <v>2</v>
      </c>
      <c r="AI159">
        <v>27935612</v>
      </c>
      <c r="AJ159">
        <v>155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ROW(Source!A69)</f>
        <v>69</v>
      </c>
      <c r="B160">
        <v>27935613</v>
      </c>
      <c r="C160">
        <v>27935605</v>
      </c>
      <c r="D160">
        <v>25413300</v>
      </c>
      <c r="E160">
        <v>1</v>
      </c>
      <c r="F160">
        <v>1</v>
      </c>
      <c r="G160">
        <v>1</v>
      </c>
      <c r="H160">
        <v>1</v>
      </c>
      <c r="I160" t="s">
        <v>491</v>
      </c>
      <c r="J160" t="s">
        <v>6</v>
      </c>
      <c r="K160" t="s">
        <v>492</v>
      </c>
      <c r="L160">
        <v>1191</v>
      </c>
      <c r="N160">
        <v>1013</v>
      </c>
      <c r="O160" t="s">
        <v>459</v>
      </c>
      <c r="P160" t="s">
        <v>459</v>
      </c>
      <c r="Q160">
        <v>1</v>
      </c>
      <c r="X160">
        <v>37.67</v>
      </c>
      <c r="Y160">
        <v>0</v>
      </c>
      <c r="Z160">
        <v>0</v>
      </c>
      <c r="AA160">
        <v>0</v>
      </c>
      <c r="AB160">
        <v>8.5299999999999994</v>
      </c>
      <c r="AC160">
        <v>0</v>
      </c>
      <c r="AD160">
        <v>1</v>
      </c>
      <c r="AE160">
        <v>1</v>
      </c>
      <c r="AF160" t="s">
        <v>28</v>
      </c>
      <c r="AG160">
        <v>43.320499999999996</v>
      </c>
      <c r="AH160">
        <v>2</v>
      </c>
      <c r="AI160">
        <v>27935606</v>
      </c>
      <c r="AJ160">
        <v>156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ROW(Source!A69)</f>
        <v>69</v>
      </c>
      <c r="B161">
        <v>27935614</v>
      </c>
      <c r="C161">
        <v>27935605</v>
      </c>
      <c r="D161">
        <v>25412928</v>
      </c>
      <c r="E161">
        <v>1</v>
      </c>
      <c r="F161">
        <v>1</v>
      </c>
      <c r="G161">
        <v>1</v>
      </c>
      <c r="H161">
        <v>1</v>
      </c>
      <c r="I161" t="s">
        <v>460</v>
      </c>
      <c r="J161" t="s">
        <v>6</v>
      </c>
      <c r="K161" t="s">
        <v>461</v>
      </c>
      <c r="L161">
        <v>1191</v>
      </c>
      <c r="N161">
        <v>1013</v>
      </c>
      <c r="O161" t="s">
        <v>459</v>
      </c>
      <c r="P161" t="s">
        <v>459</v>
      </c>
      <c r="Q161">
        <v>1</v>
      </c>
      <c r="X161">
        <v>0.17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2</v>
      </c>
      <c r="AF161" t="s">
        <v>27</v>
      </c>
      <c r="AG161">
        <v>0.21250000000000002</v>
      </c>
      <c r="AH161">
        <v>2</v>
      </c>
      <c r="AI161">
        <v>27935607</v>
      </c>
      <c r="AJ161">
        <v>157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ROW(Source!A69)</f>
        <v>69</v>
      </c>
      <c r="B162">
        <v>27935615</v>
      </c>
      <c r="C162">
        <v>27935605</v>
      </c>
      <c r="D162">
        <v>25230510</v>
      </c>
      <c r="E162">
        <v>1</v>
      </c>
      <c r="F162">
        <v>1</v>
      </c>
      <c r="G162">
        <v>1</v>
      </c>
      <c r="H162">
        <v>2</v>
      </c>
      <c r="I162" t="s">
        <v>561</v>
      </c>
      <c r="J162" t="s">
        <v>562</v>
      </c>
      <c r="K162" t="s">
        <v>563</v>
      </c>
      <c r="L162">
        <v>1368</v>
      </c>
      <c r="N162">
        <v>1011</v>
      </c>
      <c r="O162" t="s">
        <v>465</v>
      </c>
      <c r="P162" t="s">
        <v>465</v>
      </c>
      <c r="Q162">
        <v>1</v>
      </c>
      <c r="X162">
        <v>0.13</v>
      </c>
      <c r="Y162">
        <v>0</v>
      </c>
      <c r="Z162">
        <v>27.66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27</v>
      </c>
      <c r="AG162">
        <v>0.16250000000000001</v>
      </c>
      <c r="AH162">
        <v>2</v>
      </c>
      <c r="AI162">
        <v>27935608</v>
      </c>
      <c r="AJ162">
        <v>158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ROW(Source!A69)</f>
        <v>69</v>
      </c>
      <c r="B163">
        <v>27935616</v>
      </c>
      <c r="C163">
        <v>27935605</v>
      </c>
      <c r="D163">
        <v>25231607</v>
      </c>
      <c r="E163">
        <v>1</v>
      </c>
      <c r="F163">
        <v>1</v>
      </c>
      <c r="G163">
        <v>1</v>
      </c>
      <c r="H163">
        <v>2</v>
      </c>
      <c r="I163" t="s">
        <v>468</v>
      </c>
      <c r="J163" t="s">
        <v>469</v>
      </c>
      <c r="K163" t="s">
        <v>470</v>
      </c>
      <c r="L163">
        <v>1368</v>
      </c>
      <c r="N163">
        <v>1011</v>
      </c>
      <c r="O163" t="s">
        <v>465</v>
      </c>
      <c r="P163" t="s">
        <v>465</v>
      </c>
      <c r="Q163">
        <v>1</v>
      </c>
      <c r="X163">
        <v>0.04</v>
      </c>
      <c r="Y163">
        <v>0</v>
      </c>
      <c r="Z163">
        <v>65.709999999999994</v>
      </c>
      <c r="AA163">
        <v>11.6</v>
      </c>
      <c r="AB163">
        <v>0</v>
      </c>
      <c r="AC163">
        <v>0</v>
      </c>
      <c r="AD163">
        <v>1</v>
      </c>
      <c r="AE163">
        <v>0</v>
      </c>
      <c r="AF163" t="s">
        <v>27</v>
      </c>
      <c r="AG163">
        <v>0.05</v>
      </c>
      <c r="AH163">
        <v>2</v>
      </c>
      <c r="AI163">
        <v>27935609</v>
      </c>
      <c r="AJ163">
        <v>159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ROW(Source!A69)</f>
        <v>69</v>
      </c>
      <c r="B164">
        <v>27935617</v>
      </c>
      <c r="C164">
        <v>27935605</v>
      </c>
      <c r="D164">
        <v>25149961</v>
      </c>
      <c r="E164">
        <v>1</v>
      </c>
      <c r="F164">
        <v>1</v>
      </c>
      <c r="G164">
        <v>1</v>
      </c>
      <c r="H164">
        <v>3</v>
      </c>
      <c r="I164" t="s">
        <v>558</v>
      </c>
      <c r="J164" t="s">
        <v>559</v>
      </c>
      <c r="K164" t="s">
        <v>560</v>
      </c>
      <c r="L164">
        <v>1339</v>
      </c>
      <c r="N164">
        <v>1007</v>
      </c>
      <c r="O164" t="s">
        <v>133</v>
      </c>
      <c r="P164" t="s">
        <v>133</v>
      </c>
      <c r="Q164">
        <v>1</v>
      </c>
      <c r="X164">
        <v>0.17399999999999999</v>
      </c>
      <c r="Y164">
        <v>2.44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0.17399999999999999</v>
      </c>
      <c r="AH164">
        <v>2</v>
      </c>
      <c r="AI164">
        <v>27935610</v>
      </c>
      <c r="AJ164">
        <v>160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ROW(Source!A69)</f>
        <v>69</v>
      </c>
      <c r="B165">
        <v>27935618</v>
      </c>
      <c r="C165">
        <v>27935605</v>
      </c>
      <c r="D165">
        <v>25155574</v>
      </c>
      <c r="E165">
        <v>1</v>
      </c>
      <c r="F165">
        <v>1</v>
      </c>
      <c r="G165">
        <v>1</v>
      </c>
      <c r="H165">
        <v>3</v>
      </c>
      <c r="I165" t="s">
        <v>564</v>
      </c>
      <c r="J165" t="s">
        <v>565</v>
      </c>
      <c r="K165" t="s">
        <v>566</v>
      </c>
      <c r="L165">
        <v>1348</v>
      </c>
      <c r="N165">
        <v>1009</v>
      </c>
      <c r="O165" t="s">
        <v>65</v>
      </c>
      <c r="P165" t="s">
        <v>65</v>
      </c>
      <c r="Q165">
        <v>1000</v>
      </c>
      <c r="X165">
        <v>0.9</v>
      </c>
      <c r="Y165">
        <v>11381.57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0.9</v>
      </c>
      <c r="AH165">
        <v>2</v>
      </c>
      <c r="AI165">
        <v>27935611</v>
      </c>
      <c r="AJ165">
        <v>161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ROW(Source!A69)</f>
        <v>69</v>
      </c>
      <c r="B166">
        <v>27935619</v>
      </c>
      <c r="C166">
        <v>27935605</v>
      </c>
      <c r="D166">
        <v>25186115</v>
      </c>
      <c r="E166">
        <v>1</v>
      </c>
      <c r="F166">
        <v>1</v>
      </c>
      <c r="G166">
        <v>1</v>
      </c>
      <c r="H166">
        <v>3</v>
      </c>
      <c r="I166" t="s">
        <v>144</v>
      </c>
      <c r="J166" t="s">
        <v>146</v>
      </c>
      <c r="K166" t="s">
        <v>145</v>
      </c>
      <c r="L166">
        <v>1346</v>
      </c>
      <c r="N166">
        <v>1009</v>
      </c>
      <c r="O166" t="s">
        <v>60</v>
      </c>
      <c r="P166" t="s">
        <v>60</v>
      </c>
      <c r="Q166">
        <v>1</v>
      </c>
      <c r="X166">
        <v>30</v>
      </c>
      <c r="Y166">
        <v>15.25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30</v>
      </c>
      <c r="AH166">
        <v>2</v>
      </c>
      <c r="AI166">
        <v>27935612</v>
      </c>
      <c r="AJ166">
        <v>162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ROW(Source!A70)</f>
        <v>70</v>
      </c>
      <c r="B167">
        <v>27935633</v>
      </c>
      <c r="C167">
        <v>27935620</v>
      </c>
      <c r="D167">
        <v>25418547</v>
      </c>
      <c r="E167">
        <v>1</v>
      </c>
      <c r="F167">
        <v>1</v>
      </c>
      <c r="G167">
        <v>1</v>
      </c>
      <c r="H167">
        <v>1</v>
      </c>
      <c r="I167" t="s">
        <v>466</v>
      </c>
      <c r="J167" t="s">
        <v>6</v>
      </c>
      <c r="K167" t="s">
        <v>467</v>
      </c>
      <c r="L167">
        <v>1191</v>
      </c>
      <c r="N167">
        <v>1013</v>
      </c>
      <c r="O167" t="s">
        <v>459</v>
      </c>
      <c r="P167" t="s">
        <v>459</v>
      </c>
      <c r="Q167">
        <v>1</v>
      </c>
      <c r="X167">
        <v>310.42</v>
      </c>
      <c r="Y167">
        <v>0</v>
      </c>
      <c r="Z167">
        <v>0</v>
      </c>
      <c r="AA167">
        <v>0</v>
      </c>
      <c r="AB167">
        <v>8.74</v>
      </c>
      <c r="AC167">
        <v>0</v>
      </c>
      <c r="AD167">
        <v>1</v>
      </c>
      <c r="AE167">
        <v>1</v>
      </c>
      <c r="AF167" t="s">
        <v>28</v>
      </c>
      <c r="AG167">
        <v>356.983</v>
      </c>
      <c r="AH167">
        <v>2</v>
      </c>
      <c r="AI167">
        <v>27935621</v>
      </c>
      <c r="AJ167">
        <v>163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ROW(Source!A70)</f>
        <v>70</v>
      </c>
      <c r="B168">
        <v>27935634</v>
      </c>
      <c r="C168">
        <v>27935620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460</v>
      </c>
      <c r="J168" t="s">
        <v>6</v>
      </c>
      <c r="K168" t="s">
        <v>461</v>
      </c>
      <c r="L168">
        <v>1191</v>
      </c>
      <c r="N168">
        <v>1013</v>
      </c>
      <c r="O168" t="s">
        <v>459</v>
      </c>
      <c r="P168" t="s">
        <v>459</v>
      </c>
      <c r="Q168">
        <v>1</v>
      </c>
      <c r="X168">
        <v>1.73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27</v>
      </c>
      <c r="AG168">
        <v>2.1625000000000001</v>
      </c>
      <c r="AH168">
        <v>2</v>
      </c>
      <c r="AI168">
        <v>27935622</v>
      </c>
      <c r="AJ168">
        <v>164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ROW(Source!A70)</f>
        <v>70</v>
      </c>
      <c r="B169">
        <v>27935635</v>
      </c>
      <c r="C169">
        <v>27935620</v>
      </c>
      <c r="D169">
        <v>25230116</v>
      </c>
      <c r="E169">
        <v>1</v>
      </c>
      <c r="F169">
        <v>1</v>
      </c>
      <c r="G169">
        <v>1</v>
      </c>
      <c r="H169">
        <v>2</v>
      </c>
      <c r="I169" t="s">
        <v>567</v>
      </c>
      <c r="J169" t="s">
        <v>568</v>
      </c>
      <c r="K169" t="s">
        <v>569</v>
      </c>
      <c r="L169">
        <v>1368</v>
      </c>
      <c r="N169">
        <v>1011</v>
      </c>
      <c r="O169" t="s">
        <v>465</v>
      </c>
      <c r="P169" t="s">
        <v>465</v>
      </c>
      <c r="Q169">
        <v>1</v>
      </c>
      <c r="X169">
        <v>0.02</v>
      </c>
      <c r="Y169">
        <v>0</v>
      </c>
      <c r="Z169">
        <v>83.43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27</v>
      </c>
      <c r="AG169">
        <v>2.5000000000000001E-2</v>
      </c>
      <c r="AH169">
        <v>2</v>
      </c>
      <c r="AI169">
        <v>27935623</v>
      </c>
      <c r="AJ169">
        <v>165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ROW(Source!A70)</f>
        <v>70</v>
      </c>
      <c r="B170">
        <v>27935636</v>
      </c>
      <c r="C170">
        <v>27935620</v>
      </c>
      <c r="D170">
        <v>25230218</v>
      </c>
      <c r="E170">
        <v>1</v>
      </c>
      <c r="F170">
        <v>1</v>
      </c>
      <c r="G170">
        <v>1</v>
      </c>
      <c r="H170">
        <v>2</v>
      </c>
      <c r="I170" t="s">
        <v>570</v>
      </c>
      <c r="J170" t="s">
        <v>571</v>
      </c>
      <c r="K170" t="s">
        <v>572</v>
      </c>
      <c r="L170">
        <v>1368</v>
      </c>
      <c r="N170">
        <v>1011</v>
      </c>
      <c r="O170" t="s">
        <v>465</v>
      </c>
      <c r="P170" t="s">
        <v>465</v>
      </c>
      <c r="Q170">
        <v>1</v>
      </c>
      <c r="X170">
        <v>0.01</v>
      </c>
      <c r="Y170">
        <v>0</v>
      </c>
      <c r="Z170">
        <v>88.01</v>
      </c>
      <c r="AA170">
        <v>11.6</v>
      </c>
      <c r="AB170">
        <v>0</v>
      </c>
      <c r="AC170">
        <v>0</v>
      </c>
      <c r="AD170">
        <v>1</v>
      </c>
      <c r="AE170">
        <v>0</v>
      </c>
      <c r="AF170" t="s">
        <v>27</v>
      </c>
      <c r="AG170">
        <v>1.2500000000000001E-2</v>
      </c>
      <c r="AH170">
        <v>2</v>
      </c>
      <c r="AI170">
        <v>27935624</v>
      </c>
      <c r="AJ170">
        <v>166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ROW(Source!A70)</f>
        <v>70</v>
      </c>
      <c r="B171">
        <v>27935637</v>
      </c>
      <c r="C171">
        <v>27935620</v>
      </c>
      <c r="D171">
        <v>25230679</v>
      </c>
      <c r="E171">
        <v>1</v>
      </c>
      <c r="F171">
        <v>1</v>
      </c>
      <c r="G171">
        <v>1</v>
      </c>
      <c r="H171">
        <v>2</v>
      </c>
      <c r="I171" t="s">
        <v>573</v>
      </c>
      <c r="J171" t="s">
        <v>574</v>
      </c>
      <c r="K171" t="s">
        <v>575</v>
      </c>
      <c r="L171">
        <v>1368</v>
      </c>
      <c r="N171">
        <v>1011</v>
      </c>
      <c r="O171" t="s">
        <v>465</v>
      </c>
      <c r="P171" t="s">
        <v>465</v>
      </c>
      <c r="Q171">
        <v>1</v>
      </c>
      <c r="X171">
        <v>1.69</v>
      </c>
      <c r="Y171">
        <v>0</v>
      </c>
      <c r="Z171">
        <v>12.39</v>
      </c>
      <c r="AA171">
        <v>10.06</v>
      </c>
      <c r="AB171">
        <v>0</v>
      </c>
      <c r="AC171">
        <v>0</v>
      </c>
      <c r="AD171">
        <v>1</v>
      </c>
      <c r="AE171">
        <v>0</v>
      </c>
      <c r="AF171" t="s">
        <v>27</v>
      </c>
      <c r="AG171">
        <v>2.1124999999999998</v>
      </c>
      <c r="AH171">
        <v>2</v>
      </c>
      <c r="AI171">
        <v>27935625</v>
      </c>
      <c r="AJ171">
        <v>167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ROW(Source!A70)</f>
        <v>70</v>
      </c>
      <c r="B172">
        <v>27935638</v>
      </c>
      <c r="C172">
        <v>27935620</v>
      </c>
      <c r="D172">
        <v>25231607</v>
      </c>
      <c r="E172">
        <v>1</v>
      </c>
      <c r="F172">
        <v>1</v>
      </c>
      <c r="G172">
        <v>1</v>
      </c>
      <c r="H172">
        <v>2</v>
      </c>
      <c r="I172" t="s">
        <v>468</v>
      </c>
      <c r="J172" t="s">
        <v>469</v>
      </c>
      <c r="K172" t="s">
        <v>470</v>
      </c>
      <c r="L172">
        <v>1368</v>
      </c>
      <c r="N172">
        <v>1011</v>
      </c>
      <c r="O172" t="s">
        <v>465</v>
      </c>
      <c r="P172" t="s">
        <v>465</v>
      </c>
      <c r="Q172">
        <v>1</v>
      </c>
      <c r="X172">
        <v>0.01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27</v>
      </c>
      <c r="AG172">
        <v>1.2500000000000001E-2</v>
      </c>
      <c r="AH172">
        <v>2</v>
      </c>
      <c r="AI172">
        <v>27935626</v>
      </c>
      <c r="AJ172">
        <v>168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ROW(Source!A70)</f>
        <v>70</v>
      </c>
      <c r="B173">
        <v>27935639</v>
      </c>
      <c r="C173">
        <v>27935620</v>
      </c>
      <c r="D173">
        <v>25149961</v>
      </c>
      <c r="E173">
        <v>1</v>
      </c>
      <c r="F173">
        <v>1</v>
      </c>
      <c r="G173">
        <v>1</v>
      </c>
      <c r="H173">
        <v>3</v>
      </c>
      <c r="I173" t="s">
        <v>558</v>
      </c>
      <c r="J173" t="s">
        <v>559</v>
      </c>
      <c r="K173" t="s">
        <v>560</v>
      </c>
      <c r="L173">
        <v>1339</v>
      </c>
      <c r="N173">
        <v>1007</v>
      </c>
      <c r="O173" t="s">
        <v>133</v>
      </c>
      <c r="P173" t="s">
        <v>133</v>
      </c>
      <c r="Q173">
        <v>1</v>
      </c>
      <c r="X173">
        <v>0.44</v>
      </c>
      <c r="Y173">
        <v>2.44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0.44</v>
      </c>
      <c r="AH173">
        <v>2</v>
      </c>
      <c r="AI173">
        <v>27935627</v>
      </c>
      <c r="AJ173">
        <v>169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ROW(Source!A70)</f>
        <v>70</v>
      </c>
      <c r="B174">
        <v>27935640</v>
      </c>
      <c r="C174">
        <v>27935620</v>
      </c>
      <c r="D174">
        <v>25155711</v>
      </c>
      <c r="E174">
        <v>1</v>
      </c>
      <c r="F174">
        <v>1</v>
      </c>
      <c r="G174">
        <v>1</v>
      </c>
      <c r="H174">
        <v>3</v>
      </c>
      <c r="I174" t="s">
        <v>576</v>
      </c>
      <c r="J174" t="s">
        <v>577</v>
      </c>
      <c r="K174" t="s">
        <v>578</v>
      </c>
      <c r="L174">
        <v>1348</v>
      </c>
      <c r="N174">
        <v>1009</v>
      </c>
      <c r="O174" t="s">
        <v>65</v>
      </c>
      <c r="P174" t="s">
        <v>65</v>
      </c>
      <c r="Q174">
        <v>1000</v>
      </c>
      <c r="X174">
        <v>1.2999999999999999E-2</v>
      </c>
      <c r="Y174">
        <v>6513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1.2999999999999999E-2</v>
      </c>
      <c r="AH174">
        <v>2</v>
      </c>
      <c r="AI174">
        <v>27935628</v>
      </c>
      <c r="AJ174">
        <v>170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ROW(Source!A70)</f>
        <v>70</v>
      </c>
      <c r="B175">
        <v>27935641</v>
      </c>
      <c r="C175">
        <v>27935620</v>
      </c>
      <c r="D175">
        <v>25169756</v>
      </c>
      <c r="E175">
        <v>1</v>
      </c>
      <c r="F175">
        <v>1</v>
      </c>
      <c r="G175">
        <v>1</v>
      </c>
      <c r="H175">
        <v>3</v>
      </c>
      <c r="I175" t="s">
        <v>148</v>
      </c>
      <c r="J175" t="s">
        <v>150</v>
      </c>
      <c r="K175" t="s">
        <v>149</v>
      </c>
      <c r="L175">
        <v>1327</v>
      </c>
      <c r="N175">
        <v>1005</v>
      </c>
      <c r="O175" t="s">
        <v>35</v>
      </c>
      <c r="P175" t="s">
        <v>35</v>
      </c>
      <c r="Q175">
        <v>1</v>
      </c>
      <c r="X175">
        <v>102</v>
      </c>
      <c r="Y175">
        <v>140.44999999999999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102</v>
      </c>
      <c r="AH175">
        <v>2</v>
      </c>
      <c r="AI175">
        <v>27935629</v>
      </c>
      <c r="AJ175">
        <v>171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ROW(Source!A70)</f>
        <v>70</v>
      </c>
      <c r="B176">
        <v>27935642</v>
      </c>
      <c r="C176">
        <v>27935620</v>
      </c>
      <c r="D176">
        <v>25145444</v>
      </c>
      <c r="E176">
        <v>17</v>
      </c>
      <c r="F176">
        <v>1</v>
      </c>
      <c r="G176">
        <v>1</v>
      </c>
      <c r="H176">
        <v>3</v>
      </c>
      <c r="I176" t="s">
        <v>735</v>
      </c>
      <c r="J176" t="s">
        <v>6</v>
      </c>
      <c r="K176" t="s">
        <v>736</v>
      </c>
      <c r="L176">
        <v>1339</v>
      </c>
      <c r="N176">
        <v>1007</v>
      </c>
      <c r="O176" t="s">
        <v>133</v>
      </c>
      <c r="P176" t="s">
        <v>133</v>
      </c>
      <c r="Q176">
        <v>1</v>
      </c>
      <c r="X176">
        <v>0.01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6</v>
      </c>
      <c r="AG176">
        <v>0.01</v>
      </c>
      <c r="AH176">
        <v>3</v>
      </c>
      <c r="AI176">
        <v>-1</v>
      </c>
      <c r="AJ176" t="s">
        <v>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ROW(Source!A70)</f>
        <v>70</v>
      </c>
      <c r="B177">
        <v>27935643</v>
      </c>
      <c r="C177">
        <v>27935620</v>
      </c>
      <c r="D177">
        <v>25185231</v>
      </c>
      <c r="E177">
        <v>1</v>
      </c>
      <c r="F177">
        <v>1</v>
      </c>
      <c r="G177">
        <v>1</v>
      </c>
      <c r="H177">
        <v>3</v>
      </c>
      <c r="I177" t="s">
        <v>579</v>
      </c>
      <c r="J177" t="s">
        <v>580</v>
      </c>
      <c r="K177" t="s">
        <v>581</v>
      </c>
      <c r="L177">
        <v>1346</v>
      </c>
      <c r="N177">
        <v>1009</v>
      </c>
      <c r="O177" t="s">
        <v>60</v>
      </c>
      <c r="P177" t="s">
        <v>60</v>
      </c>
      <c r="Q177">
        <v>1</v>
      </c>
      <c r="X177">
        <v>1200</v>
      </c>
      <c r="Y177">
        <v>3.69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1200</v>
      </c>
      <c r="AH177">
        <v>2</v>
      </c>
      <c r="AI177">
        <v>27935630</v>
      </c>
      <c r="AJ177">
        <v>173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ROW(Source!A70)</f>
        <v>70</v>
      </c>
      <c r="B178">
        <v>27935644</v>
      </c>
      <c r="C178">
        <v>27935620</v>
      </c>
      <c r="D178">
        <v>25145248</v>
      </c>
      <c r="E178">
        <v>17</v>
      </c>
      <c r="F178">
        <v>1</v>
      </c>
      <c r="G178">
        <v>1</v>
      </c>
      <c r="H178">
        <v>3</v>
      </c>
      <c r="I178" t="s">
        <v>726</v>
      </c>
      <c r="J178" t="s">
        <v>6</v>
      </c>
      <c r="K178" t="s">
        <v>727</v>
      </c>
      <c r="L178">
        <v>1348</v>
      </c>
      <c r="N178">
        <v>1009</v>
      </c>
      <c r="O178" t="s">
        <v>65</v>
      </c>
      <c r="P178" t="s">
        <v>65</v>
      </c>
      <c r="Q178">
        <v>1000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1</v>
      </c>
      <c r="AD178">
        <v>0</v>
      </c>
      <c r="AE178">
        <v>0</v>
      </c>
      <c r="AF178" t="s">
        <v>6</v>
      </c>
      <c r="AG178">
        <v>0</v>
      </c>
      <c r="AH178">
        <v>3</v>
      </c>
      <c r="AI178">
        <v>-1</v>
      </c>
      <c r="AJ178" t="s">
        <v>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ROW(Source!A71)</f>
        <v>71</v>
      </c>
      <c r="B179">
        <v>27935633</v>
      </c>
      <c r="C179">
        <v>27935620</v>
      </c>
      <c r="D179">
        <v>25418547</v>
      </c>
      <c r="E179">
        <v>1</v>
      </c>
      <c r="F179">
        <v>1</v>
      </c>
      <c r="G179">
        <v>1</v>
      </c>
      <c r="H179">
        <v>1</v>
      </c>
      <c r="I179" t="s">
        <v>466</v>
      </c>
      <c r="J179" t="s">
        <v>6</v>
      </c>
      <c r="K179" t="s">
        <v>467</v>
      </c>
      <c r="L179">
        <v>1191</v>
      </c>
      <c r="N179">
        <v>1013</v>
      </c>
      <c r="O179" t="s">
        <v>459</v>
      </c>
      <c r="P179" t="s">
        <v>459</v>
      </c>
      <c r="Q179">
        <v>1</v>
      </c>
      <c r="X179">
        <v>310.42</v>
      </c>
      <c r="Y179">
        <v>0</v>
      </c>
      <c r="Z179">
        <v>0</v>
      </c>
      <c r="AA179">
        <v>0</v>
      </c>
      <c r="AB179">
        <v>8.74</v>
      </c>
      <c r="AC179">
        <v>0</v>
      </c>
      <c r="AD179">
        <v>1</v>
      </c>
      <c r="AE179">
        <v>1</v>
      </c>
      <c r="AF179" t="s">
        <v>28</v>
      </c>
      <c r="AG179">
        <v>356.983</v>
      </c>
      <c r="AH179">
        <v>2</v>
      </c>
      <c r="AI179">
        <v>27935621</v>
      </c>
      <c r="AJ179">
        <v>175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ROW(Source!A71)</f>
        <v>71</v>
      </c>
      <c r="B180">
        <v>27935634</v>
      </c>
      <c r="C180">
        <v>27935620</v>
      </c>
      <c r="D180">
        <v>25412928</v>
      </c>
      <c r="E180">
        <v>1</v>
      </c>
      <c r="F180">
        <v>1</v>
      </c>
      <c r="G180">
        <v>1</v>
      </c>
      <c r="H180">
        <v>1</v>
      </c>
      <c r="I180" t="s">
        <v>460</v>
      </c>
      <c r="J180" t="s">
        <v>6</v>
      </c>
      <c r="K180" t="s">
        <v>461</v>
      </c>
      <c r="L180">
        <v>1191</v>
      </c>
      <c r="N180">
        <v>1013</v>
      </c>
      <c r="O180" t="s">
        <v>459</v>
      </c>
      <c r="P180" t="s">
        <v>459</v>
      </c>
      <c r="Q180">
        <v>1</v>
      </c>
      <c r="X180">
        <v>1.73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2</v>
      </c>
      <c r="AF180" t="s">
        <v>27</v>
      </c>
      <c r="AG180">
        <v>2.1625000000000001</v>
      </c>
      <c r="AH180">
        <v>2</v>
      </c>
      <c r="AI180">
        <v>27935622</v>
      </c>
      <c r="AJ180">
        <v>176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ROW(Source!A71)</f>
        <v>71</v>
      </c>
      <c r="B181">
        <v>27935635</v>
      </c>
      <c r="C181">
        <v>27935620</v>
      </c>
      <c r="D181">
        <v>25230116</v>
      </c>
      <c r="E181">
        <v>1</v>
      </c>
      <c r="F181">
        <v>1</v>
      </c>
      <c r="G181">
        <v>1</v>
      </c>
      <c r="H181">
        <v>2</v>
      </c>
      <c r="I181" t="s">
        <v>567</v>
      </c>
      <c r="J181" t="s">
        <v>568</v>
      </c>
      <c r="K181" t="s">
        <v>569</v>
      </c>
      <c r="L181">
        <v>1368</v>
      </c>
      <c r="N181">
        <v>1011</v>
      </c>
      <c r="O181" t="s">
        <v>465</v>
      </c>
      <c r="P181" t="s">
        <v>465</v>
      </c>
      <c r="Q181">
        <v>1</v>
      </c>
      <c r="X181">
        <v>0.02</v>
      </c>
      <c r="Y181">
        <v>0</v>
      </c>
      <c r="Z181">
        <v>83.43</v>
      </c>
      <c r="AA181">
        <v>13.5</v>
      </c>
      <c r="AB181">
        <v>0</v>
      </c>
      <c r="AC181">
        <v>0</v>
      </c>
      <c r="AD181">
        <v>1</v>
      </c>
      <c r="AE181">
        <v>0</v>
      </c>
      <c r="AF181" t="s">
        <v>27</v>
      </c>
      <c r="AG181">
        <v>2.5000000000000001E-2</v>
      </c>
      <c r="AH181">
        <v>2</v>
      </c>
      <c r="AI181">
        <v>27935623</v>
      </c>
      <c r="AJ181">
        <v>177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ROW(Source!A71)</f>
        <v>71</v>
      </c>
      <c r="B182">
        <v>27935636</v>
      </c>
      <c r="C182">
        <v>27935620</v>
      </c>
      <c r="D182">
        <v>25230218</v>
      </c>
      <c r="E182">
        <v>1</v>
      </c>
      <c r="F182">
        <v>1</v>
      </c>
      <c r="G182">
        <v>1</v>
      </c>
      <c r="H182">
        <v>2</v>
      </c>
      <c r="I182" t="s">
        <v>570</v>
      </c>
      <c r="J182" t="s">
        <v>571</v>
      </c>
      <c r="K182" t="s">
        <v>572</v>
      </c>
      <c r="L182">
        <v>1368</v>
      </c>
      <c r="N182">
        <v>1011</v>
      </c>
      <c r="O182" t="s">
        <v>465</v>
      </c>
      <c r="P182" t="s">
        <v>465</v>
      </c>
      <c r="Q182">
        <v>1</v>
      </c>
      <c r="X182">
        <v>0.01</v>
      </c>
      <c r="Y182">
        <v>0</v>
      </c>
      <c r="Z182">
        <v>88.01</v>
      </c>
      <c r="AA182">
        <v>11.6</v>
      </c>
      <c r="AB182">
        <v>0</v>
      </c>
      <c r="AC182">
        <v>0</v>
      </c>
      <c r="AD182">
        <v>1</v>
      </c>
      <c r="AE182">
        <v>0</v>
      </c>
      <c r="AF182" t="s">
        <v>27</v>
      </c>
      <c r="AG182">
        <v>1.2500000000000001E-2</v>
      </c>
      <c r="AH182">
        <v>2</v>
      </c>
      <c r="AI182">
        <v>27935624</v>
      </c>
      <c r="AJ182">
        <v>178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ROW(Source!A71)</f>
        <v>71</v>
      </c>
      <c r="B183">
        <v>27935637</v>
      </c>
      <c r="C183">
        <v>27935620</v>
      </c>
      <c r="D183">
        <v>25230679</v>
      </c>
      <c r="E183">
        <v>1</v>
      </c>
      <c r="F183">
        <v>1</v>
      </c>
      <c r="G183">
        <v>1</v>
      </c>
      <c r="H183">
        <v>2</v>
      </c>
      <c r="I183" t="s">
        <v>573</v>
      </c>
      <c r="J183" t="s">
        <v>574</v>
      </c>
      <c r="K183" t="s">
        <v>575</v>
      </c>
      <c r="L183">
        <v>1368</v>
      </c>
      <c r="N183">
        <v>1011</v>
      </c>
      <c r="O183" t="s">
        <v>465</v>
      </c>
      <c r="P183" t="s">
        <v>465</v>
      </c>
      <c r="Q183">
        <v>1</v>
      </c>
      <c r="X183">
        <v>1.69</v>
      </c>
      <c r="Y183">
        <v>0</v>
      </c>
      <c r="Z183">
        <v>12.39</v>
      </c>
      <c r="AA183">
        <v>10.06</v>
      </c>
      <c r="AB183">
        <v>0</v>
      </c>
      <c r="AC183">
        <v>0</v>
      </c>
      <c r="AD183">
        <v>1</v>
      </c>
      <c r="AE183">
        <v>0</v>
      </c>
      <c r="AF183" t="s">
        <v>27</v>
      </c>
      <c r="AG183">
        <v>2.1124999999999998</v>
      </c>
      <c r="AH183">
        <v>2</v>
      </c>
      <c r="AI183">
        <v>27935625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ROW(Source!A71)</f>
        <v>71</v>
      </c>
      <c r="B184">
        <v>27935638</v>
      </c>
      <c r="C184">
        <v>27935620</v>
      </c>
      <c r="D184">
        <v>25231607</v>
      </c>
      <c r="E184">
        <v>1</v>
      </c>
      <c r="F184">
        <v>1</v>
      </c>
      <c r="G184">
        <v>1</v>
      </c>
      <c r="H184">
        <v>2</v>
      </c>
      <c r="I184" t="s">
        <v>468</v>
      </c>
      <c r="J184" t="s">
        <v>469</v>
      </c>
      <c r="K184" t="s">
        <v>470</v>
      </c>
      <c r="L184">
        <v>1368</v>
      </c>
      <c r="N184">
        <v>1011</v>
      </c>
      <c r="O184" t="s">
        <v>465</v>
      </c>
      <c r="P184" t="s">
        <v>465</v>
      </c>
      <c r="Q184">
        <v>1</v>
      </c>
      <c r="X184">
        <v>0.01</v>
      </c>
      <c r="Y184">
        <v>0</v>
      </c>
      <c r="Z184">
        <v>65.709999999999994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27</v>
      </c>
      <c r="AG184">
        <v>1.2500000000000001E-2</v>
      </c>
      <c r="AH184">
        <v>2</v>
      </c>
      <c r="AI184">
        <v>27935626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ROW(Source!A71)</f>
        <v>71</v>
      </c>
      <c r="B185">
        <v>27935639</v>
      </c>
      <c r="C185">
        <v>27935620</v>
      </c>
      <c r="D185">
        <v>25149961</v>
      </c>
      <c r="E185">
        <v>1</v>
      </c>
      <c r="F185">
        <v>1</v>
      </c>
      <c r="G185">
        <v>1</v>
      </c>
      <c r="H185">
        <v>3</v>
      </c>
      <c r="I185" t="s">
        <v>558</v>
      </c>
      <c r="J185" t="s">
        <v>559</v>
      </c>
      <c r="K185" t="s">
        <v>560</v>
      </c>
      <c r="L185">
        <v>1339</v>
      </c>
      <c r="N185">
        <v>1007</v>
      </c>
      <c r="O185" t="s">
        <v>133</v>
      </c>
      <c r="P185" t="s">
        <v>133</v>
      </c>
      <c r="Q185">
        <v>1</v>
      </c>
      <c r="X185">
        <v>0.44</v>
      </c>
      <c r="Y185">
        <v>2.44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0.44</v>
      </c>
      <c r="AH185">
        <v>2</v>
      </c>
      <c r="AI185">
        <v>27935627</v>
      </c>
      <c r="AJ185">
        <v>181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ROW(Source!A71)</f>
        <v>71</v>
      </c>
      <c r="B186">
        <v>27935640</v>
      </c>
      <c r="C186">
        <v>27935620</v>
      </c>
      <c r="D186">
        <v>25155711</v>
      </c>
      <c r="E186">
        <v>1</v>
      </c>
      <c r="F186">
        <v>1</v>
      </c>
      <c r="G186">
        <v>1</v>
      </c>
      <c r="H186">
        <v>3</v>
      </c>
      <c r="I186" t="s">
        <v>576</v>
      </c>
      <c r="J186" t="s">
        <v>577</v>
      </c>
      <c r="K186" t="s">
        <v>578</v>
      </c>
      <c r="L186">
        <v>1348</v>
      </c>
      <c r="N186">
        <v>1009</v>
      </c>
      <c r="O186" t="s">
        <v>65</v>
      </c>
      <c r="P186" t="s">
        <v>65</v>
      </c>
      <c r="Q186">
        <v>1000</v>
      </c>
      <c r="X186">
        <v>1.2999999999999999E-2</v>
      </c>
      <c r="Y186">
        <v>6513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1.2999999999999999E-2</v>
      </c>
      <c r="AH186">
        <v>2</v>
      </c>
      <c r="AI186">
        <v>27935628</v>
      </c>
      <c r="AJ186">
        <v>182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ROW(Source!A71)</f>
        <v>71</v>
      </c>
      <c r="B187">
        <v>27935641</v>
      </c>
      <c r="C187">
        <v>27935620</v>
      </c>
      <c r="D187">
        <v>25169756</v>
      </c>
      <c r="E187">
        <v>1</v>
      </c>
      <c r="F187">
        <v>1</v>
      </c>
      <c r="G187">
        <v>1</v>
      </c>
      <c r="H187">
        <v>3</v>
      </c>
      <c r="I187" t="s">
        <v>148</v>
      </c>
      <c r="J187" t="s">
        <v>150</v>
      </c>
      <c r="K187" t="s">
        <v>149</v>
      </c>
      <c r="L187">
        <v>1327</v>
      </c>
      <c r="N187">
        <v>1005</v>
      </c>
      <c r="O187" t="s">
        <v>35</v>
      </c>
      <c r="P187" t="s">
        <v>35</v>
      </c>
      <c r="Q187">
        <v>1</v>
      </c>
      <c r="X187">
        <v>102</v>
      </c>
      <c r="Y187">
        <v>140.44999999999999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102</v>
      </c>
      <c r="AH187">
        <v>2</v>
      </c>
      <c r="AI187">
        <v>27935629</v>
      </c>
      <c r="AJ187">
        <v>183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ROW(Source!A71)</f>
        <v>71</v>
      </c>
      <c r="B188">
        <v>27935642</v>
      </c>
      <c r="C188">
        <v>27935620</v>
      </c>
      <c r="D188">
        <v>25145444</v>
      </c>
      <c r="E188">
        <v>17</v>
      </c>
      <c r="F188">
        <v>1</v>
      </c>
      <c r="G188">
        <v>1</v>
      </c>
      <c r="H188">
        <v>3</v>
      </c>
      <c r="I188" t="s">
        <v>735</v>
      </c>
      <c r="J188" t="s">
        <v>6</v>
      </c>
      <c r="K188" t="s">
        <v>736</v>
      </c>
      <c r="L188">
        <v>1339</v>
      </c>
      <c r="N188">
        <v>1007</v>
      </c>
      <c r="O188" t="s">
        <v>133</v>
      </c>
      <c r="P188" t="s">
        <v>133</v>
      </c>
      <c r="Q188">
        <v>1</v>
      </c>
      <c r="X188">
        <v>0.01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 t="s">
        <v>6</v>
      </c>
      <c r="AG188">
        <v>0.01</v>
      </c>
      <c r="AH188">
        <v>3</v>
      </c>
      <c r="AI188">
        <v>-1</v>
      </c>
      <c r="AJ188" t="s">
        <v>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ROW(Source!A71)</f>
        <v>71</v>
      </c>
      <c r="B189">
        <v>27935643</v>
      </c>
      <c r="C189">
        <v>27935620</v>
      </c>
      <c r="D189">
        <v>25185231</v>
      </c>
      <c r="E189">
        <v>1</v>
      </c>
      <c r="F189">
        <v>1</v>
      </c>
      <c r="G189">
        <v>1</v>
      </c>
      <c r="H189">
        <v>3</v>
      </c>
      <c r="I189" t="s">
        <v>579</v>
      </c>
      <c r="J189" t="s">
        <v>580</v>
      </c>
      <c r="K189" t="s">
        <v>581</v>
      </c>
      <c r="L189">
        <v>1346</v>
      </c>
      <c r="N189">
        <v>1009</v>
      </c>
      <c r="O189" t="s">
        <v>60</v>
      </c>
      <c r="P189" t="s">
        <v>60</v>
      </c>
      <c r="Q189">
        <v>1</v>
      </c>
      <c r="X189">
        <v>1200</v>
      </c>
      <c r="Y189">
        <v>3.69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1200</v>
      </c>
      <c r="AH189">
        <v>2</v>
      </c>
      <c r="AI189">
        <v>27935630</v>
      </c>
      <c r="AJ189">
        <v>185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ROW(Source!A71)</f>
        <v>71</v>
      </c>
      <c r="B190">
        <v>27935644</v>
      </c>
      <c r="C190">
        <v>27935620</v>
      </c>
      <c r="D190">
        <v>25145248</v>
      </c>
      <c r="E190">
        <v>17</v>
      </c>
      <c r="F190">
        <v>1</v>
      </c>
      <c r="G190">
        <v>1</v>
      </c>
      <c r="H190">
        <v>3</v>
      </c>
      <c r="I190" t="s">
        <v>726</v>
      </c>
      <c r="J190" t="s">
        <v>6</v>
      </c>
      <c r="K190" t="s">
        <v>727</v>
      </c>
      <c r="L190">
        <v>1348</v>
      </c>
      <c r="N190">
        <v>1009</v>
      </c>
      <c r="O190" t="s">
        <v>65</v>
      </c>
      <c r="P190" t="s">
        <v>65</v>
      </c>
      <c r="Q190">
        <v>1000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1</v>
      </c>
      <c r="AD190">
        <v>0</v>
      </c>
      <c r="AE190">
        <v>0</v>
      </c>
      <c r="AF190" t="s">
        <v>6</v>
      </c>
      <c r="AG190">
        <v>0</v>
      </c>
      <c r="AH190">
        <v>3</v>
      </c>
      <c r="AI190">
        <v>-1</v>
      </c>
      <c r="AJ190" t="s">
        <v>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ROW(Source!A78)</f>
        <v>78</v>
      </c>
      <c r="B191">
        <v>27935650</v>
      </c>
      <c r="C191">
        <v>27935648</v>
      </c>
      <c r="D191">
        <v>25413050</v>
      </c>
      <c r="E191">
        <v>1</v>
      </c>
      <c r="F191">
        <v>1</v>
      </c>
      <c r="G191">
        <v>1</v>
      </c>
      <c r="H191">
        <v>1</v>
      </c>
      <c r="I191" t="s">
        <v>551</v>
      </c>
      <c r="J191" t="s">
        <v>6</v>
      </c>
      <c r="K191" t="s">
        <v>552</v>
      </c>
      <c r="L191">
        <v>1191</v>
      </c>
      <c r="N191">
        <v>1013</v>
      </c>
      <c r="O191" t="s">
        <v>459</v>
      </c>
      <c r="P191" t="s">
        <v>459</v>
      </c>
      <c r="Q191">
        <v>1</v>
      </c>
      <c r="X191">
        <v>10.4</v>
      </c>
      <c r="Y191">
        <v>0</v>
      </c>
      <c r="Z191">
        <v>0</v>
      </c>
      <c r="AA191">
        <v>0</v>
      </c>
      <c r="AB191">
        <v>7.8</v>
      </c>
      <c r="AC191">
        <v>0</v>
      </c>
      <c r="AD191">
        <v>1</v>
      </c>
      <c r="AE191">
        <v>1</v>
      </c>
      <c r="AF191" t="s">
        <v>6</v>
      </c>
      <c r="AG191">
        <v>10.4</v>
      </c>
      <c r="AH191">
        <v>2</v>
      </c>
      <c r="AI191">
        <v>27935649</v>
      </c>
      <c r="AJ191">
        <v>187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ROW(Source!A78)</f>
        <v>78</v>
      </c>
      <c r="B192">
        <v>27935651</v>
      </c>
      <c r="C192">
        <v>27935648</v>
      </c>
      <c r="D192">
        <v>25147242</v>
      </c>
      <c r="E192">
        <v>17</v>
      </c>
      <c r="F192">
        <v>1</v>
      </c>
      <c r="G192">
        <v>1</v>
      </c>
      <c r="H192">
        <v>3</v>
      </c>
      <c r="I192" t="s">
        <v>218</v>
      </c>
      <c r="J192" t="s">
        <v>6</v>
      </c>
      <c r="K192" t="s">
        <v>732</v>
      </c>
      <c r="L192">
        <v>1348</v>
      </c>
      <c r="N192">
        <v>1009</v>
      </c>
      <c r="O192" t="s">
        <v>65</v>
      </c>
      <c r="P192" t="s">
        <v>65</v>
      </c>
      <c r="Q192">
        <v>1000</v>
      </c>
      <c r="X192">
        <v>0.03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 t="s">
        <v>6</v>
      </c>
      <c r="AG192">
        <v>0.03</v>
      </c>
      <c r="AH192">
        <v>3</v>
      </c>
      <c r="AI192">
        <v>-1</v>
      </c>
      <c r="AJ192" t="s">
        <v>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ROW(Source!A79)</f>
        <v>79</v>
      </c>
      <c r="B193">
        <v>27935650</v>
      </c>
      <c r="C193">
        <v>27935648</v>
      </c>
      <c r="D193">
        <v>25413050</v>
      </c>
      <c r="E193">
        <v>1</v>
      </c>
      <c r="F193">
        <v>1</v>
      </c>
      <c r="G193">
        <v>1</v>
      </c>
      <c r="H193">
        <v>1</v>
      </c>
      <c r="I193" t="s">
        <v>551</v>
      </c>
      <c r="J193" t="s">
        <v>6</v>
      </c>
      <c r="K193" t="s">
        <v>552</v>
      </c>
      <c r="L193">
        <v>1191</v>
      </c>
      <c r="N193">
        <v>1013</v>
      </c>
      <c r="O193" t="s">
        <v>459</v>
      </c>
      <c r="P193" t="s">
        <v>459</v>
      </c>
      <c r="Q193">
        <v>1</v>
      </c>
      <c r="X193">
        <v>10.4</v>
      </c>
      <c r="Y193">
        <v>0</v>
      </c>
      <c r="Z193">
        <v>0</v>
      </c>
      <c r="AA193">
        <v>0</v>
      </c>
      <c r="AB193">
        <v>7.8</v>
      </c>
      <c r="AC193">
        <v>0</v>
      </c>
      <c r="AD193">
        <v>1</v>
      </c>
      <c r="AE193">
        <v>1</v>
      </c>
      <c r="AF193" t="s">
        <v>6</v>
      </c>
      <c r="AG193">
        <v>10.4</v>
      </c>
      <c r="AH193">
        <v>2</v>
      </c>
      <c r="AI193">
        <v>27935649</v>
      </c>
      <c r="AJ193">
        <v>188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ROW(Source!A79)</f>
        <v>79</v>
      </c>
      <c r="B194">
        <v>27935651</v>
      </c>
      <c r="C194">
        <v>27935648</v>
      </c>
      <c r="D194">
        <v>25147242</v>
      </c>
      <c r="E194">
        <v>17</v>
      </c>
      <c r="F194">
        <v>1</v>
      </c>
      <c r="G194">
        <v>1</v>
      </c>
      <c r="H194">
        <v>3</v>
      </c>
      <c r="I194" t="s">
        <v>218</v>
      </c>
      <c r="J194" t="s">
        <v>6</v>
      </c>
      <c r="K194" t="s">
        <v>732</v>
      </c>
      <c r="L194">
        <v>1348</v>
      </c>
      <c r="N194">
        <v>1009</v>
      </c>
      <c r="O194" t="s">
        <v>65</v>
      </c>
      <c r="P194" t="s">
        <v>65</v>
      </c>
      <c r="Q194">
        <v>1000</v>
      </c>
      <c r="X194">
        <v>0.03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6</v>
      </c>
      <c r="AG194">
        <v>0.03</v>
      </c>
      <c r="AH194">
        <v>3</v>
      </c>
      <c r="AI194">
        <v>-1</v>
      </c>
      <c r="AJ194" t="s">
        <v>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ROW(Source!A80)</f>
        <v>80</v>
      </c>
      <c r="B195">
        <v>27935659</v>
      </c>
      <c r="C195">
        <v>27935652</v>
      </c>
      <c r="D195">
        <v>25419089</v>
      </c>
      <c r="E195">
        <v>1</v>
      </c>
      <c r="F195">
        <v>1</v>
      </c>
      <c r="G195">
        <v>1</v>
      </c>
      <c r="H195">
        <v>1</v>
      </c>
      <c r="I195" t="s">
        <v>582</v>
      </c>
      <c r="J195" t="s">
        <v>6</v>
      </c>
      <c r="K195" t="s">
        <v>583</v>
      </c>
      <c r="L195">
        <v>1191</v>
      </c>
      <c r="N195">
        <v>1013</v>
      </c>
      <c r="O195" t="s">
        <v>459</v>
      </c>
      <c r="P195" t="s">
        <v>459</v>
      </c>
      <c r="Q195">
        <v>1</v>
      </c>
      <c r="X195">
        <v>16.32</v>
      </c>
      <c r="Y195">
        <v>0</v>
      </c>
      <c r="Z195">
        <v>0</v>
      </c>
      <c r="AA195">
        <v>0</v>
      </c>
      <c r="AB195">
        <v>9.6199999999999992</v>
      </c>
      <c r="AC195">
        <v>0</v>
      </c>
      <c r="AD195">
        <v>1</v>
      </c>
      <c r="AE195">
        <v>1</v>
      </c>
      <c r="AF195" t="s">
        <v>28</v>
      </c>
      <c r="AG195">
        <v>18.767999999999997</v>
      </c>
      <c r="AH195">
        <v>2</v>
      </c>
      <c r="AI195">
        <v>27935653</v>
      </c>
      <c r="AJ195">
        <v>189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ROW(Source!A80)</f>
        <v>80</v>
      </c>
      <c r="B196">
        <v>27935660</v>
      </c>
      <c r="C196">
        <v>27935652</v>
      </c>
      <c r="D196">
        <v>25412928</v>
      </c>
      <c r="E196">
        <v>1</v>
      </c>
      <c r="F196">
        <v>1</v>
      </c>
      <c r="G196">
        <v>1</v>
      </c>
      <c r="H196">
        <v>1</v>
      </c>
      <c r="I196" t="s">
        <v>460</v>
      </c>
      <c r="J196" t="s">
        <v>6</v>
      </c>
      <c r="K196" t="s">
        <v>461</v>
      </c>
      <c r="L196">
        <v>1191</v>
      </c>
      <c r="N196">
        <v>1013</v>
      </c>
      <c r="O196" t="s">
        <v>459</v>
      </c>
      <c r="P196" t="s">
        <v>459</v>
      </c>
      <c r="Q196">
        <v>1</v>
      </c>
      <c r="X196">
        <v>0.03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27</v>
      </c>
      <c r="AG196">
        <v>3.7499999999999999E-2</v>
      </c>
      <c r="AH196">
        <v>2</v>
      </c>
      <c r="AI196">
        <v>27935654</v>
      </c>
      <c r="AJ196">
        <v>190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ROW(Source!A80)</f>
        <v>80</v>
      </c>
      <c r="B197">
        <v>27935661</v>
      </c>
      <c r="C197">
        <v>27935652</v>
      </c>
      <c r="D197">
        <v>25230514</v>
      </c>
      <c r="E197">
        <v>1</v>
      </c>
      <c r="F197">
        <v>1</v>
      </c>
      <c r="G197">
        <v>1</v>
      </c>
      <c r="H197">
        <v>2</v>
      </c>
      <c r="I197" t="s">
        <v>462</v>
      </c>
      <c r="J197" t="s">
        <v>463</v>
      </c>
      <c r="K197" t="s">
        <v>464</v>
      </c>
      <c r="L197">
        <v>1368</v>
      </c>
      <c r="N197">
        <v>1011</v>
      </c>
      <c r="O197" t="s">
        <v>465</v>
      </c>
      <c r="P197" t="s">
        <v>465</v>
      </c>
      <c r="Q197">
        <v>1</v>
      </c>
      <c r="X197">
        <v>0.01</v>
      </c>
      <c r="Y197">
        <v>0</v>
      </c>
      <c r="Z197">
        <v>31.26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27</v>
      </c>
      <c r="AG197">
        <v>1.2500000000000001E-2</v>
      </c>
      <c r="AH197">
        <v>2</v>
      </c>
      <c r="AI197">
        <v>27935655</v>
      </c>
      <c r="AJ197">
        <v>191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ROW(Source!A80)</f>
        <v>80</v>
      </c>
      <c r="B198">
        <v>27935662</v>
      </c>
      <c r="C198">
        <v>27935652</v>
      </c>
      <c r="D198">
        <v>25231607</v>
      </c>
      <c r="E198">
        <v>1</v>
      </c>
      <c r="F198">
        <v>1</v>
      </c>
      <c r="G198">
        <v>1</v>
      </c>
      <c r="H198">
        <v>2</v>
      </c>
      <c r="I198" t="s">
        <v>468</v>
      </c>
      <c r="J198" t="s">
        <v>469</v>
      </c>
      <c r="K198" t="s">
        <v>470</v>
      </c>
      <c r="L198">
        <v>1368</v>
      </c>
      <c r="N198">
        <v>1011</v>
      </c>
      <c r="O198" t="s">
        <v>465</v>
      </c>
      <c r="P198" t="s">
        <v>465</v>
      </c>
      <c r="Q198">
        <v>1</v>
      </c>
      <c r="X198">
        <v>0.02</v>
      </c>
      <c r="Y198">
        <v>0</v>
      </c>
      <c r="Z198">
        <v>65.709999999999994</v>
      </c>
      <c r="AA198">
        <v>11.6</v>
      </c>
      <c r="AB198">
        <v>0</v>
      </c>
      <c r="AC198">
        <v>0</v>
      </c>
      <c r="AD198">
        <v>1</v>
      </c>
      <c r="AE198">
        <v>0</v>
      </c>
      <c r="AF198" t="s">
        <v>27</v>
      </c>
      <c r="AG198">
        <v>2.5000000000000001E-2</v>
      </c>
      <c r="AH198">
        <v>2</v>
      </c>
      <c r="AI198">
        <v>27935656</v>
      </c>
      <c r="AJ198">
        <v>192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ROW(Source!A80)</f>
        <v>80</v>
      </c>
      <c r="B199">
        <v>27935663</v>
      </c>
      <c r="C199">
        <v>27935652</v>
      </c>
      <c r="D199">
        <v>25153690</v>
      </c>
      <c r="E199">
        <v>1</v>
      </c>
      <c r="F199">
        <v>1</v>
      </c>
      <c r="G199">
        <v>1</v>
      </c>
      <c r="H199">
        <v>3</v>
      </c>
      <c r="I199" t="s">
        <v>495</v>
      </c>
      <c r="J199" t="s">
        <v>496</v>
      </c>
      <c r="K199" t="s">
        <v>497</v>
      </c>
      <c r="L199">
        <v>1346</v>
      </c>
      <c r="N199">
        <v>1009</v>
      </c>
      <c r="O199" t="s">
        <v>60</v>
      </c>
      <c r="P199" t="s">
        <v>60</v>
      </c>
      <c r="Q199">
        <v>1</v>
      </c>
      <c r="X199">
        <v>0.2</v>
      </c>
      <c r="Y199">
        <v>1.82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0.2</v>
      </c>
      <c r="AH199">
        <v>2</v>
      </c>
      <c r="AI199">
        <v>27935657</v>
      </c>
      <c r="AJ199">
        <v>193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ROW(Source!A80)</f>
        <v>80</v>
      </c>
      <c r="B200">
        <v>27935664</v>
      </c>
      <c r="C200">
        <v>27935652</v>
      </c>
      <c r="D200">
        <v>25145248</v>
      </c>
      <c r="E200">
        <v>17</v>
      </c>
      <c r="F200">
        <v>1</v>
      </c>
      <c r="G200">
        <v>1</v>
      </c>
      <c r="H200">
        <v>3</v>
      </c>
      <c r="I200" t="s">
        <v>726</v>
      </c>
      <c r="J200" t="s">
        <v>6</v>
      </c>
      <c r="K200" t="s">
        <v>727</v>
      </c>
      <c r="L200">
        <v>1348</v>
      </c>
      <c r="N200">
        <v>1009</v>
      </c>
      <c r="O200" t="s">
        <v>65</v>
      </c>
      <c r="P200" t="s">
        <v>65</v>
      </c>
      <c r="Q200">
        <v>1000</v>
      </c>
      <c r="X200">
        <v>0.02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6</v>
      </c>
      <c r="AG200">
        <v>0.02</v>
      </c>
      <c r="AH200">
        <v>3</v>
      </c>
      <c r="AI200">
        <v>-1</v>
      </c>
      <c r="AJ200" t="s">
        <v>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ROW(Source!A81)</f>
        <v>81</v>
      </c>
      <c r="B201">
        <v>27935659</v>
      </c>
      <c r="C201">
        <v>27935652</v>
      </c>
      <c r="D201">
        <v>25419089</v>
      </c>
      <c r="E201">
        <v>1</v>
      </c>
      <c r="F201">
        <v>1</v>
      </c>
      <c r="G201">
        <v>1</v>
      </c>
      <c r="H201">
        <v>1</v>
      </c>
      <c r="I201" t="s">
        <v>582</v>
      </c>
      <c r="J201" t="s">
        <v>6</v>
      </c>
      <c r="K201" t="s">
        <v>583</v>
      </c>
      <c r="L201">
        <v>1191</v>
      </c>
      <c r="N201">
        <v>1013</v>
      </c>
      <c r="O201" t="s">
        <v>459</v>
      </c>
      <c r="P201" t="s">
        <v>459</v>
      </c>
      <c r="Q201">
        <v>1</v>
      </c>
      <c r="X201">
        <v>16.32</v>
      </c>
      <c r="Y201">
        <v>0</v>
      </c>
      <c r="Z201">
        <v>0</v>
      </c>
      <c r="AA201">
        <v>0</v>
      </c>
      <c r="AB201">
        <v>9.6199999999999992</v>
      </c>
      <c r="AC201">
        <v>0</v>
      </c>
      <c r="AD201">
        <v>1</v>
      </c>
      <c r="AE201">
        <v>1</v>
      </c>
      <c r="AF201" t="s">
        <v>28</v>
      </c>
      <c r="AG201">
        <v>18.767999999999997</v>
      </c>
      <c r="AH201">
        <v>2</v>
      </c>
      <c r="AI201">
        <v>27935653</v>
      </c>
      <c r="AJ201">
        <v>195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ROW(Source!A81)</f>
        <v>81</v>
      </c>
      <c r="B202">
        <v>27935660</v>
      </c>
      <c r="C202">
        <v>27935652</v>
      </c>
      <c r="D202">
        <v>25412928</v>
      </c>
      <c r="E202">
        <v>1</v>
      </c>
      <c r="F202">
        <v>1</v>
      </c>
      <c r="G202">
        <v>1</v>
      </c>
      <c r="H202">
        <v>1</v>
      </c>
      <c r="I202" t="s">
        <v>460</v>
      </c>
      <c r="J202" t="s">
        <v>6</v>
      </c>
      <c r="K202" t="s">
        <v>461</v>
      </c>
      <c r="L202">
        <v>1191</v>
      </c>
      <c r="N202">
        <v>1013</v>
      </c>
      <c r="O202" t="s">
        <v>459</v>
      </c>
      <c r="P202" t="s">
        <v>459</v>
      </c>
      <c r="Q202">
        <v>1</v>
      </c>
      <c r="X202">
        <v>0.03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27</v>
      </c>
      <c r="AG202">
        <v>3.7499999999999999E-2</v>
      </c>
      <c r="AH202">
        <v>2</v>
      </c>
      <c r="AI202">
        <v>27935654</v>
      </c>
      <c r="AJ202">
        <v>196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ROW(Source!A81)</f>
        <v>81</v>
      </c>
      <c r="B203">
        <v>27935661</v>
      </c>
      <c r="C203">
        <v>27935652</v>
      </c>
      <c r="D203">
        <v>25230514</v>
      </c>
      <c r="E203">
        <v>1</v>
      </c>
      <c r="F203">
        <v>1</v>
      </c>
      <c r="G203">
        <v>1</v>
      </c>
      <c r="H203">
        <v>2</v>
      </c>
      <c r="I203" t="s">
        <v>462</v>
      </c>
      <c r="J203" t="s">
        <v>463</v>
      </c>
      <c r="K203" t="s">
        <v>464</v>
      </c>
      <c r="L203">
        <v>1368</v>
      </c>
      <c r="N203">
        <v>1011</v>
      </c>
      <c r="O203" t="s">
        <v>465</v>
      </c>
      <c r="P203" t="s">
        <v>465</v>
      </c>
      <c r="Q203">
        <v>1</v>
      </c>
      <c r="X203">
        <v>0.01</v>
      </c>
      <c r="Y203">
        <v>0</v>
      </c>
      <c r="Z203">
        <v>31.26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27</v>
      </c>
      <c r="AG203">
        <v>1.2500000000000001E-2</v>
      </c>
      <c r="AH203">
        <v>2</v>
      </c>
      <c r="AI203">
        <v>27935655</v>
      </c>
      <c r="AJ203">
        <v>197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ROW(Source!A81)</f>
        <v>81</v>
      </c>
      <c r="B204">
        <v>27935662</v>
      </c>
      <c r="C204">
        <v>27935652</v>
      </c>
      <c r="D204">
        <v>25231607</v>
      </c>
      <c r="E204">
        <v>1</v>
      </c>
      <c r="F204">
        <v>1</v>
      </c>
      <c r="G204">
        <v>1</v>
      </c>
      <c r="H204">
        <v>2</v>
      </c>
      <c r="I204" t="s">
        <v>468</v>
      </c>
      <c r="J204" t="s">
        <v>469</v>
      </c>
      <c r="K204" t="s">
        <v>470</v>
      </c>
      <c r="L204">
        <v>1368</v>
      </c>
      <c r="N204">
        <v>1011</v>
      </c>
      <c r="O204" t="s">
        <v>465</v>
      </c>
      <c r="P204" t="s">
        <v>465</v>
      </c>
      <c r="Q204">
        <v>1</v>
      </c>
      <c r="X204">
        <v>0.02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27</v>
      </c>
      <c r="AG204">
        <v>2.5000000000000001E-2</v>
      </c>
      <c r="AH204">
        <v>2</v>
      </c>
      <c r="AI204">
        <v>27935656</v>
      </c>
      <c r="AJ204">
        <v>198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ROW(Source!A81)</f>
        <v>81</v>
      </c>
      <c r="B205">
        <v>27935663</v>
      </c>
      <c r="C205">
        <v>27935652</v>
      </c>
      <c r="D205">
        <v>25153690</v>
      </c>
      <c r="E205">
        <v>1</v>
      </c>
      <c r="F205">
        <v>1</v>
      </c>
      <c r="G205">
        <v>1</v>
      </c>
      <c r="H205">
        <v>3</v>
      </c>
      <c r="I205" t="s">
        <v>495</v>
      </c>
      <c r="J205" t="s">
        <v>496</v>
      </c>
      <c r="K205" t="s">
        <v>497</v>
      </c>
      <c r="L205">
        <v>1346</v>
      </c>
      <c r="N205">
        <v>1009</v>
      </c>
      <c r="O205" t="s">
        <v>60</v>
      </c>
      <c r="P205" t="s">
        <v>60</v>
      </c>
      <c r="Q205">
        <v>1</v>
      </c>
      <c r="X205">
        <v>0.2</v>
      </c>
      <c r="Y205">
        <v>1.82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0.2</v>
      </c>
      <c r="AH205">
        <v>2</v>
      </c>
      <c r="AI205">
        <v>27935657</v>
      </c>
      <c r="AJ205">
        <v>199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ROW(Source!A81)</f>
        <v>81</v>
      </c>
      <c r="B206">
        <v>27935664</v>
      </c>
      <c r="C206">
        <v>27935652</v>
      </c>
      <c r="D206">
        <v>25145248</v>
      </c>
      <c r="E206">
        <v>17</v>
      </c>
      <c r="F206">
        <v>1</v>
      </c>
      <c r="G206">
        <v>1</v>
      </c>
      <c r="H206">
        <v>3</v>
      </c>
      <c r="I206" t="s">
        <v>726</v>
      </c>
      <c r="J206" t="s">
        <v>6</v>
      </c>
      <c r="K206" t="s">
        <v>727</v>
      </c>
      <c r="L206">
        <v>1348</v>
      </c>
      <c r="N206">
        <v>1009</v>
      </c>
      <c r="O206" t="s">
        <v>65</v>
      </c>
      <c r="P206" t="s">
        <v>65</v>
      </c>
      <c r="Q206">
        <v>1000</v>
      </c>
      <c r="X206">
        <v>0.02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6</v>
      </c>
      <c r="AG206">
        <v>0.02</v>
      </c>
      <c r="AH206">
        <v>3</v>
      </c>
      <c r="AI206">
        <v>-1</v>
      </c>
      <c r="AJ206" t="s">
        <v>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ROW(Source!A84)</f>
        <v>84</v>
      </c>
      <c r="B207">
        <v>27935680</v>
      </c>
      <c r="C207">
        <v>27935666</v>
      </c>
      <c r="D207">
        <v>25417632</v>
      </c>
      <c r="E207">
        <v>1</v>
      </c>
      <c r="F207">
        <v>1</v>
      </c>
      <c r="G207">
        <v>1</v>
      </c>
      <c r="H207">
        <v>1</v>
      </c>
      <c r="I207" t="s">
        <v>584</v>
      </c>
      <c r="J207" t="s">
        <v>6</v>
      </c>
      <c r="K207" t="s">
        <v>585</v>
      </c>
      <c r="L207">
        <v>1191</v>
      </c>
      <c r="N207">
        <v>1013</v>
      </c>
      <c r="O207" t="s">
        <v>459</v>
      </c>
      <c r="P207" t="s">
        <v>459</v>
      </c>
      <c r="Q207">
        <v>1</v>
      </c>
      <c r="X207">
        <v>29.6</v>
      </c>
      <c r="Y207">
        <v>0</v>
      </c>
      <c r="Z207">
        <v>0</v>
      </c>
      <c r="AA207">
        <v>0</v>
      </c>
      <c r="AB207">
        <v>8.64</v>
      </c>
      <c r="AC207">
        <v>0</v>
      </c>
      <c r="AD207">
        <v>1</v>
      </c>
      <c r="AE207">
        <v>1</v>
      </c>
      <c r="AF207" t="s">
        <v>6</v>
      </c>
      <c r="AG207">
        <v>29.6</v>
      </c>
      <c r="AH207">
        <v>2</v>
      </c>
      <c r="AI207">
        <v>27935667</v>
      </c>
      <c r="AJ207">
        <v>201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ROW(Source!A84)</f>
        <v>84</v>
      </c>
      <c r="B208">
        <v>27935681</v>
      </c>
      <c r="C208">
        <v>27935666</v>
      </c>
      <c r="D208">
        <v>25412928</v>
      </c>
      <c r="E208">
        <v>1</v>
      </c>
      <c r="F208">
        <v>1</v>
      </c>
      <c r="G208">
        <v>1</v>
      </c>
      <c r="H208">
        <v>1</v>
      </c>
      <c r="I208" t="s">
        <v>460</v>
      </c>
      <c r="J208" t="s">
        <v>6</v>
      </c>
      <c r="K208" t="s">
        <v>461</v>
      </c>
      <c r="L208">
        <v>1191</v>
      </c>
      <c r="N208">
        <v>1013</v>
      </c>
      <c r="O208" t="s">
        <v>459</v>
      </c>
      <c r="P208" t="s">
        <v>459</v>
      </c>
      <c r="Q208">
        <v>1</v>
      </c>
      <c r="X208">
        <v>0.16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6</v>
      </c>
      <c r="AG208">
        <v>0.16</v>
      </c>
      <c r="AH208">
        <v>2</v>
      </c>
      <c r="AI208">
        <v>27935668</v>
      </c>
      <c r="AJ208">
        <v>202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ROW(Source!A84)</f>
        <v>84</v>
      </c>
      <c r="B209">
        <v>27935682</v>
      </c>
      <c r="C209">
        <v>27935666</v>
      </c>
      <c r="D209">
        <v>25230514</v>
      </c>
      <c r="E209">
        <v>1</v>
      </c>
      <c r="F209">
        <v>1</v>
      </c>
      <c r="G209">
        <v>1</v>
      </c>
      <c r="H209">
        <v>2</v>
      </c>
      <c r="I209" t="s">
        <v>462</v>
      </c>
      <c r="J209" t="s">
        <v>463</v>
      </c>
      <c r="K209" t="s">
        <v>464</v>
      </c>
      <c r="L209">
        <v>1368</v>
      </c>
      <c r="N209">
        <v>1011</v>
      </c>
      <c r="O209" t="s">
        <v>465</v>
      </c>
      <c r="P209" t="s">
        <v>465</v>
      </c>
      <c r="Q209">
        <v>1</v>
      </c>
      <c r="X209">
        <v>0.1</v>
      </c>
      <c r="Y209">
        <v>0</v>
      </c>
      <c r="Z209">
        <v>31.26</v>
      </c>
      <c r="AA209">
        <v>13.5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0.1</v>
      </c>
      <c r="AH209">
        <v>2</v>
      </c>
      <c r="AI209">
        <v>27935669</v>
      </c>
      <c r="AJ209">
        <v>203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ROW(Source!A84)</f>
        <v>84</v>
      </c>
      <c r="B210">
        <v>27935683</v>
      </c>
      <c r="C210">
        <v>27935666</v>
      </c>
      <c r="D210">
        <v>25231607</v>
      </c>
      <c r="E210">
        <v>1</v>
      </c>
      <c r="F210">
        <v>1</v>
      </c>
      <c r="G210">
        <v>1</v>
      </c>
      <c r="H210">
        <v>2</v>
      </c>
      <c r="I210" t="s">
        <v>468</v>
      </c>
      <c r="J210" t="s">
        <v>469</v>
      </c>
      <c r="K210" t="s">
        <v>470</v>
      </c>
      <c r="L210">
        <v>1368</v>
      </c>
      <c r="N210">
        <v>1011</v>
      </c>
      <c r="O210" t="s">
        <v>465</v>
      </c>
      <c r="P210" t="s">
        <v>465</v>
      </c>
      <c r="Q210">
        <v>1</v>
      </c>
      <c r="X210">
        <v>0.06</v>
      </c>
      <c r="Y210">
        <v>0</v>
      </c>
      <c r="Z210">
        <v>65.709999999999994</v>
      </c>
      <c r="AA210">
        <v>11.6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0.06</v>
      </c>
      <c r="AH210">
        <v>2</v>
      </c>
      <c r="AI210">
        <v>27935670</v>
      </c>
      <c r="AJ210">
        <v>204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ROW(Source!A84)</f>
        <v>84</v>
      </c>
      <c r="B211">
        <v>27935684</v>
      </c>
      <c r="C211">
        <v>27935666</v>
      </c>
      <c r="D211">
        <v>25149961</v>
      </c>
      <c r="E211">
        <v>1</v>
      </c>
      <c r="F211">
        <v>1</v>
      </c>
      <c r="G211">
        <v>1</v>
      </c>
      <c r="H211">
        <v>3</v>
      </c>
      <c r="I211" t="s">
        <v>558</v>
      </c>
      <c r="J211" t="s">
        <v>559</v>
      </c>
      <c r="K211" t="s">
        <v>560</v>
      </c>
      <c r="L211">
        <v>1339</v>
      </c>
      <c r="N211">
        <v>1007</v>
      </c>
      <c r="O211" t="s">
        <v>133</v>
      </c>
      <c r="P211" t="s">
        <v>133</v>
      </c>
      <c r="Q211">
        <v>1</v>
      </c>
      <c r="X211">
        <v>0.24</v>
      </c>
      <c r="Y211">
        <v>2.44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0.24</v>
      </c>
      <c r="AH211">
        <v>2</v>
      </c>
      <c r="AI211">
        <v>27935671</v>
      </c>
      <c r="AJ211">
        <v>205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ROW(Source!A84)</f>
        <v>84</v>
      </c>
      <c r="B212">
        <v>27935685</v>
      </c>
      <c r="C212">
        <v>27935666</v>
      </c>
      <c r="D212">
        <v>25150441</v>
      </c>
      <c r="E212">
        <v>1</v>
      </c>
      <c r="F212">
        <v>1</v>
      </c>
      <c r="G212">
        <v>1</v>
      </c>
      <c r="H212">
        <v>3</v>
      </c>
      <c r="I212" t="s">
        <v>586</v>
      </c>
      <c r="J212" t="s">
        <v>587</v>
      </c>
      <c r="K212" t="s">
        <v>588</v>
      </c>
      <c r="L212">
        <v>1354</v>
      </c>
      <c r="N212">
        <v>1010</v>
      </c>
      <c r="O212" t="s">
        <v>282</v>
      </c>
      <c r="P212" t="s">
        <v>282</v>
      </c>
      <c r="Q212">
        <v>1</v>
      </c>
      <c r="X212">
        <v>5.0999999999999996</v>
      </c>
      <c r="Y212">
        <v>4.5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5.0999999999999996</v>
      </c>
      <c r="AH212">
        <v>2</v>
      </c>
      <c r="AI212">
        <v>27935672</v>
      </c>
      <c r="AJ212">
        <v>206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ROW(Source!A84)</f>
        <v>84</v>
      </c>
      <c r="B213">
        <v>27935686</v>
      </c>
      <c r="C213">
        <v>27935666</v>
      </c>
      <c r="D213">
        <v>25150690</v>
      </c>
      <c r="E213">
        <v>1</v>
      </c>
      <c r="F213">
        <v>1</v>
      </c>
      <c r="G213">
        <v>1</v>
      </c>
      <c r="H213">
        <v>3</v>
      </c>
      <c r="I213" t="s">
        <v>589</v>
      </c>
      <c r="J213" t="s">
        <v>590</v>
      </c>
      <c r="K213" t="s">
        <v>591</v>
      </c>
      <c r="L213">
        <v>1348</v>
      </c>
      <c r="N213">
        <v>1009</v>
      </c>
      <c r="O213" t="s">
        <v>65</v>
      </c>
      <c r="P213" t="s">
        <v>65</v>
      </c>
      <c r="Q213">
        <v>1000</v>
      </c>
      <c r="X213">
        <v>2.5499999999999998E-2</v>
      </c>
      <c r="Y213">
        <v>586.47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2.5499999999999998E-2</v>
      </c>
      <c r="AH213">
        <v>2</v>
      </c>
      <c r="AI213">
        <v>27935673</v>
      </c>
      <c r="AJ213">
        <v>207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ROW(Source!A84)</f>
        <v>84</v>
      </c>
      <c r="B214">
        <v>27935687</v>
      </c>
      <c r="C214">
        <v>27935666</v>
      </c>
      <c r="D214">
        <v>25153356</v>
      </c>
      <c r="E214">
        <v>1</v>
      </c>
      <c r="F214">
        <v>1</v>
      </c>
      <c r="G214">
        <v>1</v>
      </c>
      <c r="H214">
        <v>3</v>
      </c>
      <c r="I214" t="s">
        <v>592</v>
      </c>
      <c r="J214" t="s">
        <v>593</v>
      </c>
      <c r="K214" t="s">
        <v>594</v>
      </c>
      <c r="L214">
        <v>1327</v>
      </c>
      <c r="N214">
        <v>1005</v>
      </c>
      <c r="O214" t="s">
        <v>35</v>
      </c>
      <c r="P214" t="s">
        <v>35</v>
      </c>
      <c r="Q214">
        <v>1</v>
      </c>
      <c r="X214">
        <v>1.6</v>
      </c>
      <c r="Y214">
        <v>72.319999999999993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1.6</v>
      </c>
      <c r="AH214">
        <v>2</v>
      </c>
      <c r="AI214">
        <v>27935674</v>
      </c>
      <c r="AJ214">
        <v>208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ROW(Source!A84)</f>
        <v>84</v>
      </c>
      <c r="B215">
        <v>27935688</v>
      </c>
      <c r="C215">
        <v>27935666</v>
      </c>
      <c r="D215">
        <v>25154578</v>
      </c>
      <c r="E215">
        <v>1</v>
      </c>
      <c r="F215">
        <v>1</v>
      </c>
      <c r="G215">
        <v>1</v>
      </c>
      <c r="H215">
        <v>3</v>
      </c>
      <c r="I215" t="s">
        <v>595</v>
      </c>
      <c r="J215" t="s">
        <v>596</v>
      </c>
      <c r="K215" t="s">
        <v>597</v>
      </c>
      <c r="L215">
        <v>1339</v>
      </c>
      <c r="N215">
        <v>1007</v>
      </c>
      <c r="O215" t="s">
        <v>133</v>
      </c>
      <c r="P215" t="s">
        <v>133</v>
      </c>
      <c r="Q215">
        <v>1</v>
      </c>
      <c r="X215">
        <v>4.4000000000000003E-3</v>
      </c>
      <c r="Y215">
        <v>74.58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4.4000000000000003E-3</v>
      </c>
      <c r="AH215">
        <v>2</v>
      </c>
      <c r="AI215">
        <v>27935675</v>
      </c>
      <c r="AJ215">
        <v>209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ROW(Source!A84)</f>
        <v>84</v>
      </c>
      <c r="B216">
        <v>27935689</v>
      </c>
      <c r="C216">
        <v>27935666</v>
      </c>
      <c r="D216">
        <v>25185124</v>
      </c>
      <c r="E216">
        <v>1</v>
      </c>
      <c r="F216">
        <v>1</v>
      </c>
      <c r="G216">
        <v>1</v>
      </c>
      <c r="H216">
        <v>3</v>
      </c>
      <c r="I216" t="s">
        <v>598</v>
      </c>
      <c r="J216" t="s">
        <v>599</v>
      </c>
      <c r="K216" t="s">
        <v>600</v>
      </c>
      <c r="L216">
        <v>1346</v>
      </c>
      <c r="N216">
        <v>1009</v>
      </c>
      <c r="O216" t="s">
        <v>60</v>
      </c>
      <c r="P216" t="s">
        <v>60</v>
      </c>
      <c r="Q216">
        <v>1</v>
      </c>
      <c r="X216">
        <v>4.0199999999999996</v>
      </c>
      <c r="Y216">
        <v>8.09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4.0199999999999996</v>
      </c>
      <c r="AH216">
        <v>2</v>
      </c>
      <c r="AI216">
        <v>27935676</v>
      </c>
      <c r="AJ216">
        <v>210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ROW(Source!A84)</f>
        <v>84</v>
      </c>
      <c r="B217">
        <v>27935690</v>
      </c>
      <c r="C217">
        <v>27935666</v>
      </c>
      <c r="D217">
        <v>25145730</v>
      </c>
      <c r="E217">
        <v>17</v>
      </c>
      <c r="F217">
        <v>1</v>
      </c>
      <c r="G217">
        <v>1</v>
      </c>
      <c r="H217">
        <v>3</v>
      </c>
      <c r="I217" t="s">
        <v>737</v>
      </c>
      <c r="J217" t="s">
        <v>6</v>
      </c>
      <c r="K217" t="s">
        <v>738</v>
      </c>
      <c r="L217">
        <v>1348</v>
      </c>
      <c r="N217">
        <v>1009</v>
      </c>
      <c r="O217" t="s">
        <v>65</v>
      </c>
      <c r="P217" t="s">
        <v>65</v>
      </c>
      <c r="Q217">
        <v>1000</v>
      </c>
      <c r="X217">
        <v>7.0999999999999994E-2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 t="s">
        <v>6</v>
      </c>
      <c r="AG217">
        <v>7.0999999999999994E-2</v>
      </c>
      <c r="AH217">
        <v>3</v>
      </c>
      <c r="AI217">
        <v>-1</v>
      </c>
      <c r="AJ217" t="s">
        <v>6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ROW(Source!A84)</f>
        <v>84</v>
      </c>
      <c r="B218">
        <v>27935691</v>
      </c>
      <c r="C218">
        <v>27935666</v>
      </c>
      <c r="D218">
        <v>25187352</v>
      </c>
      <c r="E218">
        <v>1</v>
      </c>
      <c r="F218">
        <v>1</v>
      </c>
      <c r="G218">
        <v>1</v>
      </c>
      <c r="H218">
        <v>3</v>
      </c>
      <c r="I218" t="s">
        <v>601</v>
      </c>
      <c r="J218" t="s">
        <v>602</v>
      </c>
      <c r="K218" t="s">
        <v>603</v>
      </c>
      <c r="L218">
        <v>1348</v>
      </c>
      <c r="N218">
        <v>1009</v>
      </c>
      <c r="O218" t="s">
        <v>65</v>
      </c>
      <c r="P218" t="s">
        <v>65</v>
      </c>
      <c r="Q218">
        <v>1000</v>
      </c>
      <c r="X218">
        <v>7.1999999999999995E-2</v>
      </c>
      <c r="Y218">
        <v>4294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7.1999999999999995E-2</v>
      </c>
      <c r="AH218">
        <v>2</v>
      </c>
      <c r="AI218">
        <v>27935677</v>
      </c>
      <c r="AJ218">
        <v>212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ROW(Source!A85)</f>
        <v>85</v>
      </c>
      <c r="B219">
        <v>27935680</v>
      </c>
      <c r="C219">
        <v>27935666</v>
      </c>
      <c r="D219">
        <v>25417632</v>
      </c>
      <c r="E219">
        <v>1</v>
      </c>
      <c r="F219">
        <v>1</v>
      </c>
      <c r="G219">
        <v>1</v>
      </c>
      <c r="H219">
        <v>1</v>
      </c>
      <c r="I219" t="s">
        <v>584</v>
      </c>
      <c r="J219" t="s">
        <v>6</v>
      </c>
      <c r="K219" t="s">
        <v>585</v>
      </c>
      <c r="L219">
        <v>1191</v>
      </c>
      <c r="N219">
        <v>1013</v>
      </c>
      <c r="O219" t="s">
        <v>459</v>
      </c>
      <c r="P219" t="s">
        <v>459</v>
      </c>
      <c r="Q219">
        <v>1</v>
      </c>
      <c r="X219">
        <v>29.6</v>
      </c>
      <c r="Y219">
        <v>0</v>
      </c>
      <c r="Z219">
        <v>0</v>
      </c>
      <c r="AA219">
        <v>0</v>
      </c>
      <c r="AB219">
        <v>8.64</v>
      </c>
      <c r="AC219">
        <v>0</v>
      </c>
      <c r="AD219">
        <v>1</v>
      </c>
      <c r="AE219">
        <v>1</v>
      </c>
      <c r="AF219" t="s">
        <v>6</v>
      </c>
      <c r="AG219">
        <v>29.6</v>
      </c>
      <c r="AH219">
        <v>2</v>
      </c>
      <c r="AI219">
        <v>27935667</v>
      </c>
      <c r="AJ219">
        <v>213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ROW(Source!A85)</f>
        <v>85</v>
      </c>
      <c r="B220">
        <v>27935681</v>
      </c>
      <c r="C220">
        <v>27935666</v>
      </c>
      <c r="D220">
        <v>25412928</v>
      </c>
      <c r="E220">
        <v>1</v>
      </c>
      <c r="F220">
        <v>1</v>
      </c>
      <c r="G220">
        <v>1</v>
      </c>
      <c r="H220">
        <v>1</v>
      </c>
      <c r="I220" t="s">
        <v>460</v>
      </c>
      <c r="J220" t="s">
        <v>6</v>
      </c>
      <c r="K220" t="s">
        <v>461</v>
      </c>
      <c r="L220">
        <v>1191</v>
      </c>
      <c r="N220">
        <v>1013</v>
      </c>
      <c r="O220" t="s">
        <v>459</v>
      </c>
      <c r="P220" t="s">
        <v>459</v>
      </c>
      <c r="Q220">
        <v>1</v>
      </c>
      <c r="X220">
        <v>0.16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6</v>
      </c>
      <c r="AG220">
        <v>0.16</v>
      </c>
      <c r="AH220">
        <v>2</v>
      </c>
      <c r="AI220">
        <v>27935668</v>
      </c>
      <c r="AJ220">
        <v>214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ROW(Source!A85)</f>
        <v>85</v>
      </c>
      <c r="B221">
        <v>27935682</v>
      </c>
      <c r="C221">
        <v>27935666</v>
      </c>
      <c r="D221">
        <v>25230514</v>
      </c>
      <c r="E221">
        <v>1</v>
      </c>
      <c r="F221">
        <v>1</v>
      </c>
      <c r="G221">
        <v>1</v>
      </c>
      <c r="H221">
        <v>2</v>
      </c>
      <c r="I221" t="s">
        <v>462</v>
      </c>
      <c r="J221" t="s">
        <v>463</v>
      </c>
      <c r="K221" t="s">
        <v>464</v>
      </c>
      <c r="L221">
        <v>1368</v>
      </c>
      <c r="N221">
        <v>1011</v>
      </c>
      <c r="O221" t="s">
        <v>465</v>
      </c>
      <c r="P221" t="s">
        <v>465</v>
      </c>
      <c r="Q221">
        <v>1</v>
      </c>
      <c r="X221">
        <v>0.1</v>
      </c>
      <c r="Y221">
        <v>0</v>
      </c>
      <c r="Z221">
        <v>31.26</v>
      </c>
      <c r="AA221">
        <v>13.5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0.1</v>
      </c>
      <c r="AH221">
        <v>2</v>
      </c>
      <c r="AI221">
        <v>27935669</v>
      </c>
      <c r="AJ221">
        <v>215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ROW(Source!A85)</f>
        <v>85</v>
      </c>
      <c r="B222">
        <v>27935683</v>
      </c>
      <c r="C222">
        <v>27935666</v>
      </c>
      <c r="D222">
        <v>25231607</v>
      </c>
      <c r="E222">
        <v>1</v>
      </c>
      <c r="F222">
        <v>1</v>
      </c>
      <c r="G222">
        <v>1</v>
      </c>
      <c r="H222">
        <v>2</v>
      </c>
      <c r="I222" t="s">
        <v>468</v>
      </c>
      <c r="J222" t="s">
        <v>469</v>
      </c>
      <c r="K222" t="s">
        <v>470</v>
      </c>
      <c r="L222">
        <v>1368</v>
      </c>
      <c r="N222">
        <v>1011</v>
      </c>
      <c r="O222" t="s">
        <v>465</v>
      </c>
      <c r="P222" t="s">
        <v>465</v>
      </c>
      <c r="Q222">
        <v>1</v>
      </c>
      <c r="X222">
        <v>0.06</v>
      </c>
      <c r="Y222">
        <v>0</v>
      </c>
      <c r="Z222">
        <v>65.709999999999994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0.06</v>
      </c>
      <c r="AH222">
        <v>2</v>
      </c>
      <c r="AI222">
        <v>27935670</v>
      </c>
      <c r="AJ222">
        <v>216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ROW(Source!A85)</f>
        <v>85</v>
      </c>
      <c r="B223">
        <v>27935684</v>
      </c>
      <c r="C223">
        <v>27935666</v>
      </c>
      <c r="D223">
        <v>25149961</v>
      </c>
      <c r="E223">
        <v>1</v>
      </c>
      <c r="F223">
        <v>1</v>
      </c>
      <c r="G223">
        <v>1</v>
      </c>
      <c r="H223">
        <v>3</v>
      </c>
      <c r="I223" t="s">
        <v>558</v>
      </c>
      <c r="J223" t="s">
        <v>559</v>
      </c>
      <c r="K223" t="s">
        <v>560</v>
      </c>
      <c r="L223">
        <v>1339</v>
      </c>
      <c r="N223">
        <v>1007</v>
      </c>
      <c r="O223" t="s">
        <v>133</v>
      </c>
      <c r="P223" t="s">
        <v>133</v>
      </c>
      <c r="Q223">
        <v>1</v>
      </c>
      <c r="X223">
        <v>0.24</v>
      </c>
      <c r="Y223">
        <v>2.44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0.24</v>
      </c>
      <c r="AH223">
        <v>2</v>
      </c>
      <c r="AI223">
        <v>27935671</v>
      </c>
      <c r="AJ223">
        <v>217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ROW(Source!A85)</f>
        <v>85</v>
      </c>
      <c r="B224">
        <v>27935685</v>
      </c>
      <c r="C224">
        <v>27935666</v>
      </c>
      <c r="D224">
        <v>25150441</v>
      </c>
      <c r="E224">
        <v>1</v>
      </c>
      <c r="F224">
        <v>1</v>
      </c>
      <c r="G224">
        <v>1</v>
      </c>
      <c r="H224">
        <v>3</v>
      </c>
      <c r="I224" t="s">
        <v>586</v>
      </c>
      <c r="J224" t="s">
        <v>587</v>
      </c>
      <c r="K224" t="s">
        <v>588</v>
      </c>
      <c r="L224">
        <v>1354</v>
      </c>
      <c r="N224">
        <v>1010</v>
      </c>
      <c r="O224" t="s">
        <v>282</v>
      </c>
      <c r="P224" t="s">
        <v>282</v>
      </c>
      <c r="Q224">
        <v>1</v>
      </c>
      <c r="X224">
        <v>5.0999999999999996</v>
      </c>
      <c r="Y224">
        <v>4.5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5.0999999999999996</v>
      </c>
      <c r="AH224">
        <v>2</v>
      </c>
      <c r="AI224">
        <v>27935672</v>
      </c>
      <c r="AJ224">
        <v>218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ROW(Source!A85)</f>
        <v>85</v>
      </c>
      <c r="B225">
        <v>27935686</v>
      </c>
      <c r="C225">
        <v>27935666</v>
      </c>
      <c r="D225">
        <v>25150690</v>
      </c>
      <c r="E225">
        <v>1</v>
      </c>
      <c r="F225">
        <v>1</v>
      </c>
      <c r="G225">
        <v>1</v>
      </c>
      <c r="H225">
        <v>3</v>
      </c>
      <c r="I225" t="s">
        <v>589</v>
      </c>
      <c r="J225" t="s">
        <v>590</v>
      </c>
      <c r="K225" t="s">
        <v>591</v>
      </c>
      <c r="L225">
        <v>1348</v>
      </c>
      <c r="N225">
        <v>1009</v>
      </c>
      <c r="O225" t="s">
        <v>65</v>
      </c>
      <c r="P225" t="s">
        <v>65</v>
      </c>
      <c r="Q225">
        <v>1000</v>
      </c>
      <c r="X225">
        <v>2.5499999999999998E-2</v>
      </c>
      <c r="Y225">
        <v>586.47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2.5499999999999998E-2</v>
      </c>
      <c r="AH225">
        <v>2</v>
      </c>
      <c r="AI225">
        <v>27935673</v>
      </c>
      <c r="AJ225">
        <v>219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ROW(Source!A85)</f>
        <v>85</v>
      </c>
      <c r="B226">
        <v>27935687</v>
      </c>
      <c r="C226">
        <v>27935666</v>
      </c>
      <c r="D226">
        <v>25153356</v>
      </c>
      <c r="E226">
        <v>1</v>
      </c>
      <c r="F226">
        <v>1</v>
      </c>
      <c r="G226">
        <v>1</v>
      </c>
      <c r="H226">
        <v>3</v>
      </c>
      <c r="I226" t="s">
        <v>592</v>
      </c>
      <c r="J226" t="s">
        <v>593</v>
      </c>
      <c r="K226" t="s">
        <v>594</v>
      </c>
      <c r="L226">
        <v>1327</v>
      </c>
      <c r="N226">
        <v>1005</v>
      </c>
      <c r="O226" t="s">
        <v>35</v>
      </c>
      <c r="P226" t="s">
        <v>35</v>
      </c>
      <c r="Q226">
        <v>1</v>
      </c>
      <c r="X226">
        <v>1.6</v>
      </c>
      <c r="Y226">
        <v>72.319999999999993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1.6</v>
      </c>
      <c r="AH226">
        <v>2</v>
      </c>
      <c r="AI226">
        <v>27935674</v>
      </c>
      <c r="AJ226">
        <v>220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ROW(Source!A85)</f>
        <v>85</v>
      </c>
      <c r="B227">
        <v>27935688</v>
      </c>
      <c r="C227">
        <v>27935666</v>
      </c>
      <c r="D227">
        <v>25154578</v>
      </c>
      <c r="E227">
        <v>1</v>
      </c>
      <c r="F227">
        <v>1</v>
      </c>
      <c r="G227">
        <v>1</v>
      </c>
      <c r="H227">
        <v>3</v>
      </c>
      <c r="I227" t="s">
        <v>595</v>
      </c>
      <c r="J227" t="s">
        <v>596</v>
      </c>
      <c r="K227" t="s">
        <v>597</v>
      </c>
      <c r="L227">
        <v>1339</v>
      </c>
      <c r="N227">
        <v>1007</v>
      </c>
      <c r="O227" t="s">
        <v>133</v>
      </c>
      <c r="P227" t="s">
        <v>133</v>
      </c>
      <c r="Q227">
        <v>1</v>
      </c>
      <c r="X227">
        <v>4.4000000000000003E-3</v>
      </c>
      <c r="Y227">
        <v>74.58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4.4000000000000003E-3</v>
      </c>
      <c r="AH227">
        <v>2</v>
      </c>
      <c r="AI227">
        <v>27935675</v>
      </c>
      <c r="AJ227">
        <v>221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ROW(Source!A85)</f>
        <v>85</v>
      </c>
      <c r="B228">
        <v>27935689</v>
      </c>
      <c r="C228">
        <v>27935666</v>
      </c>
      <c r="D228">
        <v>25185124</v>
      </c>
      <c r="E228">
        <v>1</v>
      </c>
      <c r="F228">
        <v>1</v>
      </c>
      <c r="G228">
        <v>1</v>
      </c>
      <c r="H228">
        <v>3</v>
      </c>
      <c r="I228" t="s">
        <v>598</v>
      </c>
      <c r="J228" t="s">
        <v>599</v>
      </c>
      <c r="K228" t="s">
        <v>600</v>
      </c>
      <c r="L228">
        <v>1346</v>
      </c>
      <c r="N228">
        <v>1009</v>
      </c>
      <c r="O228" t="s">
        <v>60</v>
      </c>
      <c r="P228" t="s">
        <v>60</v>
      </c>
      <c r="Q228">
        <v>1</v>
      </c>
      <c r="X228">
        <v>4.0199999999999996</v>
      </c>
      <c r="Y228">
        <v>8.09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4.0199999999999996</v>
      </c>
      <c r="AH228">
        <v>2</v>
      </c>
      <c r="AI228">
        <v>27935676</v>
      </c>
      <c r="AJ228">
        <v>222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ROW(Source!A85)</f>
        <v>85</v>
      </c>
      <c r="B229">
        <v>27935690</v>
      </c>
      <c r="C229">
        <v>27935666</v>
      </c>
      <c r="D229">
        <v>25145730</v>
      </c>
      <c r="E229">
        <v>17</v>
      </c>
      <c r="F229">
        <v>1</v>
      </c>
      <c r="G229">
        <v>1</v>
      </c>
      <c r="H229">
        <v>3</v>
      </c>
      <c r="I229" t="s">
        <v>737</v>
      </c>
      <c r="J229" t="s">
        <v>6</v>
      </c>
      <c r="K229" t="s">
        <v>738</v>
      </c>
      <c r="L229">
        <v>1348</v>
      </c>
      <c r="N229">
        <v>1009</v>
      </c>
      <c r="O229" t="s">
        <v>65</v>
      </c>
      <c r="P229" t="s">
        <v>65</v>
      </c>
      <c r="Q229">
        <v>1000</v>
      </c>
      <c r="X229">
        <v>7.0999999999999994E-2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6</v>
      </c>
      <c r="AG229">
        <v>7.0999999999999994E-2</v>
      </c>
      <c r="AH229">
        <v>3</v>
      </c>
      <c r="AI229">
        <v>-1</v>
      </c>
      <c r="AJ229" t="s">
        <v>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ROW(Source!A85)</f>
        <v>85</v>
      </c>
      <c r="B230">
        <v>27935691</v>
      </c>
      <c r="C230">
        <v>27935666</v>
      </c>
      <c r="D230">
        <v>25187352</v>
      </c>
      <c r="E230">
        <v>1</v>
      </c>
      <c r="F230">
        <v>1</v>
      </c>
      <c r="G230">
        <v>1</v>
      </c>
      <c r="H230">
        <v>3</v>
      </c>
      <c r="I230" t="s">
        <v>601</v>
      </c>
      <c r="J230" t="s">
        <v>602</v>
      </c>
      <c r="K230" t="s">
        <v>603</v>
      </c>
      <c r="L230">
        <v>1348</v>
      </c>
      <c r="N230">
        <v>1009</v>
      </c>
      <c r="O230" t="s">
        <v>65</v>
      </c>
      <c r="P230" t="s">
        <v>65</v>
      </c>
      <c r="Q230">
        <v>1000</v>
      </c>
      <c r="X230">
        <v>7.1999999999999995E-2</v>
      </c>
      <c r="Y230">
        <v>4294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7.1999999999999995E-2</v>
      </c>
      <c r="AH230">
        <v>2</v>
      </c>
      <c r="AI230">
        <v>27935677</v>
      </c>
      <c r="AJ230">
        <v>224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ROW(Source!A88)</f>
        <v>88</v>
      </c>
      <c r="B231">
        <v>27935699</v>
      </c>
      <c r="C231">
        <v>27935693</v>
      </c>
      <c r="D231">
        <v>25413998</v>
      </c>
      <c r="E231">
        <v>1</v>
      </c>
      <c r="F231">
        <v>1</v>
      </c>
      <c r="G231">
        <v>1</v>
      </c>
      <c r="H231">
        <v>1</v>
      </c>
      <c r="I231" t="s">
        <v>604</v>
      </c>
      <c r="J231" t="s">
        <v>6</v>
      </c>
      <c r="K231" t="s">
        <v>605</v>
      </c>
      <c r="L231">
        <v>1191</v>
      </c>
      <c r="N231">
        <v>1013</v>
      </c>
      <c r="O231" t="s">
        <v>459</v>
      </c>
      <c r="P231" t="s">
        <v>459</v>
      </c>
      <c r="Q231">
        <v>1</v>
      </c>
      <c r="X231">
        <v>74.3</v>
      </c>
      <c r="Y231">
        <v>0</v>
      </c>
      <c r="Z231">
        <v>0</v>
      </c>
      <c r="AA231">
        <v>0</v>
      </c>
      <c r="AB231">
        <v>7.87</v>
      </c>
      <c r="AC231">
        <v>0</v>
      </c>
      <c r="AD231">
        <v>1</v>
      </c>
      <c r="AE231">
        <v>1</v>
      </c>
      <c r="AF231" t="s">
        <v>6</v>
      </c>
      <c r="AG231">
        <v>74.3</v>
      </c>
      <c r="AH231">
        <v>2</v>
      </c>
      <c r="AI231">
        <v>27935694</v>
      </c>
      <c r="AJ231">
        <v>225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ROW(Source!A88)</f>
        <v>88</v>
      </c>
      <c r="B232">
        <v>27935700</v>
      </c>
      <c r="C232">
        <v>27935693</v>
      </c>
      <c r="D232">
        <v>25412928</v>
      </c>
      <c r="E232">
        <v>1</v>
      </c>
      <c r="F232">
        <v>1</v>
      </c>
      <c r="G232">
        <v>1</v>
      </c>
      <c r="H232">
        <v>1</v>
      </c>
      <c r="I232" t="s">
        <v>460</v>
      </c>
      <c r="J232" t="s">
        <v>6</v>
      </c>
      <c r="K232" t="s">
        <v>461</v>
      </c>
      <c r="L232">
        <v>1191</v>
      </c>
      <c r="N232">
        <v>1013</v>
      </c>
      <c r="O232" t="s">
        <v>459</v>
      </c>
      <c r="P232" t="s">
        <v>459</v>
      </c>
      <c r="Q232">
        <v>1</v>
      </c>
      <c r="X232">
        <v>0.35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6</v>
      </c>
      <c r="AG232">
        <v>0.35</v>
      </c>
      <c r="AH232">
        <v>2</v>
      </c>
      <c r="AI232">
        <v>27935695</v>
      </c>
      <c r="AJ232">
        <v>226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ROW(Source!A88)</f>
        <v>88</v>
      </c>
      <c r="B233">
        <v>27935701</v>
      </c>
      <c r="C233">
        <v>27935693</v>
      </c>
      <c r="D233">
        <v>25230514</v>
      </c>
      <c r="E233">
        <v>1</v>
      </c>
      <c r="F233">
        <v>1</v>
      </c>
      <c r="G233">
        <v>1</v>
      </c>
      <c r="H233">
        <v>2</v>
      </c>
      <c r="I233" t="s">
        <v>462</v>
      </c>
      <c r="J233" t="s">
        <v>463</v>
      </c>
      <c r="K233" t="s">
        <v>464</v>
      </c>
      <c r="L233">
        <v>1368</v>
      </c>
      <c r="N233">
        <v>1011</v>
      </c>
      <c r="O233" t="s">
        <v>465</v>
      </c>
      <c r="P233" t="s">
        <v>465</v>
      </c>
      <c r="Q233">
        <v>1</v>
      </c>
      <c r="X233">
        <v>0.35</v>
      </c>
      <c r="Y233">
        <v>0</v>
      </c>
      <c r="Z233">
        <v>31.26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0.35</v>
      </c>
      <c r="AH233">
        <v>2</v>
      </c>
      <c r="AI233">
        <v>27935696</v>
      </c>
      <c r="AJ233">
        <v>227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ROW(Source!A88)</f>
        <v>88</v>
      </c>
      <c r="B234">
        <v>27935702</v>
      </c>
      <c r="C234">
        <v>27935693</v>
      </c>
      <c r="D234">
        <v>25231936</v>
      </c>
      <c r="E234">
        <v>1</v>
      </c>
      <c r="F234">
        <v>1</v>
      </c>
      <c r="G234">
        <v>1</v>
      </c>
      <c r="H234">
        <v>2</v>
      </c>
      <c r="I234" t="s">
        <v>606</v>
      </c>
      <c r="J234" t="s">
        <v>607</v>
      </c>
      <c r="K234" t="s">
        <v>608</v>
      </c>
      <c r="L234">
        <v>1368</v>
      </c>
      <c r="N234">
        <v>1011</v>
      </c>
      <c r="O234" t="s">
        <v>465</v>
      </c>
      <c r="P234" t="s">
        <v>465</v>
      </c>
      <c r="Q234">
        <v>1</v>
      </c>
      <c r="X234">
        <v>1.64</v>
      </c>
      <c r="Y234">
        <v>0</v>
      </c>
      <c r="Z234">
        <v>32.5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1.64</v>
      </c>
      <c r="AH234">
        <v>2</v>
      </c>
      <c r="AI234">
        <v>27935697</v>
      </c>
      <c r="AJ234">
        <v>228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ROW(Source!A88)</f>
        <v>88</v>
      </c>
      <c r="B235">
        <v>27935703</v>
      </c>
      <c r="C235">
        <v>27935693</v>
      </c>
      <c r="D235">
        <v>25232531</v>
      </c>
      <c r="E235">
        <v>1</v>
      </c>
      <c r="F235">
        <v>1</v>
      </c>
      <c r="G235">
        <v>1</v>
      </c>
      <c r="H235">
        <v>2</v>
      </c>
      <c r="I235" t="s">
        <v>609</v>
      </c>
      <c r="J235" t="s">
        <v>610</v>
      </c>
      <c r="K235" t="s">
        <v>611</v>
      </c>
      <c r="L235">
        <v>1368</v>
      </c>
      <c r="N235">
        <v>1011</v>
      </c>
      <c r="O235" t="s">
        <v>465</v>
      </c>
      <c r="P235" t="s">
        <v>465</v>
      </c>
      <c r="Q235">
        <v>1</v>
      </c>
      <c r="X235">
        <v>3.28</v>
      </c>
      <c r="Y235">
        <v>0</v>
      </c>
      <c r="Z235">
        <v>1.53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3.28</v>
      </c>
      <c r="AH235">
        <v>2</v>
      </c>
      <c r="AI235">
        <v>27935698</v>
      </c>
      <c r="AJ235">
        <v>229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ROW(Source!A89)</f>
        <v>89</v>
      </c>
      <c r="B236">
        <v>27935699</v>
      </c>
      <c r="C236">
        <v>27935693</v>
      </c>
      <c r="D236">
        <v>25413998</v>
      </c>
      <c r="E236">
        <v>1</v>
      </c>
      <c r="F236">
        <v>1</v>
      </c>
      <c r="G236">
        <v>1</v>
      </c>
      <c r="H236">
        <v>1</v>
      </c>
      <c r="I236" t="s">
        <v>604</v>
      </c>
      <c r="J236" t="s">
        <v>6</v>
      </c>
      <c r="K236" t="s">
        <v>605</v>
      </c>
      <c r="L236">
        <v>1191</v>
      </c>
      <c r="N236">
        <v>1013</v>
      </c>
      <c r="O236" t="s">
        <v>459</v>
      </c>
      <c r="P236" t="s">
        <v>459</v>
      </c>
      <c r="Q236">
        <v>1</v>
      </c>
      <c r="X236">
        <v>74.3</v>
      </c>
      <c r="Y236">
        <v>0</v>
      </c>
      <c r="Z236">
        <v>0</v>
      </c>
      <c r="AA236">
        <v>0</v>
      </c>
      <c r="AB236">
        <v>7.87</v>
      </c>
      <c r="AC236">
        <v>0</v>
      </c>
      <c r="AD236">
        <v>1</v>
      </c>
      <c r="AE236">
        <v>1</v>
      </c>
      <c r="AF236" t="s">
        <v>6</v>
      </c>
      <c r="AG236">
        <v>74.3</v>
      </c>
      <c r="AH236">
        <v>2</v>
      </c>
      <c r="AI236">
        <v>27935694</v>
      </c>
      <c r="AJ236">
        <v>230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ROW(Source!A89)</f>
        <v>89</v>
      </c>
      <c r="B237">
        <v>27935700</v>
      </c>
      <c r="C237">
        <v>27935693</v>
      </c>
      <c r="D237">
        <v>25412928</v>
      </c>
      <c r="E237">
        <v>1</v>
      </c>
      <c r="F237">
        <v>1</v>
      </c>
      <c r="G237">
        <v>1</v>
      </c>
      <c r="H237">
        <v>1</v>
      </c>
      <c r="I237" t="s">
        <v>460</v>
      </c>
      <c r="J237" t="s">
        <v>6</v>
      </c>
      <c r="K237" t="s">
        <v>461</v>
      </c>
      <c r="L237">
        <v>1191</v>
      </c>
      <c r="N237">
        <v>1013</v>
      </c>
      <c r="O237" t="s">
        <v>459</v>
      </c>
      <c r="P237" t="s">
        <v>459</v>
      </c>
      <c r="Q237">
        <v>1</v>
      </c>
      <c r="X237">
        <v>0.35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2</v>
      </c>
      <c r="AF237" t="s">
        <v>6</v>
      </c>
      <c r="AG237">
        <v>0.35</v>
      </c>
      <c r="AH237">
        <v>2</v>
      </c>
      <c r="AI237">
        <v>27935695</v>
      </c>
      <c r="AJ237">
        <v>231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ROW(Source!A89)</f>
        <v>89</v>
      </c>
      <c r="B238">
        <v>27935701</v>
      </c>
      <c r="C238">
        <v>27935693</v>
      </c>
      <c r="D238">
        <v>25230514</v>
      </c>
      <c r="E238">
        <v>1</v>
      </c>
      <c r="F238">
        <v>1</v>
      </c>
      <c r="G238">
        <v>1</v>
      </c>
      <c r="H238">
        <v>2</v>
      </c>
      <c r="I238" t="s">
        <v>462</v>
      </c>
      <c r="J238" t="s">
        <v>463</v>
      </c>
      <c r="K238" t="s">
        <v>464</v>
      </c>
      <c r="L238">
        <v>1368</v>
      </c>
      <c r="N238">
        <v>1011</v>
      </c>
      <c r="O238" t="s">
        <v>465</v>
      </c>
      <c r="P238" t="s">
        <v>465</v>
      </c>
      <c r="Q238">
        <v>1</v>
      </c>
      <c r="X238">
        <v>0.35</v>
      </c>
      <c r="Y238">
        <v>0</v>
      </c>
      <c r="Z238">
        <v>31.26</v>
      </c>
      <c r="AA238">
        <v>13.5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0.35</v>
      </c>
      <c r="AH238">
        <v>2</v>
      </c>
      <c r="AI238">
        <v>27935696</v>
      </c>
      <c r="AJ238">
        <v>232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ROW(Source!A89)</f>
        <v>89</v>
      </c>
      <c r="B239">
        <v>27935702</v>
      </c>
      <c r="C239">
        <v>27935693</v>
      </c>
      <c r="D239">
        <v>25231936</v>
      </c>
      <c r="E239">
        <v>1</v>
      </c>
      <c r="F239">
        <v>1</v>
      </c>
      <c r="G239">
        <v>1</v>
      </c>
      <c r="H239">
        <v>2</v>
      </c>
      <c r="I239" t="s">
        <v>606</v>
      </c>
      <c r="J239" t="s">
        <v>607</v>
      </c>
      <c r="K239" t="s">
        <v>608</v>
      </c>
      <c r="L239">
        <v>1368</v>
      </c>
      <c r="N239">
        <v>1011</v>
      </c>
      <c r="O239" t="s">
        <v>465</v>
      </c>
      <c r="P239" t="s">
        <v>465</v>
      </c>
      <c r="Q239">
        <v>1</v>
      </c>
      <c r="X239">
        <v>1.64</v>
      </c>
      <c r="Y239">
        <v>0</v>
      </c>
      <c r="Z239">
        <v>32.5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1.64</v>
      </c>
      <c r="AH239">
        <v>2</v>
      </c>
      <c r="AI239">
        <v>27935697</v>
      </c>
      <c r="AJ239">
        <v>233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ROW(Source!A89)</f>
        <v>89</v>
      </c>
      <c r="B240">
        <v>27935703</v>
      </c>
      <c r="C240">
        <v>27935693</v>
      </c>
      <c r="D240">
        <v>25232531</v>
      </c>
      <c r="E240">
        <v>1</v>
      </c>
      <c r="F240">
        <v>1</v>
      </c>
      <c r="G240">
        <v>1</v>
      </c>
      <c r="H240">
        <v>2</v>
      </c>
      <c r="I240" t="s">
        <v>609</v>
      </c>
      <c r="J240" t="s">
        <v>610</v>
      </c>
      <c r="K240" t="s">
        <v>611</v>
      </c>
      <c r="L240">
        <v>1368</v>
      </c>
      <c r="N240">
        <v>1011</v>
      </c>
      <c r="O240" t="s">
        <v>465</v>
      </c>
      <c r="P240" t="s">
        <v>465</v>
      </c>
      <c r="Q240">
        <v>1</v>
      </c>
      <c r="X240">
        <v>3.28</v>
      </c>
      <c r="Y240">
        <v>0</v>
      </c>
      <c r="Z240">
        <v>1.53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3.28</v>
      </c>
      <c r="AH240">
        <v>2</v>
      </c>
      <c r="AI240">
        <v>27935698</v>
      </c>
      <c r="AJ240">
        <v>234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ROW(Source!A90)</f>
        <v>90</v>
      </c>
      <c r="B241">
        <v>27935715</v>
      </c>
      <c r="C241">
        <v>27935704</v>
      </c>
      <c r="D241">
        <v>25420819</v>
      </c>
      <c r="E241">
        <v>1</v>
      </c>
      <c r="F241">
        <v>1</v>
      </c>
      <c r="G241">
        <v>1</v>
      </c>
      <c r="H241">
        <v>1</v>
      </c>
      <c r="I241" t="s">
        <v>493</v>
      </c>
      <c r="J241" t="s">
        <v>6</v>
      </c>
      <c r="K241" t="s">
        <v>494</v>
      </c>
      <c r="L241">
        <v>1191</v>
      </c>
      <c r="N241">
        <v>1013</v>
      </c>
      <c r="O241" t="s">
        <v>459</v>
      </c>
      <c r="P241" t="s">
        <v>459</v>
      </c>
      <c r="Q241">
        <v>1</v>
      </c>
      <c r="X241">
        <v>159.66999999999999</v>
      </c>
      <c r="Y241">
        <v>0</v>
      </c>
      <c r="Z241">
        <v>0</v>
      </c>
      <c r="AA241">
        <v>0</v>
      </c>
      <c r="AB241">
        <v>9.18</v>
      </c>
      <c r="AC241">
        <v>0</v>
      </c>
      <c r="AD241">
        <v>1</v>
      </c>
      <c r="AE241">
        <v>1</v>
      </c>
      <c r="AF241" t="s">
        <v>28</v>
      </c>
      <c r="AG241">
        <v>183.62049999999996</v>
      </c>
      <c r="AH241">
        <v>2</v>
      </c>
      <c r="AI241">
        <v>27935705</v>
      </c>
      <c r="AJ241">
        <v>235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ROW(Source!A90)</f>
        <v>90</v>
      </c>
      <c r="B242">
        <v>27935716</v>
      </c>
      <c r="C242">
        <v>27935704</v>
      </c>
      <c r="D242">
        <v>25412928</v>
      </c>
      <c r="E242">
        <v>1</v>
      </c>
      <c r="F242">
        <v>1</v>
      </c>
      <c r="G242">
        <v>1</v>
      </c>
      <c r="H242">
        <v>1</v>
      </c>
      <c r="I242" t="s">
        <v>460</v>
      </c>
      <c r="J242" t="s">
        <v>6</v>
      </c>
      <c r="K242" t="s">
        <v>461</v>
      </c>
      <c r="L242">
        <v>1191</v>
      </c>
      <c r="N242">
        <v>1013</v>
      </c>
      <c r="O242" t="s">
        <v>459</v>
      </c>
      <c r="P242" t="s">
        <v>459</v>
      </c>
      <c r="Q242">
        <v>1</v>
      </c>
      <c r="X242">
        <v>1.65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27</v>
      </c>
      <c r="AG242">
        <v>2.0625</v>
      </c>
      <c r="AH242">
        <v>2</v>
      </c>
      <c r="AI242">
        <v>27935706</v>
      </c>
      <c r="AJ242">
        <v>236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ROW(Source!A90)</f>
        <v>90</v>
      </c>
      <c r="B243">
        <v>27935717</v>
      </c>
      <c r="C243">
        <v>27935704</v>
      </c>
      <c r="D243">
        <v>25230445</v>
      </c>
      <c r="E243">
        <v>1</v>
      </c>
      <c r="F243">
        <v>1</v>
      </c>
      <c r="G243">
        <v>1</v>
      </c>
      <c r="H243">
        <v>2</v>
      </c>
      <c r="I243" t="s">
        <v>612</v>
      </c>
      <c r="J243" t="s">
        <v>613</v>
      </c>
      <c r="K243" t="s">
        <v>614</v>
      </c>
      <c r="L243">
        <v>1368</v>
      </c>
      <c r="N243">
        <v>1011</v>
      </c>
      <c r="O243" t="s">
        <v>465</v>
      </c>
      <c r="P243" t="s">
        <v>465</v>
      </c>
      <c r="Q243">
        <v>1</v>
      </c>
      <c r="X243">
        <v>0.08</v>
      </c>
      <c r="Y243">
        <v>0</v>
      </c>
      <c r="Z243">
        <v>89.99</v>
      </c>
      <c r="AA243">
        <v>10.06</v>
      </c>
      <c r="AB243">
        <v>0</v>
      </c>
      <c r="AC243">
        <v>0</v>
      </c>
      <c r="AD243">
        <v>1</v>
      </c>
      <c r="AE243">
        <v>0</v>
      </c>
      <c r="AF243" t="s">
        <v>27</v>
      </c>
      <c r="AG243">
        <v>0.1</v>
      </c>
      <c r="AH243">
        <v>2</v>
      </c>
      <c r="AI243">
        <v>27935707</v>
      </c>
      <c r="AJ243">
        <v>237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ROW(Source!A90)</f>
        <v>90</v>
      </c>
      <c r="B244">
        <v>27935718</v>
      </c>
      <c r="C244">
        <v>27935704</v>
      </c>
      <c r="D244">
        <v>25230514</v>
      </c>
      <c r="E244">
        <v>1</v>
      </c>
      <c r="F244">
        <v>1</v>
      </c>
      <c r="G244">
        <v>1</v>
      </c>
      <c r="H244">
        <v>2</v>
      </c>
      <c r="I244" t="s">
        <v>462</v>
      </c>
      <c r="J244" t="s">
        <v>463</v>
      </c>
      <c r="K244" t="s">
        <v>464</v>
      </c>
      <c r="L244">
        <v>1368</v>
      </c>
      <c r="N244">
        <v>1011</v>
      </c>
      <c r="O244" t="s">
        <v>465</v>
      </c>
      <c r="P244" t="s">
        <v>465</v>
      </c>
      <c r="Q244">
        <v>1</v>
      </c>
      <c r="X244">
        <v>0.27</v>
      </c>
      <c r="Y244">
        <v>0</v>
      </c>
      <c r="Z244">
        <v>31.26</v>
      </c>
      <c r="AA244">
        <v>13.5</v>
      </c>
      <c r="AB244">
        <v>0</v>
      </c>
      <c r="AC244">
        <v>0</v>
      </c>
      <c r="AD244">
        <v>1</v>
      </c>
      <c r="AE244">
        <v>0</v>
      </c>
      <c r="AF244" t="s">
        <v>27</v>
      </c>
      <c r="AG244">
        <v>0.33750000000000002</v>
      </c>
      <c r="AH244">
        <v>2</v>
      </c>
      <c r="AI244">
        <v>27935708</v>
      </c>
      <c r="AJ244">
        <v>238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ROW(Source!A90)</f>
        <v>90</v>
      </c>
      <c r="B245">
        <v>27935719</v>
      </c>
      <c r="C245">
        <v>27935704</v>
      </c>
      <c r="D245">
        <v>25230679</v>
      </c>
      <c r="E245">
        <v>1</v>
      </c>
      <c r="F245">
        <v>1</v>
      </c>
      <c r="G245">
        <v>1</v>
      </c>
      <c r="H245">
        <v>2</v>
      </c>
      <c r="I245" t="s">
        <v>573</v>
      </c>
      <c r="J245" t="s">
        <v>574</v>
      </c>
      <c r="K245" t="s">
        <v>575</v>
      </c>
      <c r="L245">
        <v>1368</v>
      </c>
      <c r="N245">
        <v>1011</v>
      </c>
      <c r="O245" t="s">
        <v>465</v>
      </c>
      <c r="P245" t="s">
        <v>465</v>
      </c>
      <c r="Q245">
        <v>1</v>
      </c>
      <c r="X245">
        <v>1.3</v>
      </c>
      <c r="Y245">
        <v>0</v>
      </c>
      <c r="Z245">
        <v>12.39</v>
      </c>
      <c r="AA245">
        <v>10.06</v>
      </c>
      <c r="AB245">
        <v>0</v>
      </c>
      <c r="AC245">
        <v>0</v>
      </c>
      <c r="AD245">
        <v>1</v>
      </c>
      <c r="AE245">
        <v>0</v>
      </c>
      <c r="AF245" t="s">
        <v>27</v>
      </c>
      <c r="AG245">
        <v>1.625</v>
      </c>
      <c r="AH245">
        <v>2</v>
      </c>
      <c r="AI245">
        <v>27935709</v>
      </c>
      <c r="AJ245">
        <v>239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ROW(Source!A90)</f>
        <v>90</v>
      </c>
      <c r="B246">
        <v>27935720</v>
      </c>
      <c r="C246">
        <v>27935704</v>
      </c>
      <c r="D246">
        <v>25149961</v>
      </c>
      <c r="E246">
        <v>1</v>
      </c>
      <c r="F246">
        <v>1</v>
      </c>
      <c r="G246">
        <v>1</v>
      </c>
      <c r="H246">
        <v>3</v>
      </c>
      <c r="I246" t="s">
        <v>558</v>
      </c>
      <c r="J246" t="s">
        <v>559</v>
      </c>
      <c r="K246" t="s">
        <v>560</v>
      </c>
      <c r="L246">
        <v>1339</v>
      </c>
      <c r="N246">
        <v>1007</v>
      </c>
      <c r="O246" t="s">
        <v>133</v>
      </c>
      <c r="P246" t="s">
        <v>133</v>
      </c>
      <c r="Q246">
        <v>1</v>
      </c>
      <c r="X246">
        <v>0.93</v>
      </c>
      <c r="Y246">
        <v>2.44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0.93</v>
      </c>
      <c r="AH246">
        <v>2</v>
      </c>
      <c r="AI246">
        <v>27935710</v>
      </c>
      <c r="AJ246">
        <v>240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ROW(Source!A90)</f>
        <v>90</v>
      </c>
      <c r="B247">
        <v>27935721</v>
      </c>
      <c r="C247">
        <v>27935704</v>
      </c>
      <c r="D247">
        <v>25153690</v>
      </c>
      <c r="E247">
        <v>1</v>
      </c>
      <c r="F247">
        <v>1</v>
      </c>
      <c r="G247">
        <v>1</v>
      </c>
      <c r="H247">
        <v>3</v>
      </c>
      <c r="I247" t="s">
        <v>495</v>
      </c>
      <c r="J247" t="s">
        <v>496</v>
      </c>
      <c r="K247" t="s">
        <v>497</v>
      </c>
      <c r="L247">
        <v>1346</v>
      </c>
      <c r="N247">
        <v>1009</v>
      </c>
      <c r="O247" t="s">
        <v>60</v>
      </c>
      <c r="P247" t="s">
        <v>60</v>
      </c>
      <c r="Q247">
        <v>1</v>
      </c>
      <c r="X247">
        <v>0.5</v>
      </c>
      <c r="Y247">
        <v>1.82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0.5</v>
      </c>
      <c r="AH247">
        <v>2</v>
      </c>
      <c r="AI247">
        <v>27935711</v>
      </c>
      <c r="AJ247">
        <v>241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ROW(Source!A90)</f>
        <v>90</v>
      </c>
      <c r="B248">
        <v>27935722</v>
      </c>
      <c r="C248">
        <v>27935704</v>
      </c>
      <c r="D248">
        <v>25145625</v>
      </c>
      <c r="E248">
        <v>17</v>
      </c>
      <c r="F248">
        <v>1</v>
      </c>
      <c r="G248">
        <v>1</v>
      </c>
      <c r="H248">
        <v>3</v>
      </c>
      <c r="I248" t="s">
        <v>739</v>
      </c>
      <c r="J248" t="s">
        <v>6</v>
      </c>
      <c r="K248" t="s">
        <v>740</v>
      </c>
      <c r="L248">
        <v>1348</v>
      </c>
      <c r="N248">
        <v>1009</v>
      </c>
      <c r="O248" t="s">
        <v>65</v>
      </c>
      <c r="P248" t="s">
        <v>65</v>
      </c>
      <c r="Q248">
        <v>1000</v>
      </c>
      <c r="X248">
        <v>0.05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 t="s">
        <v>6</v>
      </c>
      <c r="AG248">
        <v>0.05</v>
      </c>
      <c r="AH248">
        <v>3</v>
      </c>
      <c r="AI248">
        <v>-1</v>
      </c>
      <c r="AJ248" t="s">
        <v>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ROW(Source!A90)</f>
        <v>90</v>
      </c>
      <c r="B249">
        <v>27935723</v>
      </c>
      <c r="C249">
        <v>27935704</v>
      </c>
      <c r="D249">
        <v>25145622</v>
      </c>
      <c r="E249">
        <v>17</v>
      </c>
      <c r="F249">
        <v>1</v>
      </c>
      <c r="G249">
        <v>1</v>
      </c>
      <c r="H249">
        <v>3</v>
      </c>
      <c r="I249" t="s">
        <v>741</v>
      </c>
      <c r="J249" t="s">
        <v>6</v>
      </c>
      <c r="K249" t="s">
        <v>742</v>
      </c>
      <c r="L249">
        <v>1327</v>
      </c>
      <c r="N249">
        <v>1005</v>
      </c>
      <c r="O249" t="s">
        <v>35</v>
      </c>
      <c r="P249" t="s">
        <v>35</v>
      </c>
      <c r="Q249">
        <v>1</v>
      </c>
      <c r="X249">
        <v>100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6</v>
      </c>
      <c r="AG249">
        <v>100</v>
      </c>
      <c r="AH249">
        <v>3</v>
      </c>
      <c r="AI249">
        <v>-1</v>
      </c>
      <c r="AJ249" t="s">
        <v>6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ROW(Source!A90)</f>
        <v>90</v>
      </c>
      <c r="B250">
        <v>27935724</v>
      </c>
      <c r="C250">
        <v>27935704</v>
      </c>
      <c r="D250">
        <v>25145628</v>
      </c>
      <c r="E250">
        <v>17</v>
      </c>
      <c r="F250">
        <v>1</v>
      </c>
      <c r="G250">
        <v>1</v>
      </c>
      <c r="H250">
        <v>3</v>
      </c>
      <c r="I250" t="s">
        <v>743</v>
      </c>
      <c r="J250" t="s">
        <v>6</v>
      </c>
      <c r="K250" t="s">
        <v>744</v>
      </c>
      <c r="L250">
        <v>1348</v>
      </c>
      <c r="N250">
        <v>1009</v>
      </c>
      <c r="O250" t="s">
        <v>65</v>
      </c>
      <c r="P250" t="s">
        <v>65</v>
      </c>
      <c r="Q250">
        <v>1000</v>
      </c>
      <c r="X250">
        <v>0.375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6</v>
      </c>
      <c r="AG250">
        <v>0.375</v>
      </c>
      <c r="AH250">
        <v>3</v>
      </c>
      <c r="AI250">
        <v>-1</v>
      </c>
      <c r="AJ250" t="s">
        <v>6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ROW(Source!A91)</f>
        <v>91</v>
      </c>
      <c r="B251">
        <v>27935715</v>
      </c>
      <c r="C251">
        <v>27935704</v>
      </c>
      <c r="D251">
        <v>25420819</v>
      </c>
      <c r="E251">
        <v>1</v>
      </c>
      <c r="F251">
        <v>1</v>
      </c>
      <c r="G251">
        <v>1</v>
      </c>
      <c r="H251">
        <v>1</v>
      </c>
      <c r="I251" t="s">
        <v>493</v>
      </c>
      <c r="J251" t="s">
        <v>6</v>
      </c>
      <c r="K251" t="s">
        <v>494</v>
      </c>
      <c r="L251">
        <v>1191</v>
      </c>
      <c r="N251">
        <v>1013</v>
      </c>
      <c r="O251" t="s">
        <v>459</v>
      </c>
      <c r="P251" t="s">
        <v>459</v>
      </c>
      <c r="Q251">
        <v>1</v>
      </c>
      <c r="X251">
        <v>159.66999999999999</v>
      </c>
      <c r="Y251">
        <v>0</v>
      </c>
      <c r="Z251">
        <v>0</v>
      </c>
      <c r="AA251">
        <v>0</v>
      </c>
      <c r="AB251">
        <v>9.18</v>
      </c>
      <c r="AC251">
        <v>0</v>
      </c>
      <c r="AD251">
        <v>1</v>
      </c>
      <c r="AE251">
        <v>1</v>
      </c>
      <c r="AF251" t="s">
        <v>28</v>
      </c>
      <c r="AG251">
        <v>183.62049999999996</v>
      </c>
      <c r="AH251">
        <v>2</v>
      </c>
      <c r="AI251">
        <v>27935705</v>
      </c>
      <c r="AJ251">
        <v>245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ROW(Source!A91)</f>
        <v>91</v>
      </c>
      <c r="B252">
        <v>27935716</v>
      </c>
      <c r="C252">
        <v>27935704</v>
      </c>
      <c r="D252">
        <v>25412928</v>
      </c>
      <c r="E252">
        <v>1</v>
      </c>
      <c r="F252">
        <v>1</v>
      </c>
      <c r="G252">
        <v>1</v>
      </c>
      <c r="H252">
        <v>1</v>
      </c>
      <c r="I252" t="s">
        <v>460</v>
      </c>
      <c r="J252" t="s">
        <v>6</v>
      </c>
      <c r="K252" t="s">
        <v>461</v>
      </c>
      <c r="L252">
        <v>1191</v>
      </c>
      <c r="N252">
        <v>1013</v>
      </c>
      <c r="O252" t="s">
        <v>459</v>
      </c>
      <c r="P252" t="s">
        <v>459</v>
      </c>
      <c r="Q252">
        <v>1</v>
      </c>
      <c r="X252">
        <v>1.65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27</v>
      </c>
      <c r="AG252">
        <v>2.0625</v>
      </c>
      <c r="AH252">
        <v>2</v>
      </c>
      <c r="AI252">
        <v>27935706</v>
      </c>
      <c r="AJ252">
        <v>246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ROW(Source!A91)</f>
        <v>91</v>
      </c>
      <c r="B253">
        <v>27935717</v>
      </c>
      <c r="C253">
        <v>27935704</v>
      </c>
      <c r="D253">
        <v>25230445</v>
      </c>
      <c r="E253">
        <v>1</v>
      </c>
      <c r="F253">
        <v>1</v>
      </c>
      <c r="G253">
        <v>1</v>
      </c>
      <c r="H253">
        <v>2</v>
      </c>
      <c r="I253" t="s">
        <v>612</v>
      </c>
      <c r="J253" t="s">
        <v>613</v>
      </c>
      <c r="K253" t="s">
        <v>614</v>
      </c>
      <c r="L253">
        <v>1368</v>
      </c>
      <c r="N253">
        <v>1011</v>
      </c>
      <c r="O253" t="s">
        <v>465</v>
      </c>
      <c r="P253" t="s">
        <v>465</v>
      </c>
      <c r="Q253">
        <v>1</v>
      </c>
      <c r="X253">
        <v>0.08</v>
      </c>
      <c r="Y253">
        <v>0</v>
      </c>
      <c r="Z253">
        <v>89.99</v>
      </c>
      <c r="AA253">
        <v>10.06</v>
      </c>
      <c r="AB253">
        <v>0</v>
      </c>
      <c r="AC253">
        <v>0</v>
      </c>
      <c r="AD253">
        <v>1</v>
      </c>
      <c r="AE253">
        <v>0</v>
      </c>
      <c r="AF253" t="s">
        <v>27</v>
      </c>
      <c r="AG253">
        <v>0.1</v>
      </c>
      <c r="AH253">
        <v>2</v>
      </c>
      <c r="AI253">
        <v>27935707</v>
      </c>
      <c r="AJ253">
        <v>247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ROW(Source!A91)</f>
        <v>91</v>
      </c>
      <c r="B254">
        <v>27935718</v>
      </c>
      <c r="C254">
        <v>27935704</v>
      </c>
      <c r="D254">
        <v>25230514</v>
      </c>
      <c r="E254">
        <v>1</v>
      </c>
      <c r="F254">
        <v>1</v>
      </c>
      <c r="G254">
        <v>1</v>
      </c>
      <c r="H254">
        <v>2</v>
      </c>
      <c r="I254" t="s">
        <v>462</v>
      </c>
      <c r="J254" t="s">
        <v>463</v>
      </c>
      <c r="K254" t="s">
        <v>464</v>
      </c>
      <c r="L254">
        <v>1368</v>
      </c>
      <c r="N254">
        <v>1011</v>
      </c>
      <c r="O254" t="s">
        <v>465</v>
      </c>
      <c r="P254" t="s">
        <v>465</v>
      </c>
      <c r="Q254">
        <v>1</v>
      </c>
      <c r="X254">
        <v>0.27</v>
      </c>
      <c r="Y254">
        <v>0</v>
      </c>
      <c r="Z254">
        <v>31.26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27</v>
      </c>
      <c r="AG254">
        <v>0.33750000000000002</v>
      </c>
      <c r="AH254">
        <v>2</v>
      </c>
      <c r="AI254">
        <v>27935708</v>
      </c>
      <c r="AJ254">
        <v>248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ROW(Source!A91)</f>
        <v>91</v>
      </c>
      <c r="B255">
        <v>27935719</v>
      </c>
      <c r="C255">
        <v>27935704</v>
      </c>
      <c r="D255">
        <v>25230679</v>
      </c>
      <c r="E255">
        <v>1</v>
      </c>
      <c r="F255">
        <v>1</v>
      </c>
      <c r="G255">
        <v>1</v>
      </c>
      <c r="H255">
        <v>2</v>
      </c>
      <c r="I255" t="s">
        <v>573</v>
      </c>
      <c r="J255" t="s">
        <v>574</v>
      </c>
      <c r="K255" t="s">
        <v>575</v>
      </c>
      <c r="L255">
        <v>1368</v>
      </c>
      <c r="N255">
        <v>1011</v>
      </c>
      <c r="O255" t="s">
        <v>465</v>
      </c>
      <c r="P255" t="s">
        <v>465</v>
      </c>
      <c r="Q255">
        <v>1</v>
      </c>
      <c r="X255">
        <v>1.3</v>
      </c>
      <c r="Y255">
        <v>0</v>
      </c>
      <c r="Z255">
        <v>12.39</v>
      </c>
      <c r="AA255">
        <v>10.06</v>
      </c>
      <c r="AB255">
        <v>0</v>
      </c>
      <c r="AC255">
        <v>0</v>
      </c>
      <c r="AD255">
        <v>1</v>
      </c>
      <c r="AE255">
        <v>0</v>
      </c>
      <c r="AF255" t="s">
        <v>27</v>
      </c>
      <c r="AG255">
        <v>1.625</v>
      </c>
      <c r="AH255">
        <v>2</v>
      </c>
      <c r="AI255">
        <v>27935709</v>
      </c>
      <c r="AJ255">
        <v>249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ROW(Source!A91)</f>
        <v>91</v>
      </c>
      <c r="B256">
        <v>27935720</v>
      </c>
      <c r="C256">
        <v>27935704</v>
      </c>
      <c r="D256">
        <v>25149961</v>
      </c>
      <c r="E256">
        <v>1</v>
      </c>
      <c r="F256">
        <v>1</v>
      </c>
      <c r="G256">
        <v>1</v>
      </c>
      <c r="H256">
        <v>3</v>
      </c>
      <c r="I256" t="s">
        <v>558</v>
      </c>
      <c r="J256" t="s">
        <v>559</v>
      </c>
      <c r="K256" t="s">
        <v>560</v>
      </c>
      <c r="L256">
        <v>1339</v>
      </c>
      <c r="N256">
        <v>1007</v>
      </c>
      <c r="O256" t="s">
        <v>133</v>
      </c>
      <c r="P256" t="s">
        <v>133</v>
      </c>
      <c r="Q256">
        <v>1</v>
      </c>
      <c r="X256">
        <v>0.93</v>
      </c>
      <c r="Y256">
        <v>2.44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0.93</v>
      </c>
      <c r="AH256">
        <v>2</v>
      </c>
      <c r="AI256">
        <v>27935710</v>
      </c>
      <c r="AJ256">
        <v>250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ROW(Source!A91)</f>
        <v>91</v>
      </c>
      <c r="B257">
        <v>27935721</v>
      </c>
      <c r="C257">
        <v>27935704</v>
      </c>
      <c r="D257">
        <v>25153690</v>
      </c>
      <c r="E257">
        <v>1</v>
      </c>
      <c r="F257">
        <v>1</v>
      </c>
      <c r="G257">
        <v>1</v>
      </c>
      <c r="H257">
        <v>3</v>
      </c>
      <c r="I257" t="s">
        <v>495</v>
      </c>
      <c r="J257" t="s">
        <v>496</v>
      </c>
      <c r="K257" t="s">
        <v>497</v>
      </c>
      <c r="L257">
        <v>1346</v>
      </c>
      <c r="N257">
        <v>1009</v>
      </c>
      <c r="O257" t="s">
        <v>60</v>
      </c>
      <c r="P257" t="s">
        <v>60</v>
      </c>
      <c r="Q257">
        <v>1</v>
      </c>
      <c r="X257">
        <v>0.5</v>
      </c>
      <c r="Y257">
        <v>1.82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0.5</v>
      </c>
      <c r="AH257">
        <v>2</v>
      </c>
      <c r="AI257">
        <v>27935711</v>
      </c>
      <c r="AJ257">
        <v>251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ROW(Source!A91)</f>
        <v>91</v>
      </c>
      <c r="B258">
        <v>27935722</v>
      </c>
      <c r="C258">
        <v>27935704</v>
      </c>
      <c r="D258">
        <v>25145625</v>
      </c>
      <c r="E258">
        <v>17</v>
      </c>
      <c r="F258">
        <v>1</v>
      </c>
      <c r="G258">
        <v>1</v>
      </c>
      <c r="H258">
        <v>3</v>
      </c>
      <c r="I258" t="s">
        <v>739</v>
      </c>
      <c r="J258" t="s">
        <v>6</v>
      </c>
      <c r="K258" t="s">
        <v>740</v>
      </c>
      <c r="L258">
        <v>1348</v>
      </c>
      <c r="N258">
        <v>1009</v>
      </c>
      <c r="O258" t="s">
        <v>65</v>
      </c>
      <c r="P258" t="s">
        <v>65</v>
      </c>
      <c r="Q258">
        <v>1000</v>
      </c>
      <c r="X258">
        <v>0.05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6</v>
      </c>
      <c r="AG258">
        <v>0.05</v>
      </c>
      <c r="AH258">
        <v>3</v>
      </c>
      <c r="AI258">
        <v>-1</v>
      </c>
      <c r="AJ258" t="s">
        <v>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ROW(Source!A91)</f>
        <v>91</v>
      </c>
      <c r="B259">
        <v>27935723</v>
      </c>
      <c r="C259">
        <v>27935704</v>
      </c>
      <c r="D259">
        <v>25145622</v>
      </c>
      <c r="E259">
        <v>17</v>
      </c>
      <c r="F259">
        <v>1</v>
      </c>
      <c r="G259">
        <v>1</v>
      </c>
      <c r="H259">
        <v>3</v>
      </c>
      <c r="I259" t="s">
        <v>741</v>
      </c>
      <c r="J259" t="s">
        <v>6</v>
      </c>
      <c r="K259" t="s">
        <v>742</v>
      </c>
      <c r="L259">
        <v>1327</v>
      </c>
      <c r="N259">
        <v>1005</v>
      </c>
      <c r="O259" t="s">
        <v>35</v>
      </c>
      <c r="P259" t="s">
        <v>35</v>
      </c>
      <c r="Q259">
        <v>1</v>
      </c>
      <c r="X259">
        <v>100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100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ROW(Source!A91)</f>
        <v>91</v>
      </c>
      <c r="B260">
        <v>27935724</v>
      </c>
      <c r="C260">
        <v>27935704</v>
      </c>
      <c r="D260">
        <v>25145628</v>
      </c>
      <c r="E260">
        <v>17</v>
      </c>
      <c r="F260">
        <v>1</v>
      </c>
      <c r="G260">
        <v>1</v>
      </c>
      <c r="H260">
        <v>3</v>
      </c>
      <c r="I260" t="s">
        <v>743</v>
      </c>
      <c r="J260" t="s">
        <v>6</v>
      </c>
      <c r="K260" t="s">
        <v>744</v>
      </c>
      <c r="L260">
        <v>1348</v>
      </c>
      <c r="N260">
        <v>1009</v>
      </c>
      <c r="O260" t="s">
        <v>65</v>
      </c>
      <c r="P260" t="s">
        <v>65</v>
      </c>
      <c r="Q260">
        <v>1000</v>
      </c>
      <c r="X260">
        <v>0.375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6</v>
      </c>
      <c r="AG260">
        <v>0.375</v>
      </c>
      <c r="AH260">
        <v>3</v>
      </c>
      <c r="AI260">
        <v>-1</v>
      </c>
      <c r="AJ260" t="s">
        <v>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ROW(Source!A98)</f>
        <v>98</v>
      </c>
      <c r="B261">
        <v>27935734</v>
      </c>
      <c r="C261">
        <v>27935728</v>
      </c>
      <c r="D261">
        <v>25413030</v>
      </c>
      <c r="E261">
        <v>1</v>
      </c>
      <c r="F261">
        <v>1</v>
      </c>
      <c r="G261">
        <v>1</v>
      </c>
      <c r="H261">
        <v>1</v>
      </c>
      <c r="I261" t="s">
        <v>615</v>
      </c>
      <c r="J261" t="s">
        <v>6</v>
      </c>
      <c r="K261" t="s">
        <v>616</v>
      </c>
      <c r="L261">
        <v>1191</v>
      </c>
      <c r="N261">
        <v>1013</v>
      </c>
      <c r="O261" t="s">
        <v>459</v>
      </c>
      <c r="P261" t="s">
        <v>459</v>
      </c>
      <c r="Q261">
        <v>1</v>
      </c>
      <c r="X261">
        <v>146.07</v>
      </c>
      <c r="Y261">
        <v>0</v>
      </c>
      <c r="Z261">
        <v>0</v>
      </c>
      <c r="AA261">
        <v>0</v>
      </c>
      <c r="AB261">
        <v>8.86</v>
      </c>
      <c r="AC261">
        <v>0</v>
      </c>
      <c r="AD261">
        <v>1</v>
      </c>
      <c r="AE261">
        <v>1</v>
      </c>
      <c r="AF261" t="s">
        <v>6</v>
      </c>
      <c r="AG261">
        <v>146.07</v>
      </c>
      <c r="AH261">
        <v>2</v>
      </c>
      <c r="AI261">
        <v>27935729</v>
      </c>
      <c r="AJ261">
        <v>255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ROW(Source!A98)</f>
        <v>98</v>
      </c>
      <c r="B262">
        <v>27935735</v>
      </c>
      <c r="C262">
        <v>27935728</v>
      </c>
      <c r="D262">
        <v>25412928</v>
      </c>
      <c r="E262">
        <v>1</v>
      </c>
      <c r="F262">
        <v>1</v>
      </c>
      <c r="G262">
        <v>1</v>
      </c>
      <c r="H262">
        <v>1</v>
      </c>
      <c r="I262" t="s">
        <v>460</v>
      </c>
      <c r="J262" t="s">
        <v>6</v>
      </c>
      <c r="K262" t="s">
        <v>461</v>
      </c>
      <c r="L262">
        <v>1191</v>
      </c>
      <c r="N262">
        <v>1013</v>
      </c>
      <c r="O262" t="s">
        <v>459</v>
      </c>
      <c r="P262" t="s">
        <v>459</v>
      </c>
      <c r="Q262">
        <v>1</v>
      </c>
      <c r="X262">
        <v>0.67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6</v>
      </c>
      <c r="AG262">
        <v>0.67</v>
      </c>
      <c r="AH262">
        <v>2</v>
      </c>
      <c r="AI262">
        <v>27935730</v>
      </c>
      <c r="AJ262">
        <v>256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ROW(Source!A98)</f>
        <v>98</v>
      </c>
      <c r="B263">
        <v>27935736</v>
      </c>
      <c r="C263">
        <v>27935728</v>
      </c>
      <c r="D263">
        <v>25230514</v>
      </c>
      <c r="E263">
        <v>1</v>
      </c>
      <c r="F263">
        <v>1</v>
      </c>
      <c r="G263">
        <v>1</v>
      </c>
      <c r="H263">
        <v>2</v>
      </c>
      <c r="I263" t="s">
        <v>462</v>
      </c>
      <c r="J263" t="s">
        <v>463</v>
      </c>
      <c r="K263" t="s">
        <v>464</v>
      </c>
      <c r="L263">
        <v>1368</v>
      </c>
      <c r="N263">
        <v>1011</v>
      </c>
      <c r="O263" t="s">
        <v>465</v>
      </c>
      <c r="P263" t="s">
        <v>465</v>
      </c>
      <c r="Q263">
        <v>1</v>
      </c>
      <c r="X263">
        <v>0.67</v>
      </c>
      <c r="Y263">
        <v>0</v>
      </c>
      <c r="Z263">
        <v>31.26</v>
      </c>
      <c r="AA263">
        <v>13.5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0.67</v>
      </c>
      <c r="AH263">
        <v>2</v>
      </c>
      <c r="AI263">
        <v>27935731</v>
      </c>
      <c r="AJ263">
        <v>257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ROW(Source!A98)</f>
        <v>98</v>
      </c>
      <c r="B264">
        <v>27935737</v>
      </c>
      <c r="C264">
        <v>27935728</v>
      </c>
      <c r="D264">
        <v>25149961</v>
      </c>
      <c r="E264">
        <v>1</v>
      </c>
      <c r="F264">
        <v>1</v>
      </c>
      <c r="G264">
        <v>1</v>
      </c>
      <c r="H264">
        <v>3</v>
      </c>
      <c r="I264" t="s">
        <v>558</v>
      </c>
      <c r="J264" t="s">
        <v>559</v>
      </c>
      <c r="K264" t="s">
        <v>560</v>
      </c>
      <c r="L264">
        <v>1339</v>
      </c>
      <c r="N264">
        <v>1007</v>
      </c>
      <c r="O264" t="s">
        <v>133</v>
      </c>
      <c r="P264" t="s">
        <v>133</v>
      </c>
      <c r="Q264">
        <v>1</v>
      </c>
      <c r="X264">
        <v>0.35</v>
      </c>
      <c r="Y264">
        <v>2.44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0.35</v>
      </c>
      <c r="AH264">
        <v>2</v>
      </c>
      <c r="AI264">
        <v>27935732</v>
      </c>
      <c r="AJ264">
        <v>258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ROW(Source!A98)</f>
        <v>98</v>
      </c>
      <c r="B265">
        <v>27935738</v>
      </c>
      <c r="C265">
        <v>27935728</v>
      </c>
      <c r="D265">
        <v>25147242</v>
      </c>
      <c r="E265">
        <v>17</v>
      </c>
      <c r="F265">
        <v>1</v>
      </c>
      <c r="G265">
        <v>1</v>
      </c>
      <c r="H265">
        <v>3</v>
      </c>
      <c r="I265" t="s">
        <v>218</v>
      </c>
      <c r="J265" t="s">
        <v>6</v>
      </c>
      <c r="K265" t="s">
        <v>732</v>
      </c>
      <c r="L265">
        <v>1348</v>
      </c>
      <c r="N265">
        <v>1009</v>
      </c>
      <c r="O265" t="s">
        <v>65</v>
      </c>
      <c r="P265" t="s">
        <v>65</v>
      </c>
      <c r="Q265">
        <v>1000</v>
      </c>
      <c r="X265">
        <v>3.38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6</v>
      </c>
      <c r="AG265">
        <v>3.38</v>
      </c>
      <c r="AH265">
        <v>3</v>
      </c>
      <c r="AI265">
        <v>-1</v>
      </c>
      <c r="AJ265" t="s">
        <v>6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ROW(Source!A98)</f>
        <v>98</v>
      </c>
      <c r="B266">
        <v>27935739</v>
      </c>
      <c r="C266">
        <v>27935728</v>
      </c>
      <c r="D266">
        <v>25155488</v>
      </c>
      <c r="E266">
        <v>1</v>
      </c>
      <c r="F266">
        <v>1</v>
      </c>
      <c r="G266">
        <v>1</v>
      </c>
      <c r="H266">
        <v>3</v>
      </c>
      <c r="I266" t="s">
        <v>617</v>
      </c>
      <c r="J266" t="s">
        <v>618</v>
      </c>
      <c r="K266" t="s">
        <v>619</v>
      </c>
      <c r="L266">
        <v>1339</v>
      </c>
      <c r="N266">
        <v>1007</v>
      </c>
      <c r="O266" t="s">
        <v>133</v>
      </c>
      <c r="P266" t="s">
        <v>133</v>
      </c>
      <c r="Q266">
        <v>1</v>
      </c>
      <c r="X266">
        <v>2.2000000000000002</v>
      </c>
      <c r="Y266">
        <v>510.4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2.2000000000000002</v>
      </c>
      <c r="AH266">
        <v>2</v>
      </c>
      <c r="AI266">
        <v>27935733</v>
      </c>
      <c r="AJ266">
        <v>259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ROW(Source!A99)</f>
        <v>99</v>
      </c>
      <c r="B267">
        <v>27935734</v>
      </c>
      <c r="C267">
        <v>27935728</v>
      </c>
      <c r="D267">
        <v>25413030</v>
      </c>
      <c r="E267">
        <v>1</v>
      </c>
      <c r="F267">
        <v>1</v>
      </c>
      <c r="G267">
        <v>1</v>
      </c>
      <c r="H267">
        <v>1</v>
      </c>
      <c r="I267" t="s">
        <v>615</v>
      </c>
      <c r="J267" t="s">
        <v>6</v>
      </c>
      <c r="K267" t="s">
        <v>616</v>
      </c>
      <c r="L267">
        <v>1191</v>
      </c>
      <c r="N267">
        <v>1013</v>
      </c>
      <c r="O267" t="s">
        <v>459</v>
      </c>
      <c r="P267" t="s">
        <v>459</v>
      </c>
      <c r="Q267">
        <v>1</v>
      </c>
      <c r="X267">
        <v>146.07</v>
      </c>
      <c r="Y267">
        <v>0</v>
      </c>
      <c r="Z267">
        <v>0</v>
      </c>
      <c r="AA267">
        <v>0</v>
      </c>
      <c r="AB267">
        <v>8.86</v>
      </c>
      <c r="AC267">
        <v>0</v>
      </c>
      <c r="AD267">
        <v>1</v>
      </c>
      <c r="AE267">
        <v>1</v>
      </c>
      <c r="AF267" t="s">
        <v>6</v>
      </c>
      <c r="AG267">
        <v>146.07</v>
      </c>
      <c r="AH267">
        <v>2</v>
      </c>
      <c r="AI267">
        <v>27935729</v>
      </c>
      <c r="AJ267">
        <v>260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ROW(Source!A99)</f>
        <v>99</v>
      </c>
      <c r="B268">
        <v>27935735</v>
      </c>
      <c r="C268">
        <v>27935728</v>
      </c>
      <c r="D268">
        <v>25412928</v>
      </c>
      <c r="E268">
        <v>1</v>
      </c>
      <c r="F268">
        <v>1</v>
      </c>
      <c r="G268">
        <v>1</v>
      </c>
      <c r="H268">
        <v>1</v>
      </c>
      <c r="I268" t="s">
        <v>460</v>
      </c>
      <c r="J268" t="s">
        <v>6</v>
      </c>
      <c r="K268" t="s">
        <v>461</v>
      </c>
      <c r="L268">
        <v>1191</v>
      </c>
      <c r="N268">
        <v>1013</v>
      </c>
      <c r="O268" t="s">
        <v>459</v>
      </c>
      <c r="P268" t="s">
        <v>459</v>
      </c>
      <c r="Q268">
        <v>1</v>
      </c>
      <c r="X268">
        <v>0.67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2</v>
      </c>
      <c r="AF268" t="s">
        <v>6</v>
      </c>
      <c r="AG268">
        <v>0.67</v>
      </c>
      <c r="AH268">
        <v>2</v>
      </c>
      <c r="AI268">
        <v>27935730</v>
      </c>
      <c r="AJ268">
        <v>261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ROW(Source!A99)</f>
        <v>99</v>
      </c>
      <c r="B269">
        <v>27935736</v>
      </c>
      <c r="C269">
        <v>27935728</v>
      </c>
      <c r="D269">
        <v>25230514</v>
      </c>
      <c r="E269">
        <v>1</v>
      </c>
      <c r="F269">
        <v>1</v>
      </c>
      <c r="G269">
        <v>1</v>
      </c>
      <c r="H269">
        <v>2</v>
      </c>
      <c r="I269" t="s">
        <v>462</v>
      </c>
      <c r="J269" t="s">
        <v>463</v>
      </c>
      <c r="K269" t="s">
        <v>464</v>
      </c>
      <c r="L269">
        <v>1368</v>
      </c>
      <c r="N269">
        <v>1011</v>
      </c>
      <c r="O269" t="s">
        <v>465</v>
      </c>
      <c r="P269" t="s">
        <v>465</v>
      </c>
      <c r="Q269">
        <v>1</v>
      </c>
      <c r="X269">
        <v>0.67</v>
      </c>
      <c r="Y269">
        <v>0</v>
      </c>
      <c r="Z269">
        <v>31.26</v>
      </c>
      <c r="AA269">
        <v>13.5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0.67</v>
      </c>
      <c r="AH269">
        <v>2</v>
      </c>
      <c r="AI269">
        <v>27935731</v>
      </c>
      <c r="AJ269">
        <v>262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ROW(Source!A99)</f>
        <v>99</v>
      </c>
      <c r="B270">
        <v>27935737</v>
      </c>
      <c r="C270">
        <v>27935728</v>
      </c>
      <c r="D270">
        <v>25149961</v>
      </c>
      <c r="E270">
        <v>1</v>
      </c>
      <c r="F270">
        <v>1</v>
      </c>
      <c r="G270">
        <v>1</v>
      </c>
      <c r="H270">
        <v>3</v>
      </c>
      <c r="I270" t="s">
        <v>558</v>
      </c>
      <c r="J270" t="s">
        <v>559</v>
      </c>
      <c r="K270" t="s">
        <v>560</v>
      </c>
      <c r="L270">
        <v>1339</v>
      </c>
      <c r="N270">
        <v>1007</v>
      </c>
      <c r="O270" t="s">
        <v>133</v>
      </c>
      <c r="P270" t="s">
        <v>133</v>
      </c>
      <c r="Q270">
        <v>1</v>
      </c>
      <c r="X270">
        <v>0.35</v>
      </c>
      <c r="Y270">
        <v>2.44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0.35</v>
      </c>
      <c r="AH270">
        <v>2</v>
      </c>
      <c r="AI270">
        <v>27935732</v>
      </c>
      <c r="AJ270">
        <v>263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ROW(Source!A99)</f>
        <v>99</v>
      </c>
      <c r="B271">
        <v>27935738</v>
      </c>
      <c r="C271">
        <v>27935728</v>
      </c>
      <c r="D271">
        <v>25147242</v>
      </c>
      <c r="E271">
        <v>17</v>
      </c>
      <c r="F271">
        <v>1</v>
      </c>
      <c r="G271">
        <v>1</v>
      </c>
      <c r="H271">
        <v>3</v>
      </c>
      <c r="I271" t="s">
        <v>218</v>
      </c>
      <c r="J271" t="s">
        <v>6</v>
      </c>
      <c r="K271" t="s">
        <v>732</v>
      </c>
      <c r="L271">
        <v>1348</v>
      </c>
      <c r="N271">
        <v>1009</v>
      </c>
      <c r="O271" t="s">
        <v>65</v>
      </c>
      <c r="P271" t="s">
        <v>65</v>
      </c>
      <c r="Q271">
        <v>1000</v>
      </c>
      <c r="X271">
        <v>3.38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 t="s">
        <v>6</v>
      </c>
      <c r="AG271">
        <v>3.38</v>
      </c>
      <c r="AH271">
        <v>3</v>
      </c>
      <c r="AI271">
        <v>-1</v>
      </c>
      <c r="AJ271" t="s">
        <v>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ROW(Source!A99)</f>
        <v>99</v>
      </c>
      <c r="B272">
        <v>27935739</v>
      </c>
      <c r="C272">
        <v>27935728</v>
      </c>
      <c r="D272">
        <v>25155488</v>
      </c>
      <c r="E272">
        <v>1</v>
      </c>
      <c r="F272">
        <v>1</v>
      </c>
      <c r="G272">
        <v>1</v>
      </c>
      <c r="H272">
        <v>3</v>
      </c>
      <c r="I272" t="s">
        <v>617</v>
      </c>
      <c r="J272" t="s">
        <v>618</v>
      </c>
      <c r="K272" t="s">
        <v>619</v>
      </c>
      <c r="L272">
        <v>1339</v>
      </c>
      <c r="N272">
        <v>1007</v>
      </c>
      <c r="O272" t="s">
        <v>133</v>
      </c>
      <c r="P272" t="s">
        <v>133</v>
      </c>
      <c r="Q272">
        <v>1</v>
      </c>
      <c r="X272">
        <v>2.2000000000000002</v>
      </c>
      <c r="Y272">
        <v>510.4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2.2000000000000002</v>
      </c>
      <c r="AH272">
        <v>2</v>
      </c>
      <c r="AI272">
        <v>27935733</v>
      </c>
      <c r="AJ272">
        <v>264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ROW(Source!A100)</f>
        <v>100</v>
      </c>
      <c r="B273">
        <v>27935747</v>
      </c>
      <c r="C273">
        <v>27935740</v>
      </c>
      <c r="D273">
        <v>25418547</v>
      </c>
      <c r="E273">
        <v>1</v>
      </c>
      <c r="F273">
        <v>1</v>
      </c>
      <c r="G273">
        <v>1</v>
      </c>
      <c r="H273">
        <v>1</v>
      </c>
      <c r="I273" t="s">
        <v>466</v>
      </c>
      <c r="J273" t="s">
        <v>6</v>
      </c>
      <c r="K273" t="s">
        <v>467</v>
      </c>
      <c r="L273">
        <v>1191</v>
      </c>
      <c r="N273">
        <v>1013</v>
      </c>
      <c r="O273" t="s">
        <v>459</v>
      </c>
      <c r="P273" t="s">
        <v>459</v>
      </c>
      <c r="Q273">
        <v>1</v>
      </c>
      <c r="X273">
        <v>65.94</v>
      </c>
      <c r="Y273">
        <v>0</v>
      </c>
      <c r="Z273">
        <v>0</v>
      </c>
      <c r="AA273">
        <v>0</v>
      </c>
      <c r="AB273">
        <v>8.74</v>
      </c>
      <c r="AC273">
        <v>0</v>
      </c>
      <c r="AD273">
        <v>1</v>
      </c>
      <c r="AE273">
        <v>1</v>
      </c>
      <c r="AF273" t="s">
        <v>6</v>
      </c>
      <c r="AG273">
        <v>65.94</v>
      </c>
      <c r="AH273">
        <v>2</v>
      </c>
      <c r="AI273">
        <v>27935741</v>
      </c>
      <c r="AJ273">
        <v>265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ROW(Source!A100)</f>
        <v>100</v>
      </c>
      <c r="B274">
        <v>27935748</v>
      </c>
      <c r="C274">
        <v>27935740</v>
      </c>
      <c r="D274">
        <v>25412928</v>
      </c>
      <c r="E274">
        <v>1</v>
      </c>
      <c r="F274">
        <v>1</v>
      </c>
      <c r="G274">
        <v>1</v>
      </c>
      <c r="H274">
        <v>1</v>
      </c>
      <c r="I274" t="s">
        <v>460</v>
      </c>
      <c r="J274" t="s">
        <v>6</v>
      </c>
      <c r="K274" t="s">
        <v>461</v>
      </c>
      <c r="L274">
        <v>1191</v>
      </c>
      <c r="N274">
        <v>1013</v>
      </c>
      <c r="O274" t="s">
        <v>459</v>
      </c>
      <c r="P274" t="s">
        <v>459</v>
      </c>
      <c r="Q274">
        <v>1</v>
      </c>
      <c r="X274">
        <v>0.01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6</v>
      </c>
      <c r="AG274">
        <v>0.01</v>
      </c>
      <c r="AH274">
        <v>2</v>
      </c>
      <c r="AI274">
        <v>27935742</v>
      </c>
      <c r="AJ274">
        <v>266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ROW(Source!A100)</f>
        <v>100</v>
      </c>
      <c r="B275">
        <v>27935749</v>
      </c>
      <c r="C275">
        <v>27935740</v>
      </c>
      <c r="D275">
        <v>25231607</v>
      </c>
      <c r="E275">
        <v>1</v>
      </c>
      <c r="F275">
        <v>1</v>
      </c>
      <c r="G275">
        <v>1</v>
      </c>
      <c r="H275">
        <v>2</v>
      </c>
      <c r="I275" t="s">
        <v>468</v>
      </c>
      <c r="J275" t="s">
        <v>469</v>
      </c>
      <c r="K275" t="s">
        <v>470</v>
      </c>
      <c r="L275">
        <v>1368</v>
      </c>
      <c r="N275">
        <v>1011</v>
      </c>
      <c r="O275" t="s">
        <v>465</v>
      </c>
      <c r="P275" t="s">
        <v>465</v>
      </c>
      <c r="Q275">
        <v>1</v>
      </c>
      <c r="X275">
        <v>0.01</v>
      </c>
      <c r="Y275">
        <v>0</v>
      </c>
      <c r="Z275">
        <v>65.709999999999994</v>
      </c>
      <c r="AA275">
        <v>11.6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0.01</v>
      </c>
      <c r="AH275">
        <v>2</v>
      </c>
      <c r="AI275">
        <v>27935743</v>
      </c>
      <c r="AJ275">
        <v>267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ROW(Source!A100)</f>
        <v>100</v>
      </c>
      <c r="B276">
        <v>27935750</v>
      </c>
      <c r="C276">
        <v>27935740</v>
      </c>
      <c r="D276">
        <v>25153690</v>
      </c>
      <c r="E276">
        <v>1</v>
      </c>
      <c r="F276">
        <v>1</v>
      </c>
      <c r="G276">
        <v>1</v>
      </c>
      <c r="H276">
        <v>3</v>
      </c>
      <c r="I276" t="s">
        <v>495</v>
      </c>
      <c r="J276" t="s">
        <v>496</v>
      </c>
      <c r="K276" t="s">
        <v>497</v>
      </c>
      <c r="L276">
        <v>1346</v>
      </c>
      <c r="N276">
        <v>1009</v>
      </c>
      <c r="O276" t="s">
        <v>60</v>
      </c>
      <c r="P276" t="s">
        <v>60</v>
      </c>
      <c r="Q276">
        <v>1</v>
      </c>
      <c r="X276">
        <v>0.1</v>
      </c>
      <c r="Y276">
        <v>1.82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0.1</v>
      </c>
      <c r="AH276">
        <v>2</v>
      </c>
      <c r="AI276">
        <v>27935744</v>
      </c>
      <c r="AJ276">
        <v>268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ROW(Source!A100)</f>
        <v>100</v>
      </c>
      <c r="B277">
        <v>27935751</v>
      </c>
      <c r="C277">
        <v>27935740</v>
      </c>
      <c r="D277">
        <v>25145744</v>
      </c>
      <c r="E277">
        <v>17</v>
      </c>
      <c r="F277">
        <v>1</v>
      </c>
      <c r="G277">
        <v>1</v>
      </c>
      <c r="H277">
        <v>3</v>
      </c>
      <c r="I277" t="s">
        <v>745</v>
      </c>
      <c r="J277" t="s">
        <v>6</v>
      </c>
      <c r="K277" t="s">
        <v>746</v>
      </c>
      <c r="L277">
        <v>1348</v>
      </c>
      <c r="N277">
        <v>1009</v>
      </c>
      <c r="O277" t="s">
        <v>65</v>
      </c>
      <c r="P277" t="s">
        <v>65</v>
      </c>
      <c r="Q277">
        <v>1000</v>
      </c>
      <c r="X277">
        <v>1.61E-2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 t="s">
        <v>6</v>
      </c>
      <c r="AG277">
        <v>1.61E-2</v>
      </c>
      <c r="AH277">
        <v>3</v>
      </c>
      <c r="AI277">
        <v>-1</v>
      </c>
      <c r="AJ277" t="s">
        <v>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ROW(Source!A100)</f>
        <v>100</v>
      </c>
      <c r="B278">
        <v>27935752</v>
      </c>
      <c r="C278">
        <v>27935740</v>
      </c>
      <c r="D278">
        <v>25187091</v>
      </c>
      <c r="E278">
        <v>1</v>
      </c>
      <c r="F278">
        <v>1</v>
      </c>
      <c r="G278">
        <v>1</v>
      </c>
      <c r="H278">
        <v>3</v>
      </c>
      <c r="I278" t="s">
        <v>620</v>
      </c>
      <c r="J278" t="s">
        <v>621</v>
      </c>
      <c r="K278" t="s">
        <v>622</v>
      </c>
      <c r="L278">
        <v>1348</v>
      </c>
      <c r="N278">
        <v>1009</v>
      </c>
      <c r="O278" t="s">
        <v>65</v>
      </c>
      <c r="P278" t="s">
        <v>65</v>
      </c>
      <c r="Q278">
        <v>1000</v>
      </c>
      <c r="X278">
        <v>8.9999999999999993E-3</v>
      </c>
      <c r="Y278">
        <v>16950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8.9999999999999993E-3</v>
      </c>
      <c r="AH278">
        <v>2</v>
      </c>
      <c r="AI278">
        <v>27935745</v>
      </c>
      <c r="AJ278">
        <v>270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ROW(Source!A101)</f>
        <v>101</v>
      </c>
      <c r="B279">
        <v>27935747</v>
      </c>
      <c r="C279">
        <v>27935740</v>
      </c>
      <c r="D279">
        <v>25418547</v>
      </c>
      <c r="E279">
        <v>1</v>
      </c>
      <c r="F279">
        <v>1</v>
      </c>
      <c r="G279">
        <v>1</v>
      </c>
      <c r="H279">
        <v>1</v>
      </c>
      <c r="I279" t="s">
        <v>466</v>
      </c>
      <c r="J279" t="s">
        <v>6</v>
      </c>
      <c r="K279" t="s">
        <v>467</v>
      </c>
      <c r="L279">
        <v>1191</v>
      </c>
      <c r="N279">
        <v>1013</v>
      </c>
      <c r="O279" t="s">
        <v>459</v>
      </c>
      <c r="P279" t="s">
        <v>459</v>
      </c>
      <c r="Q279">
        <v>1</v>
      </c>
      <c r="X279">
        <v>65.94</v>
      </c>
      <c r="Y279">
        <v>0</v>
      </c>
      <c r="Z279">
        <v>0</v>
      </c>
      <c r="AA279">
        <v>0</v>
      </c>
      <c r="AB279">
        <v>8.74</v>
      </c>
      <c r="AC279">
        <v>0</v>
      </c>
      <c r="AD279">
        <v>1</v>
      </c>
      <c r="AE279">
        <v>1</v>
      </c>
      <c r="AF279" t="s">
        <v>6</v>
      </c>
      <c r="AG279">
        <v>65.94</v>
      </c>
      <c r="AH279">
        <v>2</v>
      </c>
      <c r="AI279">
        <v>27935741</v>
      </c>
      <c r="AJ279">
        <v>271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ROW(Source!A101)</f>
        <v>101</v>
      </c>
      <c r="B280">
        <v>27935748</v>
      </c>
      <c r="C280">
        <v>27935740</v>
      </c>
      <c r="D280">
        <v>25412928</v>
      </c>
      <c r="E280">
        <v>1</v>
      </c>
      <c r="F280">
        <v>1</v>
      </c>
      <c r="G280">
        <v>1</v>
      </c>
      <c r="H280">
        <v>1</v>
      </c>
      <c r="I280" t="s">
        <v>460</v>
      </c>
      <c r="J280" t="s">
        <v>6</v>
      </c>
      <c r="K280" t="s">
        <v>461</v>
      </c>
      <c r="L280">
        <v>1191</v>
      </c>
      <c r="N280">
        <v>1013</v>
      </c>
      <c r="O280" t="s">
        <v>459</v>
      </c>
      <c r="P280" t="s">
        <v>459</v>
      </c>
      <c r="Q280">
        <v>1</v>
      </c>
      <c r="X280">
        <v>0.01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6</v>
      </c>
      <c r="AG280">
        <v>0.01</v>
      </c>
      <c r="AH280">
        <v>2</v>
      </c>
      <c r="AI280">
        <v>27935742</v>
      </c>
      <c r="AJ280">
        <v>272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ROW(Source!A101)</f>
        <v>101</v>
      </c>
      <c r="B281">
        <v>27935749</v>
      </c>
      <c r="C281">
        <v>27935740</v>
      </c>
      <c r="D281">
        <v>25231607</v>
      </c>
      <c r="E281">
        <v>1</v>
      </c>
      <c r="F281">
        <v>1</v>
      </c>
      <c r="G281">
        <v>1</v>
      </c>
      <c r="H281">
        <v>2</v>
      </c>
      <c r="I281" t="s">
        <v>468</v>
      </c>
      <c r="J281" t="s">
        <v>469</v>
      </c>
      <c r="K281" t="s">
        <v>470</v>
      </c>
      <c r="L281">
        <v>1368</v>
      </c>
      <c r="N281">
        <v>1011</v>
      </c>
      <c r="O281" t="s">
        <v>465</v>
      </c>
      <c r="P281" t="s">
        <v>465</v>
      </c>
      <c r="Q281">
        <v>1</v>
      </c>
      <c r="X281">
        <v>0.01</v>
      </c>
      <c r="Y281">
        <v>0</v>
      </c>
      <c r="Z281">
        <v>65.709999999999994</v>
      </c>
      <c r="AA281">
        <v>11.6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0.01</v>
      </c>
      <c r="AH281">
        <v>2</v>
      </c>
      <c r="AI281">
        <v>27935743</v>
      </c>
      <c r="AJ281">
        <v>273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ROW(Source!A101)</f>
        <v>101</v>
      </c>
      <c r="B282">
        <v>27935750</v>
      </c>
      <c r="C282">
        <v>27935740</v>
      </c>
      <c r="D282">
        <v>25153690</v>
      </c>
      <c r="E282">
        <v>1</v>
      </c>
      <c r="F282">
        <v>1</v>
      </c>
      <c r="G282">
        <v>1</v>
      </c>
      <c r="H282">
        <v>3</v>
      </c>
      <c r="I282" t="s">
        <v>495</v>
      </c>
      <c r="J282" t="s">
        <v>496</v>
      </c>
      <c r="K282" t="s">
        <v>497</v>
      </c>
      <c r="L282">
        <v>1346</v>
      </c>
      <c r="N282">
        <v>1009</v>
      </c>
      <c r="O282" t="s">
        <v>60</v>
      </c>
      <c r="P282" t="s">
        <v>60</v>
      </c>
      <c r="Q282">
        <v>1</v>
      </c>
      <c r="X282">
        <v>0.1</v>
      </c>
      <c r="Y282">
        <v>1.82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0.1</v>
      </c>
      <c r="AH282">
        <v>2</v>
      </c>
      <c r="AI282">
        <v>27935744</v>
      </c>
      <c r="AJ282">
        <v>274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ROW(Source!A101)</f>
        <v>101</v>
      </c>
      <c r="B283">
        <v>27935751</v>
      </c>
      <c r="C283">
        <v>27935740</v>
      </c>
      <c r="D283">
        <v>25145744</v>
      </c>
      <c r="E283">
        <v>17</v>
      </c>
      <c r="F283">
        <v>1</v>
      </c>
      <c r="G283">
        <v>1</v>
      </c>
      <c r="H283">
        <v>3</v>
      </c>
      <c r="I283" t="s">
        <v>745</v>
      </c>
      <c r="J283" t="s">
        <v>6</v>
      </c>
      <c r="K283" t="s">
        <v>746</v>
      </c>
      <c r="L283">
        <v>1348</v>
      </c>
      <c r="N283">
        <v>1009</v>
      </c>
      <c r="O283" t="s">
        <v>65</v>
      </c>
      <c r="P283" t="s">
        <v>65</v>
      </c>
      <c r="Q283">
        <v>1000</v>
      </c>
      <c r="X283">
        <v>1.61E-2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 t="s">
        <v>6</v>
      </c>
      <c r="AG283">
        <v>1.61E-2</v>
      </c>
      <c r="AH283">
        <v>3</v>
      </c>
      <c r="AI283">
        <v>-1</v>
      </c>
      <c r="AJ283" t="s">
        <v>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ROW(Source!A101)</f>
        <v>101</v>
      </c>
      <c r="B284">
        <v>27935752</v>
      </c>
      <c r="C284">
        <v>27935740</v>
      </c>
      <c r="D284">
        <v>25187091</v>
      </c>
      <c r="E284">
        <v>1</v>
      </c>
      <c r="F284">
        <v>1</v>
      </c>
      <c r="G284">
        <v>1</v>
      </c>
      <c r="H284">
        <v>3</v>
      </c>
      <c r="I284" t="s">
        <v>620</v>
      </c>
      <c r="J284" t="s">
        <v>621</v>
      </c>
      <c r="K284" t="s">
        <v>622</v>
      </c>
      <c r="L284">
        <v>1348</v>
      </c>
      <c r="N284">
        <v>1009</v>
      </c>
      <c r="O284" t="s">
        <v>65</v>
      </c>
      <c r="P284" t="s">
        <v>65</v>
      </c>
      <c r="Q284">
        <v>1000</v>
      </c>
      <c r="X284">
        <v>8.9999999999999993E-3</v>
      </c>
      <c r="Y284">
        <v>16950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8.9999999999999993E-3</v>
      </c>
      <c r="AH284">
        <v>2</v>
      </c>
      <c r="AI284">
        <v>27935745</v>
      </c>
      <c r="AJ284">
        <v>276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ROW(Source!A104)</f>
        <v>104</v>
      </c>
      <c r="B285">
        <v>27935759</v>
      </c>
      <c r="C285">
        <v>27935754</v>
      </c>
      <c r="D285">
        <v>25413300</v>
      </c>
      <c r="E285">
        <v>1</v>
      </c>
      <c r="F285">
        <v>1</v>
      </c>
      <c r="G285">
        <v>1</v>
      </c>
      <c r="H285">
        <v>1</v>
      </c>
      <c r="I285" t="s">
        <v>491</v>
      </c>
      <c r="J285" t="s">
        <v>6</v>
      </c>
      <c r="K285" t="s">
        <v>492</v>
      </c>
      <c r="L285">
        <v>1191</v>
      </c>
      <c r="N285">
        <v>1013</v>
      </c>
      <c r="O285" t="s">
        <v>459</v>
      </c>
      <c r="P285" t="s">
        <v>459</v>
      </c>
      <c r="Q285">
        <v>1</v>
      </c>
      <c r="X285">
        <v>141.19999999999999</v>
      </c>
      <c r="Y285">
        <v>0</v>
      </c>
      <c r="Z285">
        <v>0</v>
      </c>
      <c r="AA285">
        <v>0</v>
      </c>
      <c r="AB285">
        <v>8.5299999999999994</v>
      </c>
      <c r="AC285">
        <v>0</v>
      </c>
      <c r="AD285">
        <v>1</v>
      </c>
      <c r="AE285">
        <v>1</v>
      </c>
      <c r="AF285" t="s">
        <v>6</v>
      </c>
      <c r="AG285">
        <v>141.19999999999999</v>
      </c>
      <c r="AH285">
        <v>2</v>
      </c>
      <c r="AI285">
        <v>27935755</v>
      </c>
      <c r="AJ285">
        <v>277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ROW(Source!A104)</f>
        <v>104</v>
      </c>
      <c r="B286">
        <v>27935760</v>
      </c>
      <c r="C286">
        <v>27935754</v>
      </c>
      <c r="D286">
        <v>25231936</v>
      </c>
      <c r="E286">
        <v>1</v>
      </c>
      <c r="F286">
        <v>1</v>
      </c>
      <c r="G286">
        <v>1</v>
      </c>
      <c r="H286">
        <v>2</v>
      </c>
      <c r="I286" t="s">
        <v>606</v>
      </c>
      <c r="J286" t="s">
        <v>607</v>
      </c>
      <c r="K286" t="s">
        <v>608</v>
      </c>
      <c r="L286">
        <v>1368</v>
      </c>
      <c r="N286">
        <v>1011</v>
      </c>
      <c r="O286" t="s">
        <v>465</v>
      </c>
      <c r="P286" t="s">
        <v>465</v>
      </c>
      <c r="Q286">
        <v>1</v>
      </c>
      <c r="X286">
        <v>6.72</v>
      </c>
      <c r="Y286">
        <v>0</v>
      </c>
      <c r="Z286">
        <v>32.5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6.72</v>
      </c>
      <c r="AH286">
        <v>2</v>
      </c>
      <c r="AI286">
        <v>27935756</v>
      </c>
      <c r="AJ286">
        <v>278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ROW(Source!A104)</f>
        <v>104</v>
      </c>
      <c r="B287">
        <v>27935761</v>
      </c>
      <c r="C287">
        <v>27935754</v>
      </c>
      <c r="D287">
        <v>25232531</v>
      </c>
      <c r="E287">
        <v>1</v>
      </c>
      <c r="F287">
        <v>1</v>
      </c>
      <c r="G287">
        <v>1</v>
      </c>
      <c r="H287">
        <v>2</v>
      </c>
      <c r="I287" t="s">
        <v>609</v>
      </c>
      <c r="J287" t="s">
        <v>610</v>
      </c>
      <c r="K287" t="s">
        <v>611</v>
      </c>
      <c r="L287">
        <v>1368</v>
      </c>
      <c r="N287">
        <v>1011</v>
      </c>
      <c r="O287" t="s">
        <v>465</v>
      </c>
      <c r="P287" t="s">
        <v>465</v>
      </c>
      <c r="Q287">
        <v>1</v>
      </c>
      <c r="X287">
        <v>13.44</v>
      </c>
      <c r="Y287">
        <v>0</v>
      </c>
      <c r="Z287">
        <v>1.53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13.44</v>
      </c>
      <c r="AH287">
        <v>2</v>
      </c>
      <c r="AI287">
        <v>27935757</v>
      </c>
      <c r="AJ287">
        <v>279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ROW(Source!A104)</f>
        <v>104</v>
      </c>
      <c r="B288">
        <v>27935762</v>
      </c>
      <c r="C288">
        <v>27935754</v>
      </c>
      <c r="D288">
        <v>25147242</v>
      </c>
      <c r="E288">
        <v>17</v>
      </c>
      <c r="F288">
        <v>1</v>
      </c>
      <c r="G288">
        <v>1</v>
      </c>
      <c r="H288">
        <v>3</v>
      </c>
      <c r="I288" t="s">
        <v>218</v>
      </c>
      <c r="J288" t="s">
        <v>6</v>
      </c>
      <c r="K288" t="s">
        <v>219</v>
      </c>
      <c r="L288">
        <v>1348</v>
      </c>
      <c r="N288">
        <v>1009</v>
      </c>
      <c r="O288" t="s">
        <v>65</v>
      </c>
      <c r="P288" t="s">
        <v>65</v>
      </c>
      <c r="Q288">
        <v>1000</v>
      </c>
      <c r="X288">
        <v>19.399999999999999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6</v>
      </c>
      <c r="AG288">
        <v>19.399999999999999</v>
      </c>
      <c r="AH288">
        <v>2</v>
      </c>
      <c r="AI288">
        <v>27935758</v>
      </c>
      <c r="AJ288">
        <v>280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ROW(Source!A105)</f>
        <v>105</v>
      </c>
      <c r="B289">
        <v>27935759</v>
      </c>
      <c r="C289">
        <v>27935754</v>
      </c>
      <c r="D289">
        <v>25413300</v>
      </c>
      <c r="E289">
        <v>1</v>
      </c>
      <c r="F289">
        <v>1</v>
      </c>
      <c r="G289">
        <v>1</v>
      </c>
      <c r="H289">
        <v>1</v>
      </c>
      <c r="I289" t="s">
        <v>491</v>
      </c>
      <c r="J289" t="s">
        <v>6</v>
      </c>
      <c r="K289" t="s">
        <v>492</v>
      </c>
      <c r="L289">
        <v>1191</v>
      </c>
      <c r="N289">
        <v>1013</v>
      </c>
      <c r="O289" t="s">
        <v>459</v>
      </c>
      <c r="P289" t="s">
        <v>459</v>
      </c>
      <c r="Q289">
        <v>1</v>
      </c>
      <c r="X289">
        <v>141.19999999999999</v>
      </c>
      <c r="Y289">
        <v>0</v>
      </c>
      <c r="Z289">
        <v>0</v>
      </c>
      <c r="AA289">
        <v>0</v>
      </c>
      <c r="AB289">
        <v>8.5299999999999994</v>
      </c>
      <c r="AC289">
        <v>0</v>
      </c>
      <c r="AD289">
        <v>1</v>
      </c>
      <c r="AE289">
        <v>1</v>
      </c>
      <c r="AF289" t="s">
        <v>6</v>
      </c>
      <c r="AG289">
        <v>141.19999999999999</v>
      </c>
      <c r="AH289">
        <v>2</v>
      </c>
      <c r="AI289">
        <v>27935755</v>
      </c>
      <c r="AJ289">
        <v>281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ROW(Source!A105)</f>
        <v>105</v>
      </c>
      <c r="B290">
        <v>27935760</v>
      </c>
      <c r="C290">
        <v>27935754</v>
      </c>
      <c r="D290">
        <v>25231936</v>
      </c>
      <c r="E290">
        <v>1</v>
      </c>
      <c r="F290">
        <v>1</v>
      </c>
      <c r="G290">
        <v>1</v>
      </c>
      <c r="H290">
        <v>2</v>
      </c>
      <c r="I290" t="s">
        <v>606</v>
      </c>
      <c r="J290" t="s">
        <v>607</v>
      </c>
      <c r="K290" t="s">
        <v>608</v>
      </c>
      <c r="L290">
        <v>1368</v>
      </c>
      <c r="N290">
        <v>1011</v>
      </c>
      <c r="O290" t="s">
        <v>465</v>
      </c>
      <c r="P290" t="s">
        <v>465</v>
      </c>
      <c r="Q290">
        <v>1</v>
      </c>
      <c r="X290">
        <v>6.72</v>
      </c>
      <c r="Y290">
        <v>0</v>
      </c>
      <c r="Z290">
        <v>32.5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6.72</v>
      </c>
      <c r="AH290">
        <v>2</v>
      </c>
      <c r="AI290">
        <v>27935756</v>
      </c>
      <c r="AJ290">
        <v>282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ROW(Source!A105)</f>
        <v>105</v>
      </c>
      <c r="B291">
        <v>27935761</v>
      </c>
      <c r="C291">
        <v>27935754</v>
      </c>
      <c r="D291">
        <v>25232531</v>
      </c>
      <c r="E291">
        <v>1</v>
      </c>
      <c r="F291">
        <v>1</v>
      </c>
      <c r="G291">
        <v>1</v>
      </c>
      <c r="H291">
        <v>2</v>
      </c>
      <c r="I291" t="s">
        <v>609</v>
      </c>
      <c r="J291" t="s">
        <v>610</v>
      </c>
      <c r="K291" t="s">
        <v>611</v>
      </c>
      <c r="L291">
        <v>1368</v>
      </c>
      <c r="N291">
        <v>1011</v>
      </c>
      <c r="O291" t="s">
        <v>465</v>
      </c>
      <c r="P291" t="s">
        <v>465</v>
      </c>
      <c r="Q291">
        <v>1</v>
      </c>
      <c r="X291">
        <v>13.44</v>
      </c>
      <c r="Y291">
        <v>0</v>
      </c>
      <c r="Z291">
        <v>1.53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13.44</v>
      </c>
      <c r="AH291">
        <v>2</v>
      </c>
      <c r="AI291">
        <v>27935757</v>
      </c>
      <c r="AJ291">
        <v>283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ROW(Source!A105)</f>
        <v>105</v>
      </c>
      <c r="B292">
        <v>27935762</v>
      </c>
      <c r="C292">
        <v>27935754</v>
      </c>
      <c r="D292">
        <v>25147242</v>
      </c>
      <c r="E292">
        <v>17</v>
      </c>
      <c r="F292">
        <v>1</v>
      </c>
      <c r="G292">
        <v>1</v>
      </c>
      <c r="H292">
        <v>3</v>
      </c>
      <c r="I292" t="s">
        <v>218</v>
      </c>
      <c r="J292" t="s">
        <v>6</v>
      </c>
      <c r="K292" t="s">
        <v>219</v>
      </c>
      <c r="L292">
        <v>1348</v>
      </c>
      <c r="N292">
        <v>1009</v>
      </c>
      <c r="O292" t="s">
        <v>65</v>
      </c>
      <c r="P292" t="s">
        <v>65</v>
      </c>
      <c r="Q292">
        <v>1000</v>
      </c>
      <c r="X292">
        <v>19.399999999999999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6</v>
      </c>
      <c r="AG292">
        <v>19.399999999999999</v>
      </c>
      <c r="AH292">
        <v>2</v>
      </c>
      <c r="AI292">
        <v>27935758</v>
      </c>
      <c r="AJ292">
        <v>284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ROW(Source!A108)</f>
        <v>108</v>
      </c>
      <c r="B293">
        <v>27935769</v>
      </c>
      <c r="C293">
        <v>27935764</v>
      </c>
      <c r="D293">
        <v>25413300</v>
      </c>
      <c r="E293">
        <v>1</v>
      </c>
      <c r="F293">
        <v>1</v>
      </c>
      <c r="G293">
        <v>1</v>
      </c>
      <c r="H293">
        <v>1</v>
      </c>
      <c r="I293" t="s">
        <v>491</v>
      </c>
      <c r="J293" t="s">
        <v>6</v>
      </c>
      <c r="K293" t="s">
        <v>492</v>
      </c>
      <c r="L293">
        <v>1191</v>
      </c>
      <c r="N293">
        <v>1013</v>
      </c>
      <c r="O293" t="s">
        <v>459</v>
      </c>
      <c r="P293" t="s">
        <v>459</v>
      </c>
      <c r="Q293">
        <v>1</v>
      </c>
      <c r="X293">
        <v>34.56</v>
      </c>
      <c r="Y293">
        <v>0</v>
      </c>
      <c r="Z293">
        <v>0</v>
      </c>
      <c r="AA293">
        <v>0</v>
      </c>
      <c r="AB293">
        <v>8.5299999999999994</v>
      </c>
      <c r="AC293">
        <v>0</v>
      </c>
      <c r="AD293">
        <v>1</v>
      </c>
      <c r="AE293">
        <v>1</v>
      </c>
      <c r="AF293" t="s">
        <v>28</v>
      </c>
      <c r="AG293">
        <v>39.744</v>
      </c>
      <c r="AH293">
        <v>2</v>
      </c>
      <c r="AI293">
        <v>27935765</v>
      </c>
      <c r="AJ293">
        <v>285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ROW(Source!A108)</f>
        <v>108</v>
      </c>
      <c r="B294">
        <v>27935770</v>
      </c>
      <c r="C294">
        <v>27935764</v>
      </c>
      <c r="D294">
        <v>25175756</v>
      </c>
      <c r="E294">
        <v>1</v>
      </c>
      <c r="F294">
        <v>1</v>
      </c>
      <c r="G294">
        <v>1</v>
      </c>
      <c r="H294">
        <v>3</v>
      </c>
      <c r="I294" t="s">
        <v>623</v>
      </c>
      <c r="J294" t="s">
        <v>624</v>
      </c>
      <c r="K294" t="s">
        <v>625</v>
      </c>
      <c r="L294">
        <v>1327</v>
      </c>
      <c r="N294">
        <v>1005</v>
      </c>
      <c r="O294" t="s">
        <v>35</v>
      </c>
      <c r="P294" t="s">
        <v>35</v>
      </c>
      <c r="Q294">
        <v>1</v>
      </c>
      <c r="X294">
        <v>100</v>
      </c>
      <c r="Y294">
        <v>701.31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100</v>
      </c>
      <c r="AH294">
        <v>2</v>
      </c>
      <c r="AI294">
        <v>27935766</v>
      </c>
      <c r="AJ294">
        <v>287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ROW(Source!A109)</f>
        <v>109</v>
      </c>
      <c r="B295">
        <v>27935769</v>
      </c>
      <c r="C295">
        <v>27935764</v>
      </c>
      <c r="D295">
        <v>25413300</v>
      </c>
      <c r="E295">
        <v>1</v>
      </c>
      <c r="F295">
        <v>1</v>
      </c>
      <c r="G295">
        <v>1</v>
      </c>
      <c r="H295">
        <v>1</v>
      </c>
      <c r="I295" t="s">
        <v>491</v>
      </c>
      <c r="J295" t="s">
        <v>6</v>
      </c>
      <c r="K295" t="s">
        <v>492</v>
      </c>
      <c r="L295">
        <v>1191</v>
      </c>
      <c r="N295">
        <v>1013</v>
      </c>
      <c r="O295" t="s">
        <v>459</v>
      </c>
      <c r="P295" t="s">
        <v>459</v>
      </c>
      <c r="Q295">
        <v>1</v>
      </c>
      <c r="X295">
        <v>34.56</v>
      </c>
      <c r="Y295">
        <v>0</v>
      </c>
      <c r="Z295">
        <v>0</v>
      </c>
      <c r="AA295">
        <v>0</v>
      </c>
      <c r="AB295">
        <v>8.5299999999999994</v>
      </c>
      <c r="AC295">
        <v>0</v>
      </c>
      <c r="AD295">
        <v>1</v>
      </c>
      <c r="AE295">
        <v>1</v>
      </c>
      <c r="AF295" t="s">
        <v>28</v>
      </c>
      <c r="AG295">
        <v>39.744</v>
      </c>
      <c r="AH295">
        <v>2</v>
      </c>
      <c r="AI295">
        <v>27935765</v>
      </c>
      <c r="AJ295">
        <v>289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ROW(Source!A109)</f>
        <v>109</v>
      </c>
      <c r="B296">
        <v>27935770</v>
      </c>
      <c r="C296">
        <v>27935764</v>
      </c>
      <c r="D296">
        <v>25175756</v>
      </c>
      <c r="E296">
        <v>1</v>
      </c>
      <c r="F296">
        <v>1</v>
      </c>
      <c r="G296">
        <v>1</v>
      </c>
      <c r="H296">
        <v>3</v>
      </c>
      <c r="I296" t="s">
        <v>623</v>
      </c>
      <c r="J296" t="s">
        <v>624</v>
      </c>
      <c r="K296" t="s">
        <v>625</v>
      </c>
      <c r="L296">
        <v>1327</v>
      </c>
      <c r="N296">
        <v>1005</v>
      </c>
      <c r="O296" t="s">
        <v>35</v>
      </c>
      <c r="P296" t="s">
        <v>35</v>
      </c>
      <c r="Q296">
        <v>1</v>
      </c>
      <c r="X296">
        <v>100</v>
      </c>
      <c r="Y296">
        <v>701.31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100</v>
      </c>
      <c r="AH296">
        <v>2</v>
      </c>
      <c r="AI296">
        <v>27935766</v>
      </c>
      <c r="AJ296">
        <v>291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ROW(Source!A114)</f>
        <v>114</v>
      </c>
      <c r="B297">
        <v>27935830</v>
      </c>
      <c r="C297">
        <v>27935824</v>
      </c>
      <c r="D297">
        <v>25413030</v>
      </c>
      <c r="E297">
        <v>1</v>
      </c>
      <c r="F297">
        <v>1</v>
      </c>
      <c r="G297">
        <v>1</v>
      </c>
      <c r="H297">
        <v>1</v>
      </c>
      <c r="I297" t="s">
        <v>615</v>
      </c>
      <c r="J297" t="s">
        <v>6</v>
      </c>
      <c r="K297" t="s">
        <v>616</v>
      </c>
      <c r="L297">
        <v>1191</v>
      </c>
      <c r="N297">
        <v>1013</v>
      </c>
      <c r="O297" t="s">
        <v>459</v>
      </c>
      <c r="P297" t="s">
        <v>459</v>
      </c>
      <c r="Q297">
        <v>1</v>
      </c>
      <c r="X297">
        <v>315.01</v>
      </c>
      <c r="Y297">
        <v>0</v>
      </c>
      <c r="Z297">
        <v>0</v>
      </c>
      <c r="AA297">
        <v>0</v>
      </c>
      <c r="AB297">
        <v>8.86</v>
      </c>
      <c r="AC297">
        <v>0</v>
      </c>
      <c r="AD297">
        <v>1</v>
      </c>
      <c r="AE297">
        <v>1</v>
      </c>
      <c r="AF297" t="s">
        <v>28</v>
      </c>
      <c r="AG297">
        <v>362.26149999999996</v>
      </c>
      <c r="AH297">
        <v>2</v>
      </c>
      <c r="AI297">
        <v>27935825</v>
      </c>
      <c r="AJ297">
        <v>293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ROW(Source!A114)</f>
        <v>114</v>
      </c>
      <c r="B298">
        <v>27935831</v>
      </c>
      <c r="C298">
        <v>27935824</v>
      </c>
      <c r="D298">
        <v>25412928</v>
      </c>
      <c r="E298">
        <v>1</v>
      </c>
      <c r="F298">
        <v>1</v>
      </c>
      <c r="G298">
        <v>1</v>
      </c>
      <c r="H298">
        <v>1</v>
      </c>
      <c r="I298" t="s">
        <v>460</v>
      </c>
      <c r="J298" t="s">
        <v>6</v>
      </c>
      <c r="K298" t="s">
        <v>461</v>
      </c>
      <c r="L298">
        <v>1191</v>
      </c>
      <c r="N298">
        <v>1013</v>
      </c>
      <c r="O298" t="s">
        <v>459</v>
      </c>
      <c r="P298" t="s">
        <v>459</v>
      </c>
      <c r="Q298">
        <v>1</v>
      </c>
      <c r="X298">
        <v>0.62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27</v>
      </c>
      <c r="AG298">
        <v>0.77500000000000002</v>
      </c>
      <c r="AH298">
        <v>2</v>
      </c>
      <c r="AI298">
        <v>27935826</v>
      </c>
      <c r="AJ298">
        <v>294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ROW(Source!A114)</f>
        <v>114</v>
      </c>
      <c r="B299">
        <v>27935832</v>
      </c>
      <c r="C299">
        <v>27935824</v>
      </c>
      <c r="D299">
        <v>25230220</v>
      </c>
      <c r="E299">
        <v>1</v>
      </c>
      <c r="F299">
        <v>1</v>
      </c>
      <c r="G299">
        <v>1</v>
      </c>
      <c r="H299">
        <v>2</v>
      </c>
      <c r="I299" t="s">
        <v>501</v>
      </c>
      <c r="J299" t="s">
        <v>502</v>
      </c>
      <c r="K299" t="s">
        <v>503</v>
      </c>
      <c r="L299">
        <v>1368</v>
      </c>
      <c r="N299">
        <v>1011</v>
      </c>
      <c r="O299" t="s">
        <v>465</v>
      </c>
      <c r="P299" t="s">
        <v>465</v>
      </c>
      <c r="Q299">
        <v>1</v>
      </c>
      <c r="X299">
        <v>0.25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27</v>
      </c>
      <c r="AG299">
        <v>0.3125</v>
      </c>
      <c r="AH299">
        <v>2</v>
      </c>
      <c r="AI299">
        <v>27935827</v>
      </c>
      <c r="AJ299">
        <v>295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ROW(Source!A114)</f>
        <v>114</v>
      </c>
      <c r="B300">
        <v>27935833</v>
      </c>
      <c r="C300">
        <v>27935824</v>
      </c>
      <c r="D300">
        <v>25231607</v>
      </c>
      <c r="E300">
        <v>1</v>
      </c>
      <c r="F300">
        <v>1</v>
      </c>
      <c r="G300">
        <v>1</v>
      </c>
      <c r="H300">
        <v>2</v>
      </c>
      <c r="I300" t="s">
        <v>468</v>
      </c>
      <c r="J300" t="s">
        <v>469</v>
      </c>
      <c r="K300" t="s">
        <v>470</v>
      </c>
      <c r="L300">
        <v>1368</v>
      </c>
      <c r="N300">
        <v>1011</v>
      </c>
      <c r="O300" t="s">
        <v>465</v>
      </c>
      <c r="P300" t="s">
        <v>465</v>
      </c>
      <c r="Q300">
        <v>1</v>
      </c>
      <c r="X300">
        <v>0.37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27</v>
      </c>
      <c r="AG300">
        <v>0.46250000000000002</v>
      </c>
      <c r="AH300">
        <v>2</v>
      </c>
      <c r="AI300">
        <v>27935828</v>
      </c>
      <c r="AJ300">
        <v>296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ROW(Source!A114)</f>
        <v>114</v>
      </c>
      <c r="B301">
        <v>27935834</v>
      </c>
      <c r="C301">
        <v>27935824</v>
      </c>
      <c r="D301">
        <v>25144538</v>
      </c>
      <c r="E301">
        <v>17</v>
      </c>
      <c r="F301">
        <v>1</v>
      </c>
      <c r="G301">
        <v>1</v>
      </c>
      <c r="H301">
        <v>3</v>
      </c>
      <c r="I301" t="s">
        <v>747</v>
      </c>
      <c r="J301" t="s">
        <v>6</v>
      </c>
      <c r="K301" t="s">
        <v>748</v>
      </c>
      <c r="L301">
        <v>1354</v>
      </c>
      <c r="N301">
        <v>1010</v>
      </c>
      <c r="O301" t="s">
        <v>282</v>
      </c>
      <c r="P301" t="s">
        <v>282</v>
      </c>
      <c r="Q301">
        <v>1</v>
      </c>
      <c r="X301">
        <v>0.01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6</v>
      </c>
      <c r="AG301">
        <v>0.01</v>
      </c>
      <c r="AH301">
        <v>3</v>
      </c>
      <c r="AI301">
        <v>-1</v>
      </c>
      <c r="AJ301" t="s">
        <v>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ROW(Source!A114)</f>
        <v>114</v>
      </c>
      <c r="B302">
        <v>27935835</v>
      </c>
      <c r="C302">
        <v>27935824</v>
      </c>
      <c r="D302">
        <v>25174663</v>
      </c>
      <c r="E302">
        <v>1</v>
      </c>
      <c r="F302">
        <v>1</v>
      </c>
      <c r="G302">
        <v>1</v>
      </c>
      <c r="H302">
        <v>3</v>
      </c>
      <c r="I302" t="s">
        <v>626</v>
      </c>
      <c r="J302" t="s">
        <v>627</v>
      </c>
      <c r="K302" t="s">
        <v>628</v>
      </c>
      <c r="L302">
        <v>1348</v>
      </c>
      <c r="N302">
        <v>1009</v>
      </c>
      <c r="O302" t="s">
        <v>65</v>
      </c>
      <c r="P302" t="s">
        <v>65</v>
      </c>
      <c r="Q302">
        <v>1000</v>
      </c>
      <c r="X302">
        <v>1</v>
      </c>
      <c r="Y302">
        <v>10100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1</v>
      </c>
      <c r="AH302">
        <v>2</v>
      </c>
      <c r="AI302">
        <v>27935829</v>
      </c>
      <c r="AJ302">
        <v>297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ROW(Source!A115)</f>
        <v>115</v>
      </c>
      <c r="B303">
        <v>27935830</v>
      </c>
      <c r="C303">
        <v>27935824</v>
      </c>
      <c r="D303">
        <v>25413030</v>
      </c>
      <c r="E303">
        <v>1</v>
      </c>
      <c r="F303">
        <v>1</v>
      </c>
      <c r="G303">
        <v>1</v>
      </c>
      <c r="H303">
        <v>1</v>
      </c>
      <c r="I303" t="s">
        <v>615</v>
      </c>
      <c r="J303" t="s">
        <v>6</v>
      </c>
      <c r="K303" t="s">
        <v>616</v>
      </c>
      <c r="L303">
        <v>1191</v>
      </c>
      <c r="N303">
        <v>1013</v>
      </c>
      <c r="O303" t="s">
        <v>459</v>
      </c>
      <c r="P303" t="s">
        <v>459</v>
      </c>
      <c r="Q303">
        <v>1</v>
      </c>
      <c r="X303">
        <v>315.01</v>
      </c>
      <c r="Y303">
        <v>0</v>
      </c>
      <c r="Z303">
        <v>0</v>
      </c>
      <c r="AA303">
        <v>0</v>
      </c>
      <c r="AB303">
        <v>8.86</v>
      </c>
      <c r="AC303">
        <v>0</v>
      </c>
      <c r="AD303">
        <v>1</v>
      </c>
      <c r="AE303">
        <v>1</v>
      </c>
      <c r="AF303" t="s">
        <v>28</v>
      </c>
      <c r="AG303">
        <v>362.26149999999996</v>
      </c>
      <c r="AH303">
        <v>2</v>
      </c>
      <c r="AI303">
        <v>27935825</v>
      </c>
      <c r="AJ303">
        <v>298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ROW(Source!A115)</f>
        <v>115</v>
      </c>
      <c r="B304">
        <v>27935831</v>
      </c>
      <c r="C304">
        <v>27935824</v>
      </c>
      <c r="D304">
        <v>25412928</v>
      </c>
      <c r="E304">
        <v>1</v>
      </c>
      <c r="F304">
        <v>1</v>
      </c>
      <c r="G304">
        <v>1</v>
      </c>
      <c r="H304">
        <v>1</v>
      </c>
      <c r="I304" t="s">
        <v>460</v>
      </c>
      <c r="J304" t="s">
        <v>6</v>
      </c>
      <c r="K304" t="s">
        <v>461</v>
      </c>
      <c r="L304">
        <v>1191</v>
      </c>
      <c r="N304">
        <v>1013</v>
      </c>
      <c r="O304" t="s">
        <v>459</v>
      </c>
      <c r="P304" t="s">
        <v>459</v>
      </c>
      <c r="Q304">
        <v>1</v>
      </c>
      <c r="X304">
        <v>0.62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27</v>
      </c>
      <c r="AG304">
        <v>0.77500000000000002</v>
      </c>
      <c r="AH304">
        <v>2</v>
      </c>
      <c r="AI304">
        <v>27935826</v>
      </c>
      <c r="AJ304">
        <v>299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ROW(Source!A115)</f>
        <v>115</v>
      </c>
      <c r="B305">
        <v>27935832</v>
      </c>
      <c r="C305">
        <v>27935824</v>
      </c>
      <c r="D305">
        <v>25230220</v>
      </c>
      <c r="E305">
        <v>1</v>
      </c>
      <c r="F305">
        <v>1</v>
      </c>
      <c r="G305">
        <v>1</v>
      </c>
      <c r="H305">
        <v>2</v>
      </c>
      <c r="I305" t="s">
        <v>501</v>
      </c>
      <c r="J305" t="s">
        <v>502</v>
      </c>
      <c r="K305" t="s">
        <v>503</v>
      </c>
      <c r="L305">
        <v>1368</v>
      </c>
      <c r="N305">
        <v>1011</v>
      </c>
      <c r="O305" t="s">
        <v>465</v>
      </c>
      <c r="P305" t="s">
        <v>465</v>
      </c>
      <c r="Q305">
        <v>1</v>
      </c>
      <c r="X305">
        <v>0.25</v>
      </c>
      <c r="Y305">
        <v>0</v>
      </c>
      <c r="Z305">
        <v>111.99</v>
      </c>
      <c r="AA305">
        <v>13.5</v>
      </c>
      <c r="AB305">
        <v>0</v>
      </c>
      <c r="AC305">
        <v>0</v>
      </c>
      <c r="AD305">
        <v>1</v>
      </c>
      <c r="AE305">
        <v>0</v>
      </c>
      <c r="AF305" t="s">
        <v>27</v>
      </c>
      <c r="AG305">
        <v>0.3125</v>
      </c>
      <c r="AH305">
        <v>2</v>
      </c>
      <c r="AI305">
        <v>27935827</v>
      </c>
      <c r="AJ305">
        <v>300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ROW(Source!A115)</f>
        <v>115</v>
      </c>
      <c r="B306">
        <v>27935833</v>
      </c>
      <c r="C306">
        <v>27935824</v>
      </c>
      <c r="D306">
        <v>25231607</v>
      </c>
      <c r="E306">
        <v>1</v>
      </c>
      <c r="F306">
        <v>1</v>
      </c>
      <c r="G306">
        <v>1</v>
      </c>
      <c r="H306">
        <v>2</v>
      </c>
      <c r="I306" t="s">
        <v>468</v>
      </c>
      <c r="J306" t="s">
        <v>469</v>
      </c>
      <c r="K306" t="s">
        <v>470</v>
      </c>
      <c r="L306">
        <v>1368</v>
      </c>
      <c r="N306">
        <v>1011</v>
      </c>
      <c r="O306" t="s">
        <v>465</v>
      </c>
      <c r="P306" t="s">
        <v>465</v>
      </c>
      <c r="Q306">
        <v>1</v>
      </c>
      <c r="X306">
        <v>0.37</v>
      </c>
      <c r="Y306">
        <v>0</v>
      </c>
      <c r="Z306">
        <v>65.709999999999994</v>
      </c>
      <c r="AA306">
        <v>11.6</v>
      </c>
      <c r="AB306">
        <v>0</v>
      </c>
      <c r="AC306">
        <v>0</v>
      </c>
      <c r="AD306">
        <v>1</v>
      </c>
      <c r="AE306">
        <v>0</v>
      </c>
      <c r="AF306" t="s">
        <v>27</v>
      </c>
      <c r="AG306">
        <v>0.46250000000000002</v>
      </c>
      <c r="AH306">
        <v>2</v>
      </c>
      <c r="AI306">
        <v>27935828</v>
      </c>
      <c r="AJ306">
        <v>301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ROW(Source!A115)</f>
        <v>115</v>
      </c>
      <c r="B307">
        <v>27935834</v>
      </c>
      <c r="C307">
        <v>27935824</v>
      </c>
      <c r="D307">
        <v>25144538</v>
      </c>
      <c r="E307">
        <v>17</v>
      </c>
      <c r="F307">
        <v>1</v>
      </c>
      <c r="G307">
        <v>1</v>
      </c>
      <c r="H307">
        <v>3</v>
      </c>
      <c r="I307" t="s">
        <v>747</v>
      </c>
      <c r="J307" t="s">
        <v>6</v>
      </c>
      <c r="K307" t="s">
        <v>748</v>
      </c>
      <c r="L307">
        <v>1354</v>
      </c>
      <c r="N307">
        <v>1010</v>
      </c>
      <c r="O307" t="s">
        <v>282</v>
      </c>
      <c r="P307" t="s">
        <v>282</v>
      </c>
      <c r="Q307">
        <v>1</v>
      </c>
      <c r="X307">
        <v>0.01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6</v>
      </c>
      <c r="AG307">
        <v>0.01</v>
      </c>
      <c r="AH307">
        <v>3</v>
      </c>
      <c r="AI307">
        <v>-1</v>
      </c>
      <c r="AJ307" t="s">
        <v>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ROW(Source!A115)</f>
        <v>115</v>
      </c>
      <c r="B308">
        <v>27935835</v>
      </c>
      <c r="C308">
        <v>27935824</v>
      </c>
      <c r="D308">
        <v>25174663</v>
      </c>
      <c r="E308">
        <v>1</v>
      </c>
      <c r="F308">
        <v>1</v>
      </c>
      <c r="G308">
        <v>1</v>
      </c>
      <c r="H308">
        <v>3</v>
      </c>
      <c r="I308" t="s">
        <v>626</v>
      </c>
      <c r="J308" t="s">
        <v>627</v>
      </c>
      <c r="K308" t="s">
        <v>628</v>
      </c>
      <c r="L308">
        <v>1348</v>
      </c>
      <c r="N308">
        <v>1009</v>
      </c>
      <c r="O308" t="s">
        <v>65</v>
      </c>
      <c r="P308" t="s">
        <v>65</v>
      </c>
      <c r="Q308">
        <v>1000</v>
      </c>
      <c r="X308">
        <v>1</v>
      </c>
      <c r="Y308">
        <v>10100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1</v>
      </c>
      <c r="AH308">
        <v>2</v>
      </c>
      <c r="AI308">
        <v>27935829</v>
      </c>
      <c r="AJ308">
        <v>302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ROW(Source!A116)</f>
        <v>116</v>
      </c>
      <c r="B309">
        <v>27935780</v>
      </c>
      <c r="C309">
        <v>27935773</v>
      </c>
      <c r="D309">
        <v>25419089</v>
      </c>
      <c r="E309">
        <v>1</v>
      </c>
      <c r="F309">
        <v>1</v>
      </c>
      <c r="G309">
        <v>1</v>
      </c>
      <c r="H309">
        <v>1</v>
      </c>
      <c r="I309" t="s">
        <v>582</v>
      </c>
      <c r="J309" t="s">
        <v>6</v>
      </c>
      <c r="K309" t="s">
        <v>583</v>
      </c>
      <c r="L309">
        <v>1191</v>
      </c>
      <c r="N309">
        <v>1013</v>
      </c>
      <c r="O309" t="s">
        <v>459</v>
      </c>
      <c r="P309" t="s">
        <v>459</v>
      </c>
      <c r="Q309">
        <v>1</v>
      </c>
      <c r="X309">
        <v>26.4</v>
      </c>
      <c r="Y309">
        <v>0</v>
      </c>
      <c r="Z309">
        <v>0</v>
      </c>
      <c r="AA309">
        <v>0</v>
      </c>
      <c r="AB309">
        <v>9.6199999999999992</v>
      </c>
      <c r="AC309">
        <v>0</v>
      </c>
      <c r="AD309">
        <v>1</v>
      </c>
      <c r="AE309">
        <v>1</v>
      </c>
      <c r="AF309" t="s">
        <v>6</v>
      </c>
      <c r="AG309">
        <v>26.4</v>
      </c>
      <c r="AH309">
        <v>2</v>
      </c>
      <c r="AI309">
        <v>27935774</v>
      </c>
      <c r="AJ309">
        <v>303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ROW(Source!A116)</f>
        <v>116</v>
      </c>
      <c r="B310">
        <v>27935781</v>
      </c>
      <c r="C310">
        <v>27935773</v>
      </c>
      <c r="D310">
        <v>25412928</v>
      </c>
      <c r="E310">
        <v>1</v>
      </c>
      <c r="F310">
        <v>1</v>
      </c>
      <c r="G310">
        <v>1</v>
      </c>
      <c r="H310">
        <v>1</v>
      </c>
      <c r="I310" t="s">
        <v>460</v>
      </c>
      <c r="J310" t="s">
        <v>6</v>
      </c>
      <c r="K310" t="s">
        <v>461</v>
      </c>
      <c r="L310">
        <v>1191</v>
      </c>
      <c r="N310">
        <v>1013</v>
      </c>
      <c r="O310" t="s">
        <v>459</v>
      </c>
      <c r="P310" t="s">
        <v>459</v>
      </c>
      <c r="Q310">
        <v>1</v>
      </c>
      <c r="X310">
        <v>26.5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6</v>
      </c>
      <c r="AG310">
        <v>26.5</v>
      </c>
      <c r="AH310">
        <v>2</v>
      </c>
      <c r="AI310">
        <v>27935775</v>
      </c>
      <c r="AJ310">
        <v>304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ROW(Source!A116)</f>
        <v>116</v>
      </c>
      <c r="B311">
        <v>27935782</v>
      </c>
      <c r="C311">
        <v>27935773</v>
      </c>
      <c r="D311">
        <v>25231607</v>
      </c>
      <c r="E311">
        <v>1</v>
      </c>
      <c r="F311">
        <v>1</v>
      </c>
      <c r="G311">
        <v>1</v>
      </c>
      <c r="H311">
        <v>2</v>
      </c>
      <c r="I311" t="s">
        <v>468</v>
      </c>
      <c r="J311" t="s">
        <v>469</v>
      </c>
      <c r="K311" t="s">
        <v>470</v>
      </c>
      <c r="L311">
        <v>1368</v>
      </c>
      <c r="N311">
        <v>1011</v>
      </c>
      <c r="O311" t="s">
        <v>465</v>
      </c>
      <c r="P311" t="s">
        <v>465</v>
      </c>
      <c r="Q311">
        <v>1</v>
      </c>
      <c r="X311">
        <v>1.8</v>
      </c>
      <c r="Y311">
        <v>0</v>
      </c>
      <c r="Z311">
        <v>65.709999999999994</v>
      </c>
      <c r="AA311">
        <v>11.6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1.8</v>
      </c>
      <c r="AH311">
        <v>2</v>
      </c>
      <c r="AI311">
        <v>27935776</v>
      </c>
      <c r="AJ311">
        <v>305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ROW(Source!A116)</f>
        <v>116</v>
      </c>
      <c r="B312">
        <v>27935783</v>
      </c>
      <c r="C312">
        <v>27935773</v>
      </c>
      <c r="D312">
        <v>25232657</v>
      </c>
      <c r="E312">
        <v>1</v>
      </c>
      <c r="F312">
        <v>1</v>
      </c>
      <c r="G312">
        <v>1</v>
      </c>
      <c r="H312">
        <v>2</v>
      </c>
      <c r="I312" t="s">
        <v>629</v>
      </c>
      <c r="J312" t="s">
        <v>630</v>
      </c>
      <c r="K312" t="s">
        <v>631</v>
      </c>
      <c r="L312">
        <v>1368</v>
      </c>
      <c r="N312">
        <v>1011</v>
      </c>
      <c r="O312" t="s">
        <v>465</v>
      </c>
      <c r="P312" t="s">
        <v>465</v>
      </c>
      <c r="Q312">
        <v>1</v>
      </c>
      <c r="X312">
        <v>24.7</v>
      </c>
      <c r="Y312">
        <v>0</v>
      </c>
      <c r="Z312">
        <v>34.549999999999997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24.7</v>
      </c>
      <c r="AH312">
        <v>2</v>
      </c>
      <c r="AI312">
        <v>27935777</v>
      </c>
      <c r="AJ312">
        <v>306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ROW(Source!A116)</f>
        <v>116</v>
      </c>
      <c r="B313">
        <v>27935784</v>
      </c>
      <c r="C313">
        <v>27935773</v>
      </c>
      <c r="D313">
        <v>25149961</v>
      </c>
      <c r="E313">
        <v>1</v>
      </c>
      <c r="F313">
        <v>1</v>
      </c>
      <c r="G313">
        <v>1</v>
      </c>
      <c r="H313">
        <v>3</v>
      </c>
      <c r="I313" t="s">
        <v>558</v>
      </c>
      <c r="J313" t="s">
        <v>559</v>
      </c>
      <c r="K313" t="s">
        <v>560</v>
      </c>
      <c r="L313">
        <v>1339</v>
      </c>
      <c r="N313">
        <v>1007</v>
      </c>
      <c r="O313" t="s">
        <v>133</v>
      </c>
      <c r="P313" t="s">
        <v>133</v>
      </c>
      <c r="Q313">
        <v>1</v>
      </c>
      <c r="X313">
        <v>4.6900000000000004</v>
      </c>
      <c r="Y313">
        <v>2.44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4.6900000000000004</v>
      </c>
      <c r="AH313">
        <v>2</v>
      </c>
      <c r="AI313">
        <v>27935778</v>
      </c>
      <c r="AJ313">
        <v>307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ROW(Source!A116)</f>
        <v>116</v>
      </c>
      <c r="B314">
        <v>27935785</v>
      </c>
      <c r="C314">
        <v>27935773</v>
      </c>
      <c r="D314">
        <v>25153340</v>
      </c>
      <c r="E314">
        <v>1</v>
      </c>
      <c r="F314">
        <v>1</v>
      </c>
      <c r="G314">
        <v>1</v>
      </c>
      <c r="H314">
        <v>3</v>
      </c>
      <c r="I314" t="s">
        <v>632</v>
      </c>
      <c r="J314" t="s">
        <v>633</v>
      </c>
      <c r="K314" t="s">
        <v>634</v>
      </c>
      <c r="L314">
        <v>1354</v>
      </c>
      <c r="N314">
        <v>1010</v>
      </c>
      <c r="O314" t="s">
        <v>282</v>
      </c>
      <c r="P314" t="s">
        <v>282</v>
      </c>
      <c r="Q314">
        <v>1</v>
      </c>
      <c r="X314">
        <v>2.02</v>
      </c>
      <c r="Y314">
        <v>3046.2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2.02</v>
      </c>
      <c r="AH314">
        <v>2</v>
      </c>
      <c r="AI314">
        <v>27935779</v>
      </c>
      <c r="AJ314">
        <v>308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ROW(Source!A117)</f>
        <v>117</v>
      </c>
      <c r="B315">
        <v>27935780</v>
      </c>
      <c r="C315">
        <v>27935773</v>
      </c>
      <c r="D315">
        <v>25419089</v>
      </c>
      <c r="E315">
        <v>1</v>
      </c>
      <c r="F315">
        <v>1</v>
      </c>
      <c r="G315">
        <v>1</v>
      </c>
      <c r="H315">
        <v>1</v>
      </c>
      <c r="I315" t="s">
        <v>582</v>
      </c>
      <c r="J315" t="s">
        <v>6</v>
      </c>
      <c r="K315" t="s">
        <v>583</v>
      </c>
      <c r="L315">
        <v>1191</v>
      </c>
      <c r="N315">
        <v>1013</v>
      </c>
      <c r="O315" t="s">
        <v>459</v>
      </c>
      <c r="P315" t="s">
        <v>459</v>
      </c>
      <c r="Q315">
        <v>1</v>
      </c>
      <c r="X315">
        <v>26.4</v>
      </c>
      <c r="Y315">
        <v>0</v>
      </c>
      <c r="Z315">
        <v>0</v>
      </c>
      <c r="AA315">
        <v>0</v>
      </c>
      <c r="AB315">
        <v>9.6199999999999992</v>
      </c>
      <c r="AC315">
        <v>0</v>
      </c>
      <c r="AD315">
        <v>1</v>
      </c>
      <c r="AE315">
        <v>1</v>
      </c>
      <c r="AF315" t="s">
        <v>6</v>
      </c>
      <c r="AG315">
        <v>26.4</v>
      </c>
      <c r="AH315">
        <v>2</v>
      </c>
      <c r="AI315">
        <v>27935774</v>
      </c>
      <c r="AJ315">
        <v>309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ROW(Source!A117)</f>
        <v>117</v>
      </c>
      <c r="B316">
        <v>27935781</v>
      </c>
      <c r="C316">
        <v>27935773</v>
      </c>
      <c r="D316">
        <v>25412928</v>
      </c>
      <c r="E316">
        <v>1</v>
      </c>
      <c r="F316">
        <v>1</v>
      </c>
      <c r="G316">
        <v>1</v>
      </c>
      <c r="H316">
        <v>1</v>
      </c>
      <c r="I316" t="s">
        <v>460</v>
      </c>
      <c r="J316" t="s">
        <v>6</v>
      </c>
      <c r="K316" t="s">
        <v>461</v>
      </c>
      <c r="L316">
        <v>1191</v>
      </c>
      <c r="N316">
        <v>1013</v>
      </c>
      <c r="O316" t="s">
        <v>459</v>
      </c>
      <c r="P316" t="s">
        <v>459</v>
      </c>
      <c r="Q316">
        <v>1</v>
      </c>
      <c r="X316">
        <v>26.5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6</v>
      </c>
      <c r="AG316">
        <v>26.5</v>
      </c>
      <c r="AH316">
        <v>2</v>
      </c>
      <c r="AI316">
        <v>27935775</v>
      </c>
      <c r="AJ316">
        <v>310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ROW(Source!A117)</f>
        <v>117</v>
      </c>
      <c r="B317">
        <v>27935782</v>
      </c>
      <c r="C317">
        <v>27935773</v>
      </c>
      <c r="D317">
        <v>25231607</v>
      </c>
      <c r="E317">
        <v>1</v>
      </c>
      <c r="F317">
        <v>1</v>
      </c>
      <c r="G317">
        <v>1</v>
      </c>
      <c r="H317">
        <v>2</v>
      </c>
      <c r="I317" t="s">
        <v>468</v>
      </c>
      <c r="J317" t="s">
        <v>469</v>
      </c>
      <c r="K317" t="s">
        <v>470</v>
      </c>
      <c r="L317">
        <v>1368</v>
      </c>
      <c r="N317">
        <v>1011</v>
      </c>
      <c r="O317" t="s">
        <v>465</v>
      </c>
      <c r="P317" t="s">
        <v>465</v>
      </c>
      <c r="Q317">
        <v>1</v>
      </c>
      <c r="X317">
        <v>1.8</v>
      </c>
      <c r="Y317">
        <v>0</v>
      </c>
      <c r="Z317">
        <v>65.709999999999994</v>
      </c>
      <c r="AA317">
        <v>11.6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1.8</v>
      </c>
      <c r="AH317">
        <v>2</v>
      </c>
      <c r="AI317">
        <v>27935776</v>
      </c>
      <c r="AJ317">
        <v>311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ROW(Source!A117)</f>
        <v>117</v>
      </c>
      <c r="B318">
        <v>27935783</v>
      </c>
      <c r="C318">
        <v>27935773</v>
      </c>
      <c r="D318">
        <v>25232657</v>
      </c>
      <c r="E318">
        <v>1</v>
      </c>
      <c r="F318">
        <v>1</v>
      </c>
      <c r="G318">
        <v>1</v>
      </c>
      <c r="H318">
        <v>2</v>
      </c>
      <c r="I318" t="s">
        <v>629</v>
      </c>
      <c r="J318" t="s">
        <v>630</v>
      </c>
      <c r="K318" t="s">
        <v>631</v>
      </c>
      <c r="L318">
        <v>1368</v>
      </c>
      <c r="N318">
        <v>1011</v>
      </c>
      <c r="O318" t="s">
        <v>465</v>
      </c>
      <c r="P318" t="s">
        <v>465</v>
      </c>
      <c r="Q318">
        <v>1</v>
      </c>
      <c r="X318">
        <v>24.7</v>
      </c>
      <c r="Y318">
        <v>0</v>
      </c>
      <c r="Z318">
        <v>34.549999999999997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24.7</v>
      </c>
      <c r="AH318">
        <v>2</v>
      </c>
      <c r="AI318">
        <v>27935777</v>
      </c>
      <c r="AJ318">
        <v>312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ROW(Source!A117)</f>
        <v>117</v>
      </c>
      <c r="B319">
        <v>27935784</v>
      </c>
      <c r="C319">
        <v>27935773</v>
      </c>
      <c r="D319">
        <v>25149961</v>
      </c>
      <c r="E319">
        <v>1</v>
      </c>
      <c r="F319">
        <v>1</v>
      </c>
      <c r="G319">
        <v>1</v>
      </c>
      <c r="H319">
        <v>3</v>
      </c>
      <c r="I319" t="s">
        <v>558</v>
      </c>
      <c r="J319" t="s">
        <v>559</v>
      </c>
      <c r="K319" t="s">
        <v>560</v>
      </c>
      <c r="L319">
        <v>1339</v>
      </c>
      <c r="N319">
        <v>1007</v>
      </c>
      <c r="O319" t="s">
        <v>133</v>
      </c>
      <c r="P319" t="s">
        <v>133</v>
      </c>
      <c r="Q319">
        <v>1</v>
      </c>
      <c r="X319">
        <v>4.6900000000000004</v>
      </c>
      <c r="Y319">
        <v>2.44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4.6900000000000004</v>
      </c>
      <c r="AH319">
        <v>2</v>
      </c>
      <c r="AI319">
        <v>27935778</v>
      </c>
      <c r="AJ319">
        <v>313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ROW(Source!A117)</f>
        <v>117</v>
      </c>
      <c r="B320">
        <v>27935785</v>
      </c>
      <c r="C320">
        <v>27935773</v>
      </c>
      <c r="D320">
        <v>25153340</v>
      </c>
      <c r="E320">
        <v>1</v>
      </c>
      <c r="F320">
        <v>1</v>
      </c>
      <c r="G320">
        <v>1</v>
      </c>
      <c r="H320">
        <v>3</v>
      </c>
      <c r="I320" t="s">
        <v>632</v>
      </c>
      <c r="J320" t="s">
        <v>633</v>
      </c>
      <c r="K320" t="s">
        <v>634</v>
      </c>
      <c r="L320">
        <v>1354</v>
      </c>
      <c r="N320">
        <v>1010</v>
      </c>
      <c r="O320" t="s">
        <v>282</v>
      </c>
      <c r="P320" t="s">
        <v>282</v>
      </c>
      <c r="Q320">
        <v>1</v>
      </c>
      <c r="X320">
        <v>2.02</v>
      </c>
      <c r="Y320">
        <v>3046.2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2.02</v>
      </c>
      <c r="AH320">
        <v>2</v>
      </c>
      <c r="AI320">
        <v>27935779</v>
      </c>
      <c r="AJ320">
        <v>314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ROW(Source!A118)</f>
        <v>118</v>
      </c>
      <c r="B321">
        <v>27935792</v>
      </c>
      <c r="C321">
        <v>27935786</v>
      </c>
      <c r="D321">
        <v>25419089</v>
      </c>
      <c r="E321">
        <v>1</v>
      </c>
      <c r="F321">
        <v>1</v>
      </c>
      <c r="G321">
        <v>1</v>
      </c>
      <c r="H321">
        <v>1</v>
      </c>
      <c r="I321" t="s">
        <v>582</v>
      </c>
      <c r="J321" t="s">
        <v>6</v>
      </c>
      <c r="K321" t="s">
        <v>583</v>
      </c>
      <c r="L321">
        <v>1191</v>
      </c>
      <c r="N321">
        <v>1013</v>
      </c>
      <c r="O321" t="s">
        <v>459</v>
      </c>
      <c r="P321" t="s">
        <v>459</v>
      </c>
      <c r="Q321">
        <v>1</v>
      </c>
      <c r="X321">
        <v>2.1</v>
      </c>
      <c r="Y321">
        <v>0</v>
      </c>
      <c r="Z321">
        <v>0</v>
      </c>
      <c r="AA321">
        <v>0</v>
      </c>
      <c r="AB321">
        <v>9.6199999999999992</v>
      </c>
      <c r="AC321">
        <v>0</v>
      </c>
      <c r="AD321">
        <v>1</v>
      </c>
      <c r="AE321">
        <v>1</v>
      </c>
      <c r="AF321" t="s">
        <v>248</v>
      </c>
      <c r="AG321">
        <v>31.5</v>
      </c>
      <c r="AH321">
        <v>2</v>
      </c>
      <c r="AI321">
        <v>27935787</v>
      </c>
      <c r="AJ321">
        <v>315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ROW(Source!A118)</f>
        <v>118</v>
      </c>
      <c r="B322">
        <v>27935793</v>
      </c>
      <c r="C322">
        <v>27935786</v>
      </c>
      <c r="D322">
        <v>25412928</v>
      </c>
      <c r="E322">
        <v>1</v>
      </c>
      <c r="F322">
        <v>1</v>
      </c>
      <c r="G322">
        <v>1</v>
      </c>
      <c r="H322">
        <v>1</v>
      </c>
      <c r="I322" t="s">
        <v>460</v>
      </c>
      <c r="J322" t="s">
        <v>6</v>
      </c>
      <c r="K322" t="s">
        <v>461</v>
      </c>
      <c r="L322">
        <v>1191</v>
      </c>
      <c r="N322">
        <v>1013</v>
      </c>
      <c r="O322" t="s">
        <v>459</v>
      </c>
      <c r="P322" t="s">
        <v>459</v>
      </c>
      <c r="Q322">
        <v>1</v>
      </c>
      <c r="X322">
        <v>1.24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248</v>
      </c>
      <c r="AG322">
        <v>18.600000000000001</v>
      </c>
      <c r="AH322">
        <v>2</v>
      </c>
      <c r="AI322">
        <v>27935788</v>
      </c>
      <c r="AJ322">
        <v>316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ROW(Source!A118)</f>
        <v>118</v>
      </c>
      <c r="B323">
        <v>27935794</v>
      </c>
      <c r="C323">
        <v>27935786</v>
      </c>
      <c r="D323">
        <v>25232657</v>
      </c>
      <c r="E323">
        <v>1</v>
      </c>
      <c r="F323">
        <v>1</v>
      </c>
      <c r="G323">
        <v>1</v>
      </c>
      <c r="H323">
        <v>2</v>
      </c>
      <c r="I323" t="s">
        <v>629</v>
      </c>
      <c r="J323" t="s">
        <v>630</v>
      </c>
      <c r="K323" t="s">
        <v>631</v>
      </c>
      <c r="L323">
        <v>1368</v>
      </c>
      <c r="N323">
        <v>1011</v>
      </c>
      <c r="O323" t="s">
        <v>465</v>
      </c>
      <c r="P323" t="s">
        <v>465</v>
      </c>
      <c r="Q323">
        <v>1</v>
      </c>
      <c r="X323">
        <v>1.24</v>
      </c>
      <c r="Y323">
        <v>0</v>
      </c>
      <c r="Z323">
        <v>34.549999999999997</v>
      </c>
      <c r="AA323">
        <v>11.6</v>
      </c>
      <c r="AB323">
        <v>0</v>
      </c>
      <c r="AC323">
        <v>0</v>
      </c>
      <c r="AD323">
        <v>1</v>
      </c>
      <c r="AE323">
        <v>0</v>
      </c>
      <c r="AF323" t="s">
        <v>248</v>
      </c>
      <c r="AG323">
        <v>18.600000000000001</v>
      </c>
      <c r="AH323">
        <v>2</v>
      </c>
      <c r="AI323">
        <v>27935789</v>
      </c>
      <c r="AJ323">
        <v>317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ROW(Source!A118)</f>
        <v>118</v>
      </c>
      <c r="B324">
        <v>27935795</v>
      </c>
      <c r="C324">
        <v>27935786</v>
      </c>
      <c r="D324">
        <v>25149961</v>
      </c>
      <c r="E324">
        <v>1</v>
      </c>
      <c r="F324">
        <v>1</v>
      </c>
      <c r="G324">
        <v>1</v>
      </c>
      <c r="H324">
        <v>3</v>
      </c>
      <c r="I324" t="s">
        <v>558</v>
      </c>
      <c r="J324" t="s">
        <v>559</v>
      </c>
      <c r="K324" t="s">
        <v>560</v>
      </c>
      <c r="L324">
        <v>1339</v>
      </c>
      <c r="N324">
        <v>1007</v>
      </c>
      <c r="O324" t="s">
        <v>133</v>
      </c>
      <c r="P324" t="s">
        <v>133</v>
      </c>
      <c r="Q324">
        <v>1</v>
      </c>
      <c r="X324">
        <v>0.23499999999999999</v>
      </c>
      <c r="Y324">
        <v>2.44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248</v>
      </c>
      <c r="AG324">
        <v>3.5249999999999999</v>
      </c>
      <c r="AH324">
        <v>2</v>
      </c>
      <c r="AI324">
        <v>27935790</v>
      </c>
      <c r="AJ324">
        <v>318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ROW(Source!A118)</f>
        <v>118</v>
      </c>
      <c r="B325">
        <v>27935796</v>
      </c>
      <c r="C325">
        <v>27935786</v>
      </c>
      <c r="D325">
        <v>25153340</v>
      </c>
      <c r="E325">
        <v>1</v>
      </c>
      <c r="F325">
        <v>1</v>
      </c>
      <c r="G325">
        <v>1</v>
      </c>
      <c r="H325">
        <v>3</v>
      </c>
      <c r="I325" t="s">
        <v>632</v>
      </c>
      <c r="J325" t="s">
        <v>633</v>
      </c>
      <c r="K325" t="s">
        <v>634</v>
      </c>
      <c r="L325">
        <v>1354</v>
      </c>
      <c r="N325">
        <v>1010</v>
      </c>
      <c r="O325" t="s">
        <v>282</v>
      </c>
      <c r="P325" t="s">
        <v>282</v>
      </c>
      <c r="Q325">
        <v>1</v>
      </c>
      <c r="X325">
        <v>0.10100000000000001</v>
      </c>
      <c r="Y325">
        <v>3046.2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248</v>
      </c>
      <c r="AG325">
        <v>1.5150000000000001</v>
      </c>
      <c r="AH325">
        <v>2</v>
      </c>
      <c r="AI325">
        <v>27935791</v>
      </c>
      <c r="AJ325">
        <v>319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ROW(Source!A119)</f>
        <v>119</v>
      </c>
      <c r="B326">
        <v>27935792</v>
      </c>
      <c r="C326">
        <v>27935786</v>
      </c>
      <c r="D326">
        <v>25419089</v>
      </c>
      <c r="E326">
        <v>1</v>
      </c>
      <c r="F326">
        <v>1</v>
      </c>
      <c r="G326">
        <v>1</v>
      </c>
      <c r="H326">
        <v>1</v>
      </c>
      <c r="I326" t="s">
        <v>582</v>
      </c>
      <c r="J326" t="s">
        <v>6</v>
      </c>
      <c r="K326" t="s">
        <v>583</v>
      </c>
      <c r="L326">
        <v>1191</v>
      </c>
      <c r="N326">
        <v>1013</v>
      </c>
      <c r="O326" t="s">
        <v>459</v>
      </c>
      <c r="P326" t="s">
        <v>459</v>
      </c>
      <c r="Q326">
        <v>1</v>
      </c>
      <c r="X326">
        <v>2.1</v>
      </c>
      <c r="Y326">
        <v>0</v>
      </c>
      <c r="Z326">
        <v>0</v>
      </c>
      <c r="AA326">
        <v>0</v>
      </c>
      <c r="AB326">
        <v>9.6199999999999992</v>
      </c>
      <c r="AC326">
        <v>0</v>
      </c>
      <c r="AD326">
        <v>1</v>
      </c>
      <c r="AE326">
        <v>1</v>
      </c>
      <c r="AF326" t="s">
        <v>248</v>
      </c>
      <c r="AG326">
        <v>31.5</v>
      </c>
      <c r="AH326">
        <v>2</v>
      </c>
      <c r="AI326">
        <v>27935787</v>
      </c>
      <c r="AJ326">
        <v>320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ROW(Source!A119)</f>
        <v>119</v>
      </c>
      <c r="B327">
        <v>27935793</v>
      </c>
      <c r="C327">
        <v>27935786</v>
      </c>
      <c r="D327">
        <v>25412928</v>
      </c>
      <c r="E327">
        <v>1</v>
      </c>
      <c r="F327">
        <v>1</v>
      </c>
      <c r="G327">
        <v>1</v>
      </c>
      <c r="H327">
        <v>1</v>
      </c>
      <c r="I327" t="s">
        <v>460</v>
      </c>
      <c r="J327" t="s">
        <v>6</v>
      </c>
      <c r="K327" t="s">
        <v>461</v>
      </c>
      <c r="L327">
        <v>1191</v>
      </c>
      <c r="N327">
        <v>1013</v>
      </c>
      <c r="O327" t="s">
        <v>459</v>
      </c>
      <c r="P327" t="s">
        <v>459</v>
      </c>
      <c r="Q327">
        <v>1</v>
      </c>
      <c r="X327">
        <v>1.24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2</v>
      </c>
      <c r="AF327" t="s">
        <v>248</v>
      </c>
      <c r="AG327">
        <v>18.600000000000001</v>
      </c>
      <c r="AH327">
        <v>2</v>
      </c>
      <c r="AI327">
        <v>27935788</v>
      </c>
      <c r="AJ327">
        <v>321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ROW(Source!A119)</f>
        <v>119</v>
      </c>
      <c r="B328">
        <v>27935794</v>
      </c>
      <c r="C328">
        <v>27935786</v>
      </c>
      <c r="D328">
        <v>25232657</v>
      </c>
      <c r="E328">
        <v>1</v>
      </c>
      <c r="F328">
        <v>1</v>
      </c>
      <c r="G328">
        <v>1</v>
      </c>
      <c r="H328">
        <v>2</v>
      </c>
      <c r="I328" t="s">
        <v>629</v>
      </c>
      <c r="J328" t="s">
        <v>630</v>
      </c>
      <c r="K328" t="s">
        <v>631</v>
      </c>
      <c r="L328">
        <v>1368</v>
      </c>
      <c r="N328">
        <v>1011</v>
      </c>
      <c r="O328" t="s">
        <v>465</v>
      </c>
      <c r="P328" t="s">
        <v>465</v>
      </c>
      <c r="Q328">
        <v>1</v>
      </c>
      <c r="X328">
        <v>1.24</v>
      </c>
      <c r="Y328">
        <v>0</v>
      </c>
      <c r="Z328">
        <v>34.549999999999997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248</v>
      </c>
      <c r="AG328">
        <v>18.600000000000001</v>
      </c>
      <c r="AH328">
        <v>2</v>
      </c>
      <c r="AI328">
        <v>27935789</v>
      </c>
      <c r="AJ328">
        <v>322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ROW(Source!A119)</f>
        <v>119</v>
      </c>
      <c r="B329">
        <v>27935795</v>
      </c>
      <c r="C329">
        <v>27935786</v>
      </c>
      <c r="D329">
        <v>25149961</v>
      </c>
      <c r="E329">
        <v>1</v>
      </c>
      <c r="F329">
        <v>1</v>
      </c>
      <c r="G329">
        <v>1</v>
      </c>
      <c r="H329">
        <v>3</v>
      </c>
      <c r="I329" t="s">
        <v>558</v>
      </c>
      <c r="J329" t="s">
        <v>559</v>
      </c>
      <c r="K329" t="s">
        <v>560</v>
      </c>
      <c r="L329">
        <v>1339</v>
      </c>
      <c r="N329">
        <v>1007</v>
      </c>
      <c r="O329" t="s">
        <v>133</v>
      </c>
      <c r="P329" t="s">
        <v>133</v>
      </c>
      <c r="Q329">
        <v>1</v>
      </c>
      <c r="X329">
        <v>0.23499999999999999</v>
      </c>
      <c r="Y329">
        <v>2.44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248</v>
      </c>
      <c r="AG329">
        <v>3.5249999999999999</v>
      </c>
      <c r="AH329">
        <v>2</v>
      </c>
      <c r="AI329">
        <v>27935790</v>
      </c>
      <c r="AJ329">
        <v>323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ROW(Source!A119)</f>
        <v>119</v>
      </c>
      <c r="B330">
        <v>27935796</v>
      </c>
      <c r="C330">
        <v>27935786</v>
      </c>
      <c r="D330">
        <v>25153340</v>
      </c>
      <c r="E330">
        <v>1</v>
      </c>
      <c r="F330">
        <v>1</v>
      </c>
      <c r="G330">
        <v>1</v>
      </c>
      <c r="H330">
        <v>3</v>
      </c>
      <c r="I330" t="s">
        <v>632</v>
      </c>
      <c r="J330" t="s">
        <v>633</v>
      </c>
      <c r="K330" t="s">
        <v>634</v>
      </c>
      <c r="L330">
        <v>1354</v>
      </c>
      <c r="N330">
        <v>1010</v>
      </c>
      <c r="O330" t="s">
        <v>282</v>
      </c>
      <c r="P330" t="s">
        <v>282</v>
      </c>
      <c r="Q330">
        <v>1</v>
      </c>
      <c r="X330">
        <v>0.10100000000000001</v>
      </c>
      <c r="Y330">
        <v>3046.2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248</v>
      </c>
      <c r="AG330">
        <v>1.5150000000000001</v>
      </c>
      <c r="AH330">
        <v>2</v>
      </c>
      <c r="AI330">
        <v>27935791</v>
      </c>
      <c r="AJ330">
        <v>324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ROW(Source!A120)</f>
        <v>120</v>
      </c>
      <c r="B331">
        <v>27935809</v>
      </c>
      <c r="C331">
        <v>27935797</v>
      </c>
      <c r="D331">
        <v>25416200</v>
      </c>
      <c r="E331">
        <v>1</v>
      </c>
      <c r="F331">
        <v>1</v>
      </c>
      <c r="G331">
        <v>1</v>
      </c>
      <c r="H331">
        <v>1</v>
      </c>
      <c r="I331" t="s">
        <v>457</v>
      </c>
      <c r="J331" t="s">
        <v>6</v>
      </c>
      <c r="K331" t="s">
        <v>458</v>
      </c>
      <c r="L331">
        <v>1191</v>
      </c>
      <c r="N331">
        <v>1013</v>
      </c>
      <c r="O331" t="s">
        <v>459</v>
      </c>
      <c r="P331" t="s">
        <v>459</v>
      </c>
      <c r="Q331">
        <v>1</v>
      </c>
      <c r="X331">
        <v>75.22</v>
      </c>
      <c r="Y331">
        <v>0</v>
      </c>
      <c r="Z331">
        <v>0</v>
      </c>
      <c r="AA331">
        <v>0</v>
      </c>
      <c r="AB331">
        <v>8.09</v>
      </c>
      <c r="AC331">
        <v>0</v>
      </c>
      <c r="AD331">
        <v>1</v>
      </c>
      <c r="AE331">
        <v>1</v>
      </c>
      <c r="AF331" t="s">
        <v>6</v>
      </c>
      <c r="AG331">
        <v>75.22</v>
      </c>
      <c r="AH331">
        <v>2</v>
      </c>
      <c r="AI331">
        <v>27935798</v>
      </c>
      <c r="AJ331">
        <v>325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ROW(Source!A120)</f>
        <v>120</v>
      </c>
      <c r="B332">
        <v>27935810</v>
      </c>
      <c r="C332">
        <v>27935797</v>
      </c>
      <c r="D332">
        <v>25412928</v>
      </c>
      <c r="E332">
        <v>1</v>
      </c>
      <c r="F332">
        <v>1</v>
      </c>
      <c r="G332">
        <v>1</v>
      </c>
      <c r="H332">
        <v>1</v>
      </c>
      <c r="I332" t="s">
        <v>460</v>
      </c>
      <c r="J332" t="s">
        <v>6</v>
      </c>
      <c r="K332" t="s">
        <v>461</v>
      </c>
      <c r="L332">
        <v>1191</v>
      </c>
      <c r="N332">
        <v>1013</v>
      </c>
      <c r="O332" t="s">
        <v>459</v>
      </c>
      <c r="P332" t="s">
        <v>459</v>
      </c>
      <c r="Q332">
        <v>1</v>
      </c>
      <c r="X332">
        <v>0.4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2</v>
      </c>
      <c r="AF332" t="s">
        <v>6</v>
      </c>
      <c r="AG332">
        <v>0.4</v>
      </c>
      <c r="AH332">
        <v>2</v>
      </c>
      <c r="AI332">
        <v>27935799</v>
      </c>
      <c r="AJ332">
        <v>326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ROW(Source!A120)</f>
        <v>120</v>
      </c>
      <c r="B333">
        <v>27935811</v>
      </c>
      <c r="C333">
        <v>27935797</v>
      </c>
      <c r="D333">
        <v>25230418</v>
      </c>
      <c r="E333">
        <v>1</v>
      </c>
      <c r="F333">
        <v>1</v>
      </c>
      <c r="G333">
        <v>1</v>
      </c>
      <c r="H333">
        <v>2</v>
      </c>
      <c r="I333" t="s">
        <v>635</v>
      </c>
      <c r="J333" t="s">
        <v>636</v>
      </c>
      <c r="K333" t="s">
        <v>637</v>
      </c>
      <c r="L333">
        <v>1368</v>
      </c>
      <c r="N333">
        <v>1011</v>
      </c>
      <c r="O333" t="s">
        <v>465</v>
      </c>
      <c r="P333" t="s">
        <v>465</v>
      </c>
      <c r="Q333">
        <v>1</v>
      </c>
      <c r="X333">
        <v>0.21</v>
      </c>
      <c r="Y333">
        <v>0</v>
      </c>
      <c r="Z333">
        <v>1.7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0.21</v>
      </c>
      <c r="AH333">
        <v>2</v>
      </c>
      <c r="AI333">
        <v>27935800</v>
      </c>
      <c r="AJ333">
        <v>327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ROW(Source!A120)</f>
        <v>120</v>
      </c>
      <c r="B334">
        <v>27935812</v>
      </c>
      <c r="C334">
        <v>27935797</v>
      </c>
      <c r="D334">
        <v>25231607</v>
      </c>
      <c r="E334">
        <v>1</v>
      </c>
      <c r="F334">
        <v>1</v>
      </c>
      <c r="G334">
        <v>1</v>
      </c>
      <c r="H334">
        <v>2</v>
      </c>
      <c r="I334" t="s">
        <v>468</v>
      </c>
      <c r="J334" t="s">
        <v>469</v>
      </c>
      <c r="K334" t="s">
        <v>470</v>
      </c>
      <c r="L334">
        <v>1368</v>
      </c>
      <c r="N334">
        <v>1011</v>
      </c>
      <c r="O334" t="s">
        <v>465</v>
      </c>
      <c r="P334" t="s">
        <v>465</v>
      </c>
      <c r="Q334">
        <v>1</v>
      </c>
      <c r="X334">
        <v>0.4</v>
      </c>
      <c r="Y334">
        <v>0</v>
      </c>
      <c r="Z334">
        <v>65.709999999999994</v>
      </c>
      <c r="AA334">
        <v>11.6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0.4</v>
      </c>
      <c r="AH334">
        <v>2</v>
      </c>
      <c r="AI334">
        <v>27935801</v>
      </c>
      <c r="AJ334">
        <v>328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ROW(Source!A120)</f>
        <v>120</v>
      </c>
      <c r="B335">
        <v>27935813</v>
      </c>
      <c r="C335">
        <v>27935797</v>
      </c>
      <c r="D335">
        <v>25149961</v>
      </c>
      <c r="E335">
        <v>1</v>
      </c>
      <c r="F335">
        <v>1</v>
      </c>
      <c r="G335">
        <v>1</v>
      </c>
      <c r="H335">
        <v>3</v>
      </c>
      <c r="I335" t="s">
        <v>558</v>
      </c>
      <c r="J335" t="s">
        <v>559</v>
      </c>
      <c r="K335" t="s">
        <v>560</v>
      </c>
      <c r="L335">
        <v>1339</v>
      </c>
      <c r="N335">
        <v>1007</v>
      </c>
      <c r="O335" t="s">
        <v>133</v>
      </c>
      <c r="P335" t="s">
        <v>133</v>
      </c>
      <c r="Q335">
        <v>1</v>
      </c>
      <c r="X335">
        <v>1.37E-2</v>
      </c>
      <c r="Y335">
        <v>2.44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1.37E-2</v>
      </c>
      <c r="AH335">
        <v>2</v>
      </c>
      <c r="AI335">
        <v>27935802</v>
      </c>
      <c r="AJ335">
        <v>329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ROW(Source!A120)</f>
        <v>120</v>
      </c>
      <c r="B336">
        <v>27935814</v>
      </c>
      <c r="C336">
        <v>27935797</v>
      </c>
      <c r="D336">
        <v>25152713</v>
      </c>
      <c r="E336">
        <v>1</v>
      </c>
      <c r="F336">
        <v>1</v>
      </c>
      <c r="G336">
        <v>1</v>
      </c>
      <c r="H336">
        <v>3</v>
      </c>
      <c r="I336" t="s">
        <v>525</v>
      </c>
      <c r="J336" t="s">
        <v>526</v>
      </c>
      <c r="K336" t="s">
        <v>527</v>
      </c>
      <c r="L336">
        <v>1348</v>
      </c>
      <c r="N336">
        <v>1009</v>
      </c>
      <c r="O336" t="s">
        <v>65</v>
      </c>
      <c r="P336" t="s">
        <v>65</v>
      </c>
      <c r="Q336">
        <v>1000</v>
      </c>
      <c r="X336">
        <v>5.8999999999999999E-3</v>
      </c>
      <c r="Y336">
        <v>11978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5.8999999999999999E-3</v>
      </c>
      <c r="AH336">
        <v>2</v>
      </c>
      <c r="AI336">
        <v>27935803</v>
      </c>
      <c r="AJ336">
        <v>330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ROW(Source!A120)</f>
        <v>120</v>
      </c>
      <c r="B337">
        <v>27935815</v>
      </c>
      <c r="C337">
        <v>27935797</v>
      </c>
      <c r="D337">
        <v>25154685</v>
      </c>
      <c r="E337">
        <v>1</v>
      </c>
      <c r="F337">
        <v>1</v>
      </c>
      <c r="G337">
        <v>1</v>
      </c>
      <c r="H337">
        <v>3</v>
      </c>
      <c r="I337" t="s">
        <v>638</v>
      </c>
      <c r="J337" t="s">
        <v>639</v>
      </c>
      <c r="K337" t="s">
        <v>640</v>
      </c>
      <c r="L337">
        <v>1348</v>
      </c>
      <c r="N337">
        <v>1009</v>
      </c>
      <c r="O337" t="s">
        <v>65</v>
      </c>
      <c r="P337" t="s">
        <v>65</v>
      </c>
      <c r="Q337">
        <v>1000</v>
      </c>
      <c r="X337">
        <v>4.8999999999999998E-3</v>
      </c>
      <c r="Y337">
        <v>734.5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4.8999999999999998E-3</v>
      </c>
      <c r="AH337">
        <v>2</v>
      </c>
      <c r="AI337">
        <v>27935804</v>
      </c>
      <c r="AJ337">
        <v>331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ROW(Source!A120)</f>
        <v>120</v>
      </c>
      <c r="B338">
        <v>27935816</v>
      </c>
      <c r="C338">
        <v>27935797</v>
      </c>
      <c r="D338">
        <v>25144278</v>
      </c>
      <c r="E338">
        <v>17</v>
      </c>
      <c r="F338">
        <v>1</v>
      </c>
      <c r="G338">
        <v>1</v>
      </c>
      <c r="H338">
        <v>3</v>
      </c>
      <c r="I338" t="s">
        <v>749</v>
      </c>
      <c r="J338" t="s">
        <v>6</v>
      </c>
      <c r="K338" t="s">
        <v>750</v>
      </c>
      <c r="L338">
        <v>1339</v>
      </c>
      <c r="N338">
        <v>1007</v>
      </c>
      <c r="O338" t="s">
        <v>133</v>
      </c>
      <c r="P338" t="s">
        <v>133</v>
      </c>
      <c r="Q338">
        <v>1</v>
      </c>
      <c r="X338">
        <v>1.04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1.04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ROW(Source!A120)</f>
        <v>120</v>
      </c>
      <c r="B339">
        <v>27935817</v>
      </c>
      <c r="C339">
        <v>27935797</v>
      </c>
      <c r="D339">
        <v>25173801</v>
      </c>
      <c r="E339">
        <v>1</v>
      </c>
      <c r="F339">
        <v>1</v>
      </c>
      <c r="G339">
        <v>1</v>
      </c>
      <c r="H339">
        <v>3</v>
      </c>
      <c r="I339" t="s">
        <v>534</v>
      </c>
      <c r="J339" t="s">
        <v>535</v>
      </c>
      <c r="K339" t="s">
        <v>536</v>
      </c>
      <c r="L339">
        <v>1348</v>
      </c>
      <c r="N339">
        <v>1009</v>
      </c>
      <c r="O339" t="s">
        <v>65</v>
      </c>
      <c r="P339" t="s">
        <v>65</v>
      </c>
      <c r="Q339">
        <v>1000</v>
      </c>
      <c r="X339">
        <v>9.4999999999999998E-3</v>
      </c>
      <c r="Y339">
        <v>4455.2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9.4999999999999998E-3</v>
      </c>
      <c r="AH339">
        <v>2</v>
      </c>
      <c r="AI339">
        <v>27935805</v>
      </c>
      <c r="AJ339">
        <v>333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ROW(Source!A120)</f>
        <v>120</v>
      </c>
      <c r="B340">
        <v>27935818</v>
      </c>
      <c r="C340">
        <v>27935797</v>
      </c>
      <c r="D340">
        <v>25178466</v>
      </c>
      <c r="E340">
        <v>1</v>
      </c>
      <c r="F340">
        <v>1</v>
      </c>
      <c r="G340">
        <v>1</v>
      </c>
      <c r="H340">
        <v>3</v>
      </c>
      <c r="I340" t="s">
        <v>641</v>
      </c>
      <c r="J340" t="s">
        <v>642</v>
      </c>
      <c r="K340" t="s">
        <v>643</v>
      </c>
      <c r="L340">
        <v>1339</v>
      </c>
      <c r="N340">
        <v>1007</v>
      </c>
      <c r="O340" t="s">
        <v>133</v>
      </c>
      <c r="P340" t="s">
        <v>133</v>
      </c>
      <c r="Q340">
        <v>1</v>
      </c>
      <c r="X340">
        <v>0.21</v>
      </c>
      <c r="Y340">
        <v>1287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0.21</v>
      </c>
      <c r="AH340">
        <v>2</v>
      </c>
      <c r="AI340">
        <v>27935806</v>
      </c>
      <c r="AJ340">
        <v>334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ROW(Source!A120)</f>
        <v>120</v>
      </c>
      <c r="B341">
        <v>27935819</v>
      </c>
      <c r="C341">
        <v>27935797</v>
      </c>
      <c r="D341">
        <v>25178656</v>
      </c>
      <c r="E341">
        <v>1</v>
      </c>
      <c r="F341">
        <v>1</v>
      </c>
      <c r="G341">
        <v>1</v>
      </c>
      <c r="H341">
        <v>3</v>
      </c>
      <c r="I341" t="s">
        <v>644</v>
      </c>
      <c r="J341" t="s">
        <v>645</v>
      </c>
      <c r="K341" t="s">
        <v>646</v>
      </c>
      <c r="L341">
        <v>1339</v>
      </c>
      <c r="N341">
        <v>1007</v>
      </c>
      <c r="O341" t="s">
        <v>133</v>
      </c>
      <c r="P341" t="s">
        <v>133</v>
      </c>
      <c r="Q341">
        <v>1</v>
      </c>
      <c r="X341">
        <v>0.18</v>
      </c>
      <c r="Y341">
        <v>1155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0.18</v>
      </c>
      <c r="AH341">
        <v>2</v>
      </c>
      <c r="AI341">
        <v>27935808</v>
      </c>
      <c r="AJ341">
        <v>335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ROW(Source!A121)</f>
        <v>121</v>
      </c>
      <c r="B342">
        <v>27935809</v>
      </c>
      <c r="C342">
        <v>27935797</v>
      </c>
      <c r="D342">
        <v>25416200</v>
      </c>
      <c r="E342">
        <v>1</v>
      </c>
      <c r="F342">
        <v>1</v>
      </c>
      <c r="G342">
        <v>1</v>
      </c>
      <c r="H342">
        <v>1</v>
      </c>
      <c r="I342" t="s">
        <v>457</v>
      </c>
      <c r="J342" t="s">
        <v>6</v>
      </c>
      <c r="K342" t="s">
        <v>458</v>
      </c>
      <c r="L342">
        <v>1191</v>
      </c>
      <c r="N342">
        <v>1013</v>
      </c>
      <c r="O342" t="s">
        <v>459</v>
      </c>
      <c r="P342" t="s">
        <v>459</v>
      </c>
      <c r="Q342">
        <v>1</v>
      </c>
      <c r="X342">
        <v>75.22</v>
      </c>
      <c r="Y342">
        <v>0</v>
      </c>
      <c r="Z342">
        <v>0</v>
      </c>
      <c r="AA342">
        <v>0</v>
      </c>
      <c r="AB342">
        <v>8.09</v>
      </c>
      <c r="AC342">
        <v>0</v>
      </c>
      <c r="AD342">
        <v>1</v>
      </c>
      <c r="AE342">
        <v>1</v>
      </c>
      <c r="AF342" t="s">
        <v>6</v>
      </c>
      <c r="AG342">
        <v>75.22</v>
      </c>
      <c r="AH342">
        <v>2</v>
      </c>
      <c r="AI342">
        <v>27935798</v>
      </c>
      <c r="AJ342">
        <v>336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ROW(Source!A121)</f>
        <v>121</v>
      </c>
      <c r="B343">
        <v>27935810</v>
      </c>
      <c r="C343">
        <v>27935797</v>
      </c>
      <c r="D343">
        <v>25412928</v>
      </c>
      <c r="E343">
        <v>1</v>
      </c>
      <c r="F343">
        <v>1</v>
      </c>
      <c r="G343">
        <v>1</v>
      </c>
      <c r="H343">
        <v>1</v>
      </c>
      <c r="I343" t="s">
        <v>460</v>
      </c>
      <c r="J343" t="s">
        <v>6</v>
      </c>
      <c r="K343" t="s">
        <v>461</v>
      </c>
      <c r="L343">
        <v>1191</v>
      </c>
      <c r="N343">
        <v>1013</v>
      </c>
      <c r="O343" t="s">
        <v>459</v>
      </c>
      <c r="P343" t="s">
        <v>459</v>
      </c>
      <c r="Q343">
        <v>1</v>
      </c>
      <c r="X343">
        <v>0.4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6</v>
      </c>
      <c r="AG343">
        <v>0.4</v>
      </c>
      <c r="AH343">
        <v>2</v>
      </c>
      <c r="AI343">
        <v>27935799</v>
      </c>
      <c r="AJ343">
        <v>337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ROW(Source!A121)</f>
        <v>121</v>
      </c>
      <c r="B344">
        <v>27935811</v>
      </c>
      <c r="C344">
        <v>27935797</v>
      </c>
      <c r="D344">
        <v>25230418</v>
      </c>
      <c r="E344">
        <v>1</v>
      </c>
      <c r="F344">
        <v>1</v>
      </c>
      <c r="G344">
        <v>1</v>
      </c>
      <c r="H344">
        <v>2</v>
      </c>
      <c r="I344" t="s">
        <v>635</v>
      </c>
      <c r="J344" t="s">
        <v>636</v>
      </c>
      <c r="K344" t="s">
        <v>637</v>
      </c>
      <c r="L344">
        <v>1368</v>
      </c>
      <c r="N344">
        <v>1011</v>
      </c>
      <c r="O344" t="s">
        <v>465</v>
      </c>
      <c r="P344" t="s">
        <v>465</v>
      </c>
      <c r="Q344">
        <v>1</v>
      </c>
      <c r="X344">
        <v>0.21</v>
      </c>
      <c r="Y344">
        <v>0</v>
      </c>
      <c r="Z344">
        <v>1.7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0.21</v>
      </c>
      <c r="AH344">
        <v>2</v>
      </c>
      <c r="AI344">
        <v>27935800</v>
      </c>
      <c r="AJ344">
        <v>338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ROW(Source!A121)</f>
        <v>121</v>
      </c>
      <c r="B345">
        <v>27935812</v>
      </c>
      <c r="C345">
        <v>27935797</v>
      </c>
      <c r="D345">
        <v>25231607</v>
      </c>
      <c r="E345">
        <v>1</v>
      </c>
      <c r="F345">
        <v>1</v>
      </c>
      <c r="G345">
        <v>1</v>
      </c>
      <c r="H345">
        <v>2</v>
      </c>
      <c r="I345" t="s">
        <v>468</v>
      </c>
      <c r="J345" t="s">
        <v>469</v>
      </c>
      <c r="K345" t="s">
        <v>470</v>
      </c>
      <c r="L345">
        <v>1368</v>
      </c>
      <c r="N345">
        <v>1011</v>
      </c>
      <c r="O345" t="s">
        <v>465</v>
      </c>
      <c r="P345" t="s">
        <v>465</v>
      </c>
      <c r="Q345">
        <v>1</v>
      </c>
      <c r="X345">
        <v>0.4</v>
      </c>
      <c r="Y345">
        <v>0</v>
      </c>
      <c r="Z345">
        <v>65.709999999999994</v>
      </c>
      <c r="AA345">
        <v>11.6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0.4</v>
      </c>
      <c r="AH345">
        <v>2</v>
      </c>
      <c r="AI345">
        <v>27935801</v>
      </c>
      <c r="AJ345">
        <v>339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ROW(Source!A121)</f>
        <v>121</v>
      </c>
      <c r="B346">
        <v>27935813</v>
      </c>
      <c r="C346">
        <v>27935797</v>
      </c>
      <c r="D346">
        <v>25149961</v>
      </c>
      <c r="E346">
        <v>1</v>
      </c>
      <c r="F346">
        <v>1</v>
      </c>
      <c r="G346">
        <v>1</v>
      </c>
      <c r="H346">
        <v>3</v>
      </c>
      <c r="I346" t="s">
        <v>558</v>
      </c>
      <c r="J346" t="s">
        <v>559</v>
      </c>
      <c r="K346" t="s">
        <v>560</v>
      </c>
      <c r="L346">
        <v>1339</v>
      </c>
      <c r="N346">
        <v>1007</v>
      </c>
      <c r="O346" t="s">
        <v>133</v>
      </c>
      <c r="P346" t="s">
        <v>133</v>
      </c>
      <c r="Q346">
        <v>1</v>
      </c>
      <c r="X346">
        <v>1.37E-2</v>
      </c>
      <c r="Y346">
        <v>2.44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1.37E-2</v>
      </c>
      <c r="AH346">
        <v>2</v>
      </c>
      <c r="AI346">
        <v>27935802</v>
      </c>
      <c r="AJ346">
        <v>340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ROW(Source!A121)</f>
        <v>121</v>
      </c>
      <c r="B347">
        <v>27935814</v>
      </c>
      <c r="C347">
        <v>27935797</v>
      </c>
      <c r="D347">
        <v>25152713</v>
      </c>
      <c r="E347">
        <v>1</v>
      </c>
      <c r="F347">
        <v>1</v>
      </c>
      <c r="G347">
        <v>1</v>
      </c>
      <c r="H347">
        <v>3</v>
      </c>
      <c r="I347" t="s">
        <v>525</v>
      </c>
      <c r="J347" t="s">
        <v>526</v>
      </c>
      <c r="K347" t="s">
        <v>527</v>
      </c>
      <c r="L347">
        <v>1348</v>
      </c>
      <c r="N347">
        <v>1009</v>
      </c>
      <c r="O347" t="s">
        <v>65</v>
      </c>
      <c r="P347" t="s">
        <v>65</v>
      </c>
      <c r="Q347">
        <v>1000</v>
      </c>
      <c r="X347">
        <v>5.8999999999999999E-3</v>
      </c>
      <c r="Y347">
        <v>11978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5.8999999999999999E-3</v>
      </c>
      <c r="AH347">
        <v>2</v>
      </c>
      <c r="AI347">
        <v>27935803</v>
      </c>
      <c r="AJ347">
        <v>341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ROW(Source!A121)</f>
        <v>121</v>
      </c>
      <c r="B348">
        <v>27935815</v>
      </c>
      <c r="C348">
        <v>27935797</v>
      </c>
      <c r="D348">
        <v>25154685</v>
      </c>
      <c r="E348">
        <v>1</v>
      </c>
      <c r="F348">
        <v>1</v>
      </c>
      <c r="G348">
        <v>1</v>
      </c>
      <c r="H348">
        <v>3</v>
      </c>
      <c r="I348" t="s">
        <v>638</v>
      </c>
      <c r="J348" t="s">
        <v>639</v>
      </c>
      <c r="K348" t="s">
        <v>640</v>
      </c>
      <c r="L348">
        <v>1348</v>
      </c>
      <c r="N348">
        <v>1009</v>
      </c>
      <c r="O348" t="s">
        <v>65</v>
      </c>
      <c r="P348" t="s">
        <v>65</v>
      </c>
      <c r="Q348">
        <v>1000</v>
      </c>
      <c r="X348">
        <v>4.8999999999999998E-3</v>
      </c>
      <c r="Y348">
        <v>734.5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4.8999999999999998E-3</v>
      </c>
      <c r="AH348">
        <v>2</v>
      </c>
      <c r="AI348">
        <v>27935804</v>
      </c>
      <c r="AJ348">
        <v>342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ROW(Source!A121)</f>
        <v>121</v>
      </c>
      <c r="B349">
        <v>27935816</v>
      </c>
      <c r="C349">
        <v>27935797</v>
      </c>
      <c r="D349">
        <v>25144278</v>
      </c>
      <c r="E349">
        <v>17</v>
      </c>
      <c r="F349">
        <v>1</v>
      </c>
      <c r="G349">
        <v>1</v>
      </c>
      <c r="H349">
        <v>3</v>
      </c>
      <c r="I349" t="s">
        <v>749</v>
      </c>
      <c r="J349" t="s">
        <v>6</v>
      </c>
      <c r="K349" t="s">
        <v>750</v>
      </c>
      <c r="L349">
        <v>1339</v>
      </c>
      <c r="N349">
        <v>1007</v>
      </c>
      <c r="O349" t="s">
        <v>133</v>
      </c>
      <c r="P349" t="s">
        <v>133</v>
      </c>
      <c r="Q349">
        <v>1</v>
      </c>
      <c r="X349">
        <v>1.04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6</v>
      </c>
      <c r="AG349">
        <v>1.04</v>
      </c>
      <c r="AH349">
        <v>3</v>
      </c>
      <c r="AI349">
        <v>-1</v>
      </c>
      <c r="AJ349" t="s">
        <v>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ROW(Source!A121)</f>
        <v>121</v>
      </c>
      <c r="B350">
        <v>27935817</v>
      </c>
      <c r="C350">
        <v>27935797</v>
      </c>
      <c r="D350">
        <v>25173801</v>
      </c>
      <c r="E350">
        <v>1</v>
      </c>
      <c r="F350">
        <v>1</v>
      </c>
      <c r="G350">
        <v>1</v>
      </c>
      <c r="H350">
        <v>3</v>
      </c>
      <c r="I350" t="s">
        <v>534</v>
      </c>
      <c r="J350" t="s">
        <v>535</v>
      </c>
      <c r="K350" t="s">
        <v>536</v>
      </c>
      <c r="L350">
        <v>1348</v>
      </c>
      <c r="N350">
        <v>1009</v>
      </c>
      <c r="O350" t="s">
        <v>65</v>
      </c>
      <c r="P350" t="s">
        <v>65</v>
      </c>
      <c r="Q350">
        <v>1000</v>
      </c>
      <c r="X350">
        <v>9.4999999999999998E-3</v>
      </c>
      <c r="Y350">
        <v>4455.2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9.4999999999999998E-3</v>
      </c>
      <c r="AH350">
        <v>2</v>
      </c>
      <c r="AI350">
        <v>27935805</v>
      </c>
      <c r="AJ350">
        <v>344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ROW(Source!A121)</f>
        <v>121</v>
      </c>
      <c r="B351">
        <v>27935818</v>
      </c>
      <c r="C351">
        <v>27935797</v>
      </c>
      <c r="D351">
        <v>25178466</v>
      </c>
      <c r="E351">
        <v>1</v>
      </c>
      <c r="F351">
        <v>1</v>
      </c>
      <c r="G351">
        <v>1</v>
      </c>
      <c r="H351">
        <v>3</v>
      </c>
      <c r="I351" t="s">
        <v>641</v>
      </c>
      <c r="J351" t="s">
        <v>642</v>
      </c>
      <c r="K351" t="s">
        <v>643</v>
      </c>
      <c r="L351">
        <v>1339</v>
      </c>
      <c r="N351">
        <v>1007</v>
      </c>
      <c r="O351" t="s">
        <v>133</v>
      </c>
      <c r="P351" t="s">
        <v>133</v>
      </c>
      <c r="Q351">
        <v>1</v>
      </c>
      <c r="X351">
        <v>0.21</v>
      </c>
      <c r="Y351">
        <v>1287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0.21</v>
      </c>
      <c r="AH351">
        <v>2</v>
      </c>
      <c r="AI351">
        <v>27935806</v>
      </c>
      <c r="AJ351">
        <v>345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ROW(Source!A121)</f>
        <v>121</v>
      </c>
      <c r="B352">
        <v>27935819</v>
      </c>
      <c r="C352">
        <v>27935797</v>
      </c>
      <c r="D352">
        <v>25178656</v>
      </c>
      <c r="E352">
        <v>1</v>
      </c>
      <c r="F352">
        <v>1</v>
      </c>
      <c r="G352">
        <v>1</v>
      </c>
      <c r="H352">
        <v>3</v>
      </c>
      <c r="I352" t="s">
        <v>644</v>
      </c>
      <c r="J352" t="s">
        <v>645</v>
      </c>
      <c r="K352" t="s">
        <v>646</v>
      </c>
      <c r="L352">
        <v>1339</v>
      </c>
      <c r="N352">
        <v>1007</v>
      </c>
      <c r="O352" t="s">
        <v>133</v>
      </c>
      <c r="P352" t="s">
        <v>133</v>
      </c>
      <c r="Q352">
        <v>1</v>
      </c>
      <c r="X352">
        <v>0.18</v>
      </c>
      <c r="Y352">
        <v>1155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0.18</v>
      </c>
      <c r="AH352">
        <v>2</v>
      </c>
      <c r="AI352">
        <v>27935808</v>
      </c>
      <c r="AJ352">
        <v>346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ROW(Source!A128)</f>
        <v>128</v>
      </c>
      <c r="B353">
        <v>27935852</v>
      </c>
      <c r="C353">
        <v>27935838</v>
      </c>
      <c r="D353">
        <v>25428833</v>
      </c>
      <c r="E353">
        <v>1</v>
      </c>
      <c r="F353">
        <v>1</v>
      </c>
      <c r="G353">
        <v>1</v>
      </c>
      <c r="H353">
        <v>1</v>
      </c>
      <c r="I353" t="s">
        <v>647</v>
      </c>
      <c r="J353" t="s">
        <v>6</v>
      </c>
      <c r="K353" t="s">
        <v>648</v>
      </c>
      <c r="L353">
        <v>1191</v>
      </c>
      <c r="N353">
        <v>1013</v>
      </c>
      <c r="O353" t="s">
        <v>459</v>
      </c>
      <c r="P353" t="s">
        <v>459</v>
      </c>
      <c r="Q353">
        <v>1</v>
      </c>
      <c r="X353">
        <v>276.8</v>
      </c>
      <c r="Y353">
        <v>0</v>
      </c>
      <c r="Z353">
        <v>0</v>
      </c>
      <c r="AA353">
        <v>0</v>
      </c>
      <c r="AB353">
        <v>9.92</v>
      </c>
      <c r="AC353">
        <v>0</v>
      </c>
      <c r="AD353">
        <v>1</v>
      </c>
      <c r="AE353">
        <v>1</v>
      </c>
      <c r="AF353" t="s">
        <v>6</v>
      </c>
      <c r="AG353">
        <v>276.8</v>
      </c>
      <c r="AH353">
        <v>2</v>
      </c>
      <c r="AI353">
        <v>27935839</v>
      </c>
      <c r="AJ353">
        <v>347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ROW(Source!A128)</f>
        <v>128</v>
      </c>
      <c r="B354">
        <v>27935853</v>
      </c>
      <c r="C354">
        <v>27935838</v>
      </c>
      <c r="D354">
        <v>25412928</v>
      </c>
      <c r="E354">
        <v>1</v>
      </c>
      <c r="F354">
        <v>1</v>
      </c>
      <c r="G354">
        <v>1</v>
      </c>
      <c r="H354">
        <v>1</v>
      </c>
      <c r="I354" t="s">
        <v>460</v>
      </c>
      <c r="J354" t="s">
        <v>6</v>
      </c>
      <c r="K354" t="s">
        <v>461</v>
      </c>
      <c r="L354">
        <v>1191</v>
      </c>
      <c r="N354">
        <v>1013</v>
      </c>
      <c r="O354" t="s">
        <v>459</v>
      </c>
      <c r="P354" t="s">
        <v>459</v>
      </c>
      <c r="Q354">
        <v>1</v>
      </c>
      <c r="X354">
        <v>2.4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2</v>
      </c>
      <c r="AF354" t="s">
        <v>6</v>
      </c>
      <c r="AG354">
        <v>2.4</v>
      </c>
      <c r="AH354">
        <v>2</v>
      </c>
      <c r="AI354">
        <v>27935840</v>
      </c>
      <c r="AJ354">
        <v>348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ROW(Source!A128)</f>
        <v>128</v>
      </c>
      <c r="B355">
        <v>27935854</v>
      </c>
      <c r="C355">
        <v>27935838</v>
      </c>
      <c r="D355">
        <v>25230220</v>
      </c>
      <c r="E355">
        <v>1</v>
      </c>
      <c r="F355">
        <v>1</v>
      </c>
      <c r="G355">
        <v>1</v>
      </c>
      <c r="H355">
        <v>2</v>
      </c>
      <c r="I355" t="s">
        <v>501</v>
      </c>
      <c r="J355" t="s">
        <v>502</v>
      </c>
      <c r="K355" t="s">
        <v>503</v>
      </c>
      <c r="L355">
        <v>1368</v>
      </c>
      <c r="N355">
        <v>1011</v>
      </c>
      <c r="O355" t="s">
        <v>465</v>
      </c>
      <c r="P355" t="s">
        <v>465</v>
      </c>
      <c r="Q355">
        <v>1</v>
      </c>
      <c r="X355">
        <v>1.2</v>
      </c>
      <c r="Y355">
        <v>0</v>
      </c>
      <c r="Z355">
        <v>111.99</v>
      </c>
      <c r="AA355">
        <v>13.5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1.2</v>
      </c>
      <c r="AH355">
        <v>2</v>
      </c>
      <c r="AI355">
        <v>27935841</v>
      </c>
      <c r="AJ355">
        <v>349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ROW(Source!A128)</f>
        <v>128</v>
      </c>
      <c r="B356">
        <v>27935855</v>
      </c>
      <c r="C356">
        <v>27935838</v>
      </c>
      <c r="D356">
        <v>25231607</v>
      </c>
      <c r="E356">
        <v>1</v>
      </c>
      <c r="F356">
        <v>1</v>
      </c>
      <c r="G356">
        <v>1</v>
      </c>
      <c r="H356">
        <v>2</v>
      </c>
      <c r="I356" t="s">
        <v>468</v>
      </c>
      <c r="J356" t="s">
        <v>469</v>
      </c>
      <c r="K356" t="s">
        <v>470</v>
      </c>
      <c r="L356">
        <v>1368</v>
      </c>
      <c r="N356">
        <v>1011</v>
      </c>
      <c r="O356" t="s">
        <v>465</v>
      </c>
      <c r="P356" t="s">
        <v>465</v>
      </c>
      <c r="Q356">
        <v>1</v>
      </c>
      <c r="X356">
        <v>1.2</v>
      </c>
      <c r="Y356">
        <v>0</v>
      </c>
      <c r="Z356">
        <v>65.709999999999994</v>
      </c>
      <c r="AA356">
        <v>11.6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1.2</v>
      </c>
      <c r="AH356">
        <v>2</v>
      </c>
      <c r="AI356">
        <v>27935842</v>
      </c>
      <c r="AJ356">
        <v>350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ROW(Source!A128)</f>
        <v>128</v>
      </c>
      <c r="B357">
        <v>27935856</v>
      </c>
      <c r="C357">
        <v>27935838</v>
      </c>
      <c r="D357">
        <v>25231911</v>
      </c>
      <c r="E357">
        <v>1</v>
      </c>
      <c r="F357">
        <v>1</v>
      </c>
      <c r="G357">
        <v>1</v>
      </c>
      <c r="H357">
        <v>2</v>
      </c>
      <c r="I357" t="s">
        <v>649</v>
      </c>
      <c r="J357" t="s">
        <v>650</v>
      </c>
      <c r="K357" t="s">
        <v>651</v>
      </c>
      <c r="L357">
        <v>1368</v>
      </c>
      <c r="N357">
        <v>1011</v>
      </c>
      <c r="O357" t="s">
        <v>465</v>
      </c>
      <c r="P357" t="s">
        <v>465</v>
      </c>
      <c r="Q357">
        <v>1</v>
      </c>
      <c r="X357">
        <v>1.1399999999999999</v>
      </c>
      <c r="Y357">
        <v>0</v>
      </c>
      <c r="Z357">
        <v>8.1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1.1399999999999999</v>
      </c>
      <c r="AH357">
        <v>2</v>
      </c>
      <c r="AI357">
        <v>27935843</v>
      </c>
      <c r="AJ357">
        <v>351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ROW(Source!A128)</f>
        <v>128</v>
      </c>
      <c r="B358">
        <v>27935857</v>
      </c>
      <c r="C358">
        <v>27935838</v>
      </c>
      <c r="D358">
        <v>25150263</v>
      </c>
      <c r="E358">
        <v>1</v>
      </c>
      <c r="F358">
        <v>1</v>
      </c>
      <c r="G358">
        <v>1</v>
      </c>
      <c r="H358">
        <v>3</v>
      </c>
      <c r="I358" t="s">
        <v>652</v>
      </c>
      <c r="J358" t="s">
        <v>653</v>
      </c>
      <c r="K358" t="s">
        <v>654</v>
      </c>
      <c r="L358">
        <v>1346</v>
      </c>
      <c r="N358">
        <v>1009</v>
      </c>
      <c r="O358" t="s">
        <v>60</v>
      </c>
      <c r="P358" t="s">
        <v>60</v>
      </c>
      <c r="Q358">
        <v>1</v>
      </c>
      <c r="X358">
        <v>0.42</v>
      </c>
      <c r="Y358">
        <v>30.4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0.42</v>
      </c>
      <c r="AH358">
        <v>2</v>
      </c>
      <c r="AI358">
        <v>27935844</v>
      </c>
      <c r="AJ358">
        <v>352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ROW(Source!A128)</f>
        <v>128</v>
      </c>
      <c r="B359">
        <v>27935858</v>
      </c>
      <c r="C359">
        <v>27935838</v>
      </c>
      <c r="D359">
        <v>25150275</v>
      </c>
      <c r="E359">
        <v>1</v>
      </c>
      <c r="F359">
        <v>1</v>
      </c>
      <c r="G359">
        <v>1</v>
      </c>
      <c r="H359">
        <v>3</v>
      </c>
      <c r="I359" t="s">
        <v>655</v>
      </c>
      <c r="J359" t="s">
        <v>656</v>
      </c>
      <c r="K359" t="s">
        <v>657</v>
      </c>
      <c r="L359">
        <v>1308</v>
      </c>
      <c r="N359">
        <v>1003</v>
      </c>
      <c r="O359" t="s">
        <v>40</v>
      </c>
      <c r="P359" t="s">
        <v>40</v>
      </c>
      <c r="Q359">
        <v>100</v>
      </c>
      <c r="X359">
        <v>0.1</v>
      </c>
      <c r="Y359">
        <v>120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0.1</v>
      </c>
      <c r="AH359">
        <v>2</v>
      </c>
      <c r="AI359">
        <v>27935845</v>
      </c>
      <c r="AJ359">
        <v>353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ROW(Source!A128)</f>
        <v>128</v>
      </c>
      <c r="B360">
        <v>27935859</v>
      </c>
      <c r="C360">
        <v>27935838</v>
      </c>
      <c r="D360">
        <v>25151427</v>
      </c>
      <c r="E360">
        <v>1</v>
      </c>
      <c r="F360">
        <v>1</v>
      </c>
      <c r="G360">
        <v>1</v>
      </c>
      <c r="H360">
        <v>3</v>
      </c>
      <c r="I360" t="s">
        <v>658</v>
      </c>
      <c r="J360" t="s">
        <v>659</v>
      </c>
      <c r="K360" t="s">
        <v>660</v>
      </c>
      <c r="L360">
        <v>1346</v>
      </c>
      <c r="N360">
        <v>1009</v>
      </c>
      <c r="O360" t="s">
        <v>60</v>
      </c>
      <c r="P360" t="s">
        <v>60</v>
      </c>
      <c r="Q360">
        <v>1</v>
      </c>
      <c r="X360">
        <v>2.1</v>
      </c>
      <c r="Y360">
        <v>10.57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2.1</v>
      </c>
      <c r="AH360">
        <v>2</v>
      </c>
      <c r="AI360">
        <v>27935846</v>
      </c>
      <c r="AJ360">
        <v>354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ROW(Source!A128)</f>
        <v>128</v>
      </c>
      <c r="B361">
        <v>27935860</v>
      </c>
      <c r="C361">
        <v>27935838</v>
      </c>
      <c r="D361">
        <v>25152616</v>
      </c>
      <c r="E361">
        <v>1</v>
      </c>
      <c r="F361">
        <v>1</v>
      </c>
      <c r="G361">
        <v>1</v>
      </c>
      <c r="H361">
        <v>3</v>
      </c>
      <c r="I361" t="s">
        <v>661</v>
      </c>
      <c r="J361" t="s">
        <v>662</v>
      </c>
      <c r="K361" t="s">
        <v>524</v>
      </c>
      <c r="L361">
        <v>1346</v>
      </c>
      <c r="N361">
        <v>1009</v>
      </c>
      <c r="O361" t="s">
        <v>60</v>
      </c>
      <c r="P361" t="s">
        <v>60</v>
      </c>
      <c r="Q361">
        <v>1</v>
      </c>
      <c r="X361">
        <v>10.4</v>
      </c>
      <c r="Y361">
        <v>9.0399999999999991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10.4</v>
      </c>
      <c r="AH361">
        <v>2</v>
      </c>
      <c r="AI361">
        <v>27935847</v>
      </c>
      <c r="AJ361">
        <v>355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ROW(Source!A128)</f>
        <v>128</v>
      </c>
      <c r="B362">
        <v>27935861</v>
      </c>
      <c r="C362">
        <v>27935838</v>
      </c>
      <c r="D362">
        <v>25174136</v>
      </c>
      <c r="E362">
        <v>1</v>
      </c>
      <c r="F362">
        <v>1</v>
      </c>
      <c r="G362">
        <v>1</v>
      </c>
      <c r="H362">
        <v>3</v>
      </c>
      <c r="I362" t="s">
        <v>663</v>
      </c>
      <c r="J362" t="s">
        <v>664</v>
      </c>
      <c r="K362" t="s">
        <v>665</v>
      </c>
      <c r="L362">
        <v>1348</v>
      </c>
      <c r="N362">
        <v>1009</v>
      </c>
      <c r="O362" t="s">
        <v>65</v>
      </c>
      <c r="P362" t="s">
        <v>65</v>
      </c>
      <c r="Q362">
        <v>1000</v>
      </c>
      <c r="X362">
        <v>0.15</v>
      </c>
      <c r="Y362">
        <v>5000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0.15</v>
      </c>
      <c r="AH362">
        <v>2</v>
      </c>
      <c r="AI362">
        <v>27935848</v>
      </c>
      <c r="AJ362">
        <v>356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ROW(Source!A128)</f>
        <v>128</v>
      </c>
      <c r="B363">
        <v>27935862</v>
      </c>
      <c r="C363">
        <v>27935838</v>
      </c>
      <c r="D363">
        <v>25186459</v>
      </c>
      <c r="E363">
        <v>1</v>
      </c>
      <c r="F363">
        <v>1</v>
      </c>
      <c r="G363">
        <v>1</v>
      </c>
      <c r="H363">
        <v>3</v>
      </c>
      <c r="I363" t="s">
        <v>666</v>
      </c>
      <c r="J363" t="s">
        <v>667</v>
      </c>
      <c r="K363" t="s">
        <v>668</v>
      </c>
      <c r="L363">
        <v>1346</v>
      </c>
      <c r="N363">
        <v>1009</v>
      </c>
      <c r="O363" t="s">
        <v>60</v>
      </c>
      <c r="P363" t="s">
        <v>60</v>
      </c>
      <c r="Q363">
        <v>1</v>
      </c>
      <c r="X363">
        <v>3</v>
      </c>
      <c r="Y363">
        <v>28.6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3</v>
      </c>
      <c r="AH363">
        <v>2</v>
      </c>
      <c r="AI363">
        <v>27935849</v>
      </c>
      <c r="AJ363">
        <v>357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ROW(Source!A128)</f>
        <v>128</v>
      </c>
      <c r="B364">
        <v>27935863</v>
      </c>
      <c r="C364">
        <v>27935838</v>
      </c>
      <c r="D364">
        <v>25147235</v>
      </c>
      <c r="E364">
        <v>17</v>
      </c>
      <c r="F364">
        <v>1</v>
      </c>
      <c r="G364">
        <v>1</v>
      </c>
      <c r="H364">
        <v>3</v>
      </c>
      <c r="I364" t="s">
        <v>669</v>
      </c>
      <c r="J364" t="s">
        <v>6</v>
      </c>
      <c r="K364" t="s">
        <v>670</v>
      </c>
      <c r="L364">
        <v>1374</v>
      </c>
      <c r="N364">
        <v>1013</v>
      </c>
      <c r="O364" t="s">
        <v>671</v>
      </c>
      <c r="P364" t="s">
        <v>671</v>
      </c>
      <c r="Q364">
        <v>1</v>
      </c>
      <c r="X364">
        <v>54.92</v>
      </c>
      <c r="Y364">
        <v>1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54.92</v>
      </c>
      <c r="AH364">
        <v>2</v>
      </c>
      <c r="AI364">
        <v>27935850</v>
      </c>
      <c r="AJ364">
        <v>359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ROW(Source!A129)</f>
        <v>129</v>
      </c>
      <c r="B365">
        <v>27935852</v>
      </c>
      <c r="C365">
        <v>27935838</v>
      </c>
      <c r="D365">
        <v>25428833</v>
      </c>
      <c r="E365">
        <v>1</v>
      </c>
      <c r="F365">
        <v>1</v>
      </c>
      <c r="G365">
        <v>1</v>
      </c>
      <c r="H365">
        <v>1</v>
      </c>
      <c r="I365" t="s">
        <v>647</v>
      </c>
      <c r="J365" t="s">
        <v>6</v>
      </c>
      <c r="K365" t="s">
        <v>648</v>
      </c>
      <c r="L365">
        <v>1191</v>
      </c>
      <c r="N365">
        <v>1013</v>
      </c>
      <c r="O365" t="s">
        <v>459</v>
      </c>
      <c r="P365" t="s">
        <v>459</v>
      </c>
      <c r="Q365">
        <v>1</v>
      </c>
      <c r="X365">
        <v>276.8</v>
      </c>
      <c r="Y365">
        <v>0</v>
      </c>
      <c r="Z365">
        <v>0</v>
      </c>
      <c r="AA365">
        <v>0</v>
      </c>
      <c r="AB365">
        <v>9.92</v>
      </c>
      <c r="AC365">
        <v>0</v>
      </c>
      <c r="AD365">
        <v>1</v>
      </c>
      <c r="AE365">
        <v>1</v>
      </c>
      <c r="AF365" t="s">
        <v>6</v>
      </c>
      <c r="AG365">
        <v>276.8</v>
      </c>
      <c r="AH365">
        <v>2</v>
      </c>
      <c r="AI365">
        <v>27935839</v>
      </c>
      <c r="AJ365">
        <v>360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ROW(Source!A129)</f>
        <v>129</v>
      </c>
      <c r="B366">
        <v>27935853</v>
      </c>
      <c r="C366">
        <v>27935838</v>
      </c>
      <c r="D366">
        <v>25412928</v>
      </c>
      <c r="E366">
        <v>1</v>
      </c>
      <c r="F366">
        <v>1</v>
      </c>
      <c r="G366">
        <v>1</v>
      </c>
      <c r="H366">
        <v>1</v>
      </c>
      <c r="I366" t="s">
        <v>460</v>
      </c>
      <c r="J366" t="s">
        <v>6</v>
      </c>
      <c r="K366" t="s">
        <v>461</v>
      </c>
      <c r="L366">
        <v>1191</v>
      </c>
      <c r="N366">
        <v>1013</v>
      </c>
      <c r="O366" t="s">
        <v>459</v>
      </c>
      <c r="P366" t="s">
        <v>459</v>
      </c>
      <c r="Q366">
        <v>1</v>
      </c>
      <c r="X366">
        <v>2.4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6</v>
      </c>
      <c r="AG366">
        <v>2.4</v>
      </c>
      <c r="AH366">
        <v>2</v>
      </c>
      <c r="AI366">
        <v>27935840</v>
      </c>
      <c r="AJ366">
        <v>361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ROW(Source!A129)</f>
        <v>129</v>
      </c>
      <c r="B367">
        <v>27935854</v>
      </c>
      <c r="C367">
        <v>27935838</v>
      </c>
      <c r="D367">
        <v>25230220</v>
      </c>
      <c r="E367">
        <v>1</v>
      </c>
      <c r="F367">
        <v>1</v>
      </c>
      <c r="G367">
        <v>1</v>
      </c>
      <c r="H367">
        <v>2</v>
      </c>
      <c r="I367" t="s">
        <v>501</v>
      </c>
      <c r="J367" t="s">
        <v>502</v>
      </c>
      <c r="K367" t="s">
        <v>503</v>
      </c>
      <c r="L367">
        <v>1368</v>
      </c>
      <c r="N367">
        <v>1011</v>
      </c>
      <c r="O367" t="s">
        <v>465</v>
      </c>
      <c r="P367" t="s">
        <v>465</v>
      </c>
      <c r="Q367">
        <v>1</v>
      </c>
      <c r="X367">
        <v>1.2</v>
      </c>
      <c r="Y367">
        <v>0</v>
      </c>
      <c r="Z367">
        <v>111.99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1.2</v>
      </c>
      <c r="AH367">
        <v>2</v>
      </c>
      <c r="AI367">
        <v>27935841</v>
      </c>
      <c r="AJ367">
        <v>362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ROW(Source!A129)</f>
        <v>129</v>
      </c>
      <c r="B368">
        <v>27935855</v>
      </c>
      <c r="C368">
        <v>27935838</v>
      </c>
      <c r="D368">
        <v>25231607</v>
      </c>
      <c r="E368">
        <v>1</v>
      </c>
      <c r="F368">
        <v>1</v>
      </c>
      <c r="G368">
        <v>1</v>
      </c>
      <c r="H368">
        <v>2</v>
      </c>
      <c r="I368" t="s">
        <v>468</v>
      </c>
      <c r="J368" t="s">
        <v>469</v>
      </c>
      <c r="K368" t="s">
        <v>470</v>
      </c>
      <c r="L368">
        <v>1368</v>
      </c>
      <c r="N368">
        <v>1011</v>
      </c>
      <c r="O368" t="s">
        <v>465</v>
      </c>
      <c r="P368" t="s">
        <v>465</v>
      </c>
      <c r="Q368">
        <v>1</v>
      </c>
      <c r="X368">
        <v>1.2</v>
      </c>
      <c r="Y368">
        <v>0</v>
      </c>
      <c r="Z368">
        <v>65.709999999999994</v>
      </c>
      <c r="AA368">
        <v>11.6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1.2</v>
      </c>
      <c r="AH368">
        <v>2</v>
      </c>
      <c r="AI368">
        <v>27935842</v>
      </c>
      <c r="AJ368">
        <v>363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ROW(Source!A129)</f>
        <v>129</v>
      </c>
      <c r="B369">
        <v>27935856</v>
      </c>
      <c r="C369">
        <v>27935838</v>
      </c>
      <c r="D369">
        <v>25231911</v>
      </c>
      <c r="E369">
        <v>1</v>
      </c>
      <c r="F369">
        <v>1</v>
      </c>
      <c r="G369">
        <v>1</v>
      </c>
      <c r="H369">
        <v>2</v>
      </c>
      <c r="I369" t="s">
        <v>649</v>
      </c>
      <c r="J369" t="s">
        <v>650</v>
      </c>
      <c r="K369" t="s">
        <v>651</v>
      </c>
      <c r="L369">
        <v>1368</v>
      </c>
      <c r="N369">
        <v>1011</v>
      </c>
      <c r="O369" t="s">
        <v>465</v>
      </c>
      <c r="P369" t="s">
        <v>465</v>
      </c>
      <c r="Q369">
        <v>1</v>
      </c>
      <c r="X369">
        <v>1.1399999999999999</v>
      </c>
      <c r="Y369">
        <v>0</v>
      </c>
      <c r="Z369">
        <v>8.1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1.1399999999999999</v>
      </c>
      <c r="AH369">
        <v>2</v>
      </c>
      <c r="AI369">
        <v>27935843</v>
      </c>
      <c r="AJ369">
        <v>364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ROW(Source!A129)</f>
        <v>129</v>
      </c>
      <c r="B370">
        <v>27935857</v>
      </c>
      <c r="C370">
        <v>27935838</v>
      </c>
      <c r="D370">
        <v>25150263</v>
      </c>
      <c r="E370">
        <v>1</v>
      </c>
      <c r="F370">
        <v>1</v>
      </c>
      <c r="G370">
        <v>1</v>
      </c>
      <c r="H370">
        <v>3</v>
      </c>
      <c r="I370" t="s">
        <v>652</v>
      </c>
      <c r="J370" t="s">
        <v>653</v>
      </c>
      <c r="K370" t="s">
        <v>654</v>
      </c>
      <c r="L370">
        <v>1346</v>
      </c>
      <c r="N370">
        <v>1009</v>
      </c>
      <c r="O370" t="s">
        <v>60</v>
      </c>
      <c r="P370" t="s">
        <v>60</v>
      </c>
      <c r="Q370">
        <v>1</v>
      </c>
      <c r="X370">
        <v>0.42</v>
      </c>
      <c r="Y370">
        <v>30.4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0.42</v>
      </c>
      <c r="AH370">
        <v>2</v>
      </c>
      <c r="AI370">
        <v>27935844</v>
      </c>
      <c r="AJ370">
        <v>365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ROW(Source!A129)</f>
        <v>129</v>
      </c>
      <c r="B371">
        <v>27935858</v>
      </c>
      <c r="C371">
        <v>27935838</v>
      </c>
      <c r="D371">
        <v>25150275</v>
      </c>
      <c r="E371">
        <v>1</v>
      </c>
      <c r="F371">
        <v>1</v>
      </c>
      <c r="G371">
        <v>1</v>
      </c>
      <c r="H371">
        <v>3</v>
      </c>
      <c r="I371" t="s">
        <v>655</v>
      </c>
      <c r="J371" t="s">
        <v>656</v>
      </c>
      <c r="K371" t="s">
        <v>657</v>
      </c>
      <c r="L371">
        <v>1308</v>
      </c>
      <c r="N371">
        <v>1003</v>
      </c>
      <c r="O371" t="s">
        <v>40</v>
      </c>
      <c r="P371" t="s">
        <v>40</v>
      </c>
      <c r="Q371">
        <v>100</v>
      </c>
      <c r="X371">
        <v>0.1</v>
      </c>
      <c r="Y371">
        <v>120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0.1</v>
      </c>
      <c r="AH371">
        <v>2</v>
      </c>
      <c r="AI371">
        <v>27935845</v>
      </c>
      <c r="AJ371">
        <v>366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ROW(Source!A129)</f>
        <v>129</v>
      </c>
      <c r="B372">
        <v>27935859</v>
      </c>
      <c r="C372">
        <v>27935838</v>
      </c>
      <c r="D372">
        <v>25151427</v>
      </c>
      <c r="E372">
        <v>1</v>
      </c>
      <c r="F372">
        <v>1</v>
      </c>
      <c r="G372">
        <v>1</v>
      </c>
      <c r="H372">
        <v>3</v>
      </c>
      <c r="I372" t="s">
        <v>658</v>
      </c>
      <c r="J372" t="s">
        <v>659</v>
      </c>
      <c r="K372" t="s">
        <v>660</v>
      </c>
      <c r="L372">
        <v>1346</v>
      </c>
      <c r="N372">
        <v>1009</v>
      </c>
      <c r="O372" t="s">
        <v>60</v>
      </c>
      <c r="P372" t="s">
        <v>60</v>
      </c>
      <c r="Q372">
        <v>1</v>
      </c>
      <c r="X372">
        <v>2.1</v>
      </c>
      <c r="Y372">
        <v>10.57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2.1</v>
      </c>
      <c r="AH372">
        <v>2</v>
      </c>
      <c r="AI372">
        <v>27935846</v>
      </c>
      <c r="AJ372">
        <v>367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ROW(Source!A129)</f>
        <v>129</v>
      </c>
      <c r="B373">
        <v>27935860</v>
      </c>
      <c r="C373">
        <v>27935838</v>
      </c>
      <c r="D373">
        <v>25152616</v>
      </c>
      <c r="E373">
        <v>1</v>
      </c>
      <c r="F373">
        <v>1</v>
      </c>
      <c r="G373">
        <v>1</v>
      </c>
      <c r="H373">
        <v>3</v>
      </c>
      <c r="I373" t="s">
        <v>661</v>
      </c>
      <c r="J373" t="s">
        <v>662</v>
      </c>
      <c r="K373" t="s">
        <v>524</v>
      </c>
      <c r="L373">
        <v>1346</v>
      </c>
      <c r="N373">
        <v>1009</v>
      </c>
      <c r="O373" t="s">
        <v>60</v>
      </c>
      <c r="P373" t="s">
        <v>60</v>
      </c>
      <c r="Q373">
        <v>1</v>
      </c>
      <c r="X373">
        <v>10.4</v>
      </c>
      <c r="Y373">
        <v>9.0399999999999991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10.4</v>
      </c>
      <c r="AH373">
        <v>2</v>
      </c>
      <c r="AI373">
        <v>27935847</v>
      </c>
      <c r="AJ373">
        <v>368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ROW(Source!A129)</f>
        <v>129</v>
      </c>
      <c r="B374">
        <v>27935861</v>
      </c>
      <c r="C374">
        <v>27935838</v>
      </c>
      <c r="D374">
        <v>25174136</v>
      </c>
      <c r="E374">
        <v>1</v>
      </c>
      <c r="F374">
        <v>1</v>
      </c>
      <c r="G374">
        <v>1</v>
      </c>
      <c r="H374">
        <v>3</v>
      </c>
      <c r="I374" t="s">
        <v>663</v>
      </c>
      <c r="J374" t="s">
        <v>664</v>
      </c>
      <c r="K374" t="s">
        <v>665</v>
      </c>
      <c r="L374">
        <v>1348</v>
      </c>
      <c r="N374">
        <v>1009</v>
      </c>
      <c r="O374" t="s">
        <v>65</v>
      </c>
      <c r="P374" t="s">
        <v>65</v>
      </c>
      <c r="Q374">
        <v>1000</v>
      </c>
      <c r="X374">
        <v>0.15</v>
      </c>
      <c r="Y374">
        <v>5000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0.15</v>
      </c>
      <c r="AH374">
        <v>2</v>
      </c>
      <c r="AI374">
        <v>27935848</v>
      </c>
      <c r="AJ374">
        <v>369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ROW(Source!A129)</f>
        <v>129</v>
      </c>
      <c r="B375">
        <v>27935862</v>
      </c>
      <c r="C375">
        <v>27935838</v>
      </c>
      <c r="D375">
        <v>25186459</v>
      </c>
      <c r="E375">
        <v>1</v>
      </c>
      <c r="F375">
        <v>1</v>
      </c>
      <c r="G375">
        <v>1</v>
      </c>
      <c r="H375">
        <v>3</v>
      </c>
      <c r="I375" t="s">
        <v>666</v>
      </c>
      <c r="J375" t="s">
        <v>667</v>
      </c>
      <c r="K375" t="s">
        <v>668</v>
      </c>
      <c r="L375">
        <v>1346</v>
      </c>
      <c r="N375">
        <v>1009</v>
      </c>
      <c r="O375" t="s">
        <v>60</v>
      </c>
      <c r="P375" t="s">
        <v>60</v>
      </c>
      <c r="Q375">
        <v>1</v>
      </c>
      <c r="X375">
        <v>3</v>
      </c>
      <c r="Y375">
        <v>28.6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3</v>
      </c>
      <c r="AH375">
        <v>2</v>
      </c>
      <c r="AI375">
        <v>27935849</v>
      </c>
      <c r="AJ375">
        <v>370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ROW(Source!A129)</f>
        <v>129</v>
      </c>
      <c r="B376">
        <v>27935863</v>
      </c>
      <c r="C376">
        <v>27935838</v>
      </c>
      <c r="D376">
        <v>25147235</v>
      </c>
      <c r="E376">
        <v>17</v>
      </c>
      <c r="F376">
        <v>1</v>
      </c>
      <c r="G376">
        <v>1</v>
      </c>
      <c r="H376">
        <v>3</v>
      </c>
      <c r="I376" t="s">
        <v>669</v>
      </c>
      <c r="J376" t="s">
        <v>6</v>
      </c>
      <c r="K376" t="s">
        <v>670</v>
      </c>
      <c r="L376">
        <v>1374</v>
      </c>
      <c r="N376">
        <v>1013</v>
      </c>
      <c r="O376" t="s">
        <v>671</v>
      </c>
      <c r="P376" t="s">
        <v>671</v>
      </c>
      <c r="Q376">
        <v>1</v>
      </c>
      <c r="X376">
        <v>54.92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54.92</v>
      </c>
      <c r="AH376">
        <v>2</v>
      </c>
      <c r="AI376">
        <v>27935850</v>
      </c>
      <c r="AJ376">
        <v>372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ROW(Source!A132)</f>
        <v>132</v>
      </c>
      <c r="B377">
        <v>27935870</v>
      </c>
      <c r="C377">
        <v>27935865</v>
      </c>
      <c r="D377">
        <v>25414791</v>
      </c>
      <c r="E377">
        <v>1</v>
      </c>
      <c r="F377">
        <v>1</v>
      </c>
      <c r="G377">
        <v>1</v>
      </c>
      <c r="H377">
        <v>1</v>
      </c>
      <c r="I377" t="s">
        <v>672</v>
      </c>
      <c r="J377" t="s">
        <v>6</v>
      </c>
      <c r="K377" t="s">
        <v>673</v>
      </c>
      <c r="L377">
        <v>1191</v>
      </c>
      <c r="N377">
        <v>1013</v>
      </c>
      <c r="O377" t="s">
        <v>459</v>
      </c>
      <c r="P377" t="s">
        <v>459</v>
      </c>
      <c r="Q377">
        <v>1</v>
      </c>
      <c r="X377">
        <v>85.3</v>
      </c>
      <c r="Y377">
        <v>0</v>
      </c>
      <c r="Z377">
        <v>0</v>
      </c>
      <c r="AA377">
        <v>0</v>
      </c>
      <c r="AB377">
        <v>8.4600000000000009</v>
      </c>
      <c r="AC377">
        <v>0</v>
      </c>
      <c r="AD377">
        <v>1</v>
      </c>
      <c r="AE377">
        <v>1</v>
      </c>
      <c r="AF377" t="s">
        <v>6</v>
      </c>
      <c r="AG377">
        <v>85.3</v>
      </c>
      <c r="AH377">
        <v>2</v>
      </c>
      <c r="AI377">
        <v>27935866</v>
      </c>
      <c r="AJ377">
        <v>373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ROW(Source!A132)</f>
        <v>132</v>
      </c>
      <c r="B378">
        <v>27935871</v>
      </c>
      <c r="C378">
        <v>27935865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460</v>
      </c>
      <c r="J378" t="s">
        <v>6</v>
      </c>
      <c r="K378" t="s">
        <v>461</v>
      </c>
      <c r="L378">
        <v>1191</v>
      </c>
      <c r="N378">
        <v>1013</v>
      </c>
      <c r="O378" t="s">
        <v>459</v>
      </c>
      <c r="P378" t="s">
        <v>459</v>
      </c>
      <c r="Q378">
        <v>1</v>
      </c>
      <c r="X378">
        <v>0.32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6</v>
      </c>
      <c r="AG378">
        <v>0.32</v>
      </c>
      <c r="AH378">
        <v>2</v>
      </c>
      <c r="AI378">
        <v>27935867</v>
      </c>
      <c r="AJ378">
        <v>374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ROW(Source!A132)</f>
        <v>132</v>
      </c>
      <c r="B379">
        <v>27935872</v>
      </c>
      <c r="C379">
        <v>27935865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462</v>
      </c>
      <c r="J379" t="s">
        <v>463</v>
      </c>
      <c r="K379" t="s">
        <v>464</v>
      </c>
      <c r="L379">
        <v>1368</v>
      </c>
      <c r="N379">
        <v>1011</v>
      </c>
      <c r="O379" t="s">
        <v>465</v>
      </c>
      <c r="P379" t="s">
        <v>465</v>
      </c>
      <c r="Q379">
        <v>1</v>
      </c>
      <c r="X379">
        <v>0.32</v>
      </c>
      <c r="Y379">
        <v>0</v>
      </c>
      <c r="Z379">
        <v>31.26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0.32</v>
      </c>
      <c r="AH379">
        <v>2</v>
      </c>
      <c r="AI379">
        <v>27935868</v>
      </c>
      <c r="AJ379">
        <v>375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ROW(Source!A132)</f>
        <v>132</v>
      </c>
      <c r="B380">
        <v>27935873</v>
      </c>
      <c r="C380">
        <v>27935865</v>
      </c>
      <c r="D380">
        <v>25147242</v>
      </c>
      <c r="E380">
        <v>17</v>
      </c>
      <c r="F380">
        <v>1</v>
      </c>
      <c r="G380">
        <v>1</v>
      </c>
      <c r="H380">
        <v>3</v>
      </c>
      <c r="I380" t="s">
        <v>218</v>
      </c>
      <c r="J380" t="s">
        <v>6</v>
      </c>
      <c r="K380" t="s">
        <v>219</v>
      </c>
      <c r="L380">
        <v>1348</v>
      </c>
      <c r="N380">
        <v>1009</v>
      </c>
      <c r="O380" t="s">
        <v>65</v>
      </c>
      <c r="P380" t="s">
        <v>65</v>
      </c>
      <c r="Q380">
        <v>1000</v>
      </c>
      <c r="X380">
        <v>1.34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 t="s">
        <v>6</v>
      </c>
      <c r="AG380">
        <v>1.34</v>
      </c>
      <c r="AH380">
        <v>2</v>
      </c>
      <c r="AI380">
        <v>27935869</v>
      </c>
      <c r="AJ380">
        <v>376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ROW(Source!A133)</f>
        <v>133</v>
      </c>
      <c r="B381">
        <v>27935870</v>
      </c>
      <c r="C381">
        <v>27935865</v>
      </c>
      <c r="D381">
        <v>25414791</v>
      </c>
      <c r="E381">
        <v>1</v>
      </c>
      <c r="F381">
        <v>1</v>
      </c>
      <c r="G381">
        <v>1</v>
      </c>
      <c r="H381">
        <v>1</v>
      </c>
      <c r="I381" t="s">
        <v>672</v>
      </c>
      <c r="J381" t="s">
        <v>6</v>
      </c>
      <c r="K381" t="s">
        <v>673</v>
      </c>
      <c r="L381">
        <v>1191</v>
      </c>
      <c r="N381">
        <v>1013</v>
      </c>
      <c r="O381" t="s">
        <v>459</v>
      </c>
      <c r="P381" t="s">
        <v>459</v>
      </c>
      <c r="Q381">
        <v>1</v>
      </c>
      <c r="X381">
        <v>85.3</v>
      </c>
      <c r="Y381">
        <v>0</v>
      </c>
      <c r="Z381">
        <v>0</v>
      </c>
      <c r="AA381">
        <v>0</v>
      </c>
      <c r="AB381">
        <v>8.4600000000000009</v>
      </c>
      <c r="AC381">
        <v>0</v>
      </c>
      <c r="AD381">
        <v>1</v>
      </c>
      <c r="AE381">
        <v>1</v>
      </c>
      <c r="AF381" t="s">
        <v>6</v>
      </c>
      <c r="AG381">
        <v>85.3</v>
      </c>
      <c r="AH381">
        <v>2</v>
      </c>
      <c r="AI381">
        <v>27935866</v>
      </c>
      <c r="AJ381">
        <v>377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ROW(Source!A133)</f>
        <v>133</v>
      </c>
      <c r="B382">
        <v>27935871</v>
      </c>
      <c r="C382">
        <v>27935865</v>
      </c>
      <c r="D382">
        <v>25412928</v>
      </c>
      <c r="E382">
        <v>1</v>
      </c>
      <c r="F382">
        <v>1</v>
      </c>
      <c r="G382">
        <v>1</v>
      </c>
      <c r="H382">
        <v>1</v>
      </c>
      <c r="I382" t="s">
        <v>460</v>
      </c>
      <c r="J382" t="s">
        <v>6</v>
      </c>
      <c r="K382" t="s">
        <v>461</v>
      </c>
      <c r="L382">
        <v>1191</v>
      </c>
      <c r="N382">
        <v>1013</v>
      </c>
      <c r="O382" t="s">
        <v>459</v>
      </c>
      <c r="P382" t="s">
        <v>459</v>
      </c>
      <c r="Q382">
        <v>1</v>
      </c>
      <c r="X382">
        <v>0.32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6</v>
      </c>
      <c r="AG382">
        <v>0.32</v>
      </c>
      <c r="AH382">
        <v>2</v>
      </c>
      <c r="AI382">
        <v>27935867</v>
      </c>
      <c r="AJ382">
        <v>378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ROW(Source!A133)</f>
        <v>133</v>
      </c>
      <c r="B383">
        <v>27935872</v>
      </c>
      <c r="C383">
        <v>27935865</v>
      </c>
      <c r="D383">
        <v>25230514</v>
      </c>
      <c r="E383">
        <v>1</v>
      </c>
      <c r="F383">
        <v>1</v>
      </c>
      <c r="G383">
        <v>1</v>
      </c>
      <c r="H383">
        <v>2</v>
      </c>
      <c r="I383" t="s">
        <v>462</v>
      </c>
      <c r="J383" t="s">
        <v>463</v>
      </c>
      <c r="K383" t="s">
        <v>464</v>
      </c>
      <c r="L383">
        <v>1368</v>
      </c>
      <c r="N383">
        <v>1011</v>
      </c>
      <c r="O383" t="s">
        <v>465</v>
      </c>
      <c r="P383" t="s">
        <v>465</v>
      </c>
      <c r="Q383">
        <v>1</v>
      </c>
      <c r="X383">
        <v>0.32</v>
      </c>
      <c r="Y383">
        <v>0</v>
      </c>
      <c r="Z383">
        <v>31.26</v>
      </c>
      <c r="AA383">
        <v>13.5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0.32</v>
      </c>
      <c r="AH383">
        <v>2</v>
      </c>
      <c r="AI383">
        <v>27935868</v>
      </c>
      <c r="AJ383">
        <v>379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ROW(Source!A133)</f>
        <v>133</v>
      </c>
      <c r="B384">
        <v>27935873</v>
      </c>
      <c r="C384">
        <v>27935865</v>
      </c>
      <c r="D384">
        <v>25147242</v>
      </c>
      <c r="E384">
        <v>17</v>
      </c>
      <c r="F384">
        <v>1</v>
      </c>
      <c r="G384">
        <v>1</v>
      </c>
      <c r="H384">
        <v>3</v>
      </c>
      <c r="I384" t="s">
        <v>218</v>
      </c>
      <c r="J384" t="s">
        <v>6</v>
      </c>
      <c r="K384" t="s">
        <v>219</v>
      </c>
      <c r="L384">
        <v>1348</v>
      </c>
      <c r="N384">
        <v>1009</v>
      </c>
      <c r="O384" t="s">
        <v>65</v>
      </c>
      <c r="P384" t="s">
        <v>65</v>
      </c>
      <c r="Q384">
        <v>1000</v>
      </c>
      <c r="X384">
        <v>1.34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6</v>
      </c>
      <c r="AG384">
        <v>1.34</v>
      </c>
      <c r="AH384">
        <v>2</v>
      </c>
      <c r="AI384">
        <v>27935869</v>
      </c>
      <c r="AJ384">
        <v>380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ROW(Source!A136)</f>
        <v>136</v>
      </c>
      <c r="B385">
        <v>27935885</v>
      </c>
      <c r="C385">
        <v>27935875</v>
      </c>
      <c r="D385">
        <v>25428833</v>
      </c>
      <c r="E385">
        <v>1</v>
      </c>
      <c r="F385">
        <v>1</v>
      </c>
      <c r="G385">
        <v>1</v>
      </c>
      <c r="H385">
        <v>1</v>
      </c>
      <c r="I385" t="s">
        <v>647</v>
      </c>
      <c r="J385" t="s">
        <v>6</v>
      </c>
      <c r="K385" t="s">
        <v>648</v>
      </c>
      <c r="L385">
        <v>1191</v>
      </c>
      <c r="N385">
        <v>1013</v>
      </c>
      <c r="O385" t="s">
        <v>459</v>
      </c>
      <c r="P385" t="s">
        <v>459</v>
      </c>
      <c r="Q385">
        <v>1</v>
      </c>
      <c r="X385">
        <v>61.6</v>
      </c>
      <c r="Y385">
        <v>0</v>
      </c>
      <c r="Z385">
        <v>0</v>
      </c>
      <c r="AA385">
        <v>0</v>
      </c>
      <c r="AB385">
        <v>9.92</v>
      </c>
      <c r="AC385">
        <v>0</v>
      </c>
      <c r="AD385">
        <v>1</v>
      </c>
      <c r="AE385">
        <v>1</v>
      </c>
      <c r="AF385" t="s">
        <v>28</v>
      </c>
      <c r="AG385">
        <v>70.839999999999989</v>
      </c>
      <c r="AH385">
        <v>2</v>
      </c>
      <c r="AI385">
        <v>27935876</v>
      </c>
      <c r="AJ385">
        <v>381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ROW(Source!A136)</f>
        <v>136</v>
      </c>
      <c r="B386">
        <v>27935886</v>
      </c>
      <c r="C386">
        <v>27935875</v>
      </c>
      <c r="D386">
        <v>25412928</v>
      </c>
      <c r="E386">
        <v>1</v>
      </c>
      <c r="F386">
        <v>1</v>
      </c>
      <c r="G386">
        <v>1</v>
      </c>
      <c r="H386">
        <v>1</v>
      </c>
      <c r="I386" t="s">
        <v>460</v>
      </c>
      <c r="J386" t="s">
        <v>6</v>
      </c>
      <c r="K386" t="s">
        <v>461</v>
      </c>
      <c r="L386">
        <v>1191</v>
      </c>
      <c r="N386">
        <v>1013</v>
      </c>
      <c r="O386" t="s">
        <v>459</v>
      </c>
      <c r="P386" t="s">
        <v>459</v>
      </c>
      <c r="Q386">
        <v>1</v>
      </c>
      <c r="X386">
        <v>7.0000000000000007E-2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27</v>
      </c>
      <c r="AG386">
        <v>8.7500000000000008E-2</v>
      </c>
      <c r="AH386">
        <v>2</v>
      </c>
      <c r="AI386">
        <v>27935877</v>
      </c>
      <c r="AJ386">
        <v>382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ROW(Source!A136)</f>
        <v>136</v>
      </c>
      <c r="B387">
        <v>27935887</v>
      </c>
      <c r="C387">
        <v>27935875</v>
      </c>
      <c r="D387">
        <v>25230118</v>
      </c>
      <c r="E387">
        <v>1</v>
      </c>
      <c r="F387">
        <v>1</v>
      </c>
      <c r="G387">
        <v>1</v>
      </c>
      <c r="H387">
        <v>2</v>
      </c>
      <c r="I387" t="s">
        <v>674</v>
      </c>
      <c r="J387" t="s">
        <v>675</v>
      </c>
      <c r="K387" t="s">
        <v>676</v>
      </c>
      <c r="L387">
        <v>1368</v>
      </c>
      <c r="N387">
        <v>1011</v>
      </c>
      <c r="O387" t="s">
        <v>465</v>
      </c>
      <c r="P387" t="s">
        <v>465</v>
      </c>
      <c r="Q387">
        <v>1</v>
      </c>
      <c r="X387">
        <v>0.03</v>
      </c>
      <c r="Y387">
        <v>0</v>
      </c>
      <c r="Z387">
        <v>86.4</v>
      </c>
      <c r="AA387">
        <v>13.5</v>
      </c>
      <c r="AB387">
        <v>0</v>
      </c>
      <c r="AC387">
        <v>0</v>
      </c>
      <c r="AD387">
        <v>1</v>
      </c>
      <c r="AE387">
        <v>0</v>
      </c>
      <c r="AF387" t="s">
        <v>27</v>
      </c>
      <c r="AG387">
        <v>3.7499999999999999E-2</v>
      </c>
      <c r="AH387">
        <v>2</v>
      </c>
      <c r="AI387">
        <v>27935878</v>
      </c>
      <c r="AJ387">
        <v>383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ROW(Source!A136)</f>
        <v>136</v>
      </c>
      <c r="B388">
        <v>27935888</v>
      </c>
      <c r="C388">
        <v>27935875</v>
      </c>
      <c r="D388">
        <v>25230220</v>
      </c>
      <c r="E388">
        <v>1</v>
      </c>
      <c r="F388">
        <v>1</v>
      </c>
      <c r="G388">
        <v>1</v>
      </c>
      <c r="H388">
        <v>2</v>
      </c>
      <c r="I388" t="s">
        <v>501</v>
      </c>
      <c r="J388" t="s">
        <v>502</v>
      </c>
      <c r="K388" t="s">
        <v>503</v>
      </c>
      <c r="L388">
        <v>1368</v>
      </c>
      <c r="N388">
        <v>1011</v>
      </c>
      <c r="O388" t="s">
        <v>465</v>
      </c>
      <c r="P388" t="s">
        <v>465</v>
      </c>
      <c r="Q388">
        <v>1</v>
      </c>
      <c r="X388">
        <v>0.02</v>
      </c>
      <c r="Y388">
        <v>0</v>
      </c>
      <c r="Z388">
        <v>111.99</v>
      </c>
      <c r="AA388">
        <v>13.5</v>
      </c>
      <c r="AB388">
        <v>0</v>
      </c>
      <c r="AC388">
        <v>0</v>
      </c>
      <c r="AD388">
        <v>1</v>
      </c>
      <c r="AE388">
        <v>0</v>
      </c>
      <c r="AF388" t="s">
        <v>27</v>
      </c>
      <c r="AG388">
        <v>2.5000000000000001E-2</v>
      </c>
      <c r="AH388">
        <v>2</v>
      </c>
      <c r="AI388">
        <v>27935879</v>
      </c>
      <c r="AJ388">
        <v>384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ROW(Source!A136)</f>
        <v>136</v>
      </c>
      <c r="B389">
        <v>27935889</v>
      </c>
      <c r="C389">
        <v>27935875</v>
      </c>
      <c r="D389">
        <v>25231607</v>
      </c>
      <c r="E389">
        <v>1</v>
      </c>
      <c r="F389">
        <v>1</v>
      </c>
      <c r="G389">
        <v>1</v>
      </c>
      <c r="H389">
        <v>2</v>
      </c>
      <c r="I389" t="s">
        <v>468</v>
      </c>
      <c r="J389" t="s">
        <v>469</v>
      </c>
      <c r="K389" t="s">
        <v>470</v>
      </c>
      <c r="L389">
        <v>1368</v>
      </c>
      <c r="N389">
        <v>1011</v>
      </c>
      <c r="O389" t="s">
        <v>465</v>
      </c>
      <c r="P389" t="s">
        <v>465</v>
      </c>
      <c r="Q389">
        <v>1</v>
      </c>
      <c r="X389">
        <v>0.02</v>
      </c>
      <c r="Y389">
        <v>0</v>
      </c>
      <c r="Z389">
        <v>65.709999999999994</v>
      </c>
      <c r="AA389">
        <v>11.6</v>
      </c>
      <c r="AB389">
        <v>0</v>
      </c>
      <c r="AC389">
        <v>0</v>
      </c>
      <c r="AD389">
        <v>1</v>
      </c>
      <c r="AE389">
        <v>0</v>
      </c>
      <c r="AF389" t="s">
        <v>27</v>
      </c>
      <c r="AG389">
        <v>2.5000000000000001E-2</v>
      </c>
      <c r="AH389">
        <v>2</v>
      </c>
      <c r="AI389">
        <v>27935880</v>
      </c>
      <c r="AJ389">
        <v>385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ROW(Source!A136)</f>
        <v>136</v>
      </c>
      <c r="B390">
        <v>27935890</v>
      </c>
      <c r="C390">
        <v>27935875</v>
      </c>
      <c r="D390">
        <v>25149961</v>
      </c>
      <c r="E390">
        <v>1</v>
      </c>
      <c r="F390">
        <v>1</v>
      </c>
      <c r="G390">
        <v>1</v>
      </c>
      <c r="H390">
        <v>3</v>
      </c>
      <c r="I390" t="s">
        <v>558</v>
      </c>
      <c r="J390" t="s">
        <v>559</v>
      </c>
      <c r="K390" t="s">
        <v>560</v>
      </c>
      <c r="L390">
        <v>1339</v>
      </c>
      <c r="N390">
        <v>1007</v>
      </c>
      <c r="O390" t="s">
        <v>133</v>
      </c>
      <c r="P390" t="s">
        <v>133</v>
      </c>
      <c r="Q390">
        <v>1</v>
      </c>
      <c r="X390">
        <v>1.57</v>
      </c>
      <c r="Y390">
        <v>2.44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1.57</v>
      </c>
      <c r="AH390">
        <v>2</v>
      </c>
      <c r="AI390">
        <v>27935881</v>
      </c>
      <c r="AJ390">
        <v>386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ROW(Source!A136)</f>
        <v>136</v>
      </c>
      <c r="B391">
        <v>27935891</v>
      </c>
      <c r="C391">
        <v>27935875</v>
      </c>
      <c r="D391">
        <v>25152598</v>
      </c>
      <c r="E391">
        <v>1</v>
      </c>
      <c r="F391">
        <v>1</v>
      </c>
      <c r="G391">
        <v>1</v>
      </c>
      <c r="H391">
        <v>3</v>
      </c>
      <c r="I391" t="s">
        <v>677</v>
      </c>
      <c r="J391" t="s">
        <v>678</v>
      </c>
      <c r="K391" t="s">
        <v>679</v>
      </c>
      <c r="L391">
        <v>1348</v>
      </c>
      <c r="N391">
        <v>1009</v>
      </c>
      <c r="O391" t="s">
        <v>65</v>
      </c>
      <c r="P391" t="s">
        <v>65</v>
      </c>
      <c r="Q391">
        <v>1000</v>
      </c>
      <c r="X391">
        <v>2.66E-3</v>
      </c>
      <c r="Y391">
        <v>14830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2.66E-3</v>
      </c>
      <c r="AH391">
        <v>2</v>
      </c>
      <c r="AI391">
        <v>27935882</v>
      </c>
      <c r="AJ391">
        <v>387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ROW(Source!A136)</f>
        <v>136</v>
      </c>
      <c r="B392">
        <v>27935892</v>
      </c>
      <c r="C392">
        <v>27935875</v>
      </c>
      <c r="D392">
        <v>25153454</v>
      </c>
      <c r="E392">
        <v>1</v>
      </c>
      <c r="F392">
        <v>1</v>
      </c>
      <c r="G392">
        <v>1</v>
      </c>
      <c r="H392">
        <v>3</v>
      </c>
      <c r="I392" t="s">
        <v>680</v>
      </c>
      <c r="J392" t="s">
        <v>681</v>
      </c>
      <c r="K392" t="s">
        <v>682</v>
      </c>
      <c r="L392">
        <v>1346</v>
      </c>
      <c r="N392">
        <v>1009</v>
      </c>
      <c r="O392" t="s">
        <v>60</v>
      </c>
      <c r="P392" t="s">
        <v>60</v>
      </c>
      <c r="Q392">
        <v>1</v>
      </c>
      <c r="X392">
        <v>4</v>
      </c>
      <c r="Y392">
        <v>24.41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4</v>
      </c>
      <c r="AH392">
        <v>2</v>
      </c>
      <c r="AI392">
        <v>27935883</v>
      </c>
      <c r="AJ392">
        <v>388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ROW(Source!A136)</f>
        <v>136</v>
      </c>
      <c r="B393">
        <v>27935893</v>
      </c>
      <c r="C393">
        <v>27935875</v>
      </c>
      <c r="D393">
        <v>25144250</v>
      </c>
      <c r="E393">
        <v>17</v>
      </c>
      <c r="F393">
        <v>1</v>
      </c>
      <c r="G393">
        <v>1</v>
      </c>
      <c r="H393">
        <v>3</v>
      </c>
      <c r="I393" t="s">
        <v>751</v>
      </c>
      <c r="J393" t="s">
        <v>6</v>
      </c>
      <c r="K393" t="s">
        <v>752</v>
      </c>
      <c r="L393">
        <v>1354</v>
      </c>
      <c r="N393">
        <v>1010</v>
      </c>
      <c r="O393" t="s">
        <v>282</v>
      </c>
      <c r="P393" t="s">
        <v>282</v>
      </c>
      <c r="Q393">
        <v>1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1</v>
      </c>
      <c r="AD393">
        <v>0</v>
      </c>
      <c r="AE393">
        <v>0</v>
      </c>
      <c r="AF393" t="s">
        <v>6</v>
      </c>
      <c r="AG393">
        <v>0</v>
      </c>
      <c r="AH393">
        <v>3</v>
      </c>
      <c r="AI393">
        <v>-1</v>
      </c>
      <c r="AJ393" t="s">
        <v>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ROW(Source!A136)</f>
        <v>136</v>
      </c>
      <c r="B394">
        <v>27935894</v>
      </c>
      <c r="C394">
        <v>27935875</v>
      </c>
      <c r="D394">
        <v>25145791</v>
      </c>
      <c r="E394">
        <v>17</v>
      </c>
      <c r="F394">
        <v>1</v>
      </c>
      <c r="G394">
        <v>1</v>
      </c>
      <c r="H394">
        <v>3</v>
      </c>
      <c r="I394" t="s">
        <v>753</v>
      </c>
      <c r="J394" t="s">
        <v>6</v>
      </c>
      <c r="K394" t="s">
        <v>754</v>
      </c>
      <c r="L394">
        <v>1346</v>
      </c>
      <c r="N394">
        <v>1009</v>
      </c>
      <c r="O394" t="s">
        <v>60</v>
      </c>
      <c r="P394" t="s">
        <v>60</v>
      </c>
      <c r="Q394">
        <v>1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1</v>
      </c>
      <c r="AD394">
        <v>0</v>
      </c>
      <c r="AE394">
        <v>0</v>
      </c>
      <c r="AF394" t="s">
        <v>6</v>
      </c>
      <c r="AG394">
        <v>0</v>
      </c>
      <c r="AH394">
        <v>3</v>
      </c>
      <c r="AI394">
        <v>-1</v>
      </c>
      <c r="AJ394" t="s">
        <v>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ROW(Source!A136)</f>
        <v>136</v>
      </c>
      <c r="B395">
        <v>27935895</v>
      </c>
      <c r="C395">
        <v>27935875</v>
      </c>
      <c r="D395">
        <v>25145829</v>
      </c>
      <c r="E395">
        <v>17</v>
      </c>
      <c r="F395">
        <v>1</v>
      </c>
      <c r="G395">
        <v>1</v>
      </c>
      <c r="H395">
        <v>3</v>
      </c>
      <c r="I395" t="s">
        <v>755</v>
      </c>
      <c r="J395" t="s">
        <v>6</v>
      </c>
      <c r="K395" t="s">
        <v>299</v>
      </c>
      <c r="L395">
        <v>1301</v>
      </c>
      <c r="N395">
        <v>1003</v>
      </c>
      <c r="O395" t="s">
        <v>45</v>
      </c>
      <c r="P395" t="s">
        <v>45</v>
      </c>
      <c r="Q395">
        <v>1</v>
      </c>
      <c r="X395">
        <v>99.8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 t="s">
        <v>6</v>
      </c>
      <c r="AG395">
        <v>99.8</v>
      </c>
      <c r="AH395">
        <v>3</v>
      </c>
      <c r="AI395">
        <v>-1</v>
      </c>
      <c r="AJ395" t="s">
        <v>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ROW(Source!A137)</f>
        <v>137</v>
      </c>
      <c r="B396">
        <v>27935885</v>
      </c>
      <c r="C396">
        <v>27935875</v>
      </c>
      <c r="D396">
        <v>25428833</v>
      </c>
      <c r="E396">
        <v>1</v>
      </c>
      <c r="F396">
        <v>1</v>
      </c>
      <c r="G396">
        <v>1</v>
      </c>
      <c r="H396">
        <v>1</v>
      </c>
      <c r="I396" t="s">
        <v>647</v>
      </c>
      <c r="J396" t="s">
        <v>6</v>
      </c>
      <c r="K396" t="s">
        <v>648</v>
      </c>
      <c r="L396">
        <v>1191</v>
      </c>
      <c r="N396">
        <v>1013</v>
      </c>
      <c r="O396" t="s">
        <v>459</v>
      </c>
      <c r="P396" t="s">
        <v>459</v>
      </c>
      <c r="Q396">
        <v>1</v>
      </c>
      <c r="X396">
        <v>61.6</v>
      </c>
      <c r="Y396">
        <v>0</v>
      </c>
      <c r="Z396">
        <v>0</v>
      </c>
      <c r="AA396">
        <v>0</v>
      </c>
      <c r="AB396">
        <v>9.92</v>
      </c>
      <c r="AC396">
        <v>0</v>
      </c>
      <c r="AD396">
        <v>1</v>
      </c>
      <c r="AE396">
        <v>1</v>
      </c>
      <c r="AF396" t="s">
        <v>28</v>
      </c>
      <c r="AG396">
        <v>70.839999999999989</v>
      </c>
      <c r="AH396">
        <v>2</v>
      </c>
      <c r="AI396">
        <v>27935876</v>
      </c>
      <c r="AJ396">
        <v>390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ROW(Source!A137)</f>
        <v>137</v>
      </c>
      <c r="B397">
        <v>27935886</v>
      </c>
      <c r="C397">
        <v>27935875</v>
      </c>
      <c r="D397">
        <v>25412928</v>
      </c>
      <c r="E397">
        <v>1</v>
      </c>
      <c r="F397">
        <v>1</v>
      </c>
      <c r="G397">
        <v>1</v>
      </c>
      <c r="H397">
        <v>1</v>
      </c>
      <c r="I397" t="s">
        <v>460</v>
      </c>
      <c r="J397" t="s">
        <v>6</v>
      </c>
      <c r="K397" t="s">
        <v>461</v>
      </c>
      <c r="L397">
        <v>1191</v>
      </c>
      <c r="N397">
        <v>1013</v>
      </c>
      <c r="O397" t="s">
        <v>459</v>
      </c>
      <c r="P397" t="s">
        <v>459</v>
      </c>
      <c r="Q397">
        <v>1</v>
      </c>
      <c r="X397">
        <v>7.0000000000000007E-2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2</v>
      </c>
      <c r="AF397" t="s">
        <v>27</v>
      </c>
      <c r="AG397">
        <v>8.7500000000000008E-2</v>
      </c>
      <c r="AH397">
        <v>2</v>
      </c>
      <c r="AI397">
        <v>27935877</v>
      </c>
      <c r="AJ397">
        <v>391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ROW(Source!A137)</f>
        <v>137</v>
      </c>
      <c r="B398">
        <v>27935887</v>
      </c>
      <c r="C398">
        <v>27935875</v>
      </c>
      <c r="D398">
        <v>25230118</v>
      </c>
      <c r="E398">
        <v>1</v>
      </c>
      <c r="F398">
        <v>1</v>
      </c>
      <c r="G398">
        <v>1</v>
      </c>
      <c r="H398">
        <v>2</v>
      </c>
      <c r="I398" t="s">
        <v>674</v>
      </c>
      <c r="J398" t="s">
        <v>675</v>
      </c>
      <c r="K398" t="s">
        <v>676</v>
      </c>
      <c r="L398">
        <v>1368</v>
      </c>
      <c r="N398">
        <v>1011</v>
      </c>
      <c r="O398" t="s">
        <v>465</v>
      </c>
      <c r="P398" t="s">
        <v>465</v>
      </c>
      <c r="Q398">
        <v>1</v>
      </c>
      <c r="X398">
        <v>0.03</v>
      </c>
      <c r="Y398">
        <v>0</v>
      </c>
      <c r="Z398">
        <v>86.4</v>
      </c>
      <c r="AA398">
        <v>13.5</v>
      </c>
      <c r="AB398">
        <v>0</v>
      </c>
      <c r="AC398">
        <v>0</v>
      </c>
      <c r="AD398">
        <v>1</v>
      </c>
      <c r="AE398">
        <v>0</v>
      </c>
      <c r="AF398" t="s">
        <v>27</v>
      </c>
      <c r="AG398">
        <v>3.7499999999999999E-2</v>
      </c>
      <c r="AH398">
        <v>2</v>
      </c>
      <c r="AI398">
        <v>27935878</v>
      </c>
      <c r="AJ398">
        <v>392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ROW(Source!A137)</f>
        <v>137</v>
      </c>
      <c r="B399">
        <v>27935888</v>
      </c>
      <c r="C399">
        <v>27935875</v>
      </c>
      <c r="D399">
        <v>25230220</v>
      </c>
      <c r="E399">
        <v>1</v>
      </c>
      <c r="F399">
        <v>1</v>
      </c>
      <c r="G399">
        <v>1</v>
      </c>
      <c r="H399">
        <v>2</v>
      </c>
      <c r="I399" t="s">
        <v>501</v>
      </c>
      <c r="J399" t="s">
        <v>502</v>
      </c>
      <c r="K399" t="s">
        <v>503</v>
      </c>
      <c r="L399">
        <v>1368</v>
      </c>
      <c r="N399">
        <v>1011</v>
      </c>
      <c r="O399" t="s">
        <v>465</v>
      </c>
      <c r="P399" t="s">
        <v>465</v>
      </c>
      <c r="Q399">
        <v>1</v>
      </c>
      <c r="X399">
        <v>0.02</v>
      </c>
      <c r="Y399">
        <v>0</v>
      </c>
      <c r="Z399">
        <v>111.99</v>
      </c>
      <c r="AA399">
        <v>13.5</v>
      </c>
      <c r="AB399">
        <v>0</v>
      </c>
      <c r="AC399">
        <v>0</v>
      </c>
      <c r="AD399">
        <v>1</v>
      </c>
      <c r="AE399">
        <v>0</v>
      </c>
      <c r="AF399" t="s">
        <v>27</v>
      </c>
      <c r="AG399">
        <v>2.5000000000000001E-2</v>
      </c>
      <c r="AH399">
        <v>2</v>
      </c>
      <c r="AI399">
        <v>27935879</v>
      </c>
      <c r="AJ399">
        <v>393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ROW(Source!A137)</f>
        <v>137</v>
      </c>
      <c r="B400">
        <v>27935889</v>
      </c>
      <c r="C400">
        <v>27935875</v>
      </c>
      <c r="D400">
        <v>25231607</v>
      </c>
      <c r="E400">
        <v>1</v>
      </c>
      <c r="F400">
        <v>1</v>
      </c>
      <c r="G400">
        <v>1</v>
      </c>
      <c r="H400">
        <v>2</v>
      </c>
      <c r="I400" t="s">
        <v>468</v>
      </c>
      <c r="J400" t="s">
        <v>469</v>
      </c>
      <c r="K400" t="s">
        <v>470</v>
      </c>
      <c r="L400">
        <v>1368</v>
      </c>
      <c r="N400">
        <v>1011</v>
      </c>
      <c r="O400" t="s">
        <v>465</v>
      </c>
      <c r="P400" t="s">
        <v>465</v>
      </c>
      <c r="Q400">
        <v>1</v>
      </c>
      <c r="X400">
        <v>0.02</v>
      </c>
      <c r="Y400">
        <v>0</v>
      </c>
      <c r="Z400">
        <v>65.709999999999994</v>
      </c>
      <c r="AA400">
        <v>11.6</v>
      </c>
      <c r="AB400">
        <v>0</v>
      </c>
      <c r="AC400">
        <v>0</v>
      </c>
      <c r="AD400">
        <v>1</v>
      </c>
      <c r="AE400">
        <v>0</v>
      </c>
      <c r="AF400" t="s">
        <v>27</v>
      </c>
      <c r="AG400">
        <v>2.5000000000000001E-2</v>
      </c>
      <c r="AH400">
        <v>2</v>
      </c>
      <c r="AI400">
        <v>27935880</v>
      </c>
      <c r="AJ400">
        <v>394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ROW(Source!A137)</f>
        <v>137</v>
      </c>
      <c r="B401">
        <v>27935890</v>
      </c>
      <c r="C401">
        <v>27935875</v>
      </c>
      <c r="D401">
        <v>25149961</v>
      </c>
      <c r="E401">
        <v>1</v>
      </c>
      <c r="F401">
        <v>1</v>
      </c>
      <c r="G401">
        <v>1</v>
      </c>
      <c r="H401">
        <v>3</v>
      </c>
      <c r="I401" t="s">
        <v>558</v>
      </c>
      <c r="J401" t="s">
        <v>559</v>
      </c>
      <c r="K401" t="s">
        <v>560</v>
      </c>
      <c r="L401">
        <v>1339</v>
      </c>
      <c r="N401">
        <v>1007</v>
      </c>
      <c r="O401" t="s">
        <v>133</v>
      </c>
      <c r="P401" t="s">
        <v>133</v>
      </c>
      <c r="Q401">
        <v>1</v>
      </c>
      <c r="X401">
        <v>1.57</v>
      </c>
      <c r="Y401">
        <v>2.44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1.57</v>
      </c>
      <c r="AH401">
        <v>2</v>
      </c>
      <c r="AI401">
        <v>27935881</v>
      </c>
      <c r="AJ401">
        <v>395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ROW(Source!A137)</f>
        <v>137</v>
      </c>
      <c r="B402">
        <v>27935891</v>
      </c>
      <c r="C402">
        <v>27935875</v>
      </c>
      <c r="D402">
        <v>25152598</v>
      </c>
      <c r="E402">
        <v>1</v>
      </c>
      <c r="F402">
        <v>1</v>
      </c>
      <c r="G402">
        <v>1</v>
      </c>
      <c r="H402">
        <v>3</v>
      </c>
      <c r="I402" t="s">
        <v>677</v>
      </c>
      <c r="J402" t="s">
        <v>678</v>
      </c>
      <c r="K402" t="s">
        <v>679</v>
      </c>
      <c r="L402">
        <v>1348</v>
      </c>
      <c r="N402">
        <v>1009</v>
      </c>
      <c r="O402" t="s">
        <v>65</v>
      </c>
      <c r="P402" t="s">
        <v>65</v>
      </c>
      <c r="Q402">
        <v>1000</v>
      </c>
      <c r="X402">
        <v>2.66E-3</v>
      </c>
      <c r="Y402">
        <v>14830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2.66E-3</v>
      </c>
      <c r="AH402">
        <v>2</v>
      </c>
      <c r="AI402">
        <v>27935882</v>
      </c>
      <c r="AJ402">
        <v>396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ROW(Source!A137)</f>
        <v>137</v>
      </c>
      <c r="B403">
        <v>27935892</v>
      </c>
      <c r="C403">
        <v>27935875</v>
      </c>
      <c r="D403">
        <v>25153454</v>
      </c>
      <c r="E403">
        <v>1</v>
      </c>
      <c r="F403">
        <v>1</v>
      </c>
      <c r="G403">
        <v>1</v>
      </c>
      <c r="H403">
        <v>3</v>
      </c>
      <c r="I403" t="s">
        <v>680</v>
      </c>
      <c r="J403" t="s">
        <v>681</v>
      </c>
      <c r="K403" t="s">
        <v>682</v>
      </c>
      <c r="L403">
        <v>1346</v>
      </c>
      <c r="N403">
        <v>1009</v>
      </c>
      <c r="O403" t="s">
        <v>60</v>
      </c>
      <c r="P403" t="s">
        <v>60</v>
      </c>
      <c r="Q403">
        <v>1</v>
      </c>
      <c r="X403">
        <v>4</v>
      </c>
      <c r="Y403">
        <v>24.41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4</v>
      </c>
      <c r="AH403">
        <v>2</v>
      </c>
      <c r="AI403">
        <v>27935883</v>
      </c>
      <c r="AJ403">
        <v>397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ROW(Source!A137)</f>
        <v>137</v>
      </c>
      <c r="B404">
        <v>27935893</v>
      </c>
      <c r="C404">
        <v>27935875</v>
      </c>
      <c r="D404">
        <v>25144250</v>
      </c>
      <c r="E404">
        <v>17</v>
      </c>
      <c r="F404">
        <v>1</v>
      </c>
      <c r="G404">
        <v>1</v>
      </c>
      <c r="H404">
        <v>3</v>
      </c>
      <c r="I404" t="s">
        <v>751</v>
      </c>
      <c r="J404" t="s">
        <v>6</v>
      </c>
      <c r="K404" t="s">
        <v>752</v>
      </c>
      <c r="L404">
        <v>1354</v>
      </c>
      <c r="N404">
        <v>1010</v>
      </c>
      <c r="O404" t="s">
        <v>282</v>
      </c>
      <c r="P404" t="s">
        <v>282</v>
      </c>
      <c r="Q404">
        <v>1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1</v>
      </c>
      <c r="AD404">
        <v>0</v>
      </c>
      <c r="AE404">
        <v>0</v>
      </c>
      <c r="AF404" t="s">
        <v>6</v>
      </c>
      <c r="AG404">
        <v>0</v>
      </c>
      <c r="AH404">
        <v>3</v>
      </c>
      <c r="AI404">
        <v>-1</v>
      </c>
      <c r="AJ404" t="s">
        <v>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ROW(Source!A137)</f>
        <v>137</v>
      </c>
      <c r="B405">
        <v>27935894</v>
      </c>
      <c r="C405">
        <v>27935875</v>
      </c>
      <c r="D405">
        <v>25145791</v>
      </c>
      <c r="E405">
        <v>17</v>
      </c>
      <c r="F405">
        <v>1</v>
      </c>
      <c r="G405">
        <v>1</v>
      </c>
      <c r="H405">
        <v>3</v>
      </c>
      <c r="I405" t="s">
        <v>753</v>
      </c>
      <c r="J405" t="s">
        <v>6</v>
      </c>
      <c r="K405" t="s">
        <v>754</v>
      </c>
      <c r="L405">
        <v>1346</v>
      </c>
      <c r="N405">
        <v>1009</v>
      </c>
      <c r="O405" t="s">
        <v>60</v>
      </c>
      <c r="P405" t="s">
        <v>60</v>
      </c>
      <c r="Q405">
        <v>1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1</v>
      </c>
      <c r="AD405">
        <v>0</v>
      </c>
      <c r="AE405">
        <v>0</v>
      </c>
      <c r="AF405" t="s">
        <v>6</v>
      </c>
      <c r="AG405">
        <v>0</v>
      </c>
      <c r="AH405">
        <v>3</v>
      </c>
      <c r="AI405">
        <v>-1</v>
      </c>
      <c r="AJ405" t="s">
        <v>6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ROW(Source!A137)</f>
        <v>137</v>
      </c>
      <c r="B406">
        <v>27935895</v>
      </c>
      <c r="C406">
        <v>27935875</v>
      </c>
      <c r="D406">
        <v>25145829</v>
      </c>
      <c r="E406">
        <v>17</v>
      </c>
      <c r="F406">
        <v>1</v>
      </c>
      <c r="G406">
        <v>1</v>
      </c>
      <c r="H406">
        <v>3</v>
      </c>
      <c r="I406" t="s">
        <v>755</v>
      </c>
      <c r="J406" t="s">
        <v>6</v>
      </c>
      <c r="K406" t="s">
        <v>299</v>
      </c>
      <c r="L406">
        <v>1301</v>
      </c>
      <c r="N406">
        <v>1003</v>
      </c>
      <c r="O406" t="s">
        <v>45</v>
      </c>
      <c r="P406" t="s">
        <v>45</v>
      </c>
      <c r="Q406">
        <v>1</v>
      </c>
      <c r="X406">
        <v>99.8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 t="s">
        <v>6</v>
      </c>
      <c r="AG406">
        <v>99.8</v>
      </c>
      <c r="AH406">
        <v>3</v>
      </c>
      <c r="AI406">
        <v>-1</v>
      </c>
      <c r="AJ406" t="s">
        <v>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ROW(Source!A140)</f>
        <v>140</v>
      </c>
      <c r="B407">
        <v>27935909</v>
      </c>
      <c r="C407">
        <v>27935897</v>
      </c>
      <c r="D407">
        <v>25412980</v>
      </c>
      <c r="E407">
        <v>1</v>
      </c>
      <c r="F407">
        <v>1</v>
      </c>
      <c r="G407">
        <v>1</v>
      </c>
      <c r="H407">
        <v>1</v>
      </c>
      <c r="I407" t="s">
        <v>549</v>
      </c>
      <c r="J407" t="s">
        <v>6</v>
      </c>
      <c r="K407" t="s">
        <v>550</v>
      </c>
      <c r="L407">
        <v>1191</v>
      </c>
      <c r="N407">
        <v>1013</v>
      </c>
      <c r="O407" t="s">
        <v>459</v>
      </c>
      <c r="P407" t="s">
        <v>459</v>
      </c>
      <c r="Q407">
        <v>1</v>
      </c>
      <c r="X407">
        <v>354.7</v>
      </c>
      <c r="Y407">
        <v>0</v>
      </c>
      <c r="Z407">
        <v>0</v>
      </c>
      <c r="AA407">
        <v>0</v>
      </c>
      <c r="AB407">
        <v>9.07</v>
      </c>
      <c r="AC407">
        <v>0</v>
      </c>
      <c r="AD407">
        <v>1</v>
      </c>
      <c r="AE407">
        <v>1</v>
      </c>
      <c r="AF407" t="s">
        <v>6</v>
      </c>
      <c r="AG407">
        <v>354.7</v>
      </c>
      <c r="AH407">
        <v>2</v>
      </c>
      <c r="AI407">
        <v>27935898</v>
      </c>
      <c r="AJ407">
        <v>399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ROW(Source!A140)</f>
        <v>140</v>
      </c>
      <c r="B408">
        <v>27935910</v>
      </c>
      <c r="C408">
        <v>27935897</v>
      </c>
      <c r="D408">
        <v>25412928</v>
      </c>
      <c r="E408">
        <v>1</v>
      </c>
      <c r="F408">
        <v>1</v>
      </c>
      <c r="G408">
        <v>1</v>
      </c>
      <c r="H408">
        <v>1</v>
      </c>
      <c r="I408" t="s">
        <v>460</v>
      </c>
      <c r="J408" t="s">
        <v>6</v>
      </c>
      <c r="K408" t="s">
        <v>461</v>
      </c>
      <c r="L408">
        <v>1191</v>
      </c>
      <c r="N408">
        <v>1013</v>
      </c>
      <c r="O408" t="s">
        <v>459</v>
      </c>
      <c r="P408" t="s">
        <v>459</v>
      </c>
      <c r="Q408">
        <v>1</v>
      </c>
      <c r="X408">
        <v>0.8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6</v>
      </c>
      <c r="AG408">
        <v>0.8</v>
      </c>
      <c r="AH408">
        <v>2</v>
      </c>
      <c r="AI408">
        <v>27935899</v>
      </c>
      <c r="AJ408">
        <v>400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ROW(Source!A140)</f>
        <v>140</v>
      </c>
      <c r="B409">
        <v>27935911</v>
      </c>
      <c r="C409">
        <v>27935897</v>
      </c>
      <c r="D409">
        <v>25230514</v>
      </c>
      <c r="E409">
        <v>1</v>
      </c>
      <c r="F409">
        <v>1</v>
      </c>
      <c r="G409">
        <v>1</v>
      </c>
      <c r="H409">
        <v>2</v>
      </c>
      <c r="I409" t="s">
        <v>462</v>
      </c>
      <c r="J409" t="s">
        <v>463</v>
      </c>
      <c r="K409" t="s">
        <v>464</v>
      </c>
      <c r="L409">
        <v>1368</v>
      </c>
      <c r="N409">
        <v>1011</v>
      </c>
      <c r="O409" t="s">
        <v>465</v>
      </c>
      <c r="P409" t="s">
        <v>465</v>
      </c>
      <c r="Q409">
        <v>1</v>
      </c>
      <c r="X409">
        <v>0.4</v>
      </c>
      <c r="Y409">
        <v>0</v>
      </c>
      <c r="Z409">
        <v>31.26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0.4</v>
      </c>
      <c r="AH409">
        <v>2</v>
      </c>
      <c r="AI409">
        <v>27935900</v>
      </c>
      <c r="AJ409">
        <v>401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ROW(Source!A140)</f>
        <v>140</v>
      </c>
      <c r="B410">
        <v>27935912</v>
      </c>
      <c r="C410">
        <v>27935897</v>
      </c>
      <c r="D410">
        <v>25231607</v>
      </c>
      <c r="E410">
        <v>1</v>
      </c>
      <c r="F410">
        <v>1</v>
      </c>
      <c r="G410">
        <v>1</v>
      </c>
      <c r="H410">
        <v>2</v>
      </c>
      <c r="I410" t="s">
        <v>468</v>
      </c>
      <c r="J410" t="s">
        <v>469</v>
      </c>
      <c r="K410" t="s">
        <v>470</v>
      </c>
      <c r="L410">
        <v>1368</v>
      </c>
      <c r="N410">
        <v>1011</v>
      </c>
      <c r="O410" t="s">
        <v>465</v>
      </c>
      <c r="P410" t="s">
        <v>465</v>
      </c>
      <c r="Q410">
        <v>1</v>
      </c>
      <c r="X410">
        <v>0.4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0.4</v>
      </c>
      <c r="AH410">
        <v>2</v>
      </c>
      <c r="AI410">
        <v>27935901</v>
      </c>
      <c r="AJ410">
        <v>402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ROW(Source!A140)</f>
        <v>140</v>
      </c>
      <c r="B411">
        <v>27935913</v>
      </c>
      <c r="C411">
        <v>27935897</v>
      </c>
      <c r="D411">
        <v>25150630</v>
      </c>
      <c r="E411">
        <v>1</v>
      </c>
      <c r="F411">
        <v>1</v>
      </c>
      <c r="G411">
        <v>1</v>
      </c>
      <c r="H411">
        <v>3</v>
      </c>
      <c r="I411" t="s">
        <v>683</v>
      </c>
      <c r="J411" t="s">
        <v>684</v>
      </c>
      <c r="K411" t="s">
        <v>685</v>
      </c>
      <c r="L411">
        <v>1348</v>
      </c>
      <c r="N411">
        <v>1009</v>
      </c>
      <c r="O411" t="s">
        <v>65</v>
      </c>
      <c r="P411" t="s">
        <v>65</v>
      </c>
      <c r="Q411">
        <v>1000</v>
      </c>
      <c r="X411">
        <v>3.5000000000000001E-3</v>
      </c>
      <c r="Y411">
        <v>30030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3.5000000000000001E-3</v>
      </c>
      <c r="AH411">
        <v>2</v>
      </c>
      <c r="AI411">
        <v>27935902</v>
      </c>
      <c r="AJ411">
        <v>403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ROW(Source!A140)</f>
        <v>140</v>
      </c>
      <c r="B412">
        <v>27935914</v>
      </c>
      <c r="C412">
        <v>27935897</v>
      </c>
      <c r="D412">
        <v>25153116</v>
      </c>
      <c r="E412">
        <v>1</v>
      </c>
      <c r="F412">
        <v>1</v>
      </c>
      <c r="G412">
        <v>1</v>
      </c>
      <c r="H412">
        <v>3</v>
      </c>
      <c r="I412" t="s">
        <v>686</v>
      </c>
      <c r="J412" t="s">
        <v>687</v>
      </c>
      <c r="K412" t="s">
        <v>688</v>
      </c>
      <c r="L412">
        <v>1348</v>
      </c>
      <c r="N412">
        <v>1009</v>
      </c>
      <c r="O412" t="s">
        <v>65</v>
      </c>
      <c r="P412" t="s">
        <v>65</v>
      </c>
      <c r="Q412">
        <v>1000</v>
      </c>
      <c r="X412">
        <v>7.1999999999999998E-3</v>
      </c>
      <c r="Y412">
        <v>12430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7.1999999999999998E-3</v>
      </c>
      <c r="AH412">
        <v>2</v>
      </c>
      <c r="AI412">
        <v>27935903</v>
      </c>
      <c r="AJ412">
        <v>404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ROW(Source!A140)</f>
        <v>140</v>
      </c>
      <c r="B413">
        <v>27935915</v>
      </c>
      <c r="C413">
        <v>27935897</v>
      </c>
      <c r="D413">
        <v>25154789</v>
      </c>
      <c r="E413">
        <v>1</v>
      </c>
      <c r="F413">
        <v>1</v>
      </c>
      <c r="G413">
        <v>1</v>
      </c>
      <c r="H413">
        <v>3</v>
      </c>
      <c r="I413" t="s">
        <v>689</v>
      </c>
      <c r="J413" t="s">
        <v>690</v>
      </c>
      <c r="K413" t="s">
        <v>691</v>
      </c>
      <c r="L413">
        <v>1348</v>
      </c>
      <c r="N413">
        <v>1009</v>
      </c>
      <c r="O413" t="s">
        <v>65</v>
      </c>
      <c r="P413" t="s">
        <v>65</v>
      </c>
      <c r="Q413">
        <v>1000</v>
      </c>
      <c r="X413">
        <v>0.02</v>
      </c>
      <c r="Y413">
        <v>2165.8000000000002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0.02</v>
      </c>
      <c r="AH413">
        <v>2</v>
      </c>
      <c r="AI413">
        <v>27935904</v>
      </c>
      <c r="AJ413">
        <v>406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ROW(Source!A140)</f>
        <v>140</v>
      </c>
      <c r="B414">
        <v>27935916</v>
      </c>
      <c r="C414">
        <v>27935897</v>
      </c>
      <c r="D414">
        <v>25144399</v>
      </c>
      <c r="E414">
        <v>17</v>
      </c>
      <c r="F414">
        <v>1</v>
      </c>
      <c r="G414">
        <v>1</v>
      </c>
      <c r="H414">
        <v>3</v>
      </c>
      <c r="I414" t="s">
        <v>756</v>
      </c>
      <c r="J414" t="s">
        <v>6</v>
      </c>
      <c r="K414" t="s">
        <v>757</v>
      </c>
      <c r="L414">
        <v>1035</v>
      </c>
      <c r="N414">
        <v>1013</v>
      </c>
      <c r="O414" t="s">
        <v>231</v>
      </c>
      <c r="P414" t="s">
        <v>231</v>
      </c>
      <c r="Q414">
        <v>1</v>
      </c>
      <c r="X414">
        <v>100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 t="s">
        <v>6</v>
      </c>
      <c r="AG414">
        <v>100</v>
      </c>
      <c r="AH414">
        <v>3</v>
      </c>
      <c r="AI414">
        <v>-1</v>
      </c>
      <c r="AJ414" t="s">
        <v>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ROW(Source!A140)</f>
        <v>140</v>
      </c>
      <c r="B415">
        <v>27935917</v>
      </c>
      <c r="C415">
        <v>27935897</v>
      </c>
      <c r="D415">
        <v>25217108</v>
      </c>
      <c r="E415">
        <v>1</v>
      </c>
      <c r="F415">
        <v>1</v>
      </c>
      <c r="G415">
        <v>1</v>
      </c>
      <c r="H415">
        <v>3</v>
      </c>
      <c r="I415" t="s">
        <v>692</v>
      </c>
      <c r="J415" t="s">
        <v>693</v>
      </c>
      <c r="K415" t="s">
        <v>694</v>
      </c>
      <c r="L415">
        <v>1355</v>
      </c>
      <c r="N415">
        <v>1010</v>
      </c>
      <c r="O415" t="s">
        <v>487</v>
      </c>
      <c r="P415" t="s">
        <v>487</v>
      </c>
      <c r="Q415">
        <v>100</v>
      </c>
      <c r="X415">
        <v>4</v>
      </c>
      <c r="Y415">
        <v>93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4</v>
      </c>
      <c r="AH415">
        <v>2</v>
      </c>
      <c r="AI415">
        <v>27935906</v>
      </c>
      <c r="AJ415">
        <v>409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ROW(Source!A141)</f>
        <v>141</v>
      </c>
      <c r="B416">
        <v>27935909</v>
      </c>
      <c r="C416">
        <v>27935897</v>
      </c>
      <c r="D416">
        <v>25412980</v>
      </c>
      <c r="E416">
        <v>1</v>
      </c>
      <c r="F416">
        <v>1</v>
      </c>
      <c r="G416">
        <v>1</v>
      </c>
      <c r="H416">
        <v>1</v>
      </c>
      <c r="I416" t="s">
        <v>549</v>
      </c>
      <c r="J416" t="s">
        <v>6</v>
      </c>
      <c r="K416" t="s">
        <v>550</v>
      </c>
      <c r="L416">
        <v>1191</v>
      </c>
      <c r="N416">
        <v>1013</v>
      </c>
      <c r="O416" t="s">
        <v>459</v>
      </c>
      <c r="P416" t="s">
        <v>459</v>
      </c>
      <c r="Q416">
        <v>1</v>
      </c>
      <c r="X416">
        <v>354.7</v>
      </c>
      <c r="Y416">
        <v>0</v>
      </c>
      <c r="Z416">
        <v>0</v>
      </c>
      <c r="AA416">
        <v>0</v>
      </c>
      <c r="AB416">
        <v>9.07</v>
      </c>
      <c r="AC416">
        <v>0</v>
      </c>
      <c r="AD416">
        <v>1</v>
      </c>
      <c r="AE416">
        <v>1</v>
      </c>
      <c r="AF416" t="s">
        <v>6</v>
      </c>
      <c r="AG416">
        <v>354.7</v>
      </c>
      <c r="AH416">
        <v>2</v>
      </c>
      <c r="AI416">
        <v>27935898</v>
      </c>
      <c r="AJ416">
        <v>410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ROW(Source!A141)</f>
        <v>141</v>
      </c>
      <c r="B417">
        <v>27935910</v>
      </c>
      <c r="C417">
        <v>27935897</v>
      </c>
      <c r="D417">
        <v>25412928</v>
      </c>
      <c r="E417">
        <v>1</v>
      </c>
      <c r="F417">
        <v>1</v>
      </c>
      <c r="G417">
        <v>1</v>
      </c>
      <c r="H417">
        <v>1</v>
      </c>
      <c r="I417" t="s">
        <v>460</v>
      </c>
      <c r="J417" t="s">
        <v>6</v>
      </c>
      <c r="K417" t="s">
        <v>461</v>
      </c>
      <c r="L417">
        <v>1191</v>
      </c>
      <c r="N417">
        <v>1013</v>
      </c>
      <c r="O417" t="s">
        <v>459</v>
      </c>
      <c r="P417" t="s">
        <v>459</v>
      </c>
      <c r="Q417">
        <v>1</v>
      </c>
      <c r="X417">
        <v>0.8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2</v>
      </c>
      <c r="AF417" t="s">
        <v>6</v>
      </c>
      <c r="AG417">
        <v>0.8</v>
      </c>
      <c r="AH417">
        <v>2</v>
      </c>
      <c r="AI417">
        <v>27935899</v>
      </c>
      <c r="AJ417">
        <v>411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ROW(Source!A141)</f>
        <v>141</v>
      </c>
      <c r="B418">
        <v>27935911</v>
      </c>
      <c r="C418">
        <v>27935897</v>
      </c>
      <c r="D418">
        <v>25230514</v>
      </c>
      <c r="E418">
        <v>1</v>
      </c>
      <c r="F418">
        <v>1</v>
      </c>
      <c r="G418">
        <v>1</v>
      </c>
      <c r="H418">
        <v>2</v>
      </c>
      <c r="I418" t="s">
        <v>462</v>
      </c>
      <c r="J418" t="s">
        <v>463</v>
      </c>
      <c r="K418" t="s">
        <v>464</v>
      </c>
      <c r="L418">
        <v>1368</v>
      </c>
      <c r="N418">
        <v>1011</v>
      </c>
      <c r="O418" t="s">
        <v>465</v>
      </c>
      <c r="P418" t="s">
        <v>465</v>
      </c>
      <c r="Q418">
        <v>1</v>
      </c>
      <c r="X418">
        <v>0.4</v>
      </c>
      <c r="Y418">
        <v>0</v>
      </c>
      <c r="Z418">
        <v>31.26</v>
      </c>
      <c r="AA418">
        <v>13.5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0.4</v>
      </c>
      <c r="AH418">
        <v>2</v>
      </c>
      <c r="AI418">
        <v>27935900</v>
      </c>
      <c r="AJ418">
        <v>412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ROW(Source!A141)</f>
        <v>141</v>
      </c>
      <c r="B419">
        <v>27935912</v>
      </c>
      <c r="C419">
        <v>27935897</v>
      </c>
      <c r="D419">
        <v>25231607</v>
      </c>
      <c r="E419">
        <v>1</v>
      </c>
      <c r="F419">
        <v>1</v>
      </c>
      <c r="G419">
        <v>1</v>
      </c>
      <c r="H419">
        <v>2</v>
      </c>
      <c r="I419" t="s">
        <v>468</v>
      </c>
      <c r="J419" t="s">
        <v>469</v>
      </c>
      <c r="K419" t="s">
        <v>470</v>
      </c>
      <c r="L419">
        <v>1368</v>
      </c>
      <c r="N419">
        <v>1011</v>
      </c>
      <c r="O419" t="s">
        <v>465</v>
      </c>
      <c r="P419" t="s">
        <v>465</v>
      </c>
      <c r="Q419">
        <v>1</v>
      </c>
      <c r="X419">
        <v>0.4</v>
      </c>
      <c r="Y419">
        <v>0</v>
      </c>
      <c r="Z419">
        <v>65.709999999999994</v>
      </c>
      <c r="AA419">
        <v>11.6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0.4</v>
      </c>
      <c r="AH419">
        <v>2</v>
      </c>
      <c r="AI419">
        <v>27935901</v>
      </c>
      <c r="AJ419">
        <v>413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ROW(Source!A141)</f>
        <v>141</v>
      </c>
      <c r="B420">
        <v>27935913</v>
      </c>
      <c r="C420">
        <v>27935897</v>
      </c>
      <c r="D420">
        <v>25150630</v>
      </c>
      <c r="E420">
        <v>1</v>
      </c>
      <c r="F420">
        <v>1</v>
      </c>
      <c r="G420">
        <v>1</v>
      </c>
      <c r="H420">
        <v>3</v>
      </c>
      <c r="I420" t="s">
        <v>683</v>
      </c>
      <c r="J420" t="s">
        <v>684</v>
      </c>
      <c r="K420" t="s">
        <v>685</v>
      </c>
      <c r="L420">
        <v>1348</v>
      </c>
      <c r="N420">
        <v>1009</v>
      </c>
      <c r="O420" t="s">
        <v>65</v>
      </c>
      <c r="P420" t="s">
        <v>65</v>
      </c>
      <c r="Q420">
        <v>1000</v>
      </c>
      <c r="X420">
        <v>3.5000000000000001E-3</v>
      </c>
      <c r="Y420">
        <v>30030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3.5000000000000001E-3</v>
      </c>
      <c r="AH420">
        <v>2</v>
      </c>
      <c r="AI420">
        <v>27935902</v>
      </c>
      <c r="AJ420">
        <v>414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ROW(Source!A141)</f>
        <v>141</v>
      </c>
      <c r="B421">
        <v>27935914</v>
      </c>
      <c r="C421">
        <v>27935897</v>
      </c>
      <c r="D421">
        <v>25153116</v>
      </c>
      <c r="E421">
        <v>1</v>
      </c>
      <c r="F421">
        <v>1</v>
      </c>
      <c r="G421">
        <v>1</v>
      </c>
      <c r="H421">
        <v>3</v>
      </c>
      <c r="I421" t="s">
        <v>686</v>
      </c>
      <c r="J421" t="s">
        <v>687</v>
      </c>
      <c r="K421" t="s">
        <v>688</v>
      </c>
      <c r="L421">
        <v>1348</v>
      </c>
      <c r="N421">
        <v>1009</v>
      </c>
      <c r="O421" t="s">
        <v>65</v>
      </c>
      <c r="P421" t="s">
        <v>65</v>
      </c>
      <c r="Q421">
        <v>1000</v>
      </c>
      <c r="X421">
        <v>7.1999999999999998E-3</v>
      </c>
      <c r="Y421">
        <v>12430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7.1999999999999998E-3</v>
      </c>
      <c r="AH421">
        <v>2</v>
      </c>
      <c r="AI421">
        <v>27935903</v>
      </c>
      <c r="AJ421">
        <v>415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ROW(Source!A141)</f>
        <v>141</v>
      </c>
      <c r="B422">
        <v>27935915</v>
      </c>
      <c r="C422">
        <v>27935897</v>
      </c>
      <c r="D422">
        <v>25154789</v>
      </c>
      <c r="E422">
        <v>1</v>
      </c>
      <c r="F422">
        <v>1</v>
      </c>
      <c r="G422">
        <v>1</v>
      </c>
      <c r="H422">
        <v>3</v>
      </c>
      <c r="I422" t="s">
        <v>689</v>
      </c>
      <c r="J422" t="s">
        <v>690</v>
      </c>
      <c r="K422" t="s">
        <v>691</v>
      </c>
      <c r="L422">
        <v>1348</v>
      </c>
      <c r="N422">
        <v>1009</v>
      </c>
      <c r="O422" t="s">
        <v>65</v>
      </c>
      <c r="P422" t="s">
        <v>65</v>
      </c>
      <c r="Q422">
        <v>1000</v>
      </c>
      <c r="X422">
        <v>0.02</v>
      </c>
      <c r="Y422">
        <v>2165.8000000000002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6</v>
      </c>
      <c r="AG422">
        <v>0.02</v>
      </c>
      <c r="AH422">
        <v>2</v>
      </c>
      <c r="AI422">
        <v>27935904</v>
      </c>
      <c r="AJ422">
        <v>417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ROW(Source!A141)</f>
        <v>141</v>
      </c>
      <c r="B423">
        <v>27935916</v>
      </c>
      <c r="C423">
        <v>27935897</v>
      </c>
      <c r="D423">
        <v>25144399</v>
      </c>
      <c r="E423">
        <v>17</v>
      </c>
      <c r="F423">
        <v>1</v>
      </c>
      <c r="G423">
        <v>1</v>
      </c>
      <c r="H423">
        <v>3</v>
      </c>
      <c r="I423" t="s">
        <v>756</v>
      </c>
      <c r="J423" t="s">
        <v>6</v>
      </c>
      <c r="K423" t="s">
        <v>757</v>
      </c>
      <c r="L423">
        <v>1035</v>
      </c>
      <c r="N423">
        <v>1013</v>
      </c>
      <c r="O423" t="s">
        <v>231</v>
      </c>
      <c r="P423" t="s">
        <v>231</v>
      </c>
      <c r="Q423">
        <v>1</v>
      </c>
      <c r="X423">
        <v>100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 t="s">
        <v>6</v>
      </c>
      <c r="AG423">
        <v>100</v>
      </c>
      <c r="AH423">
        <v>3</v>
      </c>
      <c r="AI423">
        <v>-1</v>
      </c>
      <c r="AJ423" t="s">
        <v>6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ROW(Source!A141)</f>
        <v>141</v>
      </c>
      <c r="B424">
        <v>27935917</v>
      </c>
      <c r="C424">
        <v>27935897</v>
      </c>
      <c r="D424">
        <v>25217108</v>
      </c>
      <c r="E424">
        <v>1</v>
      </c>
      <c r="F424">
        <v>1</v>
      </c>
      <c r="G424">
        <v>1</v>
      </c>
      <c r="H424">
        <v>3</v>
      </c>
      <c r="I424" t="s">
        <v>692</v>
      </c>
      <c r="J424" t="s">
        <v>693</v>
      </c>
      <c r="K424" t="s">
        <v>694</v>
      </c>
      <c r="L424">
        <v>1355</v>
      </c>
      <c r="N424">
        <v>1010</v>
      </c>
      <c r="O424" t="s">
        <v>487</v>
      </c>
      <c r="P424" t="s">
        <v>487</v>
      </c>
      <c r="Q424">
        <v>100</v>
      </c>
      <c r="X424">
        <v>4</v>
      </c>
      <c r="Y424">
        <v>93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4</v>
      </c>
      <c r="AH424">
        <v>2</v>
      </c>
      <c r="AI424">
        <v>27935906</v>
      </c>
      <c r="AJ424">
        <v>420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ROW(Source!A148)</f>
        <v>148</v>
      </c>
      <c r="B425">
        <v>27935928</v>
      </c>
      <c r="C425">
        <v>27935921</v>
      </c>
      <c r="D425">
        <v>25414889</v>
      </c>
      <c r="E425">
        <v>1</v>
      </c>
      <c r="F425">
        <v>1</v>
      </c>
      <c r="G425">
        <v>1</v>
      </c>
      <c r="H425">
        <v>1</v>
      </c>
      <c r="I425" t="s">
        <v>695</v>
      </c>
      <c r="J425" t="s">
        <v>6</v>
      </c>
      <c r="K425" t="s">
        <v>696</v>
      </c>
      <c r="L425">
        <v>1191</v>
      </c>
      <c r="N425">
        <v>1013</v>
      </c>
      <c r="O425" t="s">
        <v>459</v>
      </c>
      <c r="P425" t="s">
        <v>459</v>
      </c>
      <c r="Q425">
        <v>1</v>
      </c>
      <c r="X425">
        <v>34.659999999999997</v>
      </c>
      <c r="Y425">
        <v>0</v>
      </c>
      <c r="Z425">
        <v>0</v>
      </c>
      <c r="AA425">
        <v>0</v>
      </c>
      <c r="AB425">
        <v>8.31</v>
      </c>
      <c r="AC425">
        <v>0</v>
      </c>
      <c r="AD425">
        <v>1</v>
      </c>
      <c r="AE425">
        <v>1</v>
      </c>
      <c r="AF425" t="s">
        <v>28</v>
      </c>
      <c r="AG425">
        <v>39.858999999999995</v>
      </c>
      <c r="AH425">
        <v>2</v>
      </c>
      <c r="AI425">
        <v>27935922</v>
      </c>
      <c r="AJ425">
        <v>421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ROW(Source!A148)</f>
        <v>148</v>
      </c>
      <c r="B426">
        <v>27935929</v>
      </c>
      <c r="C426">
        <v>27935921</v>
      </c>
      <c r="D426">
        <v>25412928</v>
      </c>
      <c r="E426">
        <v>1</v>
      </c>
      <c r="F426">
        <v>1</v>
      </c>
      <c r="G426">
        <v>1</v>
      </c>
      <c r="H426">
        <v>1</v>
      </c>
      <c r="I426" t="s">
        <v>460</v>
      </c>
      <c r="J426" t="s">
        <v>6</v>
      </c>
      <c r="K426" t="s">
        <v>461</v>
      </c>
      <c r="L426">
        <v>1191</v>
      </c>
      <c r="N426">
        <v>1013</v>
      </c>
      <c r="O426" t="s">
        <v>459</v>
      </c>
      <c r="P426" t="s">
        <v>459</v>
      </c>
      <c r="Q426">
        <v>1</v>
      </c>
      <c r="X426">
        <v>0.1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28</v>
      </c>
      <c r="AG426">
        <v>0.11499999999999999</v>
      </c>
      <c r="AH426">
        <v>2</v>
      </c>
      <c r="AI426">
        <v>27935923</v>
      </c>
      <c r="AJ426">
        <v>422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ROW(Source!A148)</f>
        <v>148</v>
      </c>
      <c r="B427">
        <v>27935930</v>
      </c>
      <c r="C427">
        <v>27935921</v>
      </c>
      <c r="D427">
        <v>25230514</v>
      </c>
      <c r="E427">
        <v>1</v>
      </c>
      <c r="F427">
        <v>1</v>
      </c>
      <c r="G427">
        <v>1</v>
      </c>
      <c r="H427">
        <v>2</v>
      </c>
      <c r="I427" t="s">
        <v>462</v>
      </c>
      <c r="J427" t="s">
        <v>463</v>
      </c>
      <c r="K427" t="s">
        <v>464</v>
      </c>
      <c r="L427">
        <v>1368</v>
      </c>
      <c r="N427">
        <v>1011</v>
      </c>
      <c r="O427" t="s">
        <v>465</v>
      </c>
      <c r="P427" t="s">
        <v>465</v>
      </c>
      <c r="Q427">
        <v>1</v>
      </c>
      <c r="X427">
        <v>0.1</v>
      </c>
      <c r="Y427">
        <v>0</v>
      </c>
      <c r="Z427">
        <v>31.26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28</v>
      </c>
      <c r="AG427">
        <v>0.11499999999999999</v>
      </c>
      <c r="AH427">
        <v>2</v>
      </c>
      <c r="AI427">
        <v>27935924</v>
      </c>
      <c r="AJ427">
        <v>423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ROW(Source!A148)</f>
        <v>148</v>
      </c>
      <c r="B428">
        <v>27935931</v>
      </c>
      <c r="C428">
        <v>27935921</v>
      </c>
      <c r="D428">
        <v>25231842</v>
      </c>
      <c r="E428">
        <v>1</v>
      </c>
      <c r="F428">
        <v>1</v>
      </c>
      <c r="G428">
        <v>1</v>
      </c>
      <c r="H428">
        <v>2</v>
      </c>
      <c r="I428" t="s">
        <v>507</v>
      </c>
      <c r="J428" t="s">
        <v>508</v>
      </c>
      <c r="K428" t="s">
        <v>509</v>
      </c>
      <c r="L428">
        <v>1368</v>
      </c>
      <c r="N428">
        <v>1011</v>
      </c>
      <c r="O428" t="s">
        <v>465</v>
      </c>
      <c r="P428" t="s">
        <v>465</v>
      </c>
      <c r="Q428">
        <v>1</v>
      </c>
      <c r="X428">
        <v>3.3</v>
      </c>
      <c r="Y428">
        <v>0</v>
      </c>
      <c r="Z428">
        <v>1.2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28</v>
      </c>
      <c r="AG428">
        <v>3.7949999999999995</v>
      </c>
      <c r="AH428">
        <v>2</v>
      </c>
      <c r="AI428">
        <v>27935925</v>
      </c>
      <c r="AJ428">
        <v>424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ROW(Source!A148)</f>
        <v>148</v>
      </c>
      <c r="B429">
        <v>27935932</v>
      </c>
      <c r="C429">
        <v>27935921</v>
      </c>
      <c r="D429">
        <v>25148309</v>
      </c>
      <c r="E429">
        <v>1</v>
      </c>
      <c r="F429">
        <v>1</v>
      </c>
      <c r="G429">
        <v>1</v>
      </c>
      <c r="H429">
        <v>3</v>
      </c>
      <c r="I429" t="s">
        <v>697</v>
      </c>
      <c r="J429" t="s">
        <v>698</v>
      </c>
      <c r="K429" t="s">
        <v>699</v>
      </c>
      <c r="L429">
        <v>1339</v>
      </c>
      <c r="N429">
        <v>1007</v>
      </c>
      <c r="O429" t="s">
        <v>133</v>
      </c>
      <c r="P429" t="s">
        <v>133</v>
      </c>
      <c r="Q429">
        <v>1</v>
      </c>
      <c r="X429">
        <v>0.43</v>
      </c>
      <c r="Y429">
        <v>38.51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0.43</v>
      </c>
      <c r="AH429">
        <v>2</v>
      </c>
      <c r="AI429">
        <v>27935926</v>
      </c>
      <c r="AJ429">
        <v>425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ROW(Source!A148)</f>
        <v>148</v>
      </c>
      <c r="B430">
        <v>27935933</v>
      </c>
      <c r="C430">
        <v>27935921</v>
      </c>
      <c r="D430">
        <v>25148328</v>
      </c>
      <c r="E430">
        <v>1</v>
      </c>
      <c r="F430">
        <v>1</v>
      </c>
      <c r="G430">
        <v>1</v>
      </c>
      <c r="H430">
        <v>3</v>
      </c>
      <c r="I430" t="s">
        <v>513</v>
      </c>
      <c r="J430" t="s">
        <v>514</v>
      </c>
      <c r="K430" t="s">
        <v>515</v>
      </c>
      <c r="L430">
        <v>1339</v>
      </c>
      <c r="N430">
        <v>1007</v>
      </c>
      <c r="O430" t="s">
        <v>133</v>
      </c>
      <c r="P430" t="s">
        <v>133</v>
      </c>
      <c r="Q430">
        <v>1</v>
      </c>
      <c r="X430">
        <v>2.74</v>
      </c>
      <c r="Y430">
        <v>6.22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2.74</v>
      </c>
      <c r="AH430">
        <v>2</v>
      </c>
      <c r="AI430">
        <v>27935927</v>
      </c>
      <c r="AJ430">
        <v>426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ROW(Source!A148)</f>
        <v>148</v>
      </c>
      <c r="B431">
        <v>27935934</v>
      </c>
      <c r="C431">
        <v>27935921</v>
      </c>
      <c r="D431">
        <v>25147242</v>
      </c>
      <c r="E431">
        <v>17</v>
      </c>
      <c r="F431">
        <v>1</v>
      </c>
      <c r="G431">
        <v>1</v>
      </c>
      <c r="H431">
        <v>3</v>
      </c>
      <c r="I431" t="s">
        <v>218</v>
      </c>
      <c r="J431" t="s">
        <v>6</v>
      </c>
      <c r="K431" t="s">
        <v>219</v>
      </c>
      <c r="L431">
        <v>1348</v>
      </c>
      <c r="N431">
        <v>1009</v>
      </c>
      <c r="O431" t="s">
        <v>65</v>
      </c>
      <c r="P431" t="s">
        <v>65</v>
      </c>
      <c r="Q431">
        <v>1000</v>
      </c>
      <c r="X431">
        <v>0.22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6</v>
      </c>
      <c r="AG431">
        <v>0.22</v>
      </c>
      <c r="AH431">
        <v>3</v>
      </c>
      <c r="AI431">
        <v>-1</v>
      </c>
      <c r="AJ431" t="s">
        <v>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ROW(Source!A149)</f>
        <v>149</v>
      </c>
      <c r="B432">
        <v>27935928</v>
      </c>
      <c r="C432">
        <v>27935921</v>
      </c>
      <c r="D432">
        <v>25414889</v>
      </c>
      <c r="E432">
        <v>1</v>
      </c>
      <c r="F432">
        <v>1</v>
      </c>
      <c r="G432">
        <v>1</v>
      </c>
      <c r="H432">
        <v>1</v>
      </c>
      <c r="I432" t="s">
        <v>695</v>
      </c>
      <c r="J432" t="s">
        <v>6</v>
      </c>
      <c r="K432" t="s">
        <v>696</v>
      </c>
      <c r="L432">
        <v>1191</v>
      </c>
      <c r="N432">
        <v>1013</v>
      </c>
      <c r="O432" t="s">
        <v>459</v>
      </c>
      <c r="P432" t="s">
        <v>459</v>
      </c>
      <c r="Q432">
        <v>1</v>
      </c>
      <c r="X432">
        <v>34.659999999999997</v>
      </c>
      <c r="Y432">
        <v>0</v>
      </c>
      <c r="Z432">
        <v>0</v>
      </c>
      <c r="AA432">
        <v>0</v>
      </c>
      <c r="AB432">
        <v>8.31</v>
      </c>
      <c r="AC432">
        <v>0</v>
      </c>
      <c r="AD432">
        <v>1</v>
      </c>
      <c r="AE432">
        <v>1</v>
      </c>
      <c r="AF432" t="s">
        <v>28</v>
      </c>
      <c r="AG432">
        <v>39.858999999999995</v>
      </c>
      <c r="AH432">
        <v>2</v>
      </c>
      <c r="AI432">
        <v>27935922</v>
      </c>
      <c r="AJ432">
        <v>427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ROW(Source!A149)</f>
        <v>149</v>
      </c>
      <c r="B433">
        <v>27935929</v>
      </c>
      <c r="C433">
        <v>27935921</v>
      </c>
      <c r="D433">
        <v>25412928</v>
      </c>
      <c r="E433">
        <v>1</v>
      </c>
      <c r="F433">
        <v>1</v>
      </c>
      <c r="G433">
        <v>1</v>
      </c>
      <c r="H433">
        <v>1</v>
      </c>
      <c r="I433" t="s">
        <v>460</v>
      </c>
      <c r="J433" t="s">
        <v>6</v>
      </c>
      <c r="K433" t="s">
        <v>461</v>
      </c>
      <c r="L433">
        <v>1191</v>
      </c>
      <c r="N433">
        <v>1013</v>
      </c>
      <c r="O433" t="s">
        <v>459</v>
      </c>
      <c r="P433" t="s">
        <v>459</v>
      </c>
      <c r="Q433">
        <v>1</v>
      </c>
      <c r="X433">
        <v>0.1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2</v>
      </c>
      <c r="AF433" t="s">
        <v>28</v>
      </c>
      <c r="AG433">
        <v>0.11499999999999999</v>
      </c>
      <c r="AH433">
        <v>2</v>
      </c>
      <c r="AI433">
        <v>27935923</v>
      </c>
      <c r="AJ433">
        <v>428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ROW(Source!A149)</f>
        <v>149</v>
      </c>
      <c r="B434">
        <v>27935930</v>
      </c>
      <c r="C434">
        <v>27935921</v>
      </c>
      <c r="D434">
        <v>25230514</v>
      </c>
      <c r="E434">
        <v>1</v>
      </c>
      <c r="F434">
        <v>1</v>
      </c>
      <c r="G434">
        <v>1</v>
      </c>
      <c r="H434">
        <v>2</v>
      </c>
      <c r="I434" t="s">
        <v>462</v>
      </c>
      <c r="J434" t="s">
        <v>463</v>
      </c>
      <c r="K434" t="s">
        <v>464</v>
      </c>
      <c r="L434">
        <v>1368</v>
      </c>
      <c r="N434">
        <v>1011</v>
      </c>
      <c r="O434" t="s">
        <v>465</v>
      </c>
      <c r="P434" t="s">
        <v>465</v>
      </c>
      <c r="Q434">
        <v>1</v>
      </c>
      <c r="X434">
        <v>0.1</v>
      </c>
      <c r="Y434">
        <v>0</v>
      </c>
      <c r="Z434">
        <v>31.26</v>
      </c>
      <c r="AA434">
        <v>13.5</v>
      </c>
      <c r="AB434">
        <v>0</v>
      </c>
      <c r="AC434">
        <v>0</v>
      </c>
      <c r="AD434">
        <v>1</v>
      </c>
      <c r="AE434">
        <v>0</v>
      </c>
      <c r="AF434" t="s">
        <v>28</v>
      </c>
      <c r="AG434">
        <v>0.11499999999999999</v>
      </c>
      <c r="AH434">
        <v>2</v>
      </c>
      <c r="AI434">
        <v>27935924</v>
      </c>
      <c r="AJ434">
        <v>429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ROW(Source!A149)</f>
        <v>149</v>
      </c>
      <c r="B435">
        <v>27935931</v>
      </c>
      <c r="C435">
        <v>27935921</v>
      </c>
      <c r="D435">
        <v>25231842</v>
      </c>
      <c r="E435">
        <v>1</v>
      </c>
      <c r="F435">
        <v>1</v>
      </c>
      <c r="G435">
        <v>1</v>
      </c>
      <c r="H435">
        <v>2</v>
      </c>
      <c r="I435" t="s">
        <v>507</v>
      </c>
      <c r="J435" t="s">
        <v>508</v>
      </c>
      <c r="K435" t="s">
        <v>509</v>
      </c>
      <c r="L435">
        <v>1368</v>
      </c>
      <c r="N435">
        <v>1011</v>
      </c>
      <c r="O435" t="s">
        <v>465</v>
      </c>
      <c r="P435" t="s">
        <v>465</v>
      </c>
      <c r="Q435">
        <v>1</v>
      </c>
      <c r="X435">
        <v>3.3</v>
      </c>
      <c r="Y435">
        <v>0</v>
      </c>
      <c r="Z435">
        <v>1.2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28</v>
      </c>
      <c r="AG435">
        <v>3.7949999999999995</v>
      </c>
      <c r="AH435">
        <v>2</v>
      </c>
      <c r="AI435">
        <v>27935925</v>
      </c>
      <c r="AJ435">
        <v>430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ROW(Source!A149)</f>
        <v>149</v>
      </c>
      <c r="B436">
        <v>27935932</v>
      </c>
      <c r="C436">
        <v>27935921</v>
      </c>
      <c r="D436">
        <v>25148309</v>
      </c>
      <c r="E436">
        <v>1</v>
      </c>
      <c r="F436">
        <v>1</v>
      </c>
      <c r="G436">
        <v>1</v>
      </c>
      <c r="H436">
        <v>3</v>
      </c>
      <c r="I436" t="s">
        <v>697</v>
      </c>
      <c r="J436" t="s">
        <v>698</v>
      </c>
      <c r="K436" t="s">
        <v>699</v>
      </c>
      <c r="L436">
        <v>1339</v>
      </c>
      <c r="N436">
        <v>1007</v>
      </c>
      <c r="O436" t="s">
        <v>133</v>
      </c>
      <c r="P436" t="s">
        <v>133</v>
      </c>
      <c r="Q436">
        <v>1</v>
      </c>
      <c r="X436">
        <v>0.43</v>
      </c>
      <c r="Y436">
        <v>38.51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0.43</v>
      </c>
      <c r="AH436">
        <v>2</v>
      </c>
      <c r="AI436">
        <v>27935926</v>
      </c>
      <c r="AJ436">
        <v>431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ROW(Source!A149)</f>
        <v>149</v>
      </c>
      <c r="B437">
        <v>27935933</v>
      </c>
      <c r="C437">
        <v>27935921</v>
      </c>
      <c r="D437">
        <v>25148328</v>
      </c>
      <c r="E437">
        <v>1</v>
      </c>
      <c r="F437">
        <v>1</v>
      </c>
      <c r="G437">
        <v>1</v>
      </c>
      <c r="H437">
        <v>3</v>
      </c>
      <c r="I437" t="s">
        <v>513</v>
      </c>
      <c r="J437" t="s">
        <v>514</v>
      </c>
      <c r="K437" t="s">
        <v>515</v>
      </c>
      <c r="L437">
        <v>1339</v>
      </c>
      <c r="N437">
        <v>1007</v>
      </c>
      <c r="O437" t="s">
        <v>133</v>
      </c>
      <c r="P437" t="s">
        <v>133</v>
      </c>
      <c r="Q437">
        <v>1</v>
      </c>
      <c r="X437">
        <v>2.74</v>
      </c>
      <c r="Y437">
        <v>6.22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2.74</v>
      </c>
      <c r="AH437">
        <v>2</v>
      </c>
      <c r="AI437">
        <v>27935927</v>
      </c>
      <c r="AJ437">
        <v>432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ROW(Source!A149)</f>
        <v>149</v>
      </c>
      <c r="B438">
        <v>27935934</v>
      </c>
      <c r="C438">
        <v>27935921</v>
      </c>
      <c r="D438">
        <v>25147242</v>
      </c>
      <c r="E438">
        <v>17</v>
      </c>
      <c r="F438">
        <v>1</v>
      </c>
      <c r="G438">
        <v>1</v>
      </c>
      <c r="H438">
        <v>3</v>
      </c>
      <c r="I438" t="s">
        <v>218</v>
      </c>
      <c r="J438" t="s">
        <v>6</v>
      </c>
      <c r="K438" t="s">
        <v>219</v>
      </c>
      <c r="L438">
        <v>1348</v>
      </c>
      <c r="N438">
        <v>1009</v>
      </c>
      <c r="O438" t="s">
        <v>65</v>
      </c>
      <c r="P438" t="s">
        <v>65</v>
      </c>
      <c r="Q438">
        <v>1000</v>
      </c>
      <c r="X438">
        <v>0.22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 t="s">
        <v>6</v>
      </c>
      <c r="AG438">
        <v>0.22</v>
      </c>
      <c r="AH438">
        <v>3</v>
      </c>
      <c r="AI438">
        <v>-1</v>
      </c>
      <c r="AJ438" t="s">
        <v>6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ROW(Source!A150)</f>
        <v>150</v>
      </c>
      <c r="B439">
        <v>27935948</v>
      </c>
      <c r="C439">
        <v>27935935</v>
      </c>
      <c r="D439">
        <v>25418254</v>
      </c>
      <c r="E439">
        <v>1</v>
      </c>
      <c r="F439">
        <v>1</v>
      </c>
      <c r="G439">
        <v>1</v>
      </c>
      <c r="H439">
        <v>1</v>
      </c>
      <c r="I439" t="s">
        <v>700</v>
      </c>
      <c r="J439" t="s">
        <v>6</v>
      </c>
      <c r="K439" t="s">
        <v>701</v>
      </c>
      <c r="L439">
        <v>1191</v>
      </c>
      <c r="N439">
        <v>1013</v>
      </c>
      <c r="O439" t="s">
        <v>459</v>
      </c>
      <c r="P439" t="s">
        <v>459</v>
      </c>
      <c r="Q439">
        <v>1</v>
      </c>
      <c r="X439">
        <v>96.95</v>
      </c>
      <c r="Y439">
        <v>0</v>
      </c>
      <c r="Z439">
        <v>0</v>
      </c>
      <c r="AA439">
        <v>0</v>
      </c>
      <c r="AB439">
        <v>9.51</v>
      </c>
      <c r="AC439">
        <v>0</v>
      </c>
      <c r="AD439">
        <v>1</v>
      </c>
      <c r="AE439">
        <v>1</v>
      </c>
      <c r="AF439" t="s">
        <v>28</v>
      </c>
      <c r="AG439">
        <v>111.49249999999999</v>
      </c>
      <c r="AH439">
        <v>2</v>
      </c>
      <c r="AI439">
        <v>27935936</v>
      </c>
      <c r="AJ439">
        <v>433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ROW(Source!A150)</f>
        <v>150</v>
      </c>
      <c r="B440">
        <v>27935949</v>
      </c>
      <c r="C440">
        <v>27935935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460</v>
      </c>
      <c r="J440" t="s">
        <v>6</v>
      </c>
      <c r="K440" t="s">
        <v>461</v>
      </c>
      <c r="L440">
        <v>1191</v>
      </c>
      <c r="N440">
        <v>1013</v>
      </c>
      <c r="O440" t="s">
        <v>459</v>
      </c>
      <c r="P440" t="s">
        <v>459</v>
      </c>
      <c r="Q440">
        <v>1</v>
      </c>
      <c r="X440">
        <v>0.01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27</v>
      </c>
      <c r="AG440">
        <v>1.2500000000000001E-2</v>
      </c>
      <c r="AH440">
        <v>2</v>
      </c>
      <c r="AI440">
        <v>27935937</v>
      </c>
      <c r="AJ440">
        <v>434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ROW(Source!A150)</f>
        <v>150</v>
      </c>
      <c r="B441">
        <v>27935950</v>
      </c>
      <c r="C441">
        <v>27935935</v>
      </c>
      <c r="D441">
        <v>25230116</v>
      </c>
      <c r="E441">
        <v>1</v>
      </c>
      <c r="F441">
        <v>1</v>
      </c>
      <c r="G441">
        <v>1</v>
      </c>
      <c r="H441">
        <v>2</v>
      </c>
      <c r="I441" t="s">
        <v>567</v>
      </c>
      <c r="J441" t="s">
        <v>568</v>
      </c>
      <c r="K441" t="s">
        <v>569</v>
      </c>
      <c r="L441">
        <v>1368</v>
      </c>
      <c r="N441">
        <v>1011</v>
      </c>
      <c r="O441" t="s">
        <v>465</v>
      </c>
      <c r="P441" t="s">
        <v>465</v>
      </c>
      <c r="Q441">
        <v>1</v>
      </c>
      <c r="X441">
        <v>3.0000000000000001E-3</v>
      </c>
      <c r="Y441">
        <v>0</v>
      </c>
      <c r="Z441">
        <v>83.43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27</v>
      </c>
      <c r="AG441">
        <v>3.7499999999999999E-3</v>
      </c>
      <c r="AH441">
        <v>2</v>
      </c>
      <c r="AI441">
        <v>27935938</v>
      </c>
      <c r="AJ441">
        <v>435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ROW(Source!A150)</f>
        <v>150</v>
      </c>
      <c r="B442">
        <v>27935951</v>
      </c>
      <c r="C442">
        <v>27935935</v>
      </c>
      <c r="D442">
        <v>25230218</v>
      </c>
      <c r="E442">
        <v>1</v>
      </c>
      <c r="F442">
        <v>1</v>
      </c>
      <c r="G442">
        <v>1</v>
      </c>
      <c r="H442">
        <v>2</v>
      </c>
      <c r="I442" t="s">
        <v>570</v>
      </c>
      <c r="J442" t="s">
        <v>571</v>
      </c>
      <c r="K442" t="s">
        <v>572</v>
      </c>
      <c r="L442">
        <v>1368</v>
      </c>
      <c r="N442">
        <v>1011</v>
      </c>
      <c r="O442" t="s">
        <v>465</v>
      </c>
      <c r="P442" t="s">
        <v>465</v>
      </c>
      <c r="Q442">
        <v>1</v>
      </c>
      <c r="X442">
        <v>4.0000000000000001E-3</v>
      </c>
      <c r="Y442">
        <v>0</v>
      </c>
      <c r="Z442">
        <v>88.01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27</v>
      </c>
      <c r="AG442">
        <v>5.0000000000000001E-3</v>
      </c>
      <c r="AH442">
        <v>2</v>
      </c>
      <c r="AI442">
        <v>27935939</v>
      </c>
      <c r="AJ442">
        <v>436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ROW(Source!A150)</f>
        <v>150</v>
      </c>
      <c r="B443">
        <v>27935952</v>
      </c>
      <c r="C443">
        <v>27935935</v>
      </c>
      <c r="D443">
        <v>25231327</v>
      </c>
      <c r="E443">
        <v>1</v>
      </c>
      <c r="F443">
        <v>1</v>
      </c>
      <c r="G443">
        <v>1</v>
      </c>
      <c r="H443">
        <v>2</v>
      </c>
      <c r="I443" t="s">
        <v>702</v>
      </c>
      <c r="J443" t="s">
        <v>703</v>
      </c>
      <c r="K443" t="s">
        <v>704</v>
      </c>
      <c r="L443">
        <v>1368</v>
      </c>
      <c r="N443">
        <v>1011</v>
      </c>
      <c r="O443" t="s">
        <v>465</v>
      </c>
      <c r="P443" t="s">
        <v>465</v>
      </c>
      <c r="Q443">
        <v>1</v>
      </c>
      <c r="X443">
        <v>1.27</v>
      </c>
      <c r="Y443">
        <v>0</v>
      </c>
      <c r="Z443">
        <v>29.67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27</v>
      </c>
      <c r="AG443">
        <v>1.5874999999999999</v>
      </c>
      <c r="AH443">
        <v>2</v>
      </c>
      <c r="AI443">
        <v>27935940</v>
      </c>
      <c r="AJ443">
        <v>437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ROW(Source!A150)</f>
        <v>150</v>
      </c>
      <c r="B444">
        <v>27935953</v>
      </c>
      <c r="C444">
        <v>27935935</v>
      </c>
      <c r="D444">
        <v>25231844</v>
      </c>
      <c r="E444">
        <v>1</v>
      </c>
      <c r="F444">
        <v>1</v>
      </c>
      <c r="G444">
        <v>1</v>
      </c>
      <c r="H444">
        <v>2</v>
      </c>
      <c r="I444" t="s">
        <v>705</v>
      </c>
      <c r="J444" t="s">
        <v>706</v>
      </c>
      <c r="K444" t="s">
        <v>707</v>
      </c>
      <c r="L444">
        <v>1368</v>
      </c>
      <c r="N444">
        <v>1011</v>
      </c>
      <c r="O444" t="s">
        <v>465</v>
      </c>
      <c r="P444" t="s">
        <v>465</v>
      </c>
      <c r="Q444">
        <v>1</v>
      </c>
      <c r="X444">
        <v>16.38</v>
      </c>
      <c r="Y444">
        <v>0</v>
      </c>
      <c r="Z444">
        <v>26.25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27</v>
      </c>
      <c r="AG444">
        <v>20.474999999999998</v>
      </c>
      <c r="AH444">
        <v>2</v>
      </c>
      <c r="AI444">
        <v>27935941</v>
      </c>
      <c r="AJ444">
        <v>438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ROW(Source!A150)</f>
        <v>150</v>
      </c>
      <c r="B445">
        <v>27935954</v>
      </c>
      <c r="C445">
        <v>27935935</v>
      </c>
      <c r="D445">
        <v>25149961</v>
      </c>
      <c r="E445">
        <v>1</v>
      </c>
      <c r="F445">
        <v>1</v>
      </c>
      <c r="G445">
        <v>1</v>
      </c>
      <c r="H445">
        <v>3</v>
      </c>
      <c r="I445" t="s">
        <v>558</v>
      </c>
      <c r="J445" t="s">
        <v>559</v>
      </c>
      <c r="K445" t="s">
        <v>560</v>
      </c>
      <c r="L445">
        <v>1339</v>
      </c>
      <c r="N445">
        <v>1007</v>
      </c>
      <c r="O445" t="s">
        <v>133</v>
      </c>
      <c r="P445" t="s">
        <v>133</v>
      </c>
      <c r="Q445">
        <v>1</v>
      </c>
      <c r="X445">
        <v>0.14399999999999999</v>
      </c>
      <c r="Y445">
        <v>2.44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0.14399999999999999</v>
      </c>
      <c r="AH445">
        <v>2</v>
      </c>
      <c r="AI445">
        <v>27935942</v>
      </c>
      <c r="AJ445">
        <v>439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ROW(Source!A150)</f>
        <v>150</v>
      </c>
      <c r="B446">
        <v>27935955</v>
      </c>
      <c r="C446">
        <v>27935935</v>
      </c>
      <c r="D446">
        <v>25152631</v>
      </c>
      <c r="E446">
        <v>1</v>
      </c>
      <c r="F446">
        <v>1</v>
      </c>
      <c r="G446">
        <v>1</v>
      </c>
      <c r="H446">
        <v>3</v>
      </c>
      <c r="I446" t="s">
        <v>708</v>
      </c>
      <c r="J446" t="s">
        <v>709</v>
      </c>
      <c r="K446" t="s">
        <v>710</v>
      </c>
      <c r="L446">
        <v>1348</v>
      </c>
      <c r="N446">
        <v>1009</v>
      </c>
      <c r="O446" t="s">
        <v>65</v>
      </c>
      <c r="P446" t="s">
        <v>65</v>
      </c>
      <c r="Q446">
        <v>1000</v>
      </c>
      <c r="X446">
        <v>8.9999999999999998E-4</v>
      </c>
      <c r="Y446">
        <v>13186.74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8.9999999999999998E-4</v>
      </c>
      <c r="AH446">
        <v>2</v>
      </c>
      <c r="AI446">
        <v>27935943</v>
      </c>
      <c r="AJ446">
        <v>440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ROW(Source!A150)</f>
        <v>150</v>
      </c>
      <c r="B447">
        <v>27935956</v>
      </c>
      <c r="C447">
        <v>27935935</v>
      </c>
      <c r="D447">
        <v>25152750</v>
      </c>
      <c r="E447">
        <v>1</v>
      </c>
      <c r="F447">
        <v>1</v>
      </c>
      <c r="G447">
        <v>1</v>
      </c>
      <c r="H447">
        <v>3</v>
      </c>
      <c r="I447" t="s">
        <v>711</v>
      </c>
      <c r="J447" t="s">
        <v>712</v>
      </c>
      <c r="K447" t="s">
        <v>713</v>
      </c>
      <c r="L447">
        <v>1356</v>
      </c>
      <c r="N447">
        <v>1010</v>
      </c>
      <c r="O447" t="s">
        <v>714</v>
      </c>
      <c r="P447" t="s">
        <v>714</v>
      </c>
      <c r="Q447">
        <v>1000</v>
      </c>
      <c r="X447">
        <v>0.14299999999999999</v>
      </c>
      <c r="Y447">
        <v>180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0.14299999999999999</v>
      </c>
      <c r="AH447">
        <v>2</v>
      </c>
      <c r="AI447">
        <v>27935944</v>
      </c>
      <c r="AJ447">
        <v>441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ROW(Source!A150)</f>
        <v>150</v>
      </c>
      <c r="B448">
        <v>27935957</v>
      </c>
      <c r="C448">
        <v>27935935</v>
      </c>
      <c r="D448">
        <v>25154689</v>
      </c>
      <c r="E448">
        <v>1</v>
      </c>
      <c r="F448">
        <v>1</v>
      </c>
      <c r="G448">
        <v>1</v>
      </c>
      <c r="H448">
        <v>3</v>
      </c>
      <c r="I448" t="s">
        <v>715</v>
      </c>
      <c r="J448" t="s">
        <v>716</v>
      </c>
      <c r="K448" t="s">
        <v>717</v>
      </c>
      <c r="L448">
        <v>1346</v>
      </c>
      <c r="N448">
        <v>1009</v>
      </c>
      <c r="O448" t="s">
        <v>60</v>
      </c>
      <c r="P448" t="s">
        <v>60</v>
      </c>
      <c r="Q448">
        <v>1</v>
      </c>
      <c r="X448">
        <v>1.6000000000000001E-3</v>
      </c>
      <c r="Y448">
        <v>2.15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1.6000000000000001E-3</v>
      </c>
      <c r="AH448">
        <v>2</v>
      </c>
      <c r="AI448">
        <v>27935945</v>
      </c>
      <c r="AJ448">
        <v>442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ROW(Source!A150)</f>
        <v>150</v>
      </c>
      <c r="B449">
        <v>27935958</v>
      </c>
      <c r="C449">
        <v>27935935</v>
      </c>
      <c r="D449">
        <v>26988262</v>
      </c>
      <c r="E449">
        <v>17</v>
      </c>
      <c r="F449">
        <v>1</v>
      </c>
      <c r="G449">
        <v>1</v>
      </c>
      <c r="H449">
        <v>3</v>
      </c>
      <c r="I449" t="s">
        <v>758</v>
      </c>
      <c r="J449" t="s">
        <v>6</v>
      </c>
      <c r="K449" t="s">
        <v>759</v>
      </c>
      <c r="L449">
        <v>1348</v>
      </c>
      <c r="N449">
        <v>1009</v>
      </c>
      <c r="O449" t="s">
        <v>65</v>
      </c>
      <c r="P449" t="s">
        <v>65</v>
      </c>
      <c r="Q449">
        <v>1000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1</v>
      </c>
      <c r="AD449">
        <v>0</v>
      </c>
      <c r="AE449">
        <v>0</v>
      </c>
      <c r="AF449" t="s">
        <v>6</v>
      </c>
      <c r="AG449">
        <v>0</v>
      </c>
      <c r="AH449">
        <v>3</v>
      </c>
      <c r="AI449">
        <v>-1</v>
      </c>
      <c r="AJ449" t="s">
        <v>6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ROW(Source!A150)</f>
        <v>150</v>
      </c>
      <c r="B450">
        <v>27935959</v>
      </c>
      <c r="C450">
        <v>27935935</v>
      </c>
      <c r="D450">
        <v>25146710</v>
      </c>
      <c r="E450">
        <v>17</v>
      </c>
      <c r="F450">
        <v>1</v>
      </c>
      <c r="G450">
        <v>1</v>
      </c>
      <c r="H450">
        <v>3</v>
      </c>
      <c r="I450" t="s">
        <v>760</v>
      </c>
      <c r="J450" t="s">
        <v>6</v>
      </c>
      <c r="K450" t="s">
        <v>329</v>
      </c>
      <c r="L450">
        <v>1354</v>
      </c>
      <c r="N450">
        <v>1010</v>
      </c>
      <c r="O450" t="s">
        <v>282</v>
      </c>
      <c r="P450" t="s">
        <v>282</v>
      </c>
      <c r="Q450">
        <v>1</v>
      </c>
      <c r="X450">
        <v>143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6</v>
      </c>
      <c r="AG450">
        <v>143</v>
      </c>
      <c r="AH450">
        <v>3</v>
      </c>
      <c r="AI450">
        <v>-1</v>
      </c>
      <c r="AJ450" t="s">
        <v>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ROW(Source!A150)</f>
        <v>150</v>
      </c>
      <c r="B451">
        <v>27935960</v>
      </c>
      <c r="C451">
        <v>27935935</v>
      </c>
      <c r="D451">
        <v>26988259</v>
      </c>
      <c r="E451">
        <v>17</v>
      </c>
      <c r="F451">
        <v>1</v>
      </c>
      <c r="G451">
        <v>1</v>
      </c>
      <c r="H451">
        <v>3</v>
      </c>
      <c r="I451" t="s">
        <v>761</v>
      </c>
      <c r="J451" t="s">
        <v>6</v>
      </c>
      <c r="K451" t="s">
        <v>762</v>
      </c>
      <c r="L451">
        <v>1398</v>
      </c>
      <c r="N451">
        <v>1013</v>
      </c>
      <c r="O451" t="s">
        <v>763</v>
      </c>
      <c r="P451" t="s">
        <v>763</v>
      </c>
      <c r="Q451">
        <v>1</v>
      </c>
      <c r="X451">
        <v>10.050000000000001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 t="s">
        <v>6</v>
      </c>
      <c r="AG451">
        <v>10.050000000000001</v>
      </c>
      <c r="AH451">
        <v>3</v>
      </c>
      <c r="AI451">
        <v>-1</v>
      </c>
      <c r="AJ451" t="s">
        <v>6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ROW(Source!A150)</f>
        <v>150</v>
      </c>
      <c r="B452">
        <v>27935961</v>
      </c>
      <c r="C452">
        <v>27935935</v>
      </c>
      <c r="D452">
        <v>25145836</v>
      </c>
      <c r="E452">
        <v>17</v>
      </c>
      <c r="F452">
        <v>1</v>
      </c>
      <c r="G452">
        <v>1</v>
      </c>
      <c r="H452">
        <v>3</v>
      </c>
      <c r="I452" t="s">
        <v>764</v>
      </c>
      <c r="J452" t="s">
        <v>6</v>
      </c>
      <c r="K452" t="s">
        <v>765</v>
      </c>
      <c r="L452">
        <v>1354</v>
      </c>
      <c r="N452">
        <v>1010</v>
      </c>
      <c r="O452" t="s">
        <v>282</v>
      </c>
      <c r="P452" t="s">
        <v>282</v>
      </c>
      <c r="Q452">
        <v>1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1</v>
      </c>
      <c r="AD452">
        <v>0</v>
      </c>
      <c r="AE452">
        <v>0</v>
      </c>
      <c r="AF452" t="s">
        <v>6</v>
      </c>
      <c r="AG452">
        <v>0</v>
      </c>
      <c r="AH452">
        <v>3</v>
      </c>
      <c r="AI452">
        <v>-1</v>
      </c>
      <c r="AJ452" t="s">
        <v>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ROW(Source!A151)</f>
        <v>151</v>
      </c>
      <c r="B453">
        <v>27935948</v>
      </c>
      <c r="C453">
        <v>27935935</v>
      </c>
      <c r="D453">
        <v>25418254</v>
      </c>
      <c r="E453">
        <v>1</v>
      </c>
      <c r="F453">
        <v>1</v>
      </c>
      <c r="G453">
        <v>1</v>
      </c>
      <c r="H453">
        <v>1</v>
      </c>
      <c r="I453" t="s">
        <v>700</v>
      </c>
      <c r="J453" t="s">
        <v>6</v>
      </c>
      <c r="K453" t="s">
        <v>701</v>
      </c>
      <c r="L453">
        <v>1191</v>
      </c>
      <c r="N453">
        <v>1013</v>
      </c>
      <c r="O453" t="s">
        <v>459</v>
      </c>
      <c r="P453" t="s">
        <v>459</v>
      </c>
      <c r="Q453">
        <v>1</v>
      </c>
      <c r="X453">
        <v>96.95</v>
      </c>
      <c r="Y453">
        <v>0</v>
      </c>
      <c r="Z453">
        <v>0</v>
      </c>
      <c r="AA453">
        <v>0</v>
      </c>
      <c r="AB453">
        <v>9.51</v>
      </c>
      <c r="AC453">
        <v>0</v>
      </c>
      <c r="AD453">
        <v>1</v>
      </c>
      <c r="AE453">
        <v>1</v>
      </c>
      <c r="AF453" t="s">
        <v>28</v>
      </c>
      <c r="AG453">
        <v>111.49249999999999</v>
      </c>
      <c r="AH453">
        <v>2</v>
      </c>
      <c r="AI453">
        <v>27935936</v>
      </c>
      <c r="AJ453">
        <v>445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ROW(Source!A151)</f>
        <v>151</v>
      </c>
      <c r="B454">
        <v>27935949</v>
      </c>
      <c r="C454">
        <v>27935935</v>
      </c>
      <c r="D454">
        <v>25412928</v>
      </c>
      <c r="E454">
        <v>1</v>
      </c>
      <c r="F454">
        <v>1</v>
      </c>
      <c r="G454">
        <v>1</v>
      </c>
      <c r="H454">
        <v>1</v>
      </c>
      <c r="I454" t="s">
        <v>460</v>
      </c>
      <c r="J454" t="s">
        <v>6</v>
      </c>
      <c r="K454" t="s">
        <v>461</v>
      </c>
      <c r="L454">
        <v>1191</v>
      </c>
      <c r="N454">
        <v>1013</v>
      </c>
      <c r="O454" t="s">
        <v>459</v>
      </c>
      <c r="P454" t="s">
        <v>459</v>
      </c>
      <c r="Q454">
        <v>1</v>
      </c>
      <c r="X454">
        <v>0.01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2</v>
      </c>
      <c r="AF454" t="s">
        <v>27</v>
      </c>
      <c r="AG454">
        <v>1.2500000000000001E-2</v>
      </c>
      <c r="AH454">
        <v>2</v>
      </c>
      <c r="AI454">
        <v>27935937</v>
      </c>
      <c r="AJ454">
        <v>446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ROW(Source!A151)</f>
        <v>151</v>
      </c>
      <c r="B455">
        <v>27935950</v>
      </c>
      <c r="C455">
        <v>27935935</v>
      </c>
      <c r="D455">
        <v>25230116</v>
      </c>
      <c r="E455">
        <v>1</v>
      </c>
      <c r="F455">
        <v>1</v>
      </c>
      <c r="G455">
        <v>1</v>
      </c>
      <c r="H455">
        <v>2</v>
      </c>
      <c r="I455" t="s">
        <v>567</v>
      </c>
      <c r="J455" t="s">
        <v>568</v>
      </c>
      <c r="K455" t="s">
        <v>569</v>
      </c>
      <c r="L455">
        <v>1368</v>
      </c>
      <c r="N455">
        <v>1011</v>
      </c>
      <c r="O455" t="s">
        <v>465</v>
      </c>
      <c r="P455" t="s">
        <v>465</v>
      </c>
      <c r="Q455">
        <v>1</v>
      </c>
      <c r="X455">
        <v>3.0000000000000001E-3</v>
      </c>
      <c r="Y455">
        <v>0</v>
      </c>
      <c r="Z455">
        <v>83.43</v>
      </c>
      <c r="AA455">
        <v>13.5</v>
      </c>
      <c r="AB455">
        <v>0</v>
      </c>
      <c r="AC455">
        <v>0</v>
      </c>
      <c r="AD455">
        <v>1</v>
      </c>
      <c r="AE455">
        <v>0</v>
      </c>
      <c r="AF455" t="s">
        <v>27</v>
      </c>
      <c r="AG455">
        <v>3.7499999999999999E-3</v>
      </c>
      <c r="AH455">
        <v>2</v>
      </c>
      <c r="AI455">
        <v>27935938</v>
      </c>
      <c r="AJ455">
        <v>447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ROW(Source!A151)</f>
        <v>151</v>
      </c>
      <c r="B456">
        <v>27935951</v>
      </c>
      <c r="C456">
        <v>27935935</v>
      </c>
      <c r="D456">
        <v>25230218</v>
      </c>
      <c r="E456">
        <v>1</v>
      </c>
      <c r="F456">
        <v>1</v>
      </c>
      <c r="G456">
        <v>1</v>
      </c>
      <c r="H456">
        <v>2</v>
      </c>
      <c r="I456" t="s">
        <v>570</v>
      </c>
      <c r="J456" t="s">
        <v>571</v>
      </c>
      <c r="K456" t="s">
        <v>572</v>
      </c>
      <c r="L456">
        <v>1368</v>
      </c>
      <c r="N456">
        <v>1011</v>
      </c>
      <c r="O456" t="s">
        <v>465</v>
      </c>
      <c r="P456" t="s">
        <v>465</v>
      </c>
      <c r="Q456">
        <v>1</v>
      </c>
      <c r="X456">
        <v>4.0000000000000001E-3</v>
      </c>
      <c r="Y456">
        <v>0</v>
      </c>
      <c r="Z456">
        <v>88.01</v>
      </c>
      <c r="AA456">
        <v>11.6</v>
      </c>
      <c r="AB456">
        <v>0</v>
      </c>
      <c r="AC456">
        <v>0</v>
      </c>
      <c r="AD456">
        <v>1</v>
      </c>
      <c r="AE456">
        <v>0</v>
      </c>
      <c r="AF456" t="s">
        <v>27</v>
      </c>
      <c r="AG456">
        <v>5.0000000000000001E-3</v>
      </c>
      <c r="AH456">
        <v>2</v>
      </c>
      <c r="AI456">
        <v>27935939</v>
      </c>
      <c r="AJ456">
        <v>448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ROW(Source!A151)</f>
        <v>151</v>
      </c>
      <c r="B457">
        <v>27935952</v>
      </c>
      <c r="C457">
        <v>27935935</v>
      </c>
      <c r="D457">
        <v>25231327</v>
      </c>
      <c r="E457">
        <v>1</v>
      </c>
      <c r="F457">
        <v>1</v>
      </c>
      <c r="G457">
        <v>1</v>
      </c>
      <c r="H457">
        <v>2</v>
      </c>
      <c r="I457" t="s">
        <v>702</v>
      </c>
      <c r="J457" t="s">
        <v>703</v>
      </c>
      <c r="K457" t="s">
        <v>704</v>
      </c>
      <c r="L457">
        <v>1368</v>
      </c>
      <c r="N457">
        <v>1011</v>
      </c>
      <c r="O457" t="s">
        <v>465</v>
      </c>
      <c r="P457" t="s">
        <v>465</v>
      </c>
      <c r="Q457">
        <v>1</v>
      </c>
      <c r="X457">
        <v>1.27</v>
      </c>
      <c r="Y457">
        <v>0</v>
      </c>
      <c r="Z457">
        <v>29.67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27</v>
      </c>
      <c r="AG457">
        <v>1.5874999999999999</v>
      </c>
      <c r="AH457">
        <v>2</v>
      </c>
      <c r="AI457">
        <v>27935940</v>
      </c>
      <c r="AJ457">
        <v>449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ROW(Source!A151)</f>
        <v>151</v>
      </c>
      <c r="B458">
        <v>27935953</v>
      </c>
      <c r="C458">
        <v>27935935</v>
      </c>
      <c r="D458">
        <v>25231844</v>
      </c>
      <c r="E458">
        <v>1</v>
      </c>
      <c r="F458">
        <v>1</v>
      </c>
      <c r="G458">
        <v>1</v>
      </c>
      <c r="H458">
        <v>2</v>
      </c>
      <c r="I458" t="s">
        <v>705</v>
      </c>
      <c r="J458" t="s">
        <v>706</v>
      </c>
      <c r="K458" t="s">
        <v>707</v>
      </c>
      <c r="L458">
        <v>1368</v>
      </c>
      <c r="N458">
        <v>1011</v>
      </c>
      <c r="O458" t="s">
        <v>465</v>
      </c>
      <c r="P458" t="s">
        <v>465</v>
      </c>
      <c r="Q458">
        <v>1</v>
      </c>
      <c r="X458">
        <v>16.38</v>
      </c>
      <c r="Y458">
        <v>0</v>
      </c>
      <c r="Z458">
        <v>26.25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27</v>
      </c>
      <c r="AG458">
        <v>20.474999999999998</v>
      </c>
      <c r="AH458">
        <v>2</v>
      </c>
      <c r="AI458">
        <v>27935941</v>
      </c>
      <c r="AJ458">
        <v>450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ROW(Source!A151)</f>
        <v>151</v>
      </c>
      <c r="B459">
        <v>27935954</v>
      </c>
      <c r="C459">
        <v>27935935</v>
      </c>
      <c r="D459">
        <v>25149961</v>
      </c>
      <c r="E459">
        <v>1</v>
      </c>
      <c r="F459">
        <v>1</v>
      </c>
      <c r="G459">
        <v>1</v>
      </c>
      <c r="H459">
        <v>3</v>
      </c>
      <c r="I459" t="s">
        <v>558</v>
      </c>
      <c r="J459" t="s">
        <v>559</v>
      </c>
      <c r="K459" t="s">
        <v>560</v>
      </c>
      <c r="L459">
        <v>1339</v>
      </c>
      <c r="N459">
        <v>1007</v>
      </c>
      <c r="O459" t="s">
        <v>133</v>
      </c>
      <c r="P459" t="s">
        <v>133</v>
      </c>
      <c r="Q459">
        <v>1</v>
      </c>
      <c r="X459">
        <v>0.14399999999999999</v>
      </c>
      <c r="Y459">
        <v>2.44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0.14399999999999999</v>
      </c>
      <c r="AH459">
        <v>2</v>
      </c>
      <c r="AI459">
        <v>27935942</v>
      </c>
      <c r="AJ459">
        <v>451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ROW(Source!A151)</f>
        <v>151</v>
      </c>
      <c r="B460">
        <v>27935955</v>
      </c>
      <c r="C460">
        <v>27935935</v>
      </c>
      <c r="D460">
        <v>25152631</v>
      </c>
      <c r="E460">
        <v>1</v>
      </c>
      <c r="F460">
        <v>1</v>
      </c>
      <c r="G460">
        <v>1</v>
      </c>
      <c r="H460">
        <v>3</v>
      </c>
      <c r="I460" t="s">
        <v>708</v>
      </c>
      <c r="J460" t="s">
        <v>709</v>
      </c>
      <c r="K460" t="s">
        <v>710</v>
      </c>
      <c r="L460">
        <v>1348</v>
      </c>
      <c r="N460">
        <v>1009</v>
      </c>
      <c r="O460" t="s">
        <v>65</v>
      </c>
      <c r="P460" t="s">
        <v>65</v>
      </c>
      <c r="Q460">
        <v>1000</v>
      </c>
      <c r="X460">
        <v>8.9999999999999998E-4</v>
      </c>
      <c r="Y460">
        <v>13186.74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8.9999999999999998E-4</v>
      </c>
      <c r="AH460">
        <v>2</v>
      </c>
      <c r="AI460">
        <v>27935943</v>
      </c>
      <c r="AJ460">
        <v>452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ROW(Source!A151)</f>
        <v>151</v>
      </c>
      <c r="B461">
        <v>27935956</v>
      </c>
      <c r="C461">
        <v>27935935</v>
      </c>
      <c r="D461">
        <v>25152750</v>
      </c>
      <c r="E461">
        <v>1</v>
      </c>
      <c r="F461">
        <v>1</v>
      </c>
      <c r="G461">
        <v>1</v>
      </c>
      <c r="H461">
        <v>3</v>
      </c>
      <c r="I461" t="s">
        <v>711</v>
      </c>
      <c r="J461" t="s">
        <v>712</v>
      </c>
      <c r="K461" t="s">
        <v>713</v>
      </c>
      <c r="L461">
        <v>1356</v>
      </c>
      <c r="N461">
        <v>1010</v>
      </c>
      <c r="O461" t="s">
        <v>714</v>
      </c>
      <c r="P461" t="s">
        <v>714</v>
      </c>
      <c r="Q461">
        <v>1000</v>
      </c>
      <c r="X461">
        <v>0.14299999999999999</v>
      </c>
      <c r="Y461">
        <v>180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0.14299999999999999</v>
      </c>
      <c r="AH461">
        <v>2</v>
      </c>
      <c r="AI461">
        <v>27935944</v>
      </c>
      <c r="AJ461">
        <v>453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ROW(Source!A151)</f>
        <v>151</v>
      </c>
      <c r="B462">
        <v>27935957</v>
      </c>
      <c r="C462">
        <v>27935935</v>
      </c>
      <c r="D462">
        <v>25154689</v>
      </c>
      <c r="E462">
        <v>1</v>
      </c>
      <c r="F462">
        <v>1</v>
      </c>
      <c r="G462">
        <v>1</v>
      </c>
      <c r="H462">
        <v>3</v>
      </c>
      <c r="I462" t="s">
        <v>715</v>
      </c>
      <c r="J462" t="s">
        <v>716</v>
      </c>
      <c r="K462" t="s">
        <v>717</v>
      </c>
      <c r="L462">
        <v>1346</v>
      </c>
      <c r="N462">
        <v>1009</v>
      </c>
      <c r="O462" t="s">
        <v>60</v>
      </c>
      <c r="P462" t="s">
        <v>60</v>
      </c>
      <c r="Q462">
        <v>1</v>
      </c>
      <c r="X462">
        <v>1.6000000000000001E-3</v>
      </c>
      <c r="Y462">
        <v>2.15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1.6000000000000001E-3</v>
      </c>
      <c r="AH462">
        <v>2</v>
      </c>
      <c r="AI462">
        <v>27935945</v>
      </c>
      <c r="AJ462">
        <v>454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ROW(Source!A151)</f>
        <v>151</v>
      </c>
      <c r="B463">
        <v>27935958</v>
      </c>
      <c r="C463">
        <v>27935935</v>
      </c>
      <c r="D463">
        <v>26988262</v>
      </c>
      <c r="E463">
        <v>17</v>
      </c>
      <c r="F463">
        <v>1</v>
      </c>
      <c r="G463">
        <v>1</v>
      </c>
      <c r="H463">
        <v>3</v>
      </c>
      <c r="I463" t="s">
        <v>758</v>
      </c>
      <c r="J463" t="s">
        <v>6</v>
      </c>
      <c r="K463" t="s">
        <v>759</v>
      </c>
      <c r="L463">
        <v>1348</v>
      </c>
      <c r="N463">
        <v>1009</v>
      </c>
      <c r="O463" t="s">
        <v>65</v>
      </c>
      <c r="P463" t="s">
        <v>65</v>
      </c>
      <c r="Q463">
        <v>1000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1</v>
      </c>
      <c r="AD463">
        <v>0</v>
      </c>
      <c r="AE463">
        <v>0</v>
      </c>
      <c r="AF463" t="s">
        <v>6</v>
      </c>
      <c r="AG463">
        <v>0</v>
      </c>
      <c r="AH463">
        <v>3</v>
      </c>
      <c r="AI463">
        <v>-1</v>
      </c>
      <c r="AJ463" t="s">
        <v>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ROW(Source!A151)</f>
        <v>151</v>
      </c>
      <c r="B464">
        <v>27935959</v>
      </c>
      <c r="C464">
        <v>27935935</v>
      </c>
      <c r="D464">
        <v>25146710</v>
      </c>
      <c r="E464">
        <v>17</v>
      </c>
      <c r="F464">
        <v>1</v>
      </c>
      <c r="G464">
        <v>1</v>
      </c>
      <c r="H464">
        <v>3</v>
      </c>
      <c r="I464" t="s">
        <v>760</v>
      </c>
      <c r="J464" t="s">
        <v>6</v>
      </c>
      <c r="K464" t="s">
        <v>329</v>
      </c>
      <c r="L464">
        <v>1354</v>
      </c>
      <c r="N464">
        <v>1010</v>
      </c>
      <c r="O464" t="s">
        <v>282</v>
      </c>
      <c r="P464" t="s">
        <v>282</v>
      </c>
      <c r="Q464">
        <v>1</v>
      </c>
      <c r="X464">
        <v>143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 t="s">
        <v>6</v>
      </c>
      <c r="AG464">
        <v>143</v>
      </c>
      <c r="AH464">
        <v>3</v>
      </c>
      <c r="AI464">
        <v>-1</v>
      </c>
      <c r="AJ464" t="s">
        <v>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ROW(Source!A151)</f>
        <v>151</v>
      </c>
      <c r="B465">
        <v>27935960</v>
      </c>
      <c r="C465">
        <v>27935935</v>
      </c>
      <c r="D465">
        <v>26988259</v>
      </c>
      <c r="E465">
        <v>17</v>
      </c>
      <c r="F465">
        <v>1</v>
      </c>
      <c r="G465">
        <v>1</v>
      </c>
      <c r="H465">
        <v>3</v>
      </c>
      <c r="I465" t="s">
        <v>761</v>
      </c>
      <c r="J465" t="s">
        <v>6</v>
      </c>
      <c r="K465" t="s">
        <v>762</v>
      </c>
      <c r="L465">
        <v>1398</v>
      </c>
      <c r="N465">
        <v>1013</v>
      </c>
      <c r="O465" t="s">
        <v>763</v>
      </c>
      <c r="P465" t="s">
        <v>763</v>
      </c>
      <c r="Q465">
        <v>1</v>
      </c>
      <c r="X465">
        <v>10.050000000000001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 t="s">
        <v>6</v>
      </c>
      <c r="AG465">
        <v>10.050000000000001</v>
      </c>
      <c r="AH465">
        <v>3</v>
      </c>
      <c r="AI465">
        <v>-1</v>
      </c>
      <c r="AJ465" t="s">
        <v>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ROW(Source!A151)</f>
        <v>151</v>
      </c>
      <c r="B466">
        <v>27935961</v>
      </c>
      <c r="C466">
        <v>27935935</v>
      </c>
      <c r="D466">
        <v>25145836</v>
      </c>
      <c r="E466">
        <v>17</v>
      </c>
      <c r="F466">
        <v>1</v>
      </c>
      <c r="G466">
        <v>1</v>
      </c>
      <c r="H466">
        <v>3</v>
      </c>
      <c r="I466" t="s">
        <v>764</v>
      </c>
      <c r="J466" t="s">
        <v>6</v>
      </c>
      <c r="K466" t="s">
        <v>765</v>
      </c>
      <c r="L466">
        <v>1354</v>
      </c>
      <c r="N466">
        <v>1010</v>
      </c>
      <c r="O466" t="s">
        <v>282</v>
      </c>
      <c r="P466" t="s">
        <v>282</v>
      </c>
      <c r="Q466">
        <v>1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1</v>
      </c>
      <c r="AD466">
        <v>0</v>
      </c>
      <c r="AE466">
        <v>0</v>
      </c>
      <c r="AF466" t="s">
        <v>6</v>
      </c>
      <c r="AG466">
        <v>0</v>
      </c>
      <c r="AH466">
        <v>3</v>
      </c>
      <c r="AI466">
        <v>-1</v>
      </c>
      <c r="AJ466" t="s">
        <v>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13 гр. по ФЕР</vt:lpstr>
      <vt:lpstr>Макет форма-3</vt:lpstr>
      <vt:lpstr>Source</vt:lpstr>
      <vt:lpstr>SourceObSm</vt:lpstr>
      <vt:lpstr>SmtRes</vt:lpstr>
      <vt:lpstr>EtalonRes</vt:lpstr>
      <vt:lpstr>'Акт КС-2 13 гр. по ФЕР'!Заголовки_для_печати</vt:lpstr>
      <vt:lpstr>'Смета 12 гр. по ФЕР'!Заголовки_для_печати</vt:lpstr>
      <vt:lpstr>'Акт КС-2 13 гр. по ФЕР'!Область_печати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2018-10-15T09:59:32Z</cp:lastPrinted>
  <dcterms:created xsi:type="dcterms:W3CDTF">2018-09-20T06:47:15Z</dcterms:created>
  <dcterms:modified xsi:type="dcterms:W3CDTF">2018-10-15T10:13:21Z</dcterms:modified>
</cp:coreProperties>
</file>