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80" windowHeight="1170"/>
  </bookViews>
  <sheets>
    <sheet name="Смета 12 гр. по ФЕР" sheetId="5" r:id="rId1"/>
    <sheet name="Source" sheetId="1" r:id="rId2"/>
    <sheet name="SourceObSm" sheetId="2" r:id="rId3"/>
    <sheet name="SmtRes" sheetId="3" r:id="rId4"/>
    <sheet name="EtalonRes" sheetId="4" r:id="rId5"/>
  </sheets>
  <definedNames>
    <definedName name="_xlnm.Print_Titles" localSheetId="0">'Смета 12 гр. по ФЕР'!$24:$24</definedName>
    <definedName name="_xlnm.Print_Area" localSheetId="0">'Смета 12 гр. по ФЕР'!$A$1:$L$600</definedName>
  </definedNames>
  <calcPr calcId="145621"/>
</workbook>
</file>

<file path=xl/calcChain.xml><?xml version="1.0" encoding="utf-8"?>
<calcChain xmlns="http://schemas.openxmlformats.org/spreadsheetml/2006/main">
  <c r="B8" i="5" l="1"/>
  <c r="AD8" i="5" l="1"/>
  <c r="J599" i="5"/>
  <c r="C599" i="5"/>
  <c r="J598" i="5"/>
  <c r="C598" i="5"/>
  <c r="J597" i="5"/>
  <c r="C597" i="5"/>
  <c r="I20" i="5"/>
  <c r="I19" i="5"/>
  <c r="G19" i="5" s="1"/>
  <c r="I18" i="5"/>
  <c r="I17" i="5"/>
  <c r="I16" i="5"/>
  <c r="I15" i="5"/>
  <c r="I14" i="5"/>
  <c r="A594" i="5"/>
  <c r="A593" i="5"/>
  <c r="L591" i="5"/>
  <c r="Q591" i="5" s="1"/>
  <c r="Z591" i="5"/>
  <c r="Y591" i="5"/>
  <c r="W591" i="5"/>
  <c r="L590" i="5"/>
  <c r="G590" i="5"/>
  <c r="E590" i="5"/>
  <c r="J589" i="5"/>
  <c r="E589" i="5"/>
  <c r="J588" i="5"/>
  <c r="E588" i="5"/>
  <c r="K587" i="5"/>
  <c r="J587" i="5"/>
  <c r="H587" i="5"/>
  <c r="G587" i="5"/>
  <c r="F587" i="5"/>
  <c r="K586" i="5"/>
  <c r="J586" i="5"/>
  <c r="H586" i="5"/>
  <c r="G586" i="5"/>
  <c r="F586" i="5"/>
  <c r="V585" i="5"/>
  <c r="K589" i="5" s="1"/>
  <c r="T585" i="5"/>
  <c r="K588" i="5" s="1"/>
  <c r="U585" i="5"/>
  <c r="H589" i="5" s="1"/>
  <c r="S585" i="5"/>
  <c r="H588" i="5" s="1"/>
  <c r="F585" i="5"/>
  <c r="E585" i="5"/>
  <c r="D585" i="5"/>
  <c r="I585" i="5"/>
  <c r="C585" i="5"/>
  <c r="B585" i="5"/>
  <c r="A585" i="5"/>
  <c r="L584" i="5"/>
  <c r="Q584" i="5" s="1"/>
  <c r="Z584" i="5"/>
  <c r="Y584" i="5"/>
  <c r="W584" i="5"/>
  <c r="K583" i="5"/>
  <c r="J583" i="5"/>
  <c r="Z583" i="5"/>
  <c r="Y583" i="5"/>
  <c r="W583" i="5"/>
  <c r="H583" i="5"/>
  <c r="X583" i="5" s="1"/>
  <c r="F583" i="5"/>
  <c r="V583" i="5"/>
  <c r="T583" i="5"/>
  <c r="U583" i="5"/>
  <c r="S583" i="5"/>
  <c r="E583" i="5"/>
  <c r="D583" i="5"/>
  <c r="C583" i="5"/>
  <c r="B583" i="5"/>
  <c r="A583" i="5"/>
  <c r="L582" i="5"/>
  <c r="G582" i="5"/>
  <c r="E582" i="5"/>
  <c r="J581" i="5"/>
  <c r="E581" i="5"/>
  <c r="J580" i="5"/>
  <c r="E580" i="5"/>
  <c r="K579" i="5"/>
  <c r="J579" i="5"/>
  <c r="H579" i="5"/>
  <c r="G579" i="5"/>
  <c r="F579" i="5"/>
  <c r="K578" i="5"/>
  <c r="J578" i="5"/>
  <c r="H578" i="5"/>
  <c r="R578" i="5" s="1"/>
  <c r="G578" i="5"/>
  <c r="F578" i="5"/>
  <c r="K577" i="5"/>
  <c r="J577" i="5"/>
  <c r="H577" i="5"/>
  <c r="G577" i="5"/>
  <c r="F577" i="5"/>
  <c r="K576" i="5"/>
  <c r="J576" i="5"/>
  <c r="H576" i="5"/>
  <c r="G576" i="5"/>
  <c r="F576" i="5"/>
  <c r="C575" i="5"/>
  <c r="V574" i="5"/>
  <c r="T574" i="5"/>
  <c r="U574" i="5"/>
  <c r="S574" i="5"/>
  <c r="F574" i="5"/>
  <c r="E574" i="5"/>
  <c r="D574" i="5"/>
  <c r="I574" i="5"/>
  <c r="C574" i="5"/>
  <c r="B574" i="5"/>
  <c r="A574" i="5"/>
  <c r="L573" i="5"/>
  <c r="Q573" i="5" s="1"/>
  <c r="Z573" i="5"/>
  <c r="Y573" i="5"/>
  <c r="W573" i="5"/>
  <c r="K572" i="5"/>
  <c r="J572" i="5"/>
  <c r="Z572" i="5"/>
  <c r="Y572" i="5"/>
  <c r="W572" i="5"/>
  <c r="H572" i="5"/>
  <c r="X572" i="5" s="1"/>
  <c r="F572" i="5"/>
  <c r="V572" i="5"/>
  <c r="T572" i="5"/>
  <c r="U572" i="5"/>
  <c r="S572" i="5"/>
  <c r="E572" i="5"/>
  <c r="D572" i="5"/>
  <c r="C572" i="5"/>
  <c r="B572" i="5"/>
  <c r="A572" i="5"/>
  <c r="L571" i="5"/>
  <c r="G571" i="5"/>
  <c r="E571" i="5"/>
  <c r="J570" i="5"/>
  <c r="E570" i="5"/>
  <c r="J569" i="5"/>
  <c r="E569" i="5"/>
  <c r="K568" i="5"/>
  <c r="J568" i="5"/>
  <c r="H568" i="5"/>
  <c r="G568" i="5"/>
  <c r="F568" i="5"/>
  <c r="K567" i="5"/>
  <c r="J567" i="5"/>
  <c r="H567" i="5"/>
  <c r="G567" i="5"/>
  <c r="F567" i="5"/>
  <c r="C566" i="5"/>
  <c r="V565" i="5"/>
  <c r="T565" i="5"/>
  <c r="U565" i="5"/>
  <c r="H570" i="5" s="1"/>
  <c r="S565" i="5"/>
  <c r="F565" i="5"/>
  <c r="E565" i="5"/>
  <c r="D565" i="5"/>
  <c r="I565" i="5"/>
  <c r="C565" i="5"/>
  <c r="B565" i="5"/>
  <c r="A565" i="5"/>
  <c r="L564" i="5"/>
  <c r="Q564" i="5" s="1"/>
  <c r="Z564" i="5"/>
  <c r="Y564" i="5"/>
  <c r="W564" i="5"/>
  <c r="K563" i="5"/>
  <c r="J563" i="5"/>
  <c r="Z563" i="5"/>
  <c r="Y563" i="5"/>
  <c r="W563" i="5"/>
  <c r="H563" i="5"/>
  <c r="X563" i="5" s="1"/>
  <c r="F563" i="5"/>
  <c r="V563" i="5"/>
  <c r="T563" i="5"/>
  <c r="U563" i="5"/>
  <c r="S563" i="5"/>
  <c r="E563" i="5"/>
  <c r="D563" i="5"/>
  <c r="C563" i="5"/>
  <c r="B563" i="5"/>
  <c r="A563" i="5"/>
  <c r="L562" i="5"/>
  <c r="G562" i="5"/>
  <c r="E562" i="5"/>
  <c r="J561" i="5"/>
  <c r="E561" i="5"/>
  <c r="J560" i="5"/>
  <c r="E560" i="5"/>
  <c r="K559" i="5"/>
  <c r="J559" i="5"/>
  <c r="H559" i="5"/>
  <c r="G559" i="5"/>
  <c r="F559" i="5"/>
  <c r="K558" i="5"/>
  <c r="J558" i="5"/>
  <c r="H558" i="5"/>
  <c r="G558" i="5"/>
  <c r="F558" i="5"/>
  <c r="C557" i="5"/>
  <c r="V556" i="5"/>
  <c r="T556" i="5"/>
  <c r="U556" i="5"/>
  <c r="S556" i="5"/>
  <c r="F556" i="5"/>
  <c r="E556" i="5"/>
  <c r="D556" i="5"/>
  <c r="I556" i="5"/>
  <c r="C556" i="5"/>
  <c r="B556" i="5"/>
  <c r="A556" i="5"/>
  <c r="L555" i="5"/>
  <c r="Q555" i="5" s="1"/>
  <c r="Z555" i="5"/>
  <c r="Y555" i="5"/>
  <c r="W555" i="5"/>
  <c r="K554" i="5"/>
  <c r="J554" i="5"/>
  <c r="Z554" i="5"/>
  <c r="Y554" i="5"/>
  <c r="W554" i="5"/>
  <c r="H554" i="5"/>
  <c r="X554" i="5" s="1"/>
  <c r="F554" i="5"/>
  <c r="V554" i="5"/>
  <c r="T554" i="5"/>
  <c r="U554" i="5"/>
  <c r="S554" i="5"/>
  <c r="E554" i="5"/>
  <c r="D554" i="5"/>
  <c r="C554" i="5"/>
  <c r="B554" i="5"/>
  <c r="A554" i="5"/>
  <c r="L553" i="5"/>
  <c r="G553" i="5"/>
  <c r="E553" i="5"/>
  <c r="J552" i="5"/>
  <c r="E552" i="5"/>
  <c r="J551" i="5"/>
  <c r="E551" i="5"/>
  <c r="K550" i="5"/>
  <c r="J550" i="5"/>
  <c r="H550" i="5"/>
  <c r="G550" i="5"/>
  <c r="F550" i="5"/>
  <c r="K549" i="5"/>
  <c r="J549" i="5"/>
  <c r="H549" i="5"/>
  <c r="G549" i="5"/>
  <c r="F549" i="5"/>
  <c r="V548" i="5"/>
  <c r="T548" i="5"/>
  <c r="U548" i="5"/>
  <c r="S548" i="5"/>
  <c r="F548" i="5"/>
  <c r="E548" i="5"/>
  <c r="D548" i="5"/>
  <c r="I548" i="5"/>
  <c r="C548" i="5"/>
  <c r="B548" i="5"/>
  <c r="A548" i="5"/>
  <c r="L547" i="5"/>
  <c r="Q547" i="5" s="1"/>
  <c r="Z547" i="5"/>
  <c r="Y547" i="5"/>
  <c r="W547" i="5"/>
  <c r="L546" i="5"/>
  <c r="G546" i="5"/>
  <c r="E546" i="5"/>
  <c r="J545" i="5"/>
  <c r="E545" i="5"/>
  <c r="J544" i="5"/>
  <c r="E544" i="5"/>
  <c r="K543" i="5"/>
  <c r="J543" i="5"/>
  <c r="H543" i="5"/>
  <c r="R543" i="5" s="1"/>
  <c r="G543" i="5"/>
  <c r="F543" i="5"/>
  <c r="V542" i="5"/>
  <c r="K545" i="5" s="1"/>
  <c r="T542" i="5"/>
  <c r="K544" i="5" s="1"/>
  <c r="U542" i="5"/>
  <c r="H545" i="5" s="1"/>
  <c r="S542" i="5"/>
  <c r="H544" i="5" s="1"/>
  <c r="F542" i="5"/>
  <c r="E542" i="5"/>
  <c r="D542" i="5"/>
  <c r="I542" i="5"/>
  <c r="C542" i="5"/>
  <c r="B542" i="5"/>
  <c r="A542" i="5"/>
  <c r="A541" i="5"/>
  <c r="A540" i="5"/>
  <c r="L538" i="5"/>
  <c r="Q538" i="5" s="1"/>
  <c r="Y538" i="5"/>
  <c r="X538" i="5"/>
  <c r="W538" i="5"/>
  <c r="L537" i="5"/>
  <c r="G537" i="5"/>
  <c r="E537" i="5"/>
  <c r="J536" i="5"/>
  <c r="E536" i="5"/>
  <c r="J535" i="5"/>
  <c r="E535" i="5"/>
  <c r="K534" i="5"/>
  <c r="J534" i="5"/>
  <c r="H534" i="5"/>
  <c r="G534" i="5"/>
  <c r="F534" i="5"/>
  <c r="V533" i="5"/>
  <c r="K536" i="5" s="1"/>
  <c r="T533" i="5"/>
  <c r="K535" i="5" s="1"/>
  <c r="U533" i="5"/>
  <c r="H536" i="5" s="1"/>
  <c r="S533" i="5"/>
  <c r="H535" i="5" s="1"/>
  <c r="F533" i="5"/>
  <c r="E533" i="5"/>
  <c r="D533" i="5"/>
  <c r="I533" i="5"/>
  <c r="C533" i="5"/>
  <c r="B533" i="5"/>
  <c r="A533" i="5"/>
  <c r="L532" i="5"/>
  <c r="Q532" i="5" s="1"/>
  <c r="Y532" i="5"/>
  <c r="X532" i="5"/>
  <c r="W532" i="5"/>
  <c r="L531" i="5"/>
  <c r="G531" i="5"/>
  <c r="E531" i="5"/>
  <c r="J530" i="5"/>
  <c r="E530" i="5"/>
  <c r="J529" i="5"/>
  <c r="E529" i="5"/>
  <c r="K528" i="5"/>
  <c r="J528" i="5"/>
  <c r="H528" i="5"/>
  <c r="R528" i="5" s="1"/>
  <c r="G528" i="5"/>
  <c r="F528" i="5"/>
  <c r="V527" i="5"/>
  <c r="K530" i="5" s="1"/>
  <c r="T527" i="5"/>
  <c r="K529" i="5" s="1"/>
  <c r="U527" i="5"/>
  <c r="H530" i="5" s="1"/>
  <c r="S527" i="5"/>
  <c r="H529" i="5" s="1"/>
  <c r="F527" i="5"/>
  <c r="E527" i="5"/>
  <c r="D527" i="5"/>
  <c r="I527" i="5"/>
  <c r="C527" i="5"/>
  <c r="B527" i="5"/>
  <c r="A527" i="5"/>
  <c r="L526" i="5"/>
  <c r="Q526" i="5" s="1"/>
  <c r="Y526" i="5"/>
  <c r="X526" i="5"/>
  <c r="W526" i="5"/>
  <c r="L525" i="5"/>
  <c r="G525" i="5"/>
  <c r="E525" i="5"/>
  <c r="J524" i="5"/>
  <c r="E524" i="5"/>
  <c r="J523" i="5"/>
  <c r="E523" i="5"/>
  <c r="K522" i="5"/>
  <c r="J522" i="5"/>
  <c r="H522" i="5"/>
  <c r="G522" i="5"/>
  <c r="F522" i="5"/>
  <c r="C521" i="5"/>
  <c r="V520" i="5"/>
  <c r="K524" i="5" s="1"/>
  <c r="T520" i="5"/>
  <c r="K523" i="5" s="1"/>
  <c r="U520" i="5"/>
  <c r="H524" i="5" s="1"/>
  <c r="S520" i="5"/>
  <c r="H523" i="5" s="1"/>
  <c r="F520" i="5"/>
  <c r="E520" i="5"/>
  <c r="D520" i="5"/>
  <c r="I520" i="5"/>
  <c r="C520" i="5"/>
  <c r="B520" i="5"/>
  <c r="A520" i="5"/>
  <c r="L519" i="5"/>
  <c r="Q519" i="5" s="1"/>
  <c r="Y519" i="5"/>
  <c r="X519" i="5"/>
  <c r="W519" i="5"/>
  <c r="L518" i="5"/>
  <c r="G518" i="5"/>
  <c r="E518" i="5"/>
  <c r="J517" i="5"/>
  <c r="E517" i="5"/>
  <c r="J516" i="5"/>
  <c r="E516" i="5"/>
  <c r="K515" i="5"/>
  <c r="J515" i="5"/>
  <c r="H515" i="5"/>
  <c r="G515" i="5"/>
  <c r="F515" i="5"/>
  <c r="V514" i="5"/>
  <c r="K517" i="5" s="1"/>
  <c r="T514" i="5"/>
  <c r="K516" i="5" s="1"/>
  <c r="U514" i="5"/>
  <c r="H517" i="5" s="1"/>
  <c r="S514" i="5"/>
  <c r="H516" i="5" s="1"/>
  <c r="F514" i="5"/>
  <c r="E514" i="5"/>
  <c r="D514" i="5"/>
  <c r="I514" i="5"/>
  <c r="C514" i="5"/>
  <c r="B514" i="5"/>
  <c r="A514" i="5"/>
  <c r="A513" i="5"/>
  <c r="A511" i="5"/>
  <c r="L509" i="5"/>
  <c r="Q509" i="5" s="1"/>
  <c r="Z509" i="5"/>
  <c r="Y509" i="5"/>
  <c r="W509" i="5"/>
  <c r="K508" i="5"/>
  <c r="J508" i="5"/>
  <c r="Z508" i="5"/>
  <c r="Y508" i="5"/>
  <c r="W508" i="5"/>
  <c r="H508" i="5"/>
  <c r="X508" i="5" s="1"/>
  <c r="F508" i="5"/>
  <c r="V508" i="5"/>
  <c r="T508" i="5"/>
  <c r="U508" i="5"/>
  <c r="S508" i="5"/>
  <c r="E508" i="5"/>
  <c r="D508" i="5"/>
  <c r="C508" i="5"/>
  <c r="B508" i="5"/>
  <c r="A508" i="5"/>
  <c r="L507" i="5"/>
  <c r="G507" i="5"/>
  <c r="E507" i="5"/>
  <c r="J506" i="5"/>
  <c r="E506" i="5"/>
  <c r="J505" i="5"/>
  <c r="E505" i="5"/>
  <c r="K504" i="5"/>
  <c r="J504" i="5"/>
  <c r="H504" i="5"/>
  <c r="G504" i="5"/>
  <c r="F504" i="5"/>
  <c r="K503" i="5"/>
  <c r="J503" i="5"/>
  <c r="H503" i="5"/>
  <c r="R503" i="5" s="1"/>
  <c r="G503" i="5"/>
  <c r="F503" i="5"/>
  <c r="K502" i="5"/>
  <c r="J502" i="5"/>
  <c r="H502" i="5"/>
  <c r="G502" i="5"/>
  <c r="F502" i="5"/>
  <c r="K501" i="5"/>
  <c r="J501" i="5"/>
  <c r="H501" i="5"/>
  <c r="G501" i="5"/>
  <c r="F501" i="5"/>
  <c r="C500" i="5"/>
  <c r="V499" i="5"/>
  <c r="T499" i="5"/>
  <c r="U499" i="5"/>
  <c r="S499" i="5"/>
  <c r="F499" i="5"/>
  <c r="E499" i="5"/>
  <c r="D499" i="5"/>
  <c r="I499" i="5"/>
  <c r="C499" i="5"/>
  <c r="B499" i="5"/>
  <c r="A499" i="5"/>
  <c r="L498" i="5"/>
  <c r="Q498" i="5" s="1"/>
  <c r="Z498" i="5"/>
  <c r="Y498" i="5"/>
  <c r="W498" i="5"/>
  <c r="K497" i="5"/>
  <c r="J497" i="5"/>
  <c r="Z497" i="5"/>
  <c r="Y497" i="5"/>
  <c r="W497" i="5"/>
  <c r="H497" i="5"/>
  <c r="X497" i="5" s="1"/>
  <c r="F497" i="5"/>
  <c r="V497" i="5"/>
  <c r="T497" i="5"/>
  <c r="U497" i="5"/>
  <c r="S497" i="5"/>
  <c r="E497" i="5"/>
  <c r="D497" i="5"/>
  <c r="C497" i="5"/>
  <c r="B497" i="5"/>
  <c r="A497" i="5"/>
  <c r="K496" i="5"/>
  <c r="J496" i="5"/>
  <c r="Z496" i="5"/>
  <c r="Y496" i="5"/>
  <c r="W496" i="5"/>
  <c r="H496" i="5"/>
  <c r="X496" i="5" s="1"/>
  <c r="F496" i="5"/>
  <c r="V496" i="5"/>
  <c r="T496" i="5"/>
  <c r="U496" i="5"/>
  <c r="S496" i="5"/>
  <c r="E496" i="5"/>
  <c r="D496" i="5"/>
  <c r="C496" i="5"/>
  <c r="B496" i="5"/>
  <c r="A496" i="5"/>
  <c r="K495" i="5"/>
  <c r="J495" i="5"/>
  <c r="Z495" i="5"/>
  <c r="Y495" i="5"/>
  <c r="W495" i="5"/>
  <c r="H495" i="5"/>
  <c r="X495" i="5" s="1"/>
  <c r="F495" i="5"/>
  <c r="V495" i="5"/>
  <c r="T495" i="5"/>
  <c r="U495" i="5"/>
  <c r="S495" i="5"/>
  <c r="E495" i="5"/>
  <c r="D495" i="5"/>
  <c r="C495" i="5"/>
  <c r="B495" i="5"/>
  <c r="A495" i="5"/>
  <c r="K494" i="5"/>
  <c r="J494" i="5"/>
  <c r="Z494" i="5"/>
  <c r="Y494" i="5"/>
  <c r="W494" i="5"/>
  <c r="H494" i="5"/>
  <c r="X494" i="5" s="1"/>
  <c r="F494" i="5"/>
  <c r="V494" i="5"/>
  <c r="T494" i="5"/>
  <c r="U494" i="5"/>
  <c r="S494" i="5"/>
  <c r="E494" i="5"/>
  <c r="D494" i="5"/>
  <c r="C494" i="5"/>
  <c r="B494" i="5"/>
  <c r="A494" i="5"/>
  <c r="K493" i="5"/>
  <c r="J493" i="5"/>
  <c r="Z493" i="5"/>
  <c r="Y493" i="5"/>
  <c r="W493" i="5"/>
  <c r="H493" i="5"/>
  <c r="X493" i="5" s="1"/>
  <c r="F493" i="5"/>
  <c r="V493" i="5"/>
  <c r="T493" i="5"/>
  <c r="U493" i="5"/>
  <c r="S493" i="5"/>
  <c r="E493" i="5"/>
  <c r="D493" i="5"/>
  <c r="C493" i="5"/>
  <c r="B493" i="5"/>
  <c r="A493" i="5"/>
  <c r="L492" i="5"/>
  <c r="G492" i="5"/>
  <c r="E492" i="5"/>
  <c r="J491" i="5"/>
  <c r="E491" i="5"/>
  <c r="J490" i="5"/>
  <c r="E490" i="5"/>
  <c r="K489" i="5"/>
  <c r="J489" i="5"/>
  <c r="H489" i="5"/>
  <c r="G489" i="5"/>
  <c r="F489" i="5"/>
  <c r="K488" i="5"/>
  <c r="J488" i="5"/>
  <c r="H488" i="5"/>
  <c r="G488" i="5"/>
  <c r="F488" i="5"/>
  <c r="K487" i="5"/>
  <c r="J487" i="5"/>
  <c r="H487" i="5"/>
  <c r="G487" i="5"/>
  <c r="F487" i="5"/>
  <c r="V486" i="5"/>
  <c r="T486" i="5"/>
  <c r="U486" i="5"/>
  <c r="S486" i="5"/>
  <c r="H490" i="5" s="1"/>
  <c r="F486" i="5"/>
  <c r="E486" i="5"/>
  <c r="D486" i="5"/>
  <c r="I486" i="5"/>
  <c r="C486" i="5"/>
  <c r="B486" i="5"/>
  <c r="A486" i="5"/>
  <c r="L485" i="5"/>
  <c r="Q485" i="5" s="1"/>
  <c r="Z485" i="5"/>
  <c r="Y485" i="5"/>
  <c r="W485" i="5"/>
  <c r="K481" i="5"/>
  <c r="K484" i="5"/>
  <c r="J484" i="5"/>
  <c r="Z484" i="5"/>
  <c r="Y484" i="5"/>
  <c r="W484" i="5"/>
  <c r="H484" i="5"/>
  <c r="X484" i="5" s="1"/>
  <c r="F484" i="5"/>
  <c r="V484" i="5"/>
  <c r="T484" i="5"/>
  <c r="U484" i="5"/>
  <c r="S484" i="5"/>
  <c r="E484" i="5"/>
  <c r="D484" i="5"/>
  <c r="C484" i="5"/>
  <c r="B484" i="5"/>
  <c r="A484" i="5"/>
  <c r="L483" i="5"/>
  <c r="G483" i="5"/>
  <c r="E483" i="5"/>
  <c r="J482" i="5"/>
  <c r="E482" i="5"/>
  <c r="J481" i="5"/>
  <c r="E481" i="5"/>
  <c r="K480" i="5"/>
  <c r="J480" i="5"/>
  <c r="H480" i="5"/>
  <c r="G480" i="5"/>
  <c r="F480" i="5"/>
  <c r="K479" i="5"/>
  <c r="J479" i="5"/>
  <c r="H479" i="5"/>
  <c r="R479" i="5" s="1"/>
  <c r="G479" i="5"/>
  <c r="F479" i="5"/>
  <c r="K478" i="5"/>
  <c r="J478" i="5"/>
  <c r="H478" i="5"/>
  <c r="G478" i="5"/>
  <c r="F478" i="5"/>
  <c r="K477" i="5"/>
  <c r="J477" i="5"/>
  <c r="H477" i="5"/>
  <c r="G477" i="5"/>
  <c r="F477" i="5"/>
  <c r="V476" i="5"/>
  <c r="T476" i="5"/>
  <c r="U476" i="5"/>
  <c r="H482" i="5" s="1"/>
  <c r="S476" i="5"/>
  <c r="H481" i="5" s="1"/>
  <c r="F476" i="5"/>
  <c r="E476" i="5"/>
  <c r="D476" i="5"/>
  <c r="I476" i="5"/>
  <c r="C476" i="5"/>
  <c r="B476" i="5"/>
  <c r="A476" i="5"/>
  <c r="L475" i="5"/>
  <c r="Q475" i="5" s="1"/>
  <c r="Z475" i="5"/>
  <c r="Y475" i="5"/>
  <c r="W475" i="5"/>
  <c r="K474" i="5"/>
  <c r="J474" i="5"/>
  <c r="Z474" i="5"/>
  <c r="Y474" i="5"/>
  <c r="W474" i="5"/>
  <c r="H474" i="5"/>
  <c r="X474" i="5" s="1"/>
  <c r="F474" i="5"/>
  <c r="V474" i="5"/>
  <c r="T474" i="5"/>
  <c r="U474" i="5"/>
  <c r="S474" i="5"/>
  <c r="E474" i="5"/>
  <c r="D474" i="5"/>
  <c r="C474" i="5"/>
  <c r="B474" i="5"/>
  <c r="A474" i="5"/>
  <c r="K473" i="5"/>
  <c r="J473" i="5"/>
  <c r="Z473" i="5"/>
  <c r="Y473" i="5"/>
  <c r="W473" i="5"/>
  <c r="H473" i="5"/>
  <c r="X473" i="5" s="1"/>
  <c r="F473" i="5"/>
  <c r="V473" i="5"/>
  <c r="T473" i="5"/>
  <c r="U473" i="5"/>
  <c r="S473" i="5"/>
  <c r="E473" i="5"/>
  <c r="D473" i="5"/>
  <c r="C473" i="5"/>
  <c r="B473" i="5"/>
  <c r="A473" i="5"/>
  <c r="L472" i="5"/>
  <c r="G472" i="5"/>
  <c r="E472" i="5"/>
  <c r="J471" i="5"/>
  <c r="E471" i="5"/>
  <c r="J470" i="5"/>
  <c r="E470" i="5"/>
  <c r="K469" i="5"/>
  <c r="J469" i="5"/>
  <c r="H469" i="5"/>
  <c r="G469" i="5"/>
  <c r="F469" i="5"/>
  <c r="K468" i="5"/>
  <c r="J468" i="5"/>
  <c r="H468" i="5"/>
  <c r="R468" i="5" s="1"/>
  <c r="G468" i="5"/>
  <c r="F468" i="5"/>
  <c r="K467" i="5"/>
  <c r="J467" i="5"/>
  <c r="H467" i="5"/>
  <c r="G467" i="5"/>
  <c r="F467" i="5"/>
  <c r="K466" i="5"/>
  <c r="J466" i="5"/>
  <c r="H466" i="5"/>
  <c r="R466" i="5" s="1"/>
  <c r="G466" i="5"/>
  <c r="F466" i="5"/>
  <c r="C465" i="5"/>
  <c r="V464" i="5"/>
  <c r="T464" i="5"/>
  <c r="U464" i="5"/>
  <c r="S464" i="5"/>
  <c r="H470" i="5" s="1"/>
  <c r="F464" i="5"/>
  <c r="E464" i="5"/>
  <c r="D464" i="5"/>
  <c r="I464" i="5"/>
  <c r="C464" i="5"/>
  <c r="B464" i="5"/>
  <c r="A464" i="5"/>
  <c r="L463" i="5"/>
  <c r="Q463" i="5" s="1"/>
  <c r="Z463" i="5"/>
  <c r="Y463" i="5"/>
  <c r="W463" i="5"/>
  <c r="K462" i="5"/>
  <c r="J462" i="5"/>
  <c r="Z462" i="5"/>
  <c r="Y462" i="5"/>
  <c r="W462" i="5"/>
  <c r="H462" i="5"/>
  <c r="X462" i="5" s="1"/>
  <c r="F462" i="5"/>
  <c r="V462" i="5"/>
  <c r="T462" i="5"/>
  <c r="U462" i="5"/>
  <c r="S462" i="5"/>
  <c r="E462" i="5"/>
  <c r="D462" i="5"/>
  <c r="C462" i="5"/>
  <c r="B462" i="5"/>
  <c r="A462" i="5"/>
  <c r="L461" i="5"/>
  <c r="G461" i="5"/>
  <c r="E461" i="5"/>
  <c r="J460" i="5"/>
  <c r="E460" i="5"/>
  <c r="J459" i="5"/>
  <c r="E459" i="5"/>
  <c r="K458" i="5"/>
  <c r="J458" i="5"/>
  <c r="H458" i="5"/>
  <c r="G458" i="5"/>
  <c r="F458" i="5"/>
  <c r="K457" i="5"/>
  <c r="J457" i="5"/>
  <c r="H457" i="5"/>
  <c r="R457" i="5" s="1"/>
  <c r="G457" i="5"/>
  <c r="F457" i="5"/>
  <c r="K456" i="5"/>
  <c r="J456" i="5"/>
  <c r="H456" i="5"/>
  <c r="G456" i="5"/>
  <c r="F456" i="5"/>
  <c r="K455" i="5"/>
  <c r="J455" i="5"/>
  <c r="H455" i="5"/>
  <c r="R455" i="5" s="1"/>
  <c r="G455" i="5"/>
  <c r="F455" i="5"/>
  <c r="C454" i="5"/>
  <c r="V453" i="5"/>
  <c r="T453" i="5"/>
  <c r="U453" i="5"/>
  <c r="S453" i="5"/>
  <c r="F453" i="5"/>
  <c r="E453" i="5"/>
  <c r="D453" i="5"/>
  <c r="I453" i="5"/>
  <c r="C453" i="5"/>
  <c r="B453" i="5"/>
  <c r="A453" i="5"/>
  <c r="L452" i="5"/>
  <c r="Q452" i="5" s="1"/>
  <c r="Z452" i="5"/>
  <c r="Y452" i="5"/>
  <c r="W452" i="5"/>
  <c r="K451" i="5"/>
  <c r="J451" i="5"/>
  <c r="Z451" i="5"/>
  <c r="Y451" i="5"/>
  <c r="W451" i="5"/>
  <c r="H451" i="5"/>
  <c r="X451" i="5" s="1"/>
  <c r="F451" i="5"/>
  <c r="V451" i="5"/>
  <c r="T451" i="5"/>
  <c r="U451" i="5"/>
  <c r="S451" i="5"/>
  <c r="E451" i="5"/>
  <c r="D451" i="5"/>
  <c r="C451" i="5"/>
  <c r="B451" i="5"/>
  <c r="A451" i="5"/>
  <c r="L450" i="5"/>
  <c r="G450" i="5"/>
  <c r="E450" i="5"/>
  <c r="J449" i="5"/>
  <c r="E449" i="5"/>
  <c r="J448" i="5"/>
  <c r="E448" i="5"/>
  <c r="K447" i="5"/>
  <c r="J447" i="5"/>
  <c r="H447" i="5"/>
  <c r="G447" i="5"/>
  <c r="F447" i="5"/>
  <c r="K446" i="5"/>
  <c r="J446" i="5"/>
  <c r="H446" i="5"/>
  <c r="R446" i="5" s="1"/>
  <c r="G446" i="5"/>
  <c r="F446" i="5"/>
  <c r="K445" i="5"/>
  <c r="J445" i="5"/>
  <c r="H445" i="5"/>
  <c r="G445" i="5"/>
  <c r="F445" i="5"/>
  <c r="K444" i="5"/>
  <c r="J444" i="5"/>
  <c r="H444" i="5"/>
  <c r="R444" i="5" s="1"/>
  <c r="G444" i="5"/>
  <c r="F444" i="5"/>
  <c r="C443" i="5"/>
  <c r="V442" i="5"/>
  <c r="T442" i="5"/>
  <c r="U442" i="5"/>
  <c r="S442" i="5"/>
  <c r="H448" i="5" s="1"/>
  <c r="F442" i="5"/>
  <c r="E442" i="5"/>
  <c r="D442" i="5"/>
  <c r="I442" i="5"/>
  <c r="C442" i="5"/>
  <c r="B442" i="5"/>
  <c r="A442" i="5"/>
  <c r="L441" i="5"/>
  <c r="Q441" i="5" s="1"/>
  <c r="Z441" i="5"/>
  <c r="Y441" i="5"/>
  <c r="W441" i="5"/>
  <c r="K440" i="5"/>
  <c r="J440" i="5"/>
  <c r="Z440" i="5"/>
  <c r="Y440" i="5"/>
  <c r="W440" i="5"/>
  <c r="H440" i="5"/>
  <c r="X440" i="5" s="1"/>
  <c r="F440" i="5"/>
  <c r="V440" i="5"/>
  <c r="T440" i="5"/>
  <c r="U440" i="5"/>
  <c r="S440" i="5"/>
  <c r="E440" i="5"/>
  <c r="D440" i="5"/>
  <c r="C440" i="5"/>
  <c r="B440" i="5"/>
  <c r="A440" i="5"/>
  <c r="L439" i="5"/>
  <c r="G439" i="5"/>
  <c r="E439" i="5"/>
  <c r="J438" i="5"/>
  <c r="E438" i="5"/>
  <c r="J437" i="5"/>
  <c r="E437" i="5"/>
  <c r="K436" i="5"/>
  <c r="J436" i="5"/>
  <c r="H436" i="5"/>
  <c r="G436" i="5"/>
  <c r="F436" i="5"/>
  <c r="K435" i="5"/>
  <c r="J435" i="5"/>
  <c r="H435" i="5"/>
  <c r="R435" i="5" s="1"/>
  <c r="G435" i="5"/>
  <c r="F435" i="5"/>
  <c r="K434" i="5"/>
  <c r="J434" i="5"/>
  <c r="H434" i="5"/>
  <c r="G434" i="5"/>
  <c r="F434" i="5"/>
  <c r="K433" i="5"/>
  <c r="J433" i="5"/>
  <c r="H433" i="5"/>
  <c r="R433" i="5" s="1"/>
  <c r="G433" i="5"/>
  <c r="F433" i="5"/>
  <c r="C432" i="5"/>
  <c r="V431" i="5"/>
  <c r="T431" i="5"/>
  <c r="U431" i="5"/>
  <c r="S431" i="5"/>
  <c r="F431" i="5"/>
  <c r="E431" i="5"/>
  <c r="D431" i="5"/>
  <c r="I431" i="5"/>
  <c r="C431" i="5"/>
  <c r="B431" i="5"/>
  <c r="A431" i="5"/>
  <c r="L430" i="5"/>
  <c r="Q430" i="5" s="1"/>
  <c r="Z430" i="5"/>
  <c r="Y430" i="5"/>
  <c r="W430" i="5"/>
  <c r="K429" i="5"/>
  <c r="J429" i="5"/>
  <c r="Z429" i="5"/>
  <c r="Y429" i="5"/>
  <c r="W429" i="5"/>
  <c r="H429" i="5"/>
  <c r="X429" i="5" s="1"/>
  <c r="F429" i="5"/>
  <c r="V429" i="5"/>
  <c r="T429" i="5"/>
  <c r="U429" i="5"/>
  <c r="S429" i="5"/>
  <c r="E429" i="5"/>
  <c r="D429" i="5"/>
  <c r="C429" i="5"/>
  <c r="B429" i="5"/>
  <c r="A429" i="5"/>
  <c r="L428" i="5"/>
  <c r="G428" i="5"/>
  <c r="E428" i="5"/>
  <c r="J427" i="5"/>
  <c r="E427" i="5"/>
  <c r="J426" i="5"/>
  <c r="E426" i="5"/>
  <c r="K425" i="5"/>
  <c r="J425" i="5"/>
  <c r="H425" i="5"/>
  <c r="G425" i="5"/>
  <c r="F425" i="5"/>
  <c r="K424" i="5"/>
  <c r="J424" i="5"/>
  <c r="H424" i="5"/>
  <c r="G424" i="5"/>
  <c r="F424" i="5"/>
  <c r="C423" i="5"/>
  <c r="V422" i="5"/>
  <c r="T422" i="5"/>
  <c r="U422" i="5"/>
  <c r="S422" i="5"/>
  <c r="H426" i="5" s="1"/>
  <c r="F422" i="5"/>
  <c r="E422" i="5"/>
  <c r="D422" i="5"/>
  <c r="I422" i="5"/>
  <c r="C422" i="5"/>
  <c r="B422" i="5"/>
  <c r="A422" i="5"/>
  <c r="L421" i="5"/>
  <c r="Q421" i="5" s="1"/>
  <c r="Z421" i="5"/>
  <c r="Y421" i="5"/>
  <c r="W421" i="5"/>
  <c r="K420" i="5"/>
  <c r="J420" i="5"/>
  <c r="Z420" i="5"/>
  <c r="Y420" i="5"/>
  <c r="W420" i="5"/>
  <c r="H420" i="5"/>
  <c r="X420" i="5" s="1"/>
  <c r="F420" i="5"/>
  <c r="V420" i="5"/>
  <c r="T420" i="5"/>
  <c r="U420" i="5"/>
  <c r="S420" i="5"/>
  <c r="E420" i="5"/>
  <c r="D420" i="5"/>
  <c r="C420" i="5"/>
  <c r="B420" i="5"/>
  <c r="A420" i="5"/>
  <c r="L419" i="5"/>
  <c r="G419" i="5"/>
  <c r="E419" i="5"/>
  <c r="J418" i="5"/>
  <c r="E418" i="5"/>
  <c r="J417" i="5"/>
  <c r="E417" i="5"/>
  <c r="K416" i="5"/>
  <c r="J416" i="5"/>
  <c r="H416" i="5"/>
  <c r="G416" i="5"/>
  <c r="F416" i="5"/>
  <c r="K415" i="5"/>
  <c r="J415" i="5"/>
  <c r="H415" i="5"/>
  <c r="R415" i="5" s="1"/>
  <c r="G415" i="5"/>
  <c r="F415" i="5"/>
  <c r="K414" i="5"/>
  <c r="J414" i="5"/>
  <c r="H414" i="5"/>
  <c r="G414" i="5"/>
  <c r="F414" i="5"/>
  <c r="K413" i="5"/>
  <c r="J413" i="5"/>
  <c r="H413" i="5"/>
  <c r="G413" i="5"/>
  <c r="F413" i="5"/>
  <c r="C412" i="5"/>
  <c r="V411" i="5"/>
  <c r="T411" i="5"/>
  <c r="U411" i="5"/>
  <c r="H418" i="5" s="1"/>
  <c r="S411" i="5"/>
  <c r="F411" i="5"/>
  <c r="E411" i="5"/>
  <c r="D411" i="5"/>
  <c r="I411" i="5"/>
  <c r="C411" i="5"/>
  <c r="B411" i="5"/>
  <c r="A411" i="5"/>
  <c r="L410" i="5"/>
  <c r="Q410" i="5" s="1"/>
  <c r="Z410" i="5"/>
  <c r="Y410" i="5"/>
  <c r="W410" i="5"/>
  <c r="K409" i="5"/>
  <c r="J409" i="5"/>
  <c r="Z409" i="5"/>
  <c r="Y409" i="5"/>
  <c r="W409" i="5"/>
  <c r="H409" i="5"/>
  <c r="X409" i="5" s="1"/>
  <c r="F409" i="5"/>
  <c r="V409" i="5"/>
  <c r="T409" i="5"/>
  <c r="U409" i="5"/>
  <c r="S409" i="5"/>
  <c r="E409" i="5"/>
  <c r="D409" i="5"/>
  <c r="C409" i="5"/>
  <c r="B409" i="5"/>
  <c r="A409" i="5"/>
  <c r="L408" i="5"/>
  <c r="G408" i="5"/>
  <c r="E408" i="5"/>
  <c r="J407" i="5"/>
  <c r="E407" i="5"/>
  <c r="J406" i="5"/>
  <c r="E406" i="5"/>
  <c r="K405" i="5"/>
  <c r="J405" i="5"/>
  <c r="H405" i="5"/>
  <c r="G405" i="5"/>
  <c r="F405" i="5"/>
  <c r="K404" i="5"/>
  <c r="J404" i="5"/>
  <c r="H404" i="5"/>
  <c r="R404" i="5" s="1"/>
  <c r="G404" i="5"/>
  <c r="F404" i="5"/>
  <c r="V403" i="5"/>
  <c r="T403" i="5"/>
  <c r="U403" i="5"/>
  <c r="S403" i="5"/>
  <c r="F403" i="5"/>
  <c r="E403" i="5"/>
  <c r="D403" i="5"/>
  <c r="I403" i="5"/>
  <c r="C403" i="5"/>
  <c r="B403" i="5"/>
  <c r="A403" i="5"/>
  <c r="L402" i="5"/>
  <c r="Q402" i="5" s="1"/>
  <c r="Z402" i="5"/>
  <c r="Y402" i="5"/>
  <c r="W402" i="5"/>
  <c r="K401" i="5"/>
  <c r="J401" i="5"/>
  <c r="Z401" i="5"/>
  <c r="Y401" i="5"/>
  <c r="W401" i="5"/>
  <c r="H401" i="5"/>
  <c r="X401" i="5" s="1"/>
  <c r="F401" i="5"/>
  <c r="V401" i="5"/>
  <c r="T401" i="5"/>
  <c r="U401" i="5"/>
  <c r="S401" i="5"/>
  <c r="E401" i="5"/>
  <c r="D401" i="5"/>
  <c r="C401" i="5"/>
  <c r="B401" i="5"/>
  <c r="A401" i="5"/>
  <c r="L400" i="5"/>
  <c r="G400" i="5"/>
  <c r="E400" i="5"/>
  <c r="J399" i="5"/>
  <c r="E399" i="5"/>
  <c r="J398" i="5"/>
  <c r="E398" i="5"/>
  <c r="K397" i="5"/>
  <c r="J397" i="5"/>
  <c r="H397" i="5"/>
  <c r="G397" i="5"/>
  <c r="F397" i="5"/>
  <c r="K396" i="5"/>
  <c r="J396" i="5"/>
  <c r="H396" i="5"/>
  <c r="R396" i="5" s="1"/>
  <c r="G396" i="5"/>
  <c r="F396" i="5"/>
  <c r="K395" i="5"/>
  <c r="J395" i="5"/>
  <c r="H395" i="5"/>
  <c r="G395" i="5"/>
  <c r="F395" i="5"/>
  <c r="K394" i="5"/>
  <c r="J394" i="5"/>
  <c r="H394" i="5"/>
  <c r="G394" i="5"/>
  <c r="F394" i="5"/>
  <c r="C393" i="5"/>
  <c r="V392" i="5"/>
  <c r="T392" i="5"/>
  <c r="U392" i="5"/>
  <c r="S392" i="5"/>
  <c r="F392" i="5"/>
  <c r="E392" i="5"/>
  <c r="D392" i="5"/>
  <c r="I392" i="5"/>
  <c r="C392" i="5"/>
  <c r="B392" i="5"/>
  <c r="A392" i="5"/>
  <c r="L391" i="5"/>
  <c r="Q391" i="5" s="1"/>
  <c r="Z391" i="5"/>
  <c r="Y391" i="5"/>
  <c r="X391" i="5"/>
  <c r="L390" i="5"/>
  <c r="G390" i="5"/>
  <c r="E390" i="5"/>
  <c r="J389" i="5"/>
  <c r="E389" i="5"/>
  <c r="J388" i="5"/>
  <c r="E388" i="5"/>
  <c r="K387" i="5"/>
  <c r="J387" i="5"/>
  <c r="H387" i="5"/>
  <c r="R387" i="5" s="1"/>
  <c r="G387" i="5"/>
  <c r="F387" i="5"/>
  <c r="C386" i="5"/>
  <c r="V385" i="5"/>
  <c r="K389" i="5" s="1"/>
  <c r="T385" i="5"/>
  <c r="K388" i="5" s="1"/>
  <c r="U385" i="5"/>
  <c r="H389" i="5" s="1"/>
  <c r="S385" i="5"/>
  <c r="H388" i="5" s="1"/>
  <c r="F385" i="5"/>
  <c r="E385" i="5"/>
  <c r="D385" i="5"/>
  <c r="I385" i="5"/>
  <c r="C385" i="5"/>
  <c r="B385" i="5"/>
  <c r="A385" i="5"/>
  <c r="L384" i="5"/>
  <c r="Q384" i="5" s="1"/>
  <c r="Z384" i="5"/>
  <c r="Y384" i="5"/>
  <c r="X384" i="5"/>
  <c r="L383" i="5"/>
  <c r="G383" i="5"/>
  <c r="E383" i="5"/>
  <c r="J382" i="5"/>
  <c r="E382" i="5"/>
  <c r="J381" i="5"/>
  <c r="E381" i="5"/>
  <c r="K380" i="5"/>
  <c r="J380" i="5"/>
  <c r="H380" i="5"/>
  <c r="G380" i="5"/>
  <c r="F380" i="5"/>
  <c r="C379" i="5"/>
  <c r="V378" i="5"/>
  <c r="K382" i="5" s="1"/>
  <c r="T378" i="5"/>
  <c r="K381" i="5" s="1"/>
  <c r="U378" i="5"/>
  <c r="H382" i="5" s="1"/>
  <c r="S378" i="5"/>
  <c r="H381" i="5" s="1"/>
  <c r="F378" i="5"/>
  <c r="E378" i="5"/>
  <c r="D378" i="5"/>
  <c r="I378" i="5"/>
  <c r="C378" i="5"/>
  <c r="B378" i="5"/>
  <c r="A378" i="5"/>
  <c r="L377" i="5"/>
  <c r="Q377" i="5" s="1"/>
  <c r="Z377" i="5"/>
  <c r="Y377" i="5"/>
  <c r="W377" i="5"/>
  <c r="L376" i="5"/>
  <c r="G376" i="5"/>
  <c r="E376" i="5"/>
  <c r="J375" i="5"/>
  <c r="E375" i="5"/>
  <c r="J374" i="5"/>
  <c r="E374" i="5"/>
  <c r="K373" i="5"/>
  <c r="J373" i="5"/>
  <c r="H373" i="5"/>
  <c r="G373" i="5"/>
  <c r="F373" i="5"/>
  <c r="K372" i="5"/>
  <c r="J372" i="5"/>
  <c r="H372" i="5"/>
  <c r="G372" i="5"/>
  <c r="F372" i="5"/>
  <c r="K371" i="5"/>
  <c r="J371" i="5"/>
  <c r="H371" i="5"/>
  <c r="R371" i="5" s="1"/>
  <c r="G371" i="5"/>
  <c r="F371" i="5"/>
  <c r="V370" i="5"/>
  <c r="K375" i="5" s="1"/>
  <c r="T370" i="5"/>
  <c r="K374" i="5" s="1"/>
  <c r="U370" i="5"/>
  <c r="H375" i="5" s="1"/>
  <c r="S370" i="5"/>
  <c r="H374" i="5" s="1"/>
  <c r="F370" i="5"/>
  <c r="E370" i="5"/>
  <c r="D370" i="5"/>
  <c r="I370" i="5"/>
  <c r="C370" i="5"/>
  <c r="B370" i="5"/>
  <c r="A370" i="5"/>
  <c r="L369" i="5"/>
  <c r="Q369" i="5" s="1"/>
  <c r="Z369" i="5"/>
  <c r="Y369" i="5"/>
  <c r="W369" i="5"/>
  <c r="L368" i="5"/>
  <c r="G368" i="5"/>
  <c r="E368" i="5"/>
  <c r="J367" i="5"/>
  <c r="E367" i="5"/>
  <c r="J366" i="5"/>
  <c r="E366" i="5"/>
  <c r="K365" i="5"/>
  <c r="J365" i="5"/>
  <c r="H365" i="5"/>
  <c r="G365" i="5"/>
  <c r="F365" i="5"/>
  <c r="K364" i="5"/>
  <c r="J364" i="5"/>
  <c r="H364" i="5"/>
  <c r="G364" i="5"/>
  <c r="F364" i="5"/>
  <c r="V363" i="5"/>
  <c r="K367" i="5" s="1"/>
  <c r="T363" i="5"/>
  <c r="K366" i="5" s="1"/>
  <c r="U363" i="5"/>
  <c r="H367" i="5" s="1"/>
  <c r="S363" i="5"/>
  <c r="H366" i="5" s="1"/>
  <c r="F363" i="5"/>
  <c r="E363" i="5"/>
  <c r="D363" i="5"/>
  <c r="I363" i="5"/>
  <c r="C363" i="5"/>
  <c r="B363" i="5"/>
  <c r="A363" i="5"/>
  <c r="L362" i="5"/>
  <c r="Q362" i="5" s="1"/>
  <c r="Z362" i="5"/>
  <c r="Y362" i="5"/>
  <c r="W362" i="5"/>
  <c r="L361" i="5"/>
  <c r="G361" i="5"/>
  <c r="E361" i="5"/>
  <c r="J360" i="5"/>
  <c r="E360" i="5"/>
  <c r="J359" i="5"/>
  <c r="E359" i="5"/>
  <c r="K358" i="5"/>
  <c r="J358" i="5"/>
  <c r="H358" i="5"/>
  <c r="R358" i="5" s="1"/>
  <c r="G358" i="5"/>
  <c r="F358" i="5"/>
  <c r="K357" i="5"/>
  <c r="J357" i="5"/>
  <c r="H357" i="5"/>
  <c r="G357" i="5"/>
  <c r="F357" i="5"/>
  <c r="K356" i="5"/>
  <c r="J356" i="5"/>
  <c r="H356" i="5"/>
  <c r="G356" i="5"/>
  <c r="F356" i="5"/>
  <c r="C355" i="5"/>
  <c r="V354" i="5"/>
  <c r="K360" i="5" s="1"/>
  <c r="T354" i="5"/>
  <c r="K359" i="5" s="1"/>
  <c r="U354" i="5"/>
  <c r="H360" i="5" s="1"/>
  <c r="S354" i="5"/>
  <c r="H359" i="5" s="1"/>
  <c r="F354" i="5"/>
  <c r="E354" i="5"/>
  <c r="D354" i="5"/>
  <c r="I354" i="5"/>
  <c r="C354" i="5"/>
  <c r="B354" i="5"/>
  <c r="A354" i="5"/>
  <c r="L353" i="5"/>
  <c r="Q353" i="5" s="1"/>
  <c r="Z353" i="5"/>
  <c r="Y353" i="5"/>
  <c r="W353" i="5"/>
  <c r="L352" i="5"/>
  <c r="G352" i="5"/>
  <c r="E352" i="5"/>
  <c r="J351" i="5"/>
  <c r="E351" i="5"/>
  <c r="J350" i="5"/>
  <c r="E350" i="5"/>
  <c r="K349" i="5"/>
  <c r="J349" i="5"/>
  <c r="H349" i="5"/>
  <c r="R349" i="5" s="1"/>
  <c r="G349" i="5"/>
  <c r="F349" i="5"/>
  <c r="K348" i="5"/>
  <c r="J348" i="5"/>
  <c r="H348" i="5"/>
  <c r="G348" i="5"/>
  <c r="F348" i="5"/>
  <c r="K347" i="5"/>
  <c r="J347" i="5"/>
  <c r="H347" i="5"/>
  <c r="G347" i="5"/>
  <c r="F347" i="5"/>
  <c r="V346" i="5"/>
  <c r="K351" i="5" s="1"/>
  <c r="T346" i="5"/>
  <c r="K350" i="5" s="1"/>
  <c r="U346" i="5"/>
  <c r="H351" i="5" s="1"/>
  <c r="S346" i="5"/>
  <c r="H350" i="5" s="1"/>
  <c r="F346" i="5"/>
  <c r="E346" i="5"/>
  <c r="D346" i="5"/>
  <c r="I346" i="5"/>
  <c r="C346" i="5"/>
  <c r="B346" i="5"/>
  <c r="A346" i="5"/>
  <c r="L345" i="5"/>
  <c r="Q345" i="5" s="1"/>
  <c r="Z345" i="5"/>
  <c r="Y345" i="5"/>
  <c r="X345" i="5"/>
  <c r="L344" i="5"/>
  <c r="G344" i="5"/>
  <c r="E344" i="5"/>
  <c r="J343" i="5"/>
  <c r="E343" i="5"/>
  <c r="J342" i="5"/>
  <c r="E342" i="5"/>
  <c r="K341" i="5"/>
  <c r="J341" i="5"/>
  <c r="H341" i="5"/>
  <c r="R341" i="5" s="1"/>
  <c r="G341" i="5"/>
  <c r="F341" i="5"/>
  <c r="K340" i="5"/>
  <c r="J340" i="5"/>
  <c r="H340" i="5"/>
  <c r="G340" i="5"/>
  <c r="F340" i="5"/>
  <c r="K339" i="5"/>
  <c r="J339" i="5"/>
  <c r="H339" i="5"/>
  <c r="R339" i="5" s="1"/>
  <c r="G339" i="5"/>
  <c r="F339" i="5"/>
  <c r="V338" i="5"/>
  <c r="K343" i="5" s="1"/>
  <c r="T338" i="5"/>
  <c r="K342" i="5" s="1"/>
  <c r="U338" i="5"/>
  <c r="H343" i="5" s="1"/>
  <c r="S338" i="5"/>
  <c r="H342" i="5" s="1"/>
  <c r="F338" i="5"/>
  <c r="E338" i="5"/>
  <c r="D338" i="5"/>
  <c r="I338" i="5"/>
  <c r="C338" i="5"/>
  <c r="B338" i="5"/>
  <c r="A338" i="5"/>
  <c r="A337" i="5"/>
  <c r="A336" i="5"/>
  <c r="L334" i="5"/>
  <c r="Q334" i="5" s="1"/>
  <c r="Z334" i="5"/>
  <c r="Y334" i="5"/>
  <c r="X334" i="5"/>
  <c r="L333" i="5"/>
  <c r="G333" i="5"/>
  <c r="E333" i="5"/>
  <c r="J332" i="5"/>
  <c r="E332" i="5"/>
  <c r="J331" i="5"/>
  <c r="E331" i="5"/>
  <c r="K330" i="5"/>
  <c r="J330" i="5"/>
  <c r="H330" i="5"/>
  <c r="R330" i="5" s="1"/>
  <c r="G330" i="5"/>
  <c r="F330" i="5"/>
  <c r="C329" i="5"/>
  <c r="V328" i="5"/>
  <c r="K332" i="5" s="1"/>
  <c r="T328" i="5"/>
  <c r="K331" i="5" s="1"/>
  <c r="U328" i="5"/>
  <c r="H332" i="5" s="1"/>
  <c r="S328" i="5"/>
  <c r="H331" i="5" s="1"/>
  <c r="F328" i="5"/>
  <c r="E328" i="5"/>
  <c r="D328" i="5"/>
  <c r="I328" i="5"/>
  <c r="C328" i="5"/>
  <c r="B328" i="5"/>
  <c r="A328" i="5"/>
  <c r="L327" i="5"/>
  <c r="Q327" i="5" s="1"/>
  <c r="Z327" i="5"/>
  <c r="Y327" i="5"/>
  <c r="X327" i="5"/>
  <c r="K326" i="5"/>
  <c r="J326" i="5"/>
  <c r="Z326" i="5"/>
  <c r="Y326" i="5"/>
  <c r="X326" i="5"/>
  <c r="H326" i="5"/>
  <c r="W326" i="5" s="1"/>
  <c r="F326" i="5"/>
  <c r="V326" i="5"/>
  <c r="T326" i="5"/>
  <c r="U326" i="5"/>
  <c r="S326" i="5"/>
  <c r="E326" i="5"/>
  <c r="D326" i="5"/>
  <c r="C326" i="5"/>
  <c r="B326" i="5"/>
  <c r="A326" i="5"/>
  <c r="L325" i="5"/>
  <c r="G325" i="5"/>
  <c r="E325" i="5"/>
  <c r="J324" i="5"/>
  <c r="F324" i="5"/>
  <c r="E324" i="5"/>
  <c r="J323" i="5"/>
  <c r="F323" i="5"/>
  <c r="E323" i="5"/>
  <c r="K322" i="5"/>
  <c r="J322" i="5"/>
  <c r="H322" i="5"/>
  <c r="G322" i="5"/>
  <c r="F322" i="5"/>
  <c r="K321" i="5"/>
  <c r="J321" i="5"/>
  <c r="H321" i="5"/>
  <c r="R321" i="5" s="1"/>
  <c r="G321" i="5"/>
  <c r="F321" i="5"/>
  <c r="K320" i="5"/>
  <c r="J320" i="5"/>
  <c r="H320" i="5"/>
  <c r="G320" i="5"/>
  <c r="F320" i="5"/>
  <c r="K319" i="5"/>
  <c r="J319" i="5"/>
  <c r="H319" i="5"/>
  <c r="R319" i="5" s="1"/>
  <c r="G319" i="5"/>
  <c r="F319" i="5"/>
  <c r="V318" i="5"/>
  <c r="T318" i="5"/>
  <c r="U318" i="5"/>
  <c r="S318" i="5"/>
  <c r="F318" i="5"/>
  <c r="E318" i="5"/>
  <c r="D318" i="5"/>
  <c r="I318" i="5"/>
  <c r="C318" i="5"/>
  <c r="B318" i="5"/>
  <c r="A318" i="5"/>
  <c r="L317" i="5"/>
  <c r="Q317" i="5" s="1"/>
  <c r="Z317" i="5"/>
  <c r="Y317" i="5"/>
  <c r="X317" i="5"/>
  <c r="K316" i="5"/>
  <c r="J316" i="5"/>
  <c r="Z316" i="5"/>
  <c r="Y316" i="5"/>
  <c r="X316" i="5"/>
  <c r="H316" i="5"/>
  <c r="W316" i="5" s="1"/>
  <c r="F316" i="5"/>
  <c r="V316" i="5"/>
  <c r="T316" i="5"/>
  <c r="U316" i="5"/>
  <c r="S316" i="5"/>
  <c r="E316" i="5"/>
  <c r="D316" i="5"/>
  <c r="C316" i="5"/>
  <c r="B316" i="5"/>
  <c r="A316" i="5"/>
  <c r="K315" i="5"/>
  <c r="J315" i="5"/>
  <c r="Z315" i="5"/>
  <c r="Y315" i="5"/>
  <c r="X315" i="5"/>
  <c r="H315" i="5"/>
  <c r="W315" i="5" s="1"/>
  <c r="F315" i="5"/>
  <c r="V315" i="5"/>
  <c r="T315" i="5"/>
  <c r="U315" i="5"/>
  <c r="S315" i="5"/>
  <c r="E315" i="5"/>
  <c r="D315" i="5"/>
  <c r="C315" i="5"/>
  <c r="B315" i="5"/>
  <c r="A315" i="5"/>
  <c r="L314" i="5"/>
  <c r="G314" i="5"/>
  <c r="E314" i="5"/>
  <c r="J313" i="5"/>
  <c r="F313" i="5"/>
  <c r="E313" i="5"/>
  <c r="J312" i="5"/>
  <c r="F312" i="5"/>
  <c r="E312" i="5"/>
  <c r="K311" i="5"/>
  <c r="J311" i="5"/>
  <c r="H311" i="5"/>
  <c r="G311" i="5"/>
  <c r="F311" i="5"/>
  <c r="K310" i="5"/>
  <c r="J310" i="5"/>
  <c r="H310" i="5"/>
  <c r="R310" i="5" s="1"/>
  <c r="G310" i="5"/>
  <c r="F310" i="5"/>
  <c r="K309" i="5"/>
  <c r="J309" i="5"/>
  <c r="H309" i="5"/>
  <c r="G309" i="5"/>
  <c r="F309" i="5"/>
  <c r="K308" i="5"/>
  <c r="J308" i="5"/>
  <c r="H308" i="5"/>
  <c r="R308" i="5" s="1"/>
  <c r="G308" i="5"/>
  <c r="F308" i="5"/>
  <c r="C307" i="5"/>
  <c r="V306" i="5"/>
  <c r="T306" i="5"/>
  <c r="U306" i="5"/>
  <c r="S306" i="5"/>
  <c r="F306" i="5"/>
  <c r="E306" i="5"/>
  <c r="D306" i="5"/>
  <c r="I306" i="5"/>
  <c r="C306" i="5"/>
  <c r="B306" i="5"/>
  <c r="A306" i="5"/>
  <c r="L305" i="5"/>
  <c r="Q305" i="5" s="1"/>
  <c r="Z305" i="5"/>
  <c r="Y305" i="5"/>
  <c r="X305" i="5"/>
  <c r="K304" i="5"/>
  <c r="J304" i="5"/>
  <c r="Z304" i="5"/>
  <c r="Y304" i="5"/>
  <c r="X304" i="5"/>
  <c r="H304" i="5"/>
  <c r="W304" i="5" s="1"/>
  <c r="F304" i="5"/>
  <c r="V304" i="5"/>
  <c r="T304" i="5"/>
  <c r="U304" i="5"/>
  <c r="S304" i="5"/>
  <c r="E304" i="5"/>
  <c r="D304" i="5"/>
  <c r="C304" i="5"/>
  <c r="B304" i="5"/>
  <c r="A304" i="5"/>
  <c r="K303" i="5"/>
  <c r="J303" i="5"/>
  <c r="Z303" i="5"/>
  <c r="Y303" i="5"/>
  <c r="X303" i="5"/>
  <c r="H303" i="5"/>
  <c r="W303" i="5" s="1"/>
  <c r="F303" i="5"/>
  <c r="V303" i="5"/>
  <c r="T303" i="5"/>
  <c r="U303" i="5"/>
  <c r="S303" i="5"/>
  <c r="E303" i="5"/>
  <c r="D303" i="5"/>
  <c r="C303" i="5"/>
  <c r="B303" i="5"/>
  <c r="A303" i="5"/>
  <c r="L302" i="5"/>
  <c r="G302" i="5"/>
  <c r="E302" i="5"/>
  <c r="J301" i="5"/>
  <c r="F301" i="5"/>
  <c r="E301" i="5"/>
  <c r="J300" i="5"/>
  <c r="F300" i="5"/>
  <c r="E300" i="5"/>
  <c r="K299" i="5"/>
  <c r="J299" i="5"/>
  <c r="H299" i="5"/>
  <c r="G299" i="5"/>
  <c r="F299" i="5"/>
  <c r="K298" i="5"/>
  <c r="J298" i="5"/>
  <c r="H298" i="5"/>
  <c r="R298" i="5" s="1"/>
  <c r="G298" i="5"/>
  <c r="F298" i="5"/>
  <c r="K297" i="5"/>
  <c r="J297" i="5"/>
  <c r="H297" i="5"/>
  <c r="G297" i="5"/>
  <c r="F297" i="5"/>
  <c r="K296" i="5"/>
  <c r="J296" i="5"/>
  <c r="H296" i="5"/>
  <c r="R296" i="5" s="1"/>
  <c r="G296" i="5"/>
  <c r="F296" i="5"/>
  <c r="C295" i="5"/>
  <c r="V294" i="5"/>
  <c r="T294" i="5"/>
  <c r="U294" i="5"/>
  <c r="S294" i="5"/>
  <c r="F294" i="5"/>
  <c r="E294" i="5"/>
  <c r="D294" i="5"/>
  <c r="I294" i="5"/>
  <c r="C294" i="5"/>
  <c r="B294" i="5"/>
  <c r="A294" i="5"/>
  <c r="L293" i="5"/>
  <c r="Q293" i="5" s="1"/>
  <c r="Z293" i="5"/>
  <c r="Y293" i="5"/>
  <c r="X293" i="5"/>
  <c r="L292" i="5"/>
  <c r="G292" i="5"/>
  <c r="E292" i="5"/>
  <c r="J291" i="5"/>
  <c r="E291" i="5"/>
  <c r="J290" i="5"/>
  <c r="E290" i="5"/>
  <c r="K289" i="5"/>
  <c r="J289" i="5"/>
  <c r="H289" i="5"/>
  <c r="R289" i="5" s="1"/>
  <c r="G289" i="5"/>
  <c r="F289" i="5"/>
  <c r="K288" i="5"/>
  <c r="J288" i="5"/>
  <c r="H288" i="5"/>
  <c r="G288" i="5"/>
  <c r="F288" i="5"/>
  <c r="K287" i="5"/>
  <c r="J287" i="5"/>
  <c r="H287" i="5"/>
  <c r="R287" i="5" s="1"/>
  <c r="G287" i="5"/>
  <c r="F287" i="5"/>
  <c r="C286" i="5"/>
  <c r="V285" i="5"/>
  <c r="K291" i="5" s="1"/>
  <c r="T285" i="5"/>
  <c r="K290" i="5" s="1"/>
  <c r="U285" i="5"/>
  <c r="H291" i="5" s="1"/>
  <c r="S285" i="5"/>
  <c r="H290" i="5" s="1"/>
  <c r="F285" i="5"/>
  <c r="E285" i="5"/>
  <c r="D285" i="5"/>
  <c r="I285" i="5"/>
  <c r="C285" i="5"/>
  <c r="B285" i="5"/>
  <c r="A285" i="5"/>
  <c r="A284" i="5"/>
  <c r="A283" i="5"/>
  <c r="L281" i="5"/>
  <c r="Q281" i="5" s="1"/>
  <c r="Z281" i="5"/>
  <c r="Y281" i="5"/>
  <c r="X281" i="5"/>
  <c r="K280" i="5"/>
  <c r="J281" i="5" s="1"/>
  <c r="P281" i="5" s="1"/>
  <c r="H280" i="5"/>
  <c r="G281" i="5" s="1"/>
  <c r="O281" i="5" s="1"/>
  <c r="J280" i="5"/>
  <c r="G280" i="5"/>
  <c r="F280" i="5"/>
  <c r="V280" i="5"/>
  <c r="T280" i="5"/>
  <c r="U280" i="5"/>
  <c r="S280" i="5"/>
  <c r="E280" i="5"/>
  <c r="D280" i="5"/>
  <c r="I280" i="5"/>
  <c r="C280" i="5"/>
  <c r="B280" i="5"/>
  <c r="A280" i="5"/>
  <c r="L279" i="5"/>
  <c r="Q279" i="5" s="1"/>
  <c r="Z279" i="5"/>
  <c r="Y279" i="5"/>
  <c r="X279" i="5"/>
  <c r="K278" i="5"/>
  <c r="J279" i="5" s="1"/>
  <c r="P279" i="5" s="1"/>
  <c r="H278" i="5"/>
  <c r="G279" i="5" s="1"/>
  <c r="O279" i="5" s="1"/>
  <c r="J278" i="5"/>
  <c r="G278" i="5"/>
  <c r="F278" i="5"/>
  <c r="V278" i="5"/>
  <c r="T278" i="5"/>
  <c r="U278" i="5"/>
  <c r="S278" i="5"/>
  <c r="E278" i="5"/>
  <c r="D278" i="5"/>
  <c r="I278" i="5"/>
  <c r="C278" i="5"/>
  <c r="B278" i="5"/>
  <c r="A278" i="5"/>
  <c r="L277" i="5"/>
  <c r="Q277" i="5" s="1"/>
  <c r="Z277" i="5"/>
  <c r="Y277" i="5"/>
  <c r="X277" i="5"/>
  <c r="L276" i="5"/>
  <c r="G276" i="5"/>
  <c r="E276" i="5"/>
  <c r="J275" i="5"/>
  <c r="E275" i="5"/>
  <c r="J274" i="5"/>
  <c r="E274" i="5"/>
  <c r="K273" i="5"/>
  <c r="J273" i="5"/>
  <c r="H273" i="5"/>
  <c r="G273" i="5"/>
  <c r="F273" i="5"/>
  <c r="K272" i="5"/>
  <c r="J272" i="5"/>
  <c r="H272" i="5"/>
  <c r="R272" i="5" s="1"/>
  <c r="G272" i="5"/>
  <c r="F272" i="5"/>
  <c r="V271" i="5"/>
  <c r="K275" i="5" s="1"/>
  <c r="T271" i="5"/>
  <c r="K274" i="5" s="1"/>
  <c r="U271" i="5"/>
  <c r="H275" i="5" s="1"/>
  <c r="S271" i="5"/>
  <c r="H274" i="5" s="1"/>
  <c r="F271" i="5"/>
  <c r="E271" i="5"/>
  <c r="D271" i="5"/>
  <c r="I271" i="5"/>
  <c r="C271" i="5"/>
  <c r="B271" i="5"/>
  <c r="A271" i="5"/>
  <c r="L270" i="5"/>
  <c r="Q270" i="5" s="1"/>
  <c r="Z270" i="5"/>
  <c r="Y270" i="5"/>
  <c r="X270" i="5"/>
  <c r="K269" i="5"/>
  <c r="J269" i="5"/>
  <c r="Z269" i="5"/>
  <c r="Y269" i="5"/>
  <c r="X269" i="5"/>
  <c r="H269" i="5"/>
  <c r="W269" i="5" s="1"/>
  <c r="F269" i="5"/>
  <c r="V269" i="5"/>
  <c r="T269" i="5"/>
  <c r="U269" i="5"/>
  <c r="S269" i="5"/>
  <c r="E269" i="5"/>
  <c r="D269" i="5"/>
  <c r="C269" i="5"/>
  <c r="B269" i="5"/>
  <c r="A269" i="5"/>
  <c r="L268" i="5"/>
  <c r="G268" i="5"/>
  <c r="E268" i="5"/>
  <c r="J267" i="5"/>
  <c r="E267" i="5"/>
  <c r="J266" i="5"/>
  <c r="E266" i="5"/>
  <c r="K265" i="5"/>
  <c r="J265" i="5"/>
  <c r="H265" i="5"/>
  <c r="G265" i="5"/>
  <c r="F265" i="5"/>
  <c r="K264" i="5"/>
  <c r="J264" i="5"/>
  <c r="H264" i="5"/>
  <c r="R264" i="5" s="1"/>
  <c r="G264" i="5"/>
  <c r="F264" i="5"/>
  <c r="K263" i="5"/>
  <c r="J263" i="5"/>
  <c r="H263" i="5"/>
  <c r="G263" i="5"/>
  <c r="F263" i="5"/>
  <c r="K262" i="5"/>
  <c r="J262" i="5"/>
  <c r="H262" i="5"/>
  <c r="R262" i="5" s="1"/>
  <c r="G262" i="5"/>
  <c r="F262" i="5"/>
  <c r="C261" i="5"/>
  <c r="V260" i="5"/>
  <c r="T260" i="5"/>
  <c r="U260" i="5"/>
  <c r="S260" i="5"/>
  <c r="H266" i="5" s="1"/>
  <c r="F260" i="5"/>
  <c r="E260" i="5"/>
  <c r="D260" i="5"/>
  <c r="I260" i="5"/>
  <c r="C260" i="5"/>
  <c r="B260" i="5"/>
  <c r="A260" i="5"/>
  <c r="L259" i="5"/>
  <c r="Q259" i="5" s="1"/>
  <c r="Z259" i="5"/>
  <c r="Y259" i="5"/>
  <c r="X259" i="5"/>
  <c r="K258" i="5"/>
  <c r="J258" i="5"/>
  <c r="Z258" i="5"/>
  <c r="Y258" i="5"/>
  <c r="X258" i="5"/>
  <c r="H258" i="5"/>
  <c r="W258" i="5" s="1"/>
  <c r="F258" i="5"/>
  <c r="V258" i="5"/>
  <c r="T258" i="5"/>
  <c r="U258" i="5"/>
  <c r="S258" i="5"/>
  <c r="E258" i="5"/>
  <c r="D258" i="5"/>
  <c r="C258" i="5"/>
  <c r="B258" i="5"/>
  <c r="A258" i="5"/>
  <c r="L257" i="5"/>
  <c r="G257" i="5"/>
  <c r="E257" i="5"/>
  <c r="J256" i="5"/>
  <c r="F256" i="5"/>
  <c r="E256" i="5"/>
  <c r="J255" i="5"/>
  <c r="F255" i="5"/>
  <c r="E255" i="5"/>
  <c r="K254" i="5"/>
  <c r="J254" i="5"/>
  <c r="H254" i="5"/>
  <c r="G254" i="5"/>
  <c r="F254" i="5"/>
  <c r="K253" i="5"/>
  <c r="J253" i="5"/>
  <c r="H253" i="5"/>
  <c r="G253" i="5"/>
  <c r="F253" i="5"/>
  <c r="C252" i="5"/>
  <c r="V251" i="5"/>
  <c r="T251" i="5"/>
  <c r="U251" i="5"/>
  <c r="S251" i="5"/>
  <c r="F251" i="5"/>
  <c r="E251" i="5"/>
  <c r="D251" i="5"/>
  <c r="I251" i="5"/>
  <c r="C251" i="5"/>
  <c r="B251" i="5"/>
  <c r="A251" i="5"/>
  <c r="L250" i="5"/>
  <c r="Q250" i="5" s="1"/>
  <c r="Z250" i="5"/>
  <c r="Y250" i="5"/>
  <c r="X250" i="5"/>
  <c r="L249" i="5"/>
  <c r="G249" i="5"/>
  <c r="E249" i="5"/>
  <c r="J248" i="5"/>
  <c r="F248" i="5"/>
  <c r="E248" i="5"/>
  <c r="J247" i="5"/>
  <c r="F247" i="5"/>
  <c r="E247" i="5"/>
  <c r="K246" i="5"/>
  <c r="J246" i="5"/>
  <c r="H246" i="5"/>
  <c r="R246" i="5" s="1"/>
  <c r="G246" i="5"/>
  <c r="F246" i="5"/>
  <c r="C245" i="5"/>
  <c r="V244" i="5"/>
  <c r="K248" i="5" s="1"/>
  <c r="T244" i="5"/>
  <c r="K247" i="5" s="1"/>
  <c r="U244" i="5"/>
  <c r="H248" i="5" s="1"/>
  <c r="S244" i="5"/>
  <c r="H247" i="5" s="1"/>
  <c r="F244" i="5"/>
  <c r="E244" i="5"/>
  <c r="D244" i="5"/>
  <c r="I244" i="5"/>
  <c r="C244" i="5"/>
  <c r="B244" i="5"/>
  <c r="A244" i="5"/>
  <c r="L243" i="5"/>
  <c r="Q243" i="5" s="1"/>
  <c r="Z243" i="5"/>
  <c r="Y243" i="5"/>
  <c r="X243" i="5"/>
  <c r="L242" i="5"/>
  <c r="G242" i="5"/>
  <c r="E242" i="5"/>
  <c r="J241" i="5"/>
  <c r="F241" i="5"/>
  <c r="E241" i="5"/>
  <c r="J240" i="5"/>
  <c r="F240" i="5"/>
  <c r="E240" i="5"/>
  <c r="K239" i="5"/>
  <c r="J239" i="5"/>
  <c r="H239" i="5"/>
  <c r="R239" i="5" s="1"/>
  <c r="G239" i="5"/>
  <c r="F239" i="5"/>
  <c r="K238" i="5"/>
  <c r="J238" i="5"/>
  <c r="H238" i="5"/>
  <c r="G238" i="5"/>
  <c r="F238" i="5"/>
  <c r="K237" i="5"/>
  <c r="J237" i="5"/>
  <c r="H237" i="5"/>
  <c r="R237" i="5" s="1"/>
  <c r="G237" i="5"/>
  <c r="F237" i="5"/>
  <c r="C236" i="5"/>
  <c r="V235" i="5"/>
  <c r="K241" i="5" s="1"/>
  <c r="T235" i="5"/>
  <c r="K240" i="5" s="1"/>
  <c r="U235" i="5"/>
  <c r="H241" i="5" s="1"/>
  <c r="S235" i="5"/>
  <c r="H240" i="5" s="1"/>
  <c r="F235" i="5"/>
  <c r="E235" i="5"/>
  <c r="D235" i="5"/>
  <c r="I235" i="5"/>
  <c r="C235" i="5"/>
  <c r="B235" i="5"/>
  <c r="A235" i="5"/>
  <c r="L234" i="5"/>
  <c r="Q234" i="5" s="1"/>
  <c r="Z234" i="5"/>
  <c r="Y234" i="5"/>
  <c r="X234" i="5"/>
  <c r="L233" i="5"/>
  <c r="G233" i="5"/>
  <c r="E233" i="5"/>
  <c r="J232" i="5"/>
  <c r="F232" i="5"/>
  <c r="E232" i="5"/>
  <c r="J231" i="5"/>
  <c r="F231" i="5"/>
  <c r="E231" i="5"/>
  <c r="K230" i="5"/>
  <c r="J230" i="5"/>
  <c r="H230" i="5"/>
  <c r="R230" i="5" s="1"/>
  <c r="G230" i="5"/>
  <c r="F230" i="5"/>
  <c r="K229" i="5"/>
  <c r="J229" i="5"/>
  <c r="H229" i="5"/>
  <c r="G229" i="5"/>
  <c r="F229" i="5"/>
  <c r="K228" i="5"/>
  <c r="J228" i="5"/>
  <c r="H228" i="5"/>
  <c r="R228" i="5" s="1"/>
  <c r="G228" i="5"/>
  <c r="F228" i="5"/>
  <c r="C227" i="5"/>
  <c r="V226" i="5"/>
  <c r="K232" i="5" s="1"/>
  <c r="T226" i="5"/>
  <c r="K231" i="5" s="1"/>
  <c r="U226" i="5"/>
  <c r="H232" i="5" s="1"/>
  <c r="S226" i="5"/>
  <c r="H231" i="5" s="1"/>
  <c r="F226" i="5"/>
  <c r="E226" i="5"/>
  <c r="D226" i="5"/>
  <c r="I226" i="5"/>
  <c r="C226" i="5"/>
  <c r="B226" i="5"/>
  <c r="A226" i="5"/>
  <c r="L225" i="5"/>
  <c r="Q225" i="5" s="1"/>
  <c r="Z225" i="5"/>
  <c r="Y225" i="5"/>
  <c r="X225" i="5"/>
  <c r="K224" i="5"/>
  <c r="J224" i="5"/>
  <c r="Z224" i="5"/>
  <c r="Y224" i="5"/>
  <c r="X224" i="5"/>
  <c r="H224" i="5"/>
  <c r="W224" i="5" s="1"/>
  <c r="F224" i="5"/>
  <c r="V224" i="5"/>
  <c r="T224" i="5"/>
  <c r="U224" i="5"/>
  <c r="S224" i="5"/>
  <c r="E224" i="5"/>
  <c r="D224" i="5"/>
  <c r="C224" i="5"/>
  <c r="B224" i="5"/>
  <c r="A224" i="5"/>
  <c r="K223" i="5"/>
  <c r="J223" i="5"/>
  <c r="Z223" i="5"/>
  <c r="Y223" i="5"/>
  <c r="X223" i="5"/>
  <c r="H223" i="5"/>
  <c r="W223" i="5" s="1"/>
  <c r="F223" i="5"/>
  <c r="V223" i="5"/>
  <c r="T223" i="5"/>
  <c r="U223" i="5"/>
  <c r="S223" i="5"/>
  <c r="E223" i="5"/>
  <c r="D223" i="5"/>
  <c r="C223" i="5"/>
  <c r="B223" i="5"/>
  <c r="A223" i="5"/>
  <c r="L222" i="5"/>
  <c r="G222" i="5"/>
  <c r="E222" i="5"/>
  <c r="J221" i="5"/>
  <c r="F221" i="5"/>
  <c r="E221" i="5"/>
  <c r="J220" i="5"/>
  <c r="F220" i="5"/>
  <c r="E220" i="5"/>
  <c r="K219" i="5"/>
  <c r="J219" i="5"/>
  <c r="H219" i="5"/>
  <c r="G219" i="5"/>
  <c r="F219" i="5"/>
  <c r="K218" i="5"/>
  <c r="J218" i="5"/>
  <c r="H218" i="5"/>
  <c r="R218" i="5" s="1"/>
  <c r="G218" i="5"/>
  <c r="F218" i="5"/>
  <c r="K217" i="5"/>
  <c r="J217" i="5"/>
  <c r="H217" i="5"/>
  <c r="G217" i="5"/>
  <c r="F217" i="5"/>
  <c r="K216" i="5"/>
  <c r="J216" i="5"/>
  <c r="H216" i="5"/>
  <c r="G216" i="5"/>
  <c r="F216" i="5"/>
  <c r="C215" i="5"/>
  <c r="V214" i="5"/>
  <c r="T214" i="5"/>
  <c r="U214" i="5"/>
  <c r="S214" i="5"/>
  <c r="H220" i="5" s="1"/>
  <c r="F214" i="5"/>
  <c r="E214" i="5"/>
  <c r="D214" i="5"/>
  <c r="I214" i="5"/>
  <c r="C214" i="5"/>
  <c r="B214" i="5"/>
  <c r="A214" i="5"/>
  <c r="L213" i="5"/>
  <c r="Q213" i="5" s="1"/>
  <c r="Z213" i="5"/>
  <c r="Y213" i="5"/>
  <c r="X213" i="5"/>
  <c r="K212" i="5"/>
  <c r="J212" i="5"/>
  <c r="Z212" i="5"/>
  <c r="Y212" i="5"/>
  <c r="X212" i="5"/>
  <c r="H212" i="5"/>
  <c r="W212" i="5" s="1"/>
  <c r="F212" i="5"/>
  <c r="V212" i="5"/>
  <c r="T212" i="5"/>
  <c r="U212" i="5"/>
  <c r="S212" i="5"/>
  <c r="E212" i="5"/>
  <c r="D212" i="5"/>
  <c r="C212" i="5"/>
  <c r="B212" i="5"/>
  <c r="A212" i="5"/>
  <c r="K211" i="5"/>
  <c r="J211" i="5"/>
  <c r="Z211" i="5"/>
  <c r="Y211" i="5"/>
  <c r="X211" i="5"/>
  <c r="H211" i="5"/>
  <c r="W211" i="5" s="1"/>
  <c r="F211" i="5"/>
  <c r="V211" i="5"/>
  <c r="T211" i="5"/>
  <c r="U211" i="5"/>
  <c r="S211" i="5"/>
  <c r="E211" i="5"/>
  <c r="D211" i="5"/>
  <c r="C211" i="5"/>
  <c r="B211" i="5"/>
  <c r="A211" i="5"/>
  <c r="L210" i="5"/>
  <c r="G210" i="5"/>
  <c r="E210" i="5"/>
  <c r="J209" i="5"/>
  <c r="F209" i="5"/>
  <c r="E209" i="5"/>
  <c r="J208" i="5"/>
  <c r="F208" i="5"/>
  <c r="E208" i="5"/>
  <c r="K207" i="5"/>
  <c r="J207" i="5"/>
  <c r="H207" i="5"/>
  <c r="G207" i="5"/>
  <c r="F207" i="5"/>
  <c r="K206" i="5"/>
  <c r="J206" i="5"/>
  <c r="H206" i="5"/>
  <c r="R206" i="5" s="1"/>
  <c r="G206" i="5"/>
  <c r="F206" i="5"/>
  <c r="K205" i="5"/>
  <c r="J205" i="5"/>
  <c r="H205" i="5"/>
  <c r="G205" i="5"/>
  <c r="F205" i="5"/>
  <c r="K204" i="5"/>
  <c r="J204" i="5"/>
  <c r="H204" i="5"/>
  <c r="R204" i="5" s="1"/>
  <c r="G204" i="5"/>
  <c r="F204" i="5"/>
  <c r="C203" i="5"/>
  <c r="V202" i="5"/>
  <c r="T202" i="5"/>
  <c r="U202" i="5"/>
  <c r="H209" i="5" s="1"/>
  <c r="S202" i="5"/>
  <c r="F202" i="5"/>
  <c r="E202" i="5"/>
  <c r="D202" i="5"/>
  <c r="I202" i="5"/>
  <c r="C202" i="5"/>
  <c r="B202" i="5"/>
  <c r="A202" i="5"/>
  <c r="L201" i="5"/>
  <c r="Q201" i="5" s="1"/>
  <c r="Z201" i="5"/>
  <c r="Y201" i="5"/>
  <c r="X201" i="5"/>
  <c r="K200" i="5"/>
  <c r="J200" i="5"/>
  <c r="Z200" i="5"/>
  <c r="Y200" i="5"/>
  <c r="X200" i="5"/>
  <c r="H200" i="5"/>
  <c r="W200" i="5" s="1"/>
  <c r="F200" i="5"/>
  <c r="V200" i="5"/>
  <c r="T200" i="5"/>
  <c r="U200" i="5"/>
  <c r="S200" i="5"/>
  <c r="E200" i="5"/>
  <c r="D200" i="5"/>
  <c r="C200" i="5"/>
  <c r="B200" i="5"/>
  <c r="A200" i="5"/>
  <c r="L199" i="5"/>
  <c r="G199" i="5"/>
  <c r="E199" i="5"/>
  <c r="J198" i="5"/>
  <c r="E198" i="5"/>
  <c r="J197" i="5"/>
  <c r="E197" i="5"/>
  <c r="K196" i="5"/>
  <c r="J196" i="5"/>
  <c r="H196" i="5"/>
  <c r="G196" i="5"/>
  <c r="F196" i="5"/>
  <c r="K195" i="5"/>
  <c r="J195" i="5"/>
  <c r="H195" i="5"/>
  <c r="R195" i="5" s="1"/>
  <c r="G195" i="5"/>
  <c r="F195" i="5"/>
  <c r="K194" i="5"/>
  <c r="J194" i="5"/>
  <c r="H194" i="5"/>
  <c r="G194" i="5"/>
  <c r="F194" i="5"/>
  <c r="K193" i="5"/>
  <c r="J193" i="5"/>
  <c r="H193" i="5"/>
  <c r="R193" i="5" s="1"/>
  <c r="G193" i="5"/>
  <c r="F193" i="5"/>
  <c r="C192" i="5"/>
  <c r="V191" i="5"/>
  <c r="T191" i="5"/>
  <c r="K197" i="5" s="1"/>
  <c r="U191" i="5"/>
  <c r="S191" i="5"/>
  <c r="F191" i="5"/>
  <c r="E191" i="5"/>
  <c r="D191" i="5"/>
  <c r="I191" i="5"/>
  <c r="C191" i="5"/>
  <c r="B191" i="5"/>
  <c r="A191" i="5"/>
  <c r="L190" i="5"/>
  <c r="Q190" i="5" s="1"/>
  <c r="Z190" i="5"/>
  <c r="Y190" i="5"/>
  <c r="X190" i="5"/>
  <c r="L189" i="5"/>
  <c r="G189" i="5"/>
  <c r="E189" i="5"/>
  <c r="J188" i="5"/>
  <c r="F188" i="5"/>
  <c r="E188" i="5"/>
  <c r="J187" i="5"/>
  <c r="F187" i="5"/>
  <c r="E187" i="5"/>
  <c r="K186" i="5"/>
  <c r="J186" i="5"/>
  <c r="H186" i="5"/>
  <c r="G186" i="5"/>
  <c r="F186" i="5"/>
  <c r="K185" i="5"/>
  <c r="J185" i="5"/>
  <c r="H185" i="5"/>
  <c r="R185" i="5" s="1"/>
  <c r="G185" i="5"/>
  <c r="F185" i="5"/>
  <c r="K184" i="5"/>
  <c r="J184" i="5"/>
  <c r="H184" i="5"/>
  <c r="G184" i="5"/>
  <c r="F184" i="5"/>
  <c r="K183" i="5"/>
  <c r="J183" i="5"/>
  <c r="H183" i="5"/>
  <c r="R183" i="5" s="1"/>
  <c r="G183" i="5"/>
  <c r="F183" i="5"/>
  <c r="C182" i="5"/>
  <c r="V181" i="5"/>
  <c r="K188" i="5" s="1"/>
  <c r="T181" i="5"/>
  <c r="K187" i="5" s="1"/>
  <c r="U181" i="5"/>
  <c r="H188" i="5" s="1"/>
  <c r="S181" i="5"/>
  <c r="H187" i="5" s="1"/>
  <c r="F181" i="5"/>
  <c r="E181" i="5"/>
  <c r="D181" i="5"/>
  <c r="I181" i="5"/>
  <c r="C181" i="5"/>
  <c r="B181" i="5"/>
  <c r="A181" i="5"/>
  <c r="L180" i="5"/>
  <c r="Q180" i="5" s="1"/>
  <c r="Z180" i="5"/>
  <c r="Y180" i="5"/>
  <c r="X180" i="5"/>
  <c r="K179" i="5"/>
  <c r="J179" i="5"/>
  <c r="Z179" i="5"/>
  <c r="Y179" i="5"/>
  <c r="X179" i="5"/>
  <c r="H179" i="5"/>
  <c r="W179" i="5" s="1"/>
  <c r="F179" i="5"/>
  <c r="V179" i="5"/>
  <c r="T179" i="5"/>
  <c r="U179" i="5"/>
  <c r="S179" i="5"/>
  <c r="E179" i="5"/>
  <c r="D179" i="5"/>
  <c r="C179" i="5"/>
  <c r="B179" i="5"/>
  <c r="A179" i="5"/>
  <c r="K178" i="5"/>
  <c r="J178" i="5"/>
  <c r="Z178" i="5"/>
  <c r="Y178" i="5"/>
  <c r="X178" i="5"/>
  <c r="H178" i="5"/>
  <c r="W178" i="5" s="1"/>
  <c r="F178" i="5"/>
  <c r="V178" i="5"/>
  <c r="T178" i="5"/>
  <c r="U178" i="5"/>
  <c r="S178" i="5"/>
  <c r="E178" i="5"/>
  <c r="D178" i="5"/>
  <c r="C178" i="5"/>
  <c r="B178" i="5"/>
  <c r="A178" i="5"/>
  <c r="L177" i="5"/>
  <c r="G177" i="5"/>
  <c r="E177" i="5"/>
  <c r="J176" i="5"/>
  <c r="F176" i="5"/>
  <c r="E176" i="5"/>
  <c r="J175" i="5"/>
  <c r="F175" i="5"/>
  <c r="E175" i="5"/>
  <c r="K174" i="5"/>
  <c r="J174" i="5"/>
  <c r="H174" i="5"/>
  <c r="G174" i="5"/>
  <c r="F174" i="5"/>
  <c r="K173" i="5"/>
  <c r="J173" i="5"/>
  <c r="H173" i="5"/>
  <c r="R173" i="5" s="1"/>
  <c r="G173" i="5"/>
  <c r="F173" i="5"/>
  <c r="K172" i="5"/>
  <c r="J172" i="5"/>
  <c r="H172" i="5"/>
  <c r="G172" i="5"/>
  <c r="F172" i="5"/>
  <c r="K171" i="5"/>
  <c r="J171" i="5"/>
  <c r="H171" i="5"/>
  <c r="R171" i="5" s="1"/>
  <c r="G171" i="5"/>
  <c r="F171" i="5"/>
  <c r="C170" i="5"/>
  <c r="V169" i="5"/>
  <c r="T169" i="5"/>
  <c r="K175" i="5" s="1"/>
  <c r="U169" i="5"/>
  <c r="S169" i="5"/>
  <c r="F169" i="5"/>
  <c r="E169" i="5"/>
  <c r="D169" i="5"/>
  <c r="I169" i="5"/>
  <c r="C169" i="5"/>
  <c r="B169" i="5"/>
  <c r="A169" i="5"/>
  <c r="L168" i="5"/>
  <c r="Q168" i="5" s="1"/>
  <c r="Z168" i="5"/>
  <c r="Y168" i="5"/>
  <c r="X168" i="5"/>
  <c r="K167" i="5"/>
  <c r="J167" i="5"/>
  <c r="Z167" i="5"/>
  <c r="Y167" i="5"/>
  <c r="X167" i="5"/>
  <c r="H167" i="5"/>
  <c r="W167" i="5" s="1"/>
  <c r="F167" i="5"/>
  <c r="V167" i="5"/>
  <c r="T167" i="5"/>
  <c r="U167" i="5"/>
  <c r="S167" i="5"/>
  <c r="E167" i="5"/>
  <c r="D167" i="5"/>
  <c r="C167" i="5"/>
  <c r="B167" i="5"/>
  <c r="A167" i="5"/>
  <c r="K166" i="5"/>
  <c r="J166" i="5"/>
  <c r="Z166" i="5"/>
  <c r="Y166" i="5"/>
  <c r="X166" i="5"/>
  <c r="H166" i="5"/>
  <c r="W166" i="5" s="1"/>
  <c r="F166" i="5"/>
  <c r="V166" i="5"/>
  <c r="T166" i="5"/>
  <c r="U166" i="5"/>
  <c r="S166" i="5"/>
  <c r="E166" i="5"/>
  <c r="D166" i="5"/>
  <c r="C166" i="5"/>
  <c r="B166" i="5"/>
  <c r="A166" i="5"/>
  <c r="K165" i="5"/>
  <c r="J165" i="5"/>
  <c r="Z165" i="5"/>
  <c r="Y165" i="5"/>
  <c r="X165" i="5"/>
  <c r="H165" i="5"/>
  <c r="W165" i="5" s="1"/>
  <c r="F165" i="5"/>
  <c r="V165" i="5"/>
  <c r="T165" i="5"/>
  <c r="U165" i="5"/>
  <c r="S165" i="5"/>
  <c r="E165" i="5"/>
  <c r="D165" i="5"/>
  <c r="C165" i="5"/>
  <c r="B165" i="5"/>
  <c r="A165" i="5"/>
  <c r="L164" i="5"/>
  <c r="G164" i="5"/>
  <c r="E164" i="5"/>
  <c r="J163" i="5"/>
  <c r="F163" i="5"/>
  <c r="E163" i="5"/>
  <c r="J162" i="5"/>
  <c r="F162" i="5"/>
  <c r="E162" i="5"/>
  <c r="K161" i="5"/>
  <c r="J161" i="5"/>
  <c r="H161" i="5"/>
  <c r="G161" i="5"/>
  <c r="F161" i="5"/>
  <c r="K160" i="5"/>
  <c r="J160" i="5"/>
  <c r="H160" i="5"/>
  <c r="R160" i="5" s="1"/>
  <c r="G160" i="5"/>
  <c r="F160" i="5"/>
  <c r="K159" i="5"/>
  <c r="J159" i="5"/>
  <c r="H159" i="5"/>
  <c r="G159" i="5"/>
  <c r="F159" i="5"/>
  <c r="K158" i="5"/>
  <c r="J158" i="5"/>
  <c r="H158" i="5"/>
  <c r="R158" i="5" s="1"/>
  <c r="G158" i="5"/>
  <c r="F158" i="5"/>
  <c r="C157" i="5"/>
  <c r="V156" i="5"/>
  <c r="T156" i="5"/>
  <c r="U156" i="5"/>
  <c r="S156" i="5"/>
  <c r="F156" i="5"/>
  <c r="E156" i="5"/>
  <c r="D156" i="5"/>
  <c r="I156" i="5"/>
  <c r="C156" i="5"/>
  <c r="B156" i="5"/>
  <c r="A156" i="5"/>
  <c r="L155" i="5"/>
  <c r="Q155" i="5" s="1"/>
  <c r="Z155" i="5"/>
  <c r="Y155" i="5"/>
  <c r="X155" i="5"/>
  <c r="K154" i="5"/>
  <c r="J154" i="5"/>
  <c r="Z154" i="5"/>
  <c r="Y154" i="5"/>
  <c r="X154" i="5"/>
  <c r="H154" i="5"/>
  <c r="W154" i="5" s="1"/>
  <c r="F154" i="5"/>
  <c r="V154" i="5"/>
  <c r="T154" i="5"/>
  <c r="U154" i="5"/>
  <c r="S154" i="5"/>
  <c r="E154" i="5"/>
  <c r="D154" i="5"/>
  <c r="C154" i="5"/>
  <c r="B154" i="5"/>
  <c r="A154" i="5"/>
  <c r="K153" i="5"/>
  <c r="J153" i="5"/>
  <c r="Z153" i="5"/>
  <c r="Y153" i="5"/>
  <c r="X153" i="5"/>
  <c r="H153" i="5"/>
  <c r="W153" i="5" s="1"/>
  <c r="F153" i="5"/>
  <c r="V153" i="5"/>
  <c r="T153" i="5"/>
  <c r="U153" i="5"/>
  <c r="S153" i="5"/>
  <c r="E153" i="5"/>
  <c r="D153" i="5"/>
  <c r="C153" i="5"/>
  <c r="B153" i="5"/>
  <c r="A153" i="5"/>
  <c r="K152" i="5"/>
  <c r="J152" i="5"/>
  <c r="Z152" i="5"/>
  <c r="Y152" i="5"/>
  <c r="X152" i="5"/>
  <c r="H152" i="5"/>
  <c r="W152" i="5" s="1"/>
  <c r="F152" i="5"/>
  <c r="V152" i="5"/>
  <c r="T152" i="5"/>
  <c r="U152" i="5"/>
  <c r="S152" i="5"/>
  <c r="E152" i="5"/>
  <c r="D152" i="5"/>
  <c r="C152" i="5"/>
  <c r="B152" i="5"/>
  <c r="A152" i="5"/>
  <c r="L151" i="5"/>
  <c r="G151" i="5"/>
  <c r="E151" i="5"/>
  <c r="J150" i="5"/>
  <c r="F150" i="5"/>
  <c r="E150" i="5"/>
  <c r="J149" i="5"/>
  <c r="F149" i="5"/>
  <c r="E149" i="5"/>
  <c r="K148" i="5"/>
  <c r="J148" i="5"/>
  <c r="H148" i="5"/>
  <c r="G148" i="5"/>
  <c r="F148" i="5"/>
  <c r="K147" i="5"/>
  <c r="J147" i="5"/>
  <c r="H147" i="5"/>
  <c r="R147" i="5" s="1"/>
  <c r="G147" i="5"/>
  <c r="F147" i="5"/>
  <c r="C146" i="5"/>
  <c r="V145" i="5"/>
  <c r="T145" i="5"/>
  <c r="U145" i="5"/>
  <c r="S145" i="5"/>
  <c r="H149" i="5" s="1"/>
  <c r="F145" i="5"/>
  <c r="E145" i="5"/>
  <c r="D145" i="5"/>
  <c r="I145" i="5"/>
  <c r="C145" i="5"/>
  <c r="B145" i="5"/>
  <c r="A145" i="5"/>
  <c r="L144" i="5"/>
  <c r="Q144" i="5" s="1"/>
  <c r="Z144" i="5"/>
  <c r="Y144" i="5"/>
  <c r="X144" i="5"/>
  <c r="K143" i="5"/>
  <c r="J143" i="5"/>
  <c r="Z143" i="5"/>
  <c r="Y143" i="5"/>
  <c r="X143" i="5"/>
  <c r="H143" i="5"/>
  <c r="W143" i="5" s="1"/>
  <c r="F143" i="5"/>
  <c r="V143" i="5"/>
  <c r="T143" i="5"/>
  <c r="U143" i="5"/>
  <c r="S143" i="5"/>
  <c r="E143" i="5"/>
  <c r="D143" i="5"/>
  <c r="C143" i="5"/>
  <c r="B143" i="5"/>
  <c r="A143" i="5"/>
  <c r="K142" i="5"/>
  <c r="J142" i="5"/>
  <c r="Z142" i="5"/>
  <c r="Y142" i="5"/>
  <c r="X142" i="5"/>
  <c r="H142" i="5"/>
  <c r="W142" i="5" s="1"/>
  <c r="F142" i="5"/>
  <c r="V142" i="5"/>
  <c r="T142" i="5"/>
  <c r="U142" i="5"/>
  <c r="S142" i="5"/>
  <c r="E142" i="5"/>
  <c r="D142" i="5"/>
  <c r="C142" i="5"/>
  <c r="B142" i="5"/>
  <c r="A142" i="5"/>
  <c r="K141" i="5"/>
  <c r="J141" i="5"/>
  <c r="Z141" i="5"/>
  <c r="Y141" i="5"/>
  <c r="X141" i="5"/>
  <c r="H141" i="5"/>
  <c r="W141" i="5" s="1"/>
  <c r="F141" i="5"/>
  <c r="V141" i="5"/>
  <c r="T141" i="5"/>
  <c r="U141" i="5"/>
  <c r="S141" i="5"/>
  <c r="E141" i="5"/>
  <c r="D141" i="5"/>
  <c r="C141" i="5"/>
  <c r="B141" i="5"/>
  <c r="A141" i="5"/>
  <c r="K140" i="5"/>
  <c r="J140" i="5"/>
  <c r="Z140" i="5"/>
  <c r="Y140" i="5"/>
  <c r="X140" i="5"/>
  <c r="H140" i="5"/>
  <c r="W140" i="5" s="1"/>
  <c r="F140" i="5"/>
  <c r="V140" i="5"/>
  <c r="T140" i="5"/>
  <c r="U140" i="5"/>
  <c r="S140" i="5"/>
  <c r="E140" i="5"/>
  <c r="D140" i="5"/>
  <c r="C140" i="5"/>
  <c r="B140" i="5"/>
  <c r="A140" i="5"/>
  <c r="K139" i="5"/>
  <c r="J139" i="5"/>
  <c r="Z139" i="5"/>
  <c r="Y139" i="5"/>
  <c r="X139" i="5"/>
  <c r="H139" i="5"/>
  <c r="W139" i="5" s="1"/>
  <c r="F139" i="5"/>
  <c r="V139" i="5"/>
  <c r="T139" i="5"/>
  <c r="U139" i="5"/>
  <c r="S139" i="5"/>
  <c r="E139" i="5"/>
  <c r="D139" i="5"/>
  <c r="C139" i="5"/>
  <c r="B139" i="5"/>
  <c r="A139" i="5"/>
  <c r="K138" i="5"/>
  <c r="J138" i="5"/>
  <c r="Z138" i="5"/>
  <c r="Y138" i="5"/>
  <c r="X138" i="5"/>
  <c r="H138" i="5"/>
  <c r="W138" i="5" s="1"/>
  <c r="F138" i="5"/>
  <c r="V138" i="5"/>
  <c r="T138" i="5"/>
  <c r="U138" i="5"/>
  <c r="S138" i="5"/>
  <c r="E138" i="5"/>
  <c r="D138" i="5"/>
  <c r="C138" i="5"/>
  <c r="B138" i="5"/>
  <c r="A138" i="5"/>
  <c r="K137" i="5"/>
  <c r="J137" i="5"/>
  <c r="Z137" i="5"/>
  <c r="Y137" i="5"/>
  <c r="X137" i="5"/>
  <c r="H137" i="5"/>
  <c r="W137" i="5" s="1"/>
  <c r="F137" i="5"/>
  <c r="V137" i="5"/>
  <c r="T137" i="5"/>
  <c r="U137" i="5"/>
  <c r="S137" i="5"/>
  <c r="E137" i="5"/>
  <c r="D137" i="5"/>
  <c r="C137" i="5"/>
  <c r="B137" i="5"/>
  <c r="A137" i="5"/>
  <c r="K136" i="5"/>
  <c r="J136" i="5"/>
  <c r="Z136" i="5"/>
  <c r="Y136" i="5"/>
  <c r="X136" i="5"/>
  <c r="H136" i="5"/>
  <c r="W136" i="5" s="1"/>
  <c r="F136" i="5"/>
  <c r="V136" i="5"/>
  <c r="T136" i="5"/>
  <c r="U136" i="5"/>
  <c r="S136" i="5"/>
  <c r="E136" i="5"/>
  <c r="D136" i="5"/>
  <c r="C136" i="5"/>
  <c r="B136" i="5"/>
  <c r="A136" i="5"/>
  <c r="K135" i="5"/>
  <c r="J135" i="5"/>
  <c r="Z135" i="5"/>
  <c r="Y135" i="5"/>
  <c r="X135" i="5"/>
  <c r="H135" i="5"/>
  <c r="W135" i="5" s="1"/>
  <c r="F135" i="5"/>
  <c r="V135" i="5"/>
  <c r="T135" i="5"/>
  <c r="U135" i="5"/>
  <c r="S135" i="5"/>
  <c r="E135" i="5"/>
  <c r="D135" i="5"/>
  <c r="C135" i="5"/>
  <c r="B135" i="5"/>
  <c r="A135" i="5"/>
  <c r="K134" i="5"/>
  <c r="J134" i="5"/>
  <c r="Z134" i="5"/>
  <c r="Y134" i="5"/>
  <c r="X134" i="5"/>
  <c r="H134" i="5"/>
  <c r="W134" i="5" s="1"/>
  <c r="F134" i="5"/>
  <c r="V134" i="5"/>
  <c r="T134" i="5"/>
  <c r="U134" i="5"/>
  <c r="S134" i="5"/>
  <c r="E134" i="5"/>
  <c r="D134" i="5"/>
  <c r="C134" i="5"/>
  <c r="B134" i="5"/>
  <c r="A134" i="5"/>
  <c r="K133" i="5"/>
  <c r="J133" i="5"/>
  <c r="Z133" i="5"/>
  <c r="Y133" i="5"/>
  <c r="X133" i="5"/>
  <c r="H133" i="5"/>
  <c r="W133" i="5" s="1"/>
  <c r="F133" i="5"/>
  <c r="V133" i="5"/>
  <c r="T133" i="5"/>
  <c r="U133" i="5"/>
  <c r="S133" i="5"/>
  <c r="E133" i="5"/>
  <c r="D133" i="5"/>
  <c r="C133" i="5"/>
  <c r="B133" i="5"/>
  <c r="A133" i="5"/>
  <c r="K132" i="5"/>
  <c r="J132" i="5"/>
  <c r="Z132" i="5"/>
  <c r="Y132" i="5"/>
  <c r="X132" i="5"/>
  <c r="H132" i="5"/>
  <c r="W132" i="5" s="1"/>
  <c r="F132" i="5"/>
  <c r="V132" i="5"/>
  <c r="T132" i="5"/>
  <c r="U132" i="5"/>
  <c r="S132" i="5"/>
  <c r="E132" i="5"/>
  <c r="D132" i="5"/>
  <c r="C132" i="5"/>
  <c r="B132" i="5"/>
  <c r="A132" i="5"/>
  <c r="L131" i="5"/>
  <c r="G131" i="5"/>
  <c r="E131" i="5"/>
  <c r="J130" i="5"/>
  <c r="F130" i="5"/>
  <c r="E130" i="5"/>
  <c r="J129" i="5"/>
  <c r="F129" i="5"/>
  <c r="E129" i="5"/>
  <c r="K128" i="5"/>
  <c r="J128" i="5"/>
  <c r="H128" i="5"/>
  <c r="G128" i="5"/>
  <c r="F128" i="5"/>
  <c r="K127" i="5"/>
  <c r="J127" i="5"/>
  <c r="H127" i="5"/>
  <c r="R127" i="5" s="1"/>
  <c r="G127" i="5"/>
  <c r="F127" i="5"/>
  <c r="K126" i="5"/>
  <c r="J126" i="5"/>
  <c r="H126" i="5"/>
  <c r="G126" i="5"/>
  <c r="F126" i="5"/>
  <c r="K125" i="5"/>
  <c r="J125" i="5"/>
  <c r="H125" i="5"/>
  <c r="G125" i="5"/>
  <c r="F125" i="5"/>
  <c r="C124" i="5"/>
  <c r="V123" i="5"/>
  <c r="T123" i="5"/>
  <c r="U123" i="5"/>
  <c r="S123" i="5"/>
  <c r="F123" i="5"/>
  <c r="E123" i="5"/>
  <c r="D123" i="5"/>
  <c r="I123" i="5"/>
  <c r="C123" i="5"/>
  <c r="B123" i="5"/>
  <c r="A123" i="5"/>
  <c r="L122" i="5"/>
  <c r="Q122" i="5" s="1"/>
  <c r="Z122" i="5"/>
  <c r="Y122" i="5"/>
  <c r="X122" i="5"/>
  <c r="K121" i="5"/>
  <c r="J121" i="5"/>
  <c r="Z121" i="5"/>
  <c r="Y121" i="5"/>
  <c r="X121" i="5"/>
  <c r="H121" i="5"/>
  <c r="W121" i="5" s="1"/>
  <c r="F121" i="5"/>
  <c r="V121" i="5"/>
  <c r="T121" i="5"/>
  <c r="U121" i="5"/>
  <c r="S121" i="5"/>
  <c r="E121" i="5"/>
  <c r="D121" i="5"/>
  <c r="C121" i="5"/>
  <c r="B121" i="5"/>
  <c r="A121" i="5"/>
  <c r="K120" i="5"/>
  <c r="J120" i="5"/>
  <c r="Z120" i="5"/>
  <c r="Y120" i="5"/>
  <c r="X120" i="5"/>
  <c r="H120" i="5"/>
  <c r="W120" i="5" s="1"/>
  <c r="F120" i="5"/>
  <c r="V120" i="5"/>
  <c r="T120" i="5"/>
  <c r="U120" i="5"/>
  <c r="S120" i="5"/>
  <c r="E120" i="5"/>
  <c r="D120" i="5"/>
  <c r="C120" i="5"/>
  <c r="B120" i="5"/>
  <c r="A120" i="5"/>
  <c r="K119" i="5"/>
  <c r="J119" i="5"/>
  <c r="Z119" i="5"/>
  <c r="Y119" i="5"/>
  <c r="X119" i="5"/>
  <c r="H119" i="5"/>
  <c r="W119" i="5" s="1"/>
  <c r="F119" i="5"/>
  <c r="V119" i="5"/>
  <c r="T119" i="5"/>
  <c r="U119" i="5"/>
  <c r="S119" i="5"/>
  <c r="E119" i="5"/>
  <c r="D119" i="5"/>
  <c r="C119" i="5"/>
  <c r="B119" i="5"/>
  <c r="A119" i="5"/>
  <c r="K118" i="5"/>
  <c r="J118" i="5"/>
  <c r="Z118" i="5"/>
  <c r="Y118" i="5"/>
  <c r="X118" i="5"/>
  <c r="H118" i="5"/>
  <c r="W118" i="5" s="1"/>
  <c r="F118" i="5"/>
  <c r="V118" i="5"/>
  <c r="T118" i="5"/>
  <c r="U118" i="5"/>
  <c r="S118" i="5"/>
  <c r="E118" i="5"/>
  <c r="D118" i="5"/>
  <c r="C118" i="5"/>
  <c r="B118" i="5"/>
  <c r="A118" i="5"/>
  <c r="L117" i="5"/>
  <c r="G117" i="5"/>
  <c r="E117" i="5"/>
  <c r="J116" i="5"/>
  <c r="F116" i="5"/>
  <c r="E116" i="5"/>
  <c r="J115" i="5"/>
  <c r="F115" i="5"/>
  <c r="E115" i="5"/>
  <c r="K114" i="5"/>
  <c r="J114" i="5"/>
  <c r="H114" i="5"/>
  <c r="G114" i="5"/>
  <c r="F114" i="5"/>
  <c r="K113" i="5"/>
  <c r="J113" i="5"/>
  <c r="H113" i="5"/>
  <c r="R113" i="5" s="1"/>
  <c r="G113" i="5"/>
  <c r="F113" i="5"/>
  <c r="K112" i="5"/>
  <c r="J112" i="5"/>
  <c r="H112" i="5"/>
  <c r="G112" i="5"/>
  <c r="F112" i="5"/>
  <c r="K111" i="5"/>
  <c r="J111" i="5"/>
  <c r="H111" i="5"/>
  <c r="R111" i="5" s="1"/>
  <c r="G111" i="5"/>
  <c r="F111" i="5"/>
  <c r="C110" i="5"/>
  <c r="V109" i="5"/>
  <c r="T109" i="5"/>
  <c r="U109" i="5"/>
  <c r="S109" i="5"/>
  <c r="F109" i="5"/>
  <c r="E109" i="5"/>
  <c r="D109" i="5"/>
  <c r="I109" i="5"/>
  <c r="C109" i="5"/>
  <c r="B109" i="5"/>
  <c r="A109" i="5"/>
  <c r="L108" i="5"/>
  <c r="Q108" i="5" s="1"/>
  <c r="Z108" i="5"/>
  <c r="Y108" i="5"/>
  <c r="X108" i="5"/>
  <c r="L107" i="5"/>
  <c r="G107" i="5"/>
  <c r="E107" i="5"/>
  <c r="J106" i="5"/>
  <c r="F106" i="5"/>
  <c r="E106" i="5"/>
  <c r="J105" i="5"/>
  <c r="F105" i="5"/>
  <c r="E105" i="5"/>
  <c r="K104" i="5"/>
  <c r="J104" i="5"/>
  <c r="H104" i="5"/>
  <c r="G104" i="5"/>
  <c r="F104" i="5"/>
  <c r="K103" i="5"/>
  <c r="J103" i="5"/>
  <c r="H103" i="5"/>
  <c r="R103" i="5" s="1"/>
  <c r="G103" i="5"/>
  <c r="F103" i="5"/>
  <c r="K102" i="5"/>
  <c r="J102" i="5"/>
  <c r="H102" i="5"/>
  <c r="G102" i="5"/>
  <c r="F102" i="5"/>
  <c r="K101" i="5"/>
  <c r="J101" i="5"/>
  <c r="H101" i="5"/>
  <c r="R101" i="5" s="1"/>
  <c r="G101" i="5"/>
  <c r="F101" i="5"/>
  <c r="C100" i="5"/>
  <c r="V99" i="5"/>
  <c r="K106" i="5" s="1"/>
  <c r="T99" i="5"/>
  <c r="K105" i="5" s="1"/>
  <c r="U99" i="5"/>
  <c r="H106" i="5" s="1"/>
  <c r="S99" i="5"/>
  <c r="H105" i="5" s="1"/>
  <c r="F99" i="5"/>
  <c r="E99" i="5"/>
  <c r="D99" i="5"/>
  <c r="I99" i="5"/>
  <c r="C99" i="5"/>
  <c r="B99" i="5"/>
  <c r="A99" i="5"/>
  <c r="L98" i="5"/>
  <c r="Q98" i="5" s="1"/>
  <c r="Z98" i="5"/>
  <c r="Y98" i="5"/>
  <c r="X98" i="5"/>
  <c r="L97" i="5"/>
  <c r="G97" i="5"/>
  <c r="E97" i="5"/>
  <c r="J96" i="5"/>
  <c r="F96" i="5"/>
  <c r="E96" i="5"/>
  <c r="J95" i="5"/>
  <c r="F95" i="5"/>
  <c r="E95" i="5"/>
  <c r="K94" i="5"/>
  <c r="J94" i="5"/>
  <c r="H94" i="5"/>
  <c r="G94" i="5"/>
  <c r="F94" i="5"/>
  <c r="K93" i="5"/>
  <c r="J93" i="5"/>
  <c r="H93" i="5"/>
  <c r="R93" i="5" s="1"/>
  <c r="G93" i="5"/>
  <c r="F93" i="5"/>
  <c r="K92" i="5"/>
  <c r="J92" i="5"/>
  <c r="H92" i="5"/>
  <c r="G92" i="5"/>
  <c r="F92" i="5"/>
  <c r="K91" i="5"/>
  <c r="J91" i="5"/>
  <c r="H91" i="5"/>
  <c r="R91" i="5" s="1"/>
  <c r="G91" i="5"/>
  <c r="F91" i="5"/>
  <c r="C90" i="5"/>
  <c r="V89" i="5"/>
  <c r="K96" i="5" s="1"/>
  <c r="T89" i="5"/>
  <c r="K95" i="5" s="1"/>
  <c r="U89" i="5"/>
  <c r="H96" i="5" s="1"/>
  <c r="S89" i="5"/>
  <c r="H95" i="5" s="1"/>
  <c r="F89" i="5"/>
  <c r="E89" i="5"/>
  <c r="D89" i="5"/>
  <c r="I89" i="5"/>
  <c r="C89" i="5"/>
  <c r="B89" i="5"/>
  <c r="A89" i="5"/>
  <c r="L88" i="5"/>
  <c r="Q88" i="5" s="1"/>
  <c r="Z88" i="5"/>
  <c r="Y88" i="5"/>
  <c r="X88" i="5"/>
  <c r="L87" i="5"/>
  <c r="G87" i="5"/>
  <c r="E87" i="5"/>
  <c r="J86" i="5"/>
  <c r="F86" i="5"/>
  <c r="E86" i="5"/>
  <c r="J85" i="5"/>
  <c r="F85" i="5"/>
  <c r="E85" i="5"/>
  <c r="K84" i="5"/>
  <c r="J84" i="5"/>
  <c r="H84" i="5"/>
  <c r="G84" i="5"/>
  <c r="F84" i="5"/>
  <c r="K83" i="5"/>
  <c r="J83" i="5"/>
  <c r="H83" i="5"/>
  <c r="R83" i="5" s="1"/>
  <c r="G83" i="5"/>
  <c r="F83" i="5"/>
  <c r="K82" i="5"/>
  <c r="J82" i="5"/>
  <c r="H82" i="5"/>
  <c r="G82" i="5"/>
  <c r="F82" i="5"/>
  <c r="K81" i="5"/>
  <c r="J81" i="5"/>
  <c r="H81" i="5"/>
  <c r="G81" i="5"/>
  <c r="F81" i="5"/>
  <c r="C80" i="5"/>
  <c r="V79" i="5"/>
  <c r="K86" i="5" s="1"/>
  <c r="T79" i="5"/>
  <c r="K85" i="5" s="1"/>
  <c r="U79" i="5"/>
  <c r="H86" i="5" s="1"/>
  <c r="S79" i="5"/>
  <c r="H85" i="5" s="1"/>
  <c r="F79" i="5"/>
  <c r="E79" i="5"/>
  <c r="D79" i="5"/>
  <c r="I79" i="5"/>
  <c r="C79" i="5"/>
  <c r="B79" i="5"/>
  <c r="A79" i="5"/>
  <c r="L78" i="5"/>
  <c r="Q78" i="5" s="1"/>
  <c r="Z78" i="5"/>
  <c r="Y78" i="5"/>
  <c r="X78" i="5"/>
  <c r="K77" i="5"/>
  <c r="J77" i="5"/>
  <c r="Z77" i="5"/>
  <c r="Y77" i="5"/>
  <c r="X77" i="5"/>
  <c r="H77" i="5"/>
  <c r="W77" i="5" s="1"/>
  <c r="F77" i="5"/>
  <c r="V77" i="5"/>
  <c r="T77" i="5"/>
  <c r="U77" i="5"/>
  <c r="S77" i="5"/>
  <c r="E77" i="5"/>
  <c r="D77" i="5"/>
  <c r="C77" i="5"/>
  <c r="B77" i="5"/>
  <c r="A77" i="5"/>
  <c r="K76" i="5"/>
  <c r="J76" i="5"/>
  <c r="Z76" i="5"/>
  <c r="Y76" i="5"/>
  <c r="X76" i="5"/>
  <c r="H76" i="5"/>
  <c r="W76" i="5" s="1"/>
  <c r="F76" i="5"/>
  <c r="V76" i="5"/>
  <c r="T76" i="5"/>
  <c r="U76" i="5"/>
  <c r="S76" i="5"/>
  <c r="E76" i="5"/>
  <c r="D76" i="5"/>
  <c r="C76" i="5"/>
  <c r="B76" i="5"/>
  <c r="A76" i="5"/>
  <c r="L75" i="5"/>
  <c r="G75" i="5"/>
  <c r="E75" i="5"/>
  <c r="J74" i="5"/>
  <c r="E74" i="5"/>
  <c r="J73" i="5"/>
  <c r="E73" i="5"/>
  <c r="K72" i="5"/>
  <c r="J72" i="5"/>
  <c r="H72" i="5"/>
  <c r="G72" i="5"/>
  <c r="F72" i="5"/>
  <c r="K71" i="5"/>
  <c r="J71" i="5"/>
  <c r="H71" i="5"/>
  <c r="G71" i="5"/>
  <c r="F71" i="5"/>
  <c r="K70" i="5"/>
  <c r="J70" i="5"/>
  <c r="H70" i="5"/>
  <c r="R70" i="5" s="1"/>
  <c r="G70" i="5"/>
  <c r="F70" i="5"/>
  <c r="C69" i="5"/>
  <c r="V68" i="5"/>
  <c r="T68" i="5"/>
  <c r="K73" i="5" s="1"/>
  <c r="U68" i="5"/>
  <c r="H74" i="5" s="1"/>
  <c r="S68" i="5"/>
  <c r="F68" i="5"/>
  <c r="E68" i="5"/>
  <c r="D68" i="5"/>
  <c r="I68" i="5"/>
  <c r="C68" i="5"/>
  <c r="B68" i="5"/>
  <c r="A68" i="5"/>
  <c r="L67" i="5"/>
  <c r="Q67" i="5" s="1"/>
  <c r="Z67" i="5"/>
  <c r="Y67" i="5"/>
  <c r="X67" i="5"/>
  <c r="L66" i="5"/>
  <c r="G66" i="5"/>
  <c r="E66" i="5"/>
  <c r="J65" i="5"/>
  <c r="F65" i="5"/>
  <c r="E65" i="5"/>
  <c r="J64" i="5"/>
  <c r="F64" i="5"/>
  <c r="E64" i="5"/>
  <c r="K63" i="5"/>
  <c r="J63" i="5"/>
  <c r="H63" i="5"/>
  <c r="G63" i="5"/>
  <c r="F63" i="5"/>
  <c r="C62" i="5"/>
  <c r="V61" i="5"/>
  <c r="K65" i="5" s="1"/>
  <c r="T61" i="5"/>
  <c r="K64" i="5" s="1"/>
  <c r="U61" i="5"/>
  <c r="H65" i="5" s="1"/>
  <c r="S61" i="5"/>
  <c r="H64" i="5" s="1"/>
  <c r="F61" i="5"/>
  <c r="E61" i="5"/>
  <c r="D61" i="5"/>
  <c r="I61" i="5"/>
  <c r="C61" i="5"/>
  <c r="B61" i="5"/>
  <c r="A61" i="5"/>
  <c r="L60" i="5"/>
  <c r="Q60" i="5" s="1"/>
  <c r="Z60" i="5"/>
  <c r="Y60" i="5"/>
  <c r="X60" i="5"/>
  <c r="K59" i="5"/>
  <c r="J59" i="5"/>
  <c r="Z59" i="5"/>
  <c r="Y59" i="5"/>
  <c r="X59" i="5"/>
  <c r="H59" i="5"/>
  <c r="W59" i="5" s="1"/>
  <c r="F59" i="5"/>
  <c r="V59" i="5"/>
  <c r="T59" i="5"/>
  <c r="U59" i="5"/>
  <c r="S59" i="5"/>
  <c r="E59" i="5"/>
  <c r="D59" i="5"/>
  <c r="C59" i="5"/>
  <c r="B59" i="5"/>
  <c r="A59" i="5"/>
  <c r="L58" i="5"/>
  <c r="G58" i="5"/>
  <c r="E58" i="5"/>
  <c r="J57" i="5"/>
  <c r="E57" i="5"/>
  <c r="J56" i="5"/>
  <c r="E56" i="5"/>
  <c r="K55" i="5"/>
  <c r="J55" i="5"/>
  <c r="H55" i="5"/>
  <c r="G55" i="5"/>
  <c r="F55" i="5"/>
  <c r="K54" i="5"/>
  <c r="J54" i="5"/>
  <c r="H54" i="5"/>
  <c r="R54" i="5" s="1"/>
  <c r="G54" i="5"/>
  <c r="F54" i="5"/>
  <c r="K53" i="5"/>
  <c r="J53" i="5"/>
  <c r="H53" i="5"/>
  <c r="G53" i="5"/>
  <c r="F53" i="5"/>
  <c r="K52" i="5"/>
  <c r="J52" i="5"/>
  <c r="H52" i="5"/>
  <c r="R52" i="5" s="1"/>
  <c r="G52" i="5"/>
  <c r="F52" i="5"/>
  <c r="C51" i="5"/>
  <c r="V50" i="5"/>
  <c r="T50" i="5"/>
  <c r="U50" i="5"/>
  <c r="S50" i="5"/>
  <c r="F50" i="5"/>
  <c r="E50" i="5"/>
  <c r="D50" i="5"/>
  <c r="I50" i="5"/>
  <c r="C50" i="5"/>
  <c r="B50" i="5"/>
  <c r="A50" i="5"/>
  <c r="L49" i="5"/>
  <c r="Q49" i="5" s="1"/>
  <c r="Z49" i="5"/>
  <c r="Y49" i="5"/>
  <c r="X49" i="5"/>
  <c r="L48" i="5"/>
  <c r="G48" i="5"/>
  <c r="E48" i="5"/>
  <c r="J47" i="5"/>
  <c r="E47" i="5"/>
  <c r="J46" i="5"/>
  <c r="E46" i="5"/>
  <c r="K45" i="5"/>
  <c r="J45" i="5"/>
  <c r="H45" i="5"/>
  <c r="R45" i="5" s="1"/>
  <c r="G45" i="5"/>
  <c r="F45" i="5"/>
  <c r="C44" i="5"/>
  <c r="V43" i="5"/>
  <c r="K47" i="5" s="1"/>
  <c r="T43" i="5"/>
  <c r="K46" i="5" s="1"/>
  <c r="U43" i="5"/>
  <c r="H47" i="5" s="1"/>
  <c r="S43" i="5"/>
  <c r="H46" i="5" s="1"/>
  <c r="F43" i="5"/>
  <c r="E43" i="5"/>
  <c r="D43" i="5"/>
  <c r="I43" i="5"/>
  <c r="C43" i="5"/>
  <c r="B43" i="5"/>
  <c r="A43" i="5"/>
  <c r="L42" i="5"/>
  <c r="Q42" i="5" s="1"/>
  <c r="Z42" i="5"/>
  <c r="Y42" i="5"/>
  <c r="X42" i="5"/>
  <c r="L41" i="5"/>
  <c r="G41" i="5"/>
  <c r="E41" i="5"/>
  <c r="J40" i="5"/>
  <c r="E40" i="5"/>
  <c r="J39" i="5"/>
  <c r="E39" i="5"/>
  <c r="K38" i="5"/>
  <c r="J38" i="5"/>
  <c r="H38" i="5"/>
  <c r="R38" i="5" s="1"/>
  <c r="G38" i="5"/>
  <c r="F38" i="5"/>
  <c r="K37" i="5"/>
  <c r="J37" i="5"/>
  <c r="H37" i="5"/>
  <c r="G37" i="5"/>
  <c r="F37" i="5"/>
  <c r="K36" i="5"/>
  <c r="J36" i="5"/>
  <c r="H36" i="5"/>
  <c r="R36" i="5" s="1"/>
  <c r="G36" i="5"/>
  <c r="F36" i="5"/>
  <c r="C35" i="5"/>
  <c r="V34" i="5"/>
  <c r="K40" i="5" s="1"/>
  <c r="T34" i="5"/>
  <c r="K39" i="5" s="1"/>
  <c r="U34" i="5"/>
  <c r="H40" i="5" s="1"/>
  <c r="S34" i="5"/>
  <c r="H39" i="5" s="1"/>
  <c r="F34" i="5"/>
  <c r="E34" i="5"/>
  <c r="D34" i="5"/>
  <c r="I34" i="5"/>
  <c r="C34" i="5"/>
  <c r="B34" i="5"/>
  <c r="A34" i="5"/>
  <c r="L33" i="5"/>
  <c r="Q33" i="5" s="1"/>
  <c r="Z33" i="5"/>
  <c r="Y33" i="5"/>
  <c r="X33" i="5"/>
  <c r="L32" i="5"/>
  <c r="G32" i="5"/>
  <c r="E32" i="5"/>
  <c r="J31" i="5"/>
  <c r="E31" i="5"/>
  <c r="J30" i="5"/>
  <c r="E30" i="5"/>
  <c r="K29" i="5"/>
  <c r="J29" i="5"/>
  <c r="H29" i="5"/>
  <c r="R29" i="5" s="1"/>
  <c r="G29" i="5"/>
  <c r="F29" i="5"/>
  <c r="C28" i="5"/>
  <c r="V27" i="5"/>
  <c r="K31" i="5" s="1"/>
  <c r="T27" i="5"/>
  <c r="K30" i="5" s="1"/>
  <c r="U27" i="5"/>
  <c r="H31" i="5" s="1"/>
  <c r="S27" i="5"/>
  <c r="H30" i="5" s="1"/>
  <c r="F27" i="5"/>
  <c r="E27" i="5"/>
  <c r="D27" i="5"/>
  <c r="I27" i="5"/>
  <c r="C27" i="5"/>
  <c r="B27" i="5"/>
  <c r="A27" i="5"/>
  <c r="A26" i="5"/>
  <c r="A10" i="5"/>
  <c r="B6" i="5"/>
  <c r="A1" i="5"/>
  <c r="H57" i="5" l="1"/>
  <c r="K116" i="5"/>
  <c r="H198" i="5"/>
  <c r="G201" i="5" s="1"/>
  <c r="O201" i="5" s="1"/>
  <c r="K255" i="5"/>
  <c r="H150" i="5"/>
  <c r="H176" i="5"/>
  <c r="H208" i="5"/>
  <c r="W213" i="5" s="1"/>
  <c r="K313" i="5"/>
  <c r="L540" i="5"/>
  <c r="H162" i="5"/>
  <c r="K176" i="5"/>
  <c r="K208" i="5"/>
  <c r="H221" i="5"/>
  <c r="K198" i="5"/>
  <c r="G377" i="5"/>
  <c r="O377" i="5" s="1"/>
  <c r="H175" i="5"/>
  <c r="K220" i="5"/>
  <c r="K300" i="5"/>
  <c r="H312" i="5"/>
  <c r="G317" i="5" s="1"/>
  <c r="O317" i="5" s="1"/>
  <c r="K130" i="5"/>
  <c r="K407" i="5"/>
  <c r="H551" i="5"/>
  <c r="H115" i="5"/>
  <c r="H129" i="5"/>
  <c r="H197" i="5"/>
  <c r="H255" i="5"/>
  <c r="K399" i="5"/>
  <c r="K323" i="5"/>
  <c r="K448" i="5"/>
  <c r="K561" i="5"/>
  <c r="J564" i="5" s="1"/>
  <c r="P564" i="5" s="1"/>
  <c r="K569" i="5"/>
  <c r="H580" i="5"/>
  <c r="K560" i="5"/>
  <c r="K209" i="5"/>
  <c r="W279" i="5"/>
  <c r="H560" i="5"/>
  <c r="X564" i="5" s="1"/>
  <c r="K570" i="5"/>
  <c r="H323" i="5"/>
  <c r="H407" i="5"/>
  <c r="K426" i="5"/>
  <c r="H449" i="5"/>
  <c r="K449" i="5"/>
  <c r="J452" i="5" s="1"/>
  <c r="P452" i="5" s="1"/>
  <c r="H324" i="5"/>
  <c r="H398" i="5"/>
  <c r="K406" i="5"/>
  <c r="H406" i="5"/>
  <c r="K417" i="5"/>
  <c r="H256" i="5"/>
  <c r="K266" i="5"/>
  <c r="K301" i="5"/>
  <c r="J305" i="5" s="1"/>
  <c r="P305" i="5" s="1"/>
  <c r="H313" i="5"/>
  <c r="W317" i="5" s="1"/>
  <c r="J384" i="5"/>
  <c r="P384" i="5" s="1"/>
  <c r="K437" i="5"/>
  <c r="K459" i="5"/>
  <c r="K491" i="5"/>
  <c r="H506" i="5"/>
  <c r="H561" i="5"/>
  <c r="K580" i="5"/>
  <c r="Z519" i="5"/>
  <c r="G538" i="5"/>
  <c r="O538" i="5" s="1"/>
  <c r="H417" i="5"/>
  <c r="G421" i="5" s="1"/>
  <c r="O421" i="5" s="1"/>
  <c r="L593" i="5"/>
  <c r="K56" i="5"/>
  <c r="H56" i="5"/>
  <c r="G60" i="5" s="1"/>
  <c r="O60" i="5" s="1"/>
  <c r="K149" i="5"/>
  <c r="J234" i="5"/>
  <c r="P234" i="5" s="1"/>
  <c r="K256" i="5"/>
  <c r="K267" i="5"/>
  <c r="J270" i="5" s="1"/>
  <c r="P270" i="5" s="1"/>
  <c r="H301" i="5"/>
  <c r="K324" i="5"/>
  <c r="X362" i="5"/>
  <c r="K418" i="5"/>
  <c r="K427" i="5"/>
  <c r="H437" i="5"/>
  <c r="H459" i="5"/>
  <c r="K470" i="5"/>
  <c r="G485" i="5"/>
  <c r="O485" i="5" s="1"/>
  <c r="X485" i="5"/>
  <c r="K505" i="5"/>
  <c r="H505" i="5"/>
  <c r="J519" i="5"/>
  <c r="P519" i="5" s="1"/>
  <c r="G519" i="5"/>
  <c r="O519" i="5" s="1"/>
  <c r="Z538" i="5"/>
  <c r="J547" i="5"/>
  <c r="P547" i="5" s="1"/>
  <c r="H552" i="5"/>
  <c r="K552" i="5"/>
  <c r="H569" i="5"/>
  <c r="X573" i="5" s="1"/>
  <c r="H581" i="5"/>
  <c r="G584" i="5" s="1"/>
  <c r="O584" i="5" s="1"/>
  <c r="K581" i="5"/>
  <c r="K57" i="5"/>
  <c r="K74" i="5"/>
  <c r="J78" i="5" s="1"/>
  <c r="P78" i="5" s="1"/>
  <c r="J88" i="5"/>
  <c r="P88" i="5" s="1"/>
  <c r="H130" i="5"/>
  <c r="H267" i="5"/>
  <c r="W270" i="5" s="1"/>
  <c r="H399" i="5"/>
  <c r="H438" i="5"/>
  <c r="K438" i="5"/>
  <c r="J441" i="5" s="1"/>
  <c r="P441" i="5" s="1"/>
  <c r="H460" i="5"/>
  <c r="K460" i="5"/>
  <c r="K471" i="5"/>
  <c r="H471" i="5"/>
  <c r="X475" i="5" s="1"/>
  <c r="K482" i="5"/>
  <c r="J485" i="5" s="1"/>
  <c r="P485" i="5" s="1"/>
  <c r="R477" i="5"/>
  <c r="K490" i="5"/>
  <c r="K506" i="5"/>
  <c r="R534" i="5"/>
  <c r="K551" i="5"/>
  <c r="R558" i="5"/>
  <c r="H73" i="5"/>
  <c r="W78" i="5" s="1"/>
  <c r="K162" i="5"/>
  <c r="G225" i="5"/>
  <c r="O225" i="5" s="1"/>
  <c r="H300" i="5"/>
  <c r="J353" i="5"/>
  <c r="P353" i="5" s="1"/>
  <c r="Z526" i="5"/>
  <c r="G88" i="5"/>
  <c r="O88" i="5" s="1"/>
  <c r="K221" i="5"/>
  <c r="J225" i="5" s="1"/>
  <c r="P225" i="5" s="1"/>
  <c r="G250" i="5"/>
  <c r="O250" i="5" s="1"/>
  <c r="L336" i="5"/>
  <c r="K312" i="5"/>
  <c r="J334" i="5"/>
  <c r="P334" i="5" s="1"/>
  <c r="J345" i="5"/>
  <c r="P345" i="5" s="1"/>
  <c r="H491" i="5"/>
  <c r="X498" i="5" s="1"/>
  <c r="G526" i="5"/>
  <c r="O526" i="5" s="1"/>
  <c r="R522" i="5"/>
  <c r="R576" i="5"/>
  <c r="J42" i="5"/>
  <c r="P42" i="5" s="1"/>
  <c r="J33" i="5"/>
  <c r="P33" i="5" s="1"/>
  <c r="G42" i="5"/>
  <c r="O42" i="5" s="1"/>
  <c r="J49" i="5"/>
  <c r="P49" i="5" s="1"/>
  <c r="G49" i="5"/>
  <c r="O49" i="5" s="1"/>
  <c r="J67" i="5"/>
  <c r="P67" i="5" s="1"/>
  <c r="J98" i="5"/>
  <c r="P98" i="5" s="1"/>
  <c r="G67" i="5"/>
  <c r="O67" i="5" s="1"/>
  <c r="G98" i="5"/>
  <c r="O98" i="5" s="1"/>
  <c r="J108" i="5"/>
  <c r="P108" i="5" s="1"/>
  <c r="G108" i="5"/>
  <c r="O108" i="5" s="1"/>
  <c r="W49" i="5"/>
  <c r="G78" i="5"/>
  <c r="O78" i="5" s="1"/>
  <c r="J180" i="5"/>
  <c r="P180" i="5" s="1"/>
  <c r="J250" i="5"/>
  <c r="P250" i="5" s="1"/>
  <c r="W98" i="5"/>
  <c r="K115" i="5"/>
  <c r="J122" i="5" s="1"/>
  <c r="P122" i="5" s="1"/>
  <c r="K129" i="5"/>
  <c r="K150" i="5"/>
  <c r="G155" i="5"/>
  <c r="O155" i="5" s="1"/>
  <c r="J201" i="5"/>
  <c r="P201" i="5" s="1"/>
  <c r="G213" i="5"/>
  <c r="O213" i="5" s="1"/>
  <c r="G243" i="5"/>
  <c r="O243" i="5" s="1"/>
  <c r="J293" i="5"/>
  <c r="P293" i="5" s="1"/>
  <c r="G345" i="5"/>
  <c r="O345" i="5" s="1"/>
  <c r="G353" i="5"/>
  <c r="O353" i="5" s="1"/>
  <c r="L594" i="5"/>
  <c r="L283" i="5"/>
  <c r="W33" i="5"/>
  <c r="G33" i="5"/>
  <c r="O33" i="5" s="1"/>
  <c r="W108" i="5"/>
  <c r="K163" i="5"/>
  <c r="G190" i="5"/>
  <c r="O190" i="5" s="1"/>
  <c r="J190" i="5"/>
  <c r="P190" i="5" s="1"/>
  <c r="J277" i="5"/>
  <c r="P277" i="5" s="1"/>
  <c r="G17" i="5"/>
  <c r="W42" i="5"/>
  <c r="R63" i="5"/>
  <c r="W67" i="5"/>
  <c r="R81" i="5"/>
  <c r="W88" i="5"/>
  <c r="H116" i="5"/>
  <c r="H163" i="5"/>
  <c r="J243" i="5"/>
  <c r="P243" i="5" s="1"/>
  <c r="G293" i="5"/>
  <c r="O293" i="5" s="1"/>
  <c r="J362" i="5"/>
  <c r="P362" i="5" s="1"/>
  <c r="W155" i="5"/>
  <c r="W190" i="5"/>
  <c r="W201" i="5"/>
  <c r="R216" i="5"/>
  <c r="R253" i="5"/>
  <c r="W334" i="5"/>
  <c r="G334" i="5"/>
  <c r="O334" i="5" s="1"/>
  <c r="X353" i="5"/>
  <c r="R356" i="5"/>
  <c r="X369" i="5"/>
  <c r="R364" i="5"/>
  <c r="G369" i="5"/>
  <c r="O369" i="5" s="1"/>
  <c r="X377" i="5"/>
  <c r="W277" i="5"/>
  <c r="G277" i="5"/>
  <c r="O277" i="5" s="1"/>
  <c r="J391" i="5"/>
  <c r="P391" i="5" s="1"/>
  <c r="G452" i="5"/>
  <c r="O452" i="5" s="1"/>
  <c r="X452" i="5"/>
  <c r="G475" i="5"/>
  <c r="O475" i="5" s="1"/>
  <c r="J526" i="5"/>
  <c r="P526" i="5" s="1"/>
  <c r="J591" i="5"/>
  <c r="P591" i="5" s="1"/>
  <c r="W225" i="5"/>
  <c r="W234" i="5"/>
  <c r="G234" i="5"/>
  <c r="O234" i="5" s="1"/>
  <c r="W243" i="5"/>
  <c r="W293" i="5"/>
  <c r="W345" i="5"/>
  <c r="R347" i="5"/>
  <c r="J369" i="5"/>
  <c r="P369" i="5" s="1"/>
  <c r="R380" i="5"/>
  <c r="G384" i="5"/>
  <c r="O384" i="5" s="1"/>
  <c r="W384" i="5"/>
  <c r="H427" i="5"/>
  <c r="G430" i="5" s="1"/>
  <c r="O430" i="5" s="1"/>
  <c r="J532" i="5"/>
  <c r="P532" i="5" s="1"/>
  <c r="G532" i="5"/>
  <c r="O532" i="5" s="1"/>
  <c r="R125" i="5"/>
  <c r="W250" i="5"/>
  <c r="W281" i="5"/>
  <c r="L511" i="5"/>
  <c r="G362" i="5"/>
  <c r="O362" i="5" s="1"/>
  <c r="J377" i="5"/>
  <c r="P377" i="5" s="1"/>
  <c r="G391" i="5"/>
  <c r="O391" i="5" s="1"/>
  <c r="W391" i="5"/>
  <c r="K398" i="5"/>
  <c r="J410" i="5"/>
  <c r="P410" i="5" s="1"/>
  <c r="Z532" i="5"/>
  <c r="J538" i="5"/>
  <c r="P538" i="5" s="1"/>
  <c r="X591" i="5"/>
  <c r="R394" i="5"/>
  <c r="R413" i="5"/>
  <c r="R424" i="5"/>
  <c r="R487" i="5"/>
  <c r="R515" i="5"/>
  <c r="G547" i="5"/>
  <c r="O547" i="5" s="1"/>
  <c r="R549" i="5"/>
  <c r="X547" i="5"/>
  <c r="G591" i="5"/>
  <c r="O591" i="5" s="1"/>
  <c r="R501" i="5"/>
  <c r="R567" i="5"/>
  <c r="R586" i="5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1" i="3"/>
  <c r="CY1" i="3"/>
  <c r="CZ1" i="3"/>
  <c r="DA1" i="3"/>
  <c r="DB1" i="3"/>
  <c r="DC1" i="3"/>
  <c r="A2" i="3"/>
  <c r="CY2" i="3"/>
  <c r="CZ2" i="3"/>
  <c r="DA2" i="3"/>
  <c r="DB2" i="3"/>
  <c r="DC2" i="3"/>
  <c r="A3" i="3"/>
  <c r="CY3" i="3"/>
  <c r="CZ3" i="3"/>
  <c r="DB3" i="3" s="1"/>
  <c r="DA3" i="3"/>
  <c r="DC3" i="3"/>
  <c r="A4" i="3"/>
  <c r="CY4" i="3"/>
  <c r="CZ4" i="3"/>
  <c r="DB4" i="3" s="1"/>
  <c r="DA4" i="3"/>
  <c r="DC4" i="3"/>
  <c r="A5" i="3"/>
  <c r="CY5" i="3"/>
  <c r="CZ5" i="3"/>
  <c r="DA5" i="3"/>
  <c r="DB5" i="3"/>
  <c r="DC5" i="3"/>
  <c r="A6" i="3"/>
  <c r="CY6" i="3"/>
  <c r="CZ6" i="3"/>
  <c r="DA6" i="3"/>
  <c r="DB6" i="3"/>
  <c r="DC6" i="3"/>
  <c r="A7" i="3"/>
  <c r="CY7" i="3"/>
  <c r="CZ7" i="3"/>
  <c r="DB7" i="3" s="1"/>
  <c r="DA7" i="3"/>
  <c r="DC7" i="3"/>
  <c r="A8" i="3"/>
  <c r="CY8" i="3"/>
  <c r="CZ8" i="3"/>
  <c r="DB8" i="3" s="1"/>
  <c r="DA8" i="3"/>
  <c r="DC8" i="3"/>
  <c r="A9" i="3"/>
  <c r="CY9" i="3"/>
  <c r="CZ9" i="3"/>
  <c r="DA9" i="3"/>
  <c r="DB9" i="3"/>
  <c r="DC9" i="3"/>
  <c r="A10" i="3"/>
  <c r="CY10" i="3"/>
  <c r="CZ10" i="3"/>
  <c r="DA10" i="3"/>
  <c r="DB10" i="3"/>
  <c r="DC10" i="3"/>
  <c r="A11" i="3"/>
  <c r="CY11" i="3"/>
  <c r="CZ11" i="3"/>
  <c r="DB11" i="3" s="1"/>
  <c r="DA11" i="3"/>
  <c r="DC11" i="3"/>
  <c r="A12" i="3"/>
  <c r="CY12" i="3"/>
  <c r="CZ12" i="3"/>
  <c r="DB12" i="3" s="1"/>
  <c r="DA12" i="3"/>
  <c r="DC12" i="3"/>
  <c r="A13" i="3"/>
  <c r="CY13" i="3"/>
  <c r="CZ13" i="3"/>
  <c r="DA13" i="3"/>
  <c r="DB13" i="3"/>
  <c r="DC13" i="3"/>
  <c r="A14" i="3"/>
  <c r="CY14" i="3"/>
  <c r="CZ14" i="3"/>
  <c r="DA14" i="3"/>
  <c r="DB14" i="3"/>
  <c r="DC14" i="3"/>
  <c r="A15" i="3"/>
  <c r="CY15" i="3"/>
  <c r="CZ15" i="3"/>
  <c r="DB15" i="3" s="1"/>
  <c r="DA15" i="3"/>
  <c r="DC15" i="3"/>
  <c r="A16" i="3"/>
  <c r="CY16" i="3"/>
  <c r="CZ16" i="3"/>
  <c r="DB16" i="3" s="1"/>
  <c r="DA16" i="3"/>
  <c r="DC16" i="3"/>
  <c r="A17" i="3"/>
  <c r="CY17" i="3"/>
  <c r="CZ17" i="3"/>
  <c r="DA17" i="3"/>
  <c r="DB17" i="3"/>
  <c r="DC17" i="3"/>
  <c r="A18" i="3"/>
  <c r="CY18" i="3"/>
  <c r="CZ18" i="3"/>
  <c r="DA18" i="3"/>
  <c r="DB18" i="3"/>
  <c r="DC18" i="3"/>
  <c r="A19" i="3"/>
  <c r="CY19" i="3"/>
  <c r="CZ19" i="3"/>
  <c r="DB19" i="3" s="1"/>
  <c r="DA19" i="3"/>
  <c r="DC19" i="3"/>
  <c r="A20" i="3"/>
  <c r="CY20" i="3"/>
  <c r="CZ20" i="3"/>
  <c r="DB20" i="3" s="1"/>
  <c r="DA20" i="3"/>
  <c r="DC20" i="3"/>
  <c r="A21" i="3"/>
  <c r="CY21" i="3"/>
  <c r="CZ21" i="3"/>
  <c r="DA21" i="3"/>
  <c r="DB21" i="3"/>
  <c r="DC21" i="3"/>
  <c r="A22" i="3"/>
  <c r="CY22" i="3"/>
  <c r="CZ22" i="3"/>
  <c r="DA22" i="3"/>
  <c r="DB22" i="3"/>
  <c r="DC22" i="3"/>
  <c r="A23" i="3"/>
  <c r="CY23" i="3"/>
  <c r="CZ23" i="3"/>
  <c r="DB23" i="3" s="1"/>
  <c r="DA23" i="3"/>
  <c r="DC23" i="3"/>
  <c r="A24" i="3"/>
  <c r="CY24" i="3"/>
  <c r="CZ24" i="3"/>
  <c r="DB24" i="3" s="1"/>
  <c r="DA24" i="3"/>
  <c r="DC24" i="3"/>
  <c r="A25" i="3"/>
  <c r="CY25" i="3"/>
  <c r="CZ25" i="3"/>
  <c r="DA25" i="3"/>
  <c r="DB25" i="3"/>
  <c r="DC25" i="3"/>
  <c r="A26" i="3"/>
  <c r="CY26" i="3"/>
  <c r="CZ26" i="3"/>
  <c r="DA26" i="3"/>
  <c r="DB26" i="3"/>
  <c r="DC26" i="3"/>
  <c r="A27" i="3"/>
  <c r="CY27" i="3"/>
  <c r="CZ27" i="3"/>
  <c r="DB27" i="3" s="1"/>
  <c r="DA27" i="3"/>
  <c r="DC27" i="3"/>
  <c r="A28" i="3"/>
  <c r="CY28" i="3"/>
  <c r="CZ28" i="3"/>
  <c r="DB28" i="3" s="1"/>
  <c r="DA28" i="3"/>
  <c r="DC28" i="3"/>
  <c r="A29" i="3"/>
  <c r="CY29" i="3"/>
  <c r="CZ29" i="3"/>
  <c r="DA29" i="3"/>
  <c r="DB29" i="3"/>
  <c r="DC29" i="3"/>
  <c r="A30" i="3"/>
  <c r="CY30" i="3"/>
  <c r="CZ30" i="3"/>
  <c r="DA30" i="3"/>
  <c r="DB30" i="3"/>
  <c r="DC30" i="3"/>
  <c r="A31" i="3"/>
  <c r="CY31" i="3"/>
  <c r="CZ31" i="3"/>
  <c r="DB31" i="3" s="1"/>
  <c r="DA31" i="3"/>
  <c r="DC31" i="3"/>
  <c r="A32" i="3"/>
  <c r="CY32" i="3"/>
  <c r="CZ32" i="3"/>
  <c r="DB32" i="3" s="1"/>
  <c r="DA32" i="3"/>
  <c r="DC32" i="3"/>
  <c r="A33" i="3"/>
  <c r="CY33" i="3"/>
  <c r="CZ33" i="3"/>
  <c r="DA33" i="3"/>
  <c r="DB33" i="3"/>
  <c r="DC33" i="3"/>
  <c r="A34" i="3"/>
  <c r="CY34" i="3"/>
  <c r="CZ34" i="3"/>
  <c r="DA34" i="3"/>
  <c r="DB34" i="3"/>
  <c r="DC34" i="3"/>
  <c r="A35" i="3"/>
  <c r="CY35" i="3"/>
  <c r="CZ35" i="3"/>
  <c r="DB35" i="3" s="1"/>
  <c r="DA35" i="3"/>
  <c r="DC35" i="3"/>
  <c r="A36" i="3"/>
  <c r="CY36" i="3"/>
  <c r="CZ36" i="3"/>
  <c r="DB36" i="3" s="1"/>
  <c r="DA36" i="3"/>
  <c r="DC36" i="3"/>
  <c r="A37" i="3"/>
  <c r="CY37" i="3"/>
  <c r="CZ37" i="3"/>
  <c r="DA37" i="3"/>
  <c r="DB37" i="3"/>
  <c r="DC37" i="3"/>
  <c r="A38" i="3"/>
  <c r="CY38" i="3"/>
  <c r="CZ38" i="3"/>
  <c r="DA38" i="3"/>
  <c r="DB38" i="3"/>
  <c r="DC38" i="3"/>
  <c r="A39" i="3"/>
  <c r="CY39" i="3"/>
  <c r="CZ39" i="3"/>
  <c r="DB39" i="3" s="1"/>
  <c r="DA39" i="3"/>
  <c r="DC39" i="3"/>
  <c r="A40" i="3"/>
  <c r="CY40" i="3"/>
  <c r="CZ40" i="3"/>
  <c r="DB40" i="3" s="1"/>
  <c r="DA40" i="3"/>
  <c r="DC40" i="3"/>
  <c r="A41" i="3"/>
  <c r="CY41" i="3"/>
  <c r="CZ41" i="3"/>
  <c r="DA41" i="3"/>
  <c r="DB41" i="3"/>
  <c r="DC41" i="3"/>
  <c r="A42" i="3"/>
  <c r="CY42" i="3"/>
  <c r="CZ42" i="3"/>
  <c r="DA42" i="3"/>
  <c r="DB42" i="3"/>
  <c r="DC42" i="3"/>
  <c r="A43" i="3"/>
  <c r="CY43" i="3"/>
  <c r="CZ43" i="3"/>
  <c r="DB43" i="3" s="1"/>
  <c r="DA43" i="3"/>
  <c r="DC43" i="3"/>
  <c r="A44" i="3"/>
  <c r="CY44" i="3"/>
  <c r="CZ44" i="3"/>
  <c r="DB44" i="3" s="1"/>
  <c r="DA44" i="3"/>
  <c r="DC44" i="3"/>
  <c r="A45" i="3"/>
  <c r="CY45" i="3"/>
  <c r="CZ45" i="3"/>
  <c r="DA45" i="3"/>
  <c r="DB45" i="3"/>
  <c r="DC45" i="3"/>
  <c r="A46" i="3"/>
  <c r="CY46" i="3"/>
  <c r="CZ46" i="3"/>
  <c r="DA46" i="3"/>
  <c r="DB46" i="3"/>
  <c r="DC46" i="3"/>
  <c r="A47" i="3"/>
  <c r="CY47" i="3"/>
  <c r="CZ47" i="3"/>
  <c r="DB47" i="3" s="1"/>
  <c r="DA47" i="3"/>
  <c r="DC47" i="3"/>
  <c r="A48" i="3"/>
  <c r="CY48" i="3"/>
  <c r="CZ48" i="3"/>
  <c r="DB48" i="3" s="1"/>
  <c r="DA48" i="3"/>
  <c r="DC48" i="3"/>
  <c r="A49" i="3"/>
  <c r="CY49" i="3"/>
  <c r="CZ49" i="3"/>
  <c r="DA49" i="3"/>
  <c r="DB49" i="3"/>
  <c r="DC49" i="3"/>
  <c r="A50" i="3"/>
  <c r="CY50" i="3"/>
  <c r="CZ50" i="3"/>
  <c r="DA50" i="3"/>
  <c r="DB50" i="3"/>
  <c r="DC50" i="3"/>
  <c r="A51" i="3"/>
  <c r="CY51" i="3"/>
  <c r="CZ51" i="3"/>
  <c r="DB51" i="3" s="1"/>
  <c r="DA51" i="3"/>
  <c r="DC51" i="3"/>
  <c r="A52" i="3"/>
  <c r="CY52" i="3"/>
  <c r="CZ52" i="3"/>
  <c r="DB52" i="3" s="1"/>
  <c r="DA52" i="3"/>
  <c r="DC52" i="3"/>
  <c r="A53" i="3"/>
  <c r="CY53" i="3"/>
  <c r="CZ53" i="3"/>
  <c r="DA53" i="3"/>
  <c r="DB53" i="3"/>
  <c r="DC53" i="3"/>
  <c r="A54" i="3"/>
  <c r="CY54" i="3"/>
  <c r="CZ54" i="3"/>
  <c r="DA54" i="3"/>
  <c r="DB54" i="3"/>
  <c r="DC54" i="3"/>
  <c r="A55" i="3"/>
  <c r="CY55" i="3"/>
  <c r="CZ55" i="3"/>
  <c r="DB55" i="3" s="1"/>
  <c r="DA55" i="3"/>
  <c r="DC55" i="3"/>
  <c r="A56" i="3"/>
  <c r="CY56" i="3"/>
  <c r="CZ56" i="3"/>
  <c r="DB56" i="3" s="1"/>
  <c r="DA56" i="3"/>
  <c r="DC56" i="3"/>
  <c r="A57" i="3"/>
  <c r="CY57" i="3"/>
  <c r="CZ57" i="3"/>
  <c r="DA57" i="3"/>
  <c r="DB57" i="3"/>
  <c r="DC57" i="3"/>
  <c r="A58" i="3"/>
  <c r="CY58" i="3"/>
  <c r="CZ58" i="3"/>
  <c r="DA58" i="3"/>
  <c r="DB58" i="3"/>
  <c r="DC58" i="3"/>
  <c r="A59" i="3"/>
  <c r="CY59" i="3"/>
  <c r="CZ59" i="3"/>
  <c r="DB59" i="3" s="1"/>
  <c r="DA59" i="3"/>
  <c r="DC59" i="3"/>
  <c r="A60" i="3"/>
  <c r="CY60" i="3"/>
  <c r="CZ60" i="3"/>
  <c r="DB60" i="3" s="1"/>
  <c r="DA60" i="3"/>
  <c r="DC60" i="3"/>
  <c r="A61" i="3"/>
  <c r="CY61" i="3"/>
  <c r="CZ61" i="3"/>
  <c r="DA61" i="3"/>
  <c r="DB61" i="3"/>
  <c r="DC61" i="3"/>
  <c r="A62" i="3"/>
  <c r="CY62" i="3"/>
  <c r="CZ62" i="3"/>
  <c r="DA62" i="3"/>
  <c r="DB62" i="3"/>
  <c r="DC62" i="3"/>
  <c r="A63" i="3"/>
  <c r="CY63" i="3"/>
  <c r="CZ63" i="3"/>
  <c r="DB63" i="3" s="1"/>
  <c r="DA63" i="3"/>
  <c r="DC63" i="3"/>
  <c r="A64" i="3"/>
  <c r="CY64" i="3"/>
  <c r="CZ64" i="3"/>
  <c r="DB64" i="3" s="1"/>
  <c r="DA64" i="3"/>
  <c r="DC64" i="3"/>
  <c r="A65" i="3"/>
  <c r="CY65" i="3"/>
  <c r="CZ65" i="3"/>
  <c r="DA65" i="3"/>
  <c r="DB65" i="3"/>
  <c r="DC65" i="3"/>
  <c r="A66" i="3"/>
  <c r="CY66" i="3"/>
  <c r="CZ66" i="3"/>
  <c r="DA66" i="3"/>
  <c r="DB66" i="3"/>
  <c r="DC66" i="3"/>
  <c r="A67" i="3"/>
  <c r="CY67" i="3"/>
  <c r="CZ67" i="3"/>
  <c r="DB67" i="3" s="1"/>
  <c r="DA67" i="3"/>
  <c r="DC67" i="3"/>
  <c r="A68" i="3"/>
  <c r="CY68" i="3"/>
  <c r="CZ68" i="3"/>
  <c r="DB68" i="3" s="1"/>
  <c r="DA68" i="3"/>
  <c r="DC68" i="3"/>
  <c r="A69" i="3"/>
  <c r="CY69" i="3"/>
  <c r="CZ69" i="3"/>
  <c r="DA69" i="3"/>
  <c r="DB69" i="3"/>
  <c r="DC69" i="3"/>
  <c r="A70" i="3"/>
  <c r="CY70" i="3"/>
  <c r="CZ70" i="3"/>
  <c r="DA70" i="3"/>
  <c r="DB70" i="3"/>
  <c r="DC70" i="3"/>
  <c r="A71" i="3"/>
  <c r="CY71" i="3"/>
  <c r="CZ71" i="3"/>
  <c r="DB71" i="3" s="1"/>
  <c r="DA71" i="3"/>
  <c r="DC71" i="3"/>
  <c r="A72" i="3"/>
  <c r="CY72" i="3"/>
  <c r="CZ72" i="3"/>
  <c r="DB72" i="3" s="1"/>
  <c r="DA72" i="3"/>
  <c r="DC72" i="3"/>
  <c r="A73" i="3"/>
  <c r="CY73" i="3"/>
  <c r="CZ73" i="3"/>
  <c r="DA73" i="3"/>
  <c r="DB73" i="3"/>
  <c r="DC73" i="3"/>
  <c r="A74" i="3"/>
  <c r="CY74" i="3"/>
  <c r="CZ74" i="3"/>
  <c r="DA74" i="3"/>
  <c r="DB74" i="3"/>
  <c r="DC74" i="3"/>
  <c r="A75" i="3"/>
  <c r="CY75" i="3"/>
  <c r="CZ75" i="3"/>
  <c r="DB75" i="3" s="1"/>
  <c r="DA75" i="3"/>
  <c r="DC75" i="3"/>
  <c r="A76" i="3"/>
  <c r="CY76" i="3"/>
  <c r="CZ76" i="3"/>
  <c r="DB76" i="3" s="1"/>
  <c r="DA76" i="3"/>
  <c r="DC76" i="3"/>
  <c r="A77" i="3"/>
  <c r="CY77" i="3"/>
  <c r="CZ77" i="3"/>
  <c r="DA77" i="3"/>
  <c r="DB77" i="3"/>
  <c r="DC77" i="3"/>
  <c r="A78" i="3"/>
  <c r="CY78" i="3"/>
  <c r="CZ78" i="3"/>
  <c r="DA78" i="3"/>
  <c r="DB78" i="3"/>
  <c r="DC78" i="3"/>
  <c r="A79" i="3"/>
  <c r="CY79" i="3"/>
  <c r="CZ79" i="3"/>
  <c r="DB79" i="3" s="1"/>
  <c r="DA79" i="3"/>
  <c r="DC79" i="3"/>
  <c r="A80" i="3"/>
  <c r="CY80" i="3"/>
  <c r="CZ80" i="3"/>
  <c r="DB80" i="3" s="1"/>
  <c r="DA80" i="3"/>
  <c r="DC80" i="3"/>
  <c r="A81" i="3"/>
  <c r="CY81" i="3"/>
  <c r="CZ81" i="3"/>
  <c r="DA81" i="3"/>
  <c r="DB81" i="3"/>
  <c r="DC81" i="3"/>
  <c r="A82" i="3"/>
  <c r="CY82" i="3"/>
  <c r="CZ82" i="3"/>
  <c r="DA82" i="3"/>
  <c r="DB82" i="3"/>
  <c r="DC82" i="3"/>
  <c r="A83" i="3"/>
  <c r="CY83" i="3"/>
  <c r="CZ83" i="3"/>
  <c r="DB83" i="3" s="1"/>
  <c r="DA83" i="3"/>
  <c r="DC83" i="3"/>
  <c r="A84" i="3"/>
  <c r="CY84" i="3"/>
  <c r="CZ84" i="3"/>
  <c r="DB84" i="3" s="1"/>
  <c r="DA84" i="3"/>
  <c r="DC84" i="3"/>
  <c r="A85" i="3"/>
  <c r="CY85" i="3"/>
  <c r="CZ85" i="3"/>
  <c r="DA85" i="3"/>
  <c r="DB85" i="3"/>
  <c r="DC85" i="3"/>
  <c r="A86" i="3"/>
  <c r="CY86" i="3"/>
  <c r="CZ86" i="3"/>
  <c r="DA86" i="3"/>
  <c r="DB86" i="3"/>
  <c r="DC86" i="3"/>
  <c r="A87" i="3"/>
  <c r="CY87" i="3"/>
  <c r="CZ87" i="3"/>
  <c r="DB87" i="3" s="1"/>
  <c r="DA87" i="3"/>
  <c r="DC87" i="3"/>
  <c r="A88" i="3"/>
  <c r="CY88" i="3"/>
  <c r="CZ88" i="3"/>
  <c r="DB88" i="3" s="1"/>
  <c r="DA88" i="3"/>
  <c r="DC88" i="3"/>
  <c r="A89" i="3"/>
  <c r="CY89" i="3"/>
  <c r="CZ89" i="3"/>
  <c r="DA89" i="3"/>
  <c r="DB89" i="3"/>
  <c r="DC89" i="3"/>
  <c r="A90" i="3"/>
  <c r="CY90" i="3"/>
  <c r="CZ90" i="3"/>
  <c r="DA90" i="3"/>
  <c r="DB90" i="3"/>
  <c r="DC90" i="3"/>
  <c r="A91" i="3"/>
  <c r="CY91" i="3"/>
  <c r="CZ91" i="3"/>
  <c r="DB91" i="3" s="1"/>
  <c r="DA91" i="3"/>
  <c r="DC91" i="3"/>
  <c r="A92" i="3"/>
  <c r="CY92" i="3"/>
  <c r="CZ92" i="3"/>
  <c r="DB92" i="3" s="1"/>
  <c r="DA92" i="3"/>
  <c r="DC92" i="3"/>
  <c r="A93" i="3"/>
  <c r="CY93" i="3"/>
  <c r="CZ93" i="3"/>
  <c r="DA93" i="3"/>
  <c r="DB93" i="3"/>
  <c r="DC93" i="3"/>
  <c r="A94" i="3"/>
  <c r="CY94" i="3"/>
  <c r="CZ94" i="3"/>
  <c r="DA94" i="3"/>
  <c r="DB94" i="3"/>
  <c r="DC94" i="3"/>
  <c r="A95" i="3"/>
  <c r="CY95" i="3"/>
  <c r="CZ95" i="3"/>
  <c r="DB95" i="3" s="1"/>
  <c r="DA95" i="3"/>
  <c r="DC95" i="3"/>
  <c r="A96" i="3"/>
  <c r="CY96" i="3"/>
  <c r="CZ96" i="3"/>
  <c r="DB96" i="3" s="1"/>
  <c r="DA96" i="3"/>
  <c r="DC96" i="3"/>
  <c r="A97" i="3"/>
  <c r="CY97" i="3"/>
  <c r="CZ97" i="3"/>
  <c r="DA97" i="3"/>
  <c r="DB97" i="3"/>
  <c r="DC97" i="3"/>
  <c r="A98" i="3"/>
  <c r="CY98" i="3"/>
  <c r="CZ98" i="3"/>
  <c r="DA98" i="3"/>
  <c r="DB98" i="3"/>
  <c r="DC98" i="3"/>
  <c r="A99" i="3"/>
  <c r="CY99" i="3"/>
  <c r="CZ99" i="3"/>
  <c r="DB99" i="3" s="1"/>
  <c r="DA99" i="3"/>
  <c r="DC99" i="3"/>
  <c r="A100" i="3"/>
  <c r="CY100" i="3"/>
  <c r="CZ100" i="3"/>
  <c r="DB100" i="3" s="1"/>
  <c r="DA100" i="3"/>
  <c r="DC100" i="3"/>
  <c r="A101" i="3"/>
  <c r="CY101" i="3"/>
  <c r="CZ101" i="3"/>
  <c r="DA101" i="3"/>
  <c r="DB101" i="3"/>
  <c r="DC101" i="3"/>
  <c r="A102" i="3"/>
  <c r="CY102" i="3"/>
  <c r="CZ102" i="3"/>
  <c r="DA102" i="3"/>
  <c r="DB102" i="3"/>
  <c r="DC102" i="3"/>
  <c r="A103" i="3"/>
  <c r="CY103" i="3"/>
  <c r="CZ103" i="3"/>
  <c r="DB103" i="3" s="1"/>
  <c r="DA103" i="3"/>
  <c r="DC103" i="3"/>
  <c r="A104" i="3"/>
  <c r="CY104" i="3"/>
  <c r="CZ104" i="3"/>
  <c r="DB104" i="3" s="1"/>
  <c r="DA104" i="3"/>
  <c r="DC104" i="3"/>
  <c r="A105" i="3"/>
  <c r="CY105" i="3"/>
  <c r="CZ105" i="3"/>
  <c r="DA105" i="3"/>
  <c r="DB105" i="3"/>
  <c r="DC105" i="3"/>
  <c r="A106" i="3"/>
  <c r="CY106" i="3"/>
  <c r="CZ106" i="3"/>
  <c r="DA106" i="3"/>
  <c r="DB106" i="3"/>
  <c r="DC106" i="3"/>
  <c r="A107" i="3"/>
  <c r="CY107" i="3"/>
  <c r="CZ107" i="3"/>
  <c r="DB107" i="3" s="1"/>
  <c r="DA107" i="3"/>
  <c r="DC107" i="3"/>
  <c r="A108" i="3"/>
  <c r="CY108" i="3"/>
  <c r="CZ108" i="3"/>
  <c r="DB108" i="3" s="1"/>
  <c r="DA108" i="3"/>
  <c r="DC108" i="3"/>
  <c r="A109" i="3"/>
  <c r="CY109" i="3"/>
  <c r="CZ109" i="3"/>
  <c r="DA109" i="3"/>
  <c r="DB109" i="3"/>
  <c r="DC109" i="3"/>
  <c r="A110" i="3"/>
  <c r="CY110" i="3"/>
  <c r="CZ110" i="3"/>
  <c r="DA110" i="3"/>
  <c r="DB110" i="3"/>
  <c r="DC110" i="3"/>
  <c r="A111" i="3"/>
  <c r="CY111" i="3"/>
  <c r="CZ111" i="3"/>
  <c r="DB111" i="3" s="1"/>
  <c r="DA111" i="3"/>
  <c r="DC111" i="3"/>
  <c r="A112" i="3"/>
  <c r="CY112" i="3"/>
  <c r="CZ112" i="3"/>
  <c r="DB112" i="3" s="1"/>
  <c r="DA112" i="3"/>
  <c r="DC112" i="3"/>
  <c r="A113" i="3"/>
  <c r="CY113" i="3"/>
  <c r="CZ113" i="3"/>
  <c r="DA113" i="3"/>
  <c r="DB113" i="3"/>
  <c r="DC113" i="3"/>
  <c r="A114" i="3"/>
  <c r="CY114" i="3"/>
  <c r="CZ114" i="3"/>
  <c r="DA114" i="3"/>
  <c r="DB114" i="3"/>
  <c r="DC114" i="3"/>
  <c r="A115" i="3"/>
  <c r="CY115" i="3"/>
  <c r="CZ115" i="3"/>
  <c r="DB115" i="3" s="1"/>
  <c r="DA115" i="3"/>
  <c r="DC115" i="3"/>
  <c r="A116" i="3"/>
  <c r="CY116" i="3"/>
  <c r="CZ116" i="3"/>
  <c r="DB116" i="3" s="1"/>
  <c r="DA116" i="3"/>
  <c r="DC116" i="3"/>
  <c r="A117" i="3"/>
  <c r="CY117" i="3"/>
  <c r="CZ117" i="3"/>
  <c r="DA117" i="3"/>
  <c r="DB117" i="3"/>
  <c r="DC117" i="3"/>
  <c r="A118" i="3"/>
  <c r="CY118" i="3"/>
  <c r="CZ118" i="3"/>
  <c r="DA118" i="3"/>
  <c r="DB118" i="3"/>
  <c r="DC118" i="3"/>
  <c r="A119" i="3"/>
  <c r="CY119" i="3"/>
  <c r="CZ119" i="3"/>
  <c r="DB119" i="3" s="1"/>
  <c r="DA119" i="3"/>
  <c r="DC119" i="3"/>
  <c r="A120" i="3"/>
  <c r="CY120" i="3"/>
  <c r="CZ120" i="3"/>
  <c r="DB120" i="3" s="1"/>
  <c r="DA120" i="3"/>
  <c r="DC120" i="3"/>
  <c r="A121" i="3"/>
  <c r="CY121" i="3"/>
  <c r="CZ121" i="3"/>
  <c r="DA121" i="3"/>
  <c r="DB121" i="3"/>
  <c r="DC121" i="3"/>
  <c r="A122" i="3"/>
  <c r="CY122" i="3"/>
  <c r="CZ122" i="3"/>
  <c r="DA122" i="3"/>
  <c r="DB122" i="3"/>
  <c r="DC122" i="3"/>
  <c r="A123" i="3"/>
  <c r="CY123" i="3"/>
  <c r="CZ123" i="3"/>
  <c r="DB123" i="3" s="1"/>
  <c r="DA123" i="3"/>
  <c r="DC123" i="3"/>
  <c r="A124" i="3"/>
  <c r="CY124" i="3"/>
  <c r="CZ124" i="3"/>
  <c r="DB124" i="3" s="1"/>
  <c r="DA124" i="3"/>
  <c r="DC124" i="3"/>
  <c r="A125" i="3"/>
  <c r="CY125" i="3"/>
  <c r="CZ125" i="3"/>
  <c r="DA125" i="3"/>
  <c r="DB125" i="3"/>
  <c r="DC125" i="3"/>
  <c r="A126" i="3"/>
  <c r="CY126" i="3"/>
  <c r="CZ126" i="3"/>
  <c r="DA126" i="3"/>
  <c r="DB126" i="3"/>
  <c r="DC126" i="3"/>
  <c r="A127" i="3"/>
  <c r="CY127" i="3"/>
  <c r="CZ127" i="3"/>
  <c r="DB127" i="3" s="1"/>
  <c r="DA127" i="3"/>
  <c r="DC127" i="3"/>
  <c r="A128" i="3"/>
  <c r="CY128" i="3"/>
  <c r="CZ128" i="3"/>
  <c r="DB128" i="3" s="1"/>
  <c r="DA128" i="3"/>
  <c r="DC128" i="3"/>
  <c r="A129" i="3"/>
  <c r="CY129" i="3"/>
  <c r="CZ129" i="3"/>
  <c r="DA129" i="3"/>
  <c r="DB129" i="3"/>
  <c r="DC129" i="3"/>
  <c r="A130" i="3"/>
  <c r="CY130" i="3"/>
  <c r="CZ130" i="3"/>
  <c r="DA130" i="3"/>
  <c r="DB130" i="3"/>
  <c r="DC130" i="3"/>
  <c r="A131" i="3"/>
  <c r="CY131" i="3"/>
  <c r="CZ131" i="3"/>
  <c r="DB131" i="3" s="1"/>
  <c r="DA131" i="3"/>
  <c r="DC131" i="3"/>
  <c r="A132" i="3"/>
  <c r="CY132" i="3"/>
  <c r="CZ132" i="3"/>
  <c r="DB132" i="3" s="1"/>
  <c r="DA132" i="3"/>
  <c r="DC132" i="3"/>
  <c r="A133" i="3"/>
  <c r="CY133" i="3"/>
  <c r="CZ133" i="3"/>
  <c r="DA133" i="3"/>
  <c r="DB133" i="3"/>
  <c r="DC133" i="3"/>
  <c r="A134" i="3"/>
  <c r="CY134" i="3"/>
  <c r="CZ134" i="3"/>
  <c r="DA134" i="3"/>
  <c r="DB134" i="3"/>
  <c r="DC134" i="3"/>
  <c r="A135" i="3"/>
  <c r="CY135" i="3"/>
  <c r="CZ135" i="3"/>
  <c r="DB135" i="3" s="1"/>
  <c r="DA135" i="3"/>
  <c r="DC135" i="3"/>
  <c r="A136" i="3"/>
  <c r="CY136" i="3"/>
  <c r="CZ136" i="3"/>
  <c r="DB136" i="3" s="1"/>
  <c r="DA136" i="3"/>
  <c r="DC136" i="3"/>
  <c r="A137" i="3"/>
  <c r="CY137" i="3"/>
  <c r="CZ137" i="3"/>
  <c r="DA137" i="3"/>
  <c r="DB137" i="3"/>
  <c r="DC137" i="3"/>
  <c r="A138" i="3"/>
  <c r="CY138" i="3"/>
  <c r="CZ138" i="3"/>
  <c r="DA138" i="3"/>
  <c r="DB138" i="3"/>
  <c r="DC138" i="3"/>
  <c r="A139" i="3"/>
  <c r="CY139" i="3"/>
  <c r="CZ139" i="3"/>
  <c r="DB139" i="3" s="1"/>
  <c r="DA139" i="3"/>
  <c r="DC139" i="3"/>
  <c r="A140" i="3"/>
  <c r="CY140" i="3"/>
  <c r="CZ140" i="3"/>
  <c r="DB140" i="3" s="1"/>
  <c r="DA140" i="3"/>
  <c r="DC140" i="3"/>
  <c r="A141" i="3"/>
  <c r="CY141" i="3"/>
  <c r="CZ141" i="3"/>
  <c r="DA141" i="3"/>
  <c r="DB141" i="3"/>
  <c r="DC141" i="3"/>
  <c r="A142" i="3"/>
  <c r="CY142" i="3"/>
  <c r="CZ142" i="3"/>
  <c r="DA142" i="3"/>
  <c r="DB142" i="3"/>
  <c r="DC142" i="3"/>
  <c r="A143" i="3"/>
  <c r="CY143" i="3"/>
  <c r="CZ143" i="3"/>
  <c r="DB143" i="3" s="1"/>
  <c r="DA143" i="3"/>
  <c r="DC143" i="3"/>
  <c r="A144" i="3"/>
  <c r="CY144" i="3"/>
  <c r="CZ144" i="3"/>
  <c r="DB144" i="3" s="1"/>
  <c r="DA144" i="3"/>
  <c r="DC144" i="3"/>
  <c r="A145" i="3"/>
  <c r="CY145" i="3"/>
  <c r="CZ145" i="3"/>
  <c r="DA145" i="3"/>
  <c r="DB145" i="3"/>
  <c r="DC145" i="3"/>
  <c r="A146" i="3"/>
  <c r="CY146" i="3"/>
  <c r="CZ146" i="3"/>
  <c r="DA146" i="3"/>
  <c r="DB146" i="3"/>
  <c r="DC146" i="3"/>
  <c r="A147" i="3"/>
  <c r="CY147" i="3"/>
  <c r="CZ147" i="3"/>
  <c r="DB147" i="3" s="1"/>
  <c r="DA147" i="3"/>
  <c r="DC147" i="3"/>
  <c r="A148" i="3"/>
  <c r="CY148" i="3"/>
  <c r="CZ148" i="3"/>
  <c r="DB148" i="3" s="1"/>
  <c r="DA148" i="3"/>
  <c r="DC148" i="3"/>
  <c r="A149" i="3"/>
  <c r="CY149" i="3"/>
  <c r="CZ149" i="3"/>
  <c r="DA149" i="3"/>
  <c r="DB149" i="3"/>
  <c r="DC149" i="3"/>
  <c r="A150" i="3"/>
  <c r="CY150" i="3"/>
  <c r="CZ150" i="3"/>
  <c r="DA150" i="3"/>
  <c r="DB150" i="3"/>
  <c r="DC150" i="3"/>
  <c r="A151" i="3"/>
  <c r="CY151" i="3"/>
  <c r="CZ151" i="3"/>
  <c r="DB151" i="3" s="1"/>
  <c r="DA151" i="3"/>
  <c r="DC151" i="3"/>
  <c r="A152" i="3"/>
  <c r="CX152" i="3"/>
  <c r="CY152" i="3"/>
  <c r="CZ152" i="3"/>
  <c r="DB152" i="3" s="1"/>
  <c r="DA152" i="3"/>
  <c r="DC152" i="3"/>
  <c r="A153" i="3"/>
  <c r="CX153" i="3"/>
  <c r="CY153" i="3"/>
  <c r="CZ153" i="3"/>
  <c r="DA153" i="3"/>
  <c r="DB153" i="3"/>
  <c r="DC153" i="3"/>
  <c r="A154" i="3"/>
  <c r="CY154" i="3"/>
  <c r="CZ154" i="3"/>
  <c r="DA154" i="3"/>
  <c r="DB154" i="3"/>
  <c r="DC154" i="3"/>
  <c r="A155" i="3"/>
  <c r="CY155" i="3"/>
  <c r="CZ155" i="3"/>
  <c r="DB155" i="3" s="1"/>
  <c r="DA155" i="3"/>
  <c r="DC155" i="3"/>
  <c r="A156" i="3"/>
  <c r="CY156" i="3"/>
  <c r="CZ156" i="3"/>
  <c r="DB156" i="3" s="1"/>
  <c r="DA156" i="3"/>
  <c r="DC156" i="3"/>
  <c r="A157" i="3"/>
  <c r="CY157" i="3"/>
  <c r="CZ157" i="3"/>
  <c r="DA157" i="3"/>
  <c r="DB157" i="3"/>
  <c r="DC157" i="3"/>
  <c r="A158" i="3"/>
  <c r="CY158" i="3"/>
  <c r="CZ158" i="3"/>
  <c r="DA158" i="3"/>
  <c r="DB158" i="3"/>
  <c r="DC158" i="3"/>
  <c r="A159" i="3"/>
  <c r="CY159" i="3"/>
  <c r="CZ159" i="3"/>
  <c r="DB159" i="3" s="1"/>
  <c r="DA159" i="3"/>
  <c r="DC159" i="3"/>
  <c r="A160" i="3"/>
  <c r="CY160" i="3"/>
  <c r="CZ160" i="3"/>
  <c r="DB160" i="3" s="1"/>
  <c r="DA160" i="3"/>
  <c r="DC160" i="3"/>
  <c r="A161" i="3"/>
  <c r="CY161" i="3"/>
  <c r="CZ161" i="3"/>
  <c r="DA161" i="3"/>
  <c r="DB161" i="3"/>
  <c r="DC161" i="3"/>
  <c r="A162" i="3"/>
  <c r="CY162" i="3"/>
  <c r="CZ162" i="3"/>
  <c r="DA162" i="3"/>
  <c r="DB162" i="3"/>
  <c r="DC162" i="3"/>
  <c r="A163" i="3"/>
  <c r="CY163" i="3"/>
  <c r="CZ163" i="3"/>
  <c r="DB163" i="3" s="1"/>
  <c r="DA163" i="3"/>
  <c r="DC163" i="3"/>
  <c r="A164" i="3"/>
  <c r="CY164" i="3"/>
  <c r="CZ164" i="3"/>
  <c r="DB164" i="3" s="1"/>
  <c r="DA164" i="3"/>
  <c r="DC164" i="3"/>
  <c r="A165" i="3"/>
  <c r="CY165" i="3"/>
  <c r="CZ165" i="3"/>
  <c r="DA165" i="3"/>
  <c r="DB165" i="3"/>
  <c r="DC165" i="3"/>
  <c r="A166" i="3"/>
  <c r="CY166" i="3"/>
  <c r="CZ166" i="3"/>
  <c r="DA166" i="3"/>
  <c r="DB166" i="3"/>
  <c r="DC166" i="3"/>
  <c r="A167" i="3"/>
  <c r="CY167" i="3"/>
  <c r="CZ167" i="3"/>
  <c r="DB167" i="3" s="1"/>
  <c r="DA167" i="3"/>
  <c r="DC167" i="3"/>
  <c r="A168" i="3"/>
  <c r="CY168" i="3"/>
  <c r="CZ168" i="3"/>
  <c r="DB168" i="3" s="1"/>
  <c r="DA168" i="3"/>
  <c r="DC168" i="3"/>
  <c r="A169" i="3"/>
  <c r="CY169" i="3"/>
  <c r="CZ169" i="3"/>
  <c r="DA169" i="3"/>
  <c r="DB169" i="3"/>
  <c r="DC169" i="3"/>
  <c r="A170" i="3"/>
  <c r="CY170" i="3"/>
  <c r="CZ170" i="3"/>
  <c r="DA170" i="3"/>
  <c r="DB170" i="3"/>
  <c r="DC170" i="3"/>
  <c r="A171" i="3"/>
  <c r="CY171" i="3"/>
  <c r="CZ171" i="3"/>
  <c r="DB171" i="3" s="1"/>
  <c r="DA171" i="3"/>
  <c r="DC171" i="3"/>
  <c r="A172" i="3"/>
  <c r="CY172" i="3"/>
  <c r="CZ172" i="3"/>
  <c r="DB172" i="3" s="1"/>
  <c r="DA172" i="3"/>
  <c r="DC172" i="3"/>
  <c r="A173" i="3"/>
  <c r="CY173" i="3"/>
  <c r="CZ173" i="3"/>
  <c r="DB173" i="3" s="1"/>
  <c r="DA173" i="3"/>
  <c r="DC173" i="3"/>
  <c r="A174" i="3"/>
  <c r="CY174" i="3"/>
  <c r="CZ174" i="3"/>
  <c r="DB174" i="3" s="1"/>
  <c r="DA174" i="3"/>
  <c r="DC174" i="3"/>
  <c r="A175" i="3"/>
  <c r="CY175" i="3"/>
  <c r="CZ175" i="3"/>
  <c r="DA175" i="3"/>
  <c r="DB175" i="3"/>
  <c r="DC175" i="3"/>
  <c r="A176" i="3"/>
  <c r="CX176" i="3"/>
  <c r="CY176" i="3"/>
  <c r="CZ176" i="3"/>
  <c r="DA176" i="3"/>
  <c r="DB176" i="3"/>
  <c r="DC176" i="3"/>
  <c r="A177" i="3"/>
  <c r="CX177" i="3"/>
  <c r="CY177" i="3"/>
  <c r="CZ177" i="3"/>
  <c r="DB177" i="3" s="1"/>
  <c r="DA177" i="3"/>
  <c r="DC177" i="3"/>
  <c r="A178" i="3"/>
  <c r="CX178" i="3"/>
  <c r="CY178" i="3"/>
  <c r="CZ178" i="3"/>
  <c r="DB178" i="3" s="1"/>
  <c r="DA178" i="3"/>
  <c r="DC178" i="3"/>
  <c r="A179" i="3"/>
  <c r="CX179" i="3"/>
  <c r="CY179" i="3"/>
  <c r="CZ179" i="3"/>
  <c r="DA179" i="3"/>
  <c r="DB179" i="3"/>
  <c r="DC179" i="3"/>
  <c r="A180" i="3"/>
  <c r="CX180" i="3"/>
  <c r="CY180" i="3"/>
  <c r="CZ180" i="3"/>
  <c r="DA180" i="3"/>
  <c r="DB180" i="3"/>
  <c r="DC180" i="3"/>
  <c r="A181" i="3"/>
  <c r="CX181" i="3"/>
  <c r="CY181" i="3"/>
  <c r="CZ181" i="3"/>
  <c r="DB181" i="3" s="1"/>
  <c r="DA181" i="3"/>
  <c r="DC181" i="3"/>
  <c r="A182" i="3"/>
  <c r="CX182" i="3"/>
  <c r="CY182" i="3"/>
  <c r="CZ182" i="3"/>
  <c r="DB182" i="3" s="1"/>
  <c r="DA182" i="3"/>
  <c r="DC182" i="3"/>
  <c r="A183" i="3"/>
  <c r="CX183" i="3"/>
  <c r="CY183" i="3"/>
  <c r="CZ183" i="3"/>
  <c r="DA183" i="3"/>
  <c r="DB183" i="3"/>
  <c r="DC183" i="3"/>
  <c r="A184" i="3"/>
  <c r="CY184" i="3"/>
  <c r="CZ184" i="3"/>
  <c r="DA184" i="3"/>
  <c r="DB184" i="3"/>
  <c r="DC184" i="3"/>
  <c r="A185" i="3"/>
  <c r="CY185" i="3"/>
  <c r="CZ185" i="3"/>
  <c r="DB185" i="3" s="1"/>
  <c r="DA185" i="3"/>
  <c r="DC185" i="3"/>
  <c r="A186" i="3"/>
  <c r="CY186" i="3"/>
  <c r="CZ186" i="3"/>
  <c r="DB186" i="3" s="1"/>
  <c r="DA186" i="3"/>
  <c r="DC186" i="3"/>
  <c r="A187" i="3"/>
  <c r="CY187" i="3"/>
  <c r="CZ187" i="3"/>
  <c r="DA187" i="3"/>
  <c r="DB187" i="3"/>
  <c r="DC187" i="3"/>
  <c r="A188" i="3"/>
  <c r="CY188" i="3"/>
  <c r="CZ188" i="3"/>
  <c r="DA188" i="3"/>
  <c r="DB188" i="3"/>
  <c r="DC188" i="3"/>
  <c r="A189" i="3"/>
  <c r="CY189" i="3"/>
  <c r="CZ189" i="3"/>
  <c r="DB189" i="3" s="1"/>
  <c r="DA189" i="3"/>
  <c r="DC189" i="3"/>
  <c r="A190" i="3"/>
  <c r="CY190" i="3"/>
  <c r="CZ190" i="3"/>
  <c r="DB190" i="3" s="1"/>
  <c r="DA190" i="3"/>
  <c r="DC190" i="3"/>
  <c r="A191" i="3"/>
  <c r="CY191" i="3"/>
  <c r="CZ191" i="3"/>
  <c r="DA191" i="3"/>
  <c r="DB191" i="3"/>
  <c r="DC191" i="3"/>
  <c r="A192" i="3"/>
  <c r="CX192" i="3"/>
  <c r="CY192" i="3"/>
  <c r="CZ192" i="3"/>
  <c r="DA192" i="3"/>
  <c r="DB192" i="3"/>
  <c r="DC192" i="3"/>
  <c r="A193" i="3"/>
  <c r="CX193" i="3"/>
  <c r="CY193" i="3"/>
  <c r="CZ193" i="3"/>
  <c r="DB193" i="3" s="1"/>
  <c r="DA193" i="3"/>
  <c r="DC193" i="3"/>
  <c r="A194" i="3"/>
  <c r="CX194" i="3"/>
  <c r="CY194" i="3"/>
  <c r="CZ194" i="3"/>
  <c r="DB194" i="3" s="1"/>
  <c r="DA194" i="3"/>
  <c r="DC194" i="3"/>
  <c r="A195" i="3"/>
  <c r="CX195" i="3"/>
  <c r="CY195" i="3"/>
  <c r="CZ195" i="3"/>
  <c r="DA195" i="3"/>
  <c r="DB195" i="3"/>
  <c r="DC195" i="3"/>
  <c r="A196" i="3"/>
  <c r="CX196" i="3"/>
  <c r="CY196" i="3"/>
  <c r="CZ196" i="3"/>
  <c r="DA196" i="3"/>
  <c r="DB196" i="3"/>
  <c r="DC196" i="3"/>
  <c r="A197" i="3"/>
  <c r="CX197" i="3"/>
  <c r="CY197" i="3"/>
  <c r="CZ197" i="3"/>
  <c r="DB197" i="3" s="1"/>
  <c r="DA197" i="3"/>
  <c r="DC197" i="3"/>
  <c r="A198" i="3"/>
  <c r="CX198" i="3"/>
  <c r="CY198" i="3"/>
  <c r="CZ198" i="3"/>
  <c r="DB198" i="3" s="1"/>
  <c r="DA198" i="3"/>
  <c r="DC198" i="3"/>
  <c r="A199" i="3"/>
  <c r="CX199" i="3"/>
  <c r="CY199" i="3"/>
  <c r="CZ199" i="3"/>
  <c r="DA199" i="3"/>
  <c r="DB199" i="3"/>
  <c r="DC199" i="3"/>
  <c r="A200" i="3"/>
  <c r="CX200" i="3"/>
  <c r="CY200" i="3"/>
  <c r="CZ200" i="3"/>
  <c r="DA200" i="3"/>
  <c r="DB200" i="3"/>
  <c r="DC200" i="3"/>
  <c r="A201" i="3"/>
  <c r="CX201" i="3"/>
  <c r="CY201" i="3"/>
  <c r="CZ201" i="3"/>
  <c r="DB201" i="3" s="1"/>
  <c r="DA201" i="3"/>
  <c r="DC201" i="3"/>
  <c r="A202" i="3"/>
  <c r="CX202" i="3"/>
  <c r="CY202" i="3"/>
  <c r="CZ202" i="3"/>
  <c r="DB202" i="3" s="1"/>
  <c r="DA202" i="3"/>
  <c r="DC202" i="3"/>
  <c r="A203" i="3"/>
  <c r="CX203" i="3"/>
  <c r="CY203" i="3"/>
  <c r="CZ203" i="3"/>
  <c r="DA203" i="3"/>
  <c r="DB203" i="3"/>
  <c r="DC203" i="3"/>
  <c r="A204" i="3"/>
  <c r="CX204" i="3"/>
  <c r="CY204" i="3"/>
  <c r="CZ204" i="3"/>
  <c r="DA204" i="3"/>
  <c r="DB204" i="3"/>
  <c r="DC204" i="3"/>
  <c r="A205" i="3"/>
  <c r="CX205" i="3"/>
  <c r="CY205" i="3"/>
  <c r="CZ205" i="3"/>
  <c r="DB205" i="3" s="1"/>
  <c r="DA205" i="3"/>
  <c r="DC205" i="3"/>
  <c r="A206" i="3"/>
  <c r="CX206" i="3"/>
  <c r="CY206" i="3"/>
  <c r="CZ206" i="3"/>
  <c r="DB206" i="3" s="1"/>
  <c r="DA206" i="3"/>
  <c r="DC206" i="3"/>
  <c r="A207" i="3"/>
  <c r="CX207" i="3"/>
  <c r="CY207" i="3"/>
  <c r="CZ207" i="3"/>
  <c r="DA207" i="3"/>
  <c r="DB207" i="3"/>
  <c r="DC207" i="3"/>
  <c r="A208" i="3"/>
  <c r="CX208" i="3"/>
  <c r="CY208" i="3"/>
  <c r="CZ208" i="3"/>
  <c r="DA208" i="3"/>
  <c r="DB208" i="3"/>
  <c r="DC208" i="3"/>
  <c r="A209" i="3"/>
  <c r="CX209" i="3"/>
  <c r="CY209" i="3"/>
  <c r="CZ209" i="3"/>
  <c r="DB209" i="3" s="1"/>
  <c r="DA209" i="3"/>
  <c r="DC209" i="3"/>
  <c r="A210" i="3"/>
  <c r="CX210" i="3"/>
  <c r="CY210" i="3"/>
  <c r="CZ210" i="3"/>
  <c r="DB210" i="3" s="1"/>
  <c r="DA210" i="3"/>
  <c r="DC210" i="3"/>
  <c r="A211" i="3"/>
  <c r="CX211" i="3"/>
  <c r="CY211" i="3"/>
  <c r="CZ211" i="3"/>
  <c r="DA211" i="3"/>
  <c r="DB211" i="3"/>
  <c r="DC211" i="3"/>
  <c r="A212" i="3"/>
  <c r="CX212" i="3"/>
  <c r="CY212" i="3"/>
  <c r="CZ212" i="3"/>
  <c r="DA212" i="3"/>
  <c r="DB212" i="3"/>
  <c r="DC212" i="3"/>
  <c r="A213" i="3"/>
  <c r="CX213" i="3"/>
  <c r="CY213" i="3"/>
  <c r="CZ213" i="3"/>
  <c r="DB213" i="3" s="1"/>
  <c r="DA213" i="3"/>
  <c r="DC213" i="3"/>
  <c r="A214" i="3"/>
  <c r="CX214" i="3"/>
  <c r="CY214" i="3"/>
  <c r="CZ214" i="3"/>
  <c r="DB214" i="3" s="1"/>
  <c r="DA214" i="3"/>
  <c r="DC214" i="3"/>
  <c r="A215" i="3"/>
  <c r="CX215" i="3"/>
  <c r="CY215" i="3"/>
  <c r="CZ215" i="3"/>
  <c r="DA215" i="3"/>
  <c r="DB215" i="3"/>
  <c r="DC215" i="3"/>
  <c r="A216" i="3"/>
  <c r="CX216" i="3"/>
  <c r="CY216" i="3"/>
  <c r="CZ216" i="3"/>
  <c r="DA216" i="3"/>
  <c r="DB216" i="3"/>
  <c r="DC216" i="3"/>
  <c r="A217" i="3"/>
  <c r="CX217" i="3"/>
  <c r="CY217" i="3"/>
  <c r="CZ217" i="3"/>
  <c r="DB217" i="3" s="1"/>
  <c r="DA217" i="3"/>
  <c r="DC217" i="3"/>
  <c r="A218" i="3"/>
  <c r="CX218" i="3"/>
  <c r="CY218" i="3"/>
  <c r="CZ218" i="3"/>
  <c r="DB218" i="3" s="1"/>
  <c r="DA218" i="3"/>
  <c r="DC218" i="3"/>
  <c r="A219" i="3"/>
  <c r="CX219" i="3"/>
  <c r="CY219" i="3"/>
  <c r="CZ219" i="3"/>
  <c r="DA219" i="3"/>
  <c r="DB219" i="3"/>
  <c r="DC219" i="3"/>
  <c r="A220" i="3"/>
  <c r="CX220" i="3"/>
  <c r="CY220" i="3"/>
  <c r="CZ220" i="3"/>
  <c r="DA220" i="3"/>
  <c r="DB220" i="3"/>
  <c r="DC220" i="3"/>
  <c r="A221" i="3"/>
  <c r="CX221" i="3"/>
  <c r="CY221" i="3"/>
  <c r="CZ221" i="3"/>
  <c r="DB221" i="3" s="1"/>
  <c r="DA221" i="3"/>
  <c r="DC221" i="3"/>
  <c r="A222" i="3"/>
  <c r="CY222" i="3"/>
  <c r="CZ222" i="3"/>
  <c r="DB222" i="3" s="1"/>
  <c r="DA222" i="3"/>
  <c r="DC222" i="3"/>
  <c r="A223" i="3"/>
  <c r="CY223" i="3"/>
  <c r="CZ223" i="3"/>
  <c r="DA223" i="3"/>
  <c r="DB223" i="3"/>
  <c r="DC223" i="3"/>
  <c r="A224" i="3"/>
  <c r="CY224" i="3"/>
  <c r="CZ224" i="3"/>
  <c r="DA224" i="3"/>
  <c r="DB224" i="3"/>
  <c r="DC224" i="3"/>
  <c r="A225" i="3"/>
  <c r="CY225" i="3"/>
  <c r="CZ225" i="3"/>
  <c r="DB225" i="3" s="1"/>
  <c r="DA225" i="3"/>
  <c r="DC225" i="3"/>
  <c r="A226" i="3"/>
  <c r="CY226" i="3"/>
  <c r="CZ226" i="3"/>
  <c r="DB226" i="3" s="1"/>
  <c r="DA226" i="3"/>
  <c r="DC226" i="3"/>
  <c r="A227" i="3"/>
  <c r="CY227" i="3"/>
  <c r="CZ227" i="3"/>
  <c r="DA227" i="3"/>
  <c r="DB227" i="3"/>
  <c r="DC227" i="3"/>
  <c r="A228" i="3"/>
  <c r="CY228" i="3"/>
  <c r="CZ228" i="3"/>
  <c r="DA228" i="3"/>
  <c r="DB228" i="3"/>
  <c r="DC228" i="3"/>
  <c r="A229" i="3"/>
  <c r="CY229" i="3"/>
  <c r="CZ229" i="3"/>
  <c r="DB229" i="3" s="1"/>
  <c r="DA229" i="3"/>
  <c r="DC229" i="3"/>
  <c r="A230" i="3"/>
  <c r="CY230" i="3"/>
  <c r="CZ230" i="3"/>
  <c r="DB230" i="3" s="1"/>
  <c r="DA230" i="3"/>
  <c r="DC230" i="3"/>
  <c r="A231" i="3"/>
  <c r="CY231" i="3"/>
  <c r="CZ231" i="3"/>
  <c r="DA231" i="3"/>
  <c r="DB231" i="3"/>
  <c r="DC231" i="3"/>
  <c r="A232" i="3"/>
  <c r="CY232" i="3"/>
  <c r="CZ232" i="3"/>
  <c r="DA232" i="3"/>
  <c r="DB232" i="3"/>
  <c r="DC232" i="3"/>
  <c r="A233" i="3"/>
  <c r="CY233" i="3"/>
  <c r="CZ233" i="3"/>
  <c r="DB233" i="3" s="1"/>
  <c r="DA233" i="3"/>
  <c r="DC233" i="3"/>
  <c r="A234" i="3"/>
  <c r="CX234" i="3"/>
  <c r="CY234" i="3"/>
  <c r="CZ234" i="3"/>
  <c r="DB234" i="3" s="1"/>
  <c r="DA234" i="3"/>
  <c r="DC234" i="3"/>
  <c r="A235" i="3"/>
  <c r="CX235" i="3"/>
  <c r="CY235" i="3"/>
  <c r="CZ235" i="3"/>
  <c r="DA235" i="3"/>
  <c r="DB235" i="3"/>
  <c r="DC235" i="3"/>
  <c r="A236" i="3"/>
  <c r="CX236" i="3"/>
  <c r="CY236" i="3"/>
  <c r="CZ236" i="3"/>
  <c r="DA236" i="3"/>
  <c r="DB236" i="3"/>
  <c r="DC236" i="3"/>
  <c r="A237" i="3"/>
  <c r="CX237" i="3"/>
  <c r="CY237" i="3"/>
  <c r="CZ237" i="3"/>
  <c r="DB237" i="3" s="1"/>
  <c r="DA237" i="3"/>
  <c r="DC237" i="3"/>
  <c r="A238" i="3"/>
  <c r="CX238" i="3"/>
  <c r="CY238" i="3"/>
  <c r="CZ238" i="3"/>
  <c r="DB238" i="3" s="1"/>
  <c r="DA238" i="3"/>
  <c r="DC238" i="3"/>
  <c r="A239" i="3"/>
  <c r="CX239" i="3"/>
  <c r="CY239" i="3"/>
  <c r="CZ239" i="3"/>
  <c r="DA239" i="3"/>
  <c r="DB239" i="3"/>
  <c r="DC239" i="3"/>
  <c r="A240" i="3"/>
  <c r="CY240" i="3"/>
  <c r="CZ240" i="3"/>
  <c r="DA240" i="3"/>
  <c r="DB240" i="3"/>
  <c r="DC240" i="3"/>
  <c r="A241" i="3"/>
  <c r="CY241" i="3"/>
  <c r="CZ241" i="3"/>
  <c r="DB241" i="3" s="1"/>
  <c r="DA241" i="3"/>
  <c r="DC241" i="3"/>
  <c r="A242" i="3"/>
  <c r="CY242" i="3"/>
  <c r="CZ242" i="3"/>
  <c r="DB242" i="3" s="1"/>
  <c r="DA242" i="3"/>
  <c r="DC242" i="3"/>
  <c r="A243" i="3"/>
  <c r="CY243" i="3"/>
  <c r="CZ243" i="3"/>
  <c r="DA243" i="3"/>
  <c r="DB243" i="3"/>
  <c r="DC243" i="3"/>
  <c r="A244" i="3"/>
  <c r="CY244" i="3"/>
  <c r="CZ244" i="3"/>
  <c r="DA244" i="3"/>
  <c r="DB244" i="3"/>
  <c r="DC244" i="3"/>
  <c r="A245" i="3"/>
  <c r="CY245" i="3"/>
  <c r="CZ245" i="3"/>
  <c r="DB245" i="3" s="1"/>
  <c r="DA245" i="3"/>
  <c r="DC245" i="3"/>
  <c r="A246" i="3"/>
  <c r="CY246" i="3"/>
  <c r="CZ246" i="3"/>
  <c r="DB246" i="3" s="1"/>
  <c r="DA246" i="3"/>
  <c r="DC246" i="3"/>
  <c r="A247" i="3"/>
  <c r="CY247" i="3"/>
  <c r="CZ247" i="3"/>
  <c r="DA247" i="3"/>
  <c r="DB247" i="3"/>
  <c r="DC247" i="3"/>
  <c r="A248" i="3"/>
  <c r="CY248" i="3"/>
  <c r="CZ248" i="3"/>
  <c r="DA248" i="3"/>
  <c r="DB248" i="3"/>
  <c r="DC248" i="3"/>
  <c r="A249" i="3"/>
  <c r="CY249" i="3"/>
  <c r="CZ249" i="3"/>
  <c r="DB249" i="3" s="1"/>
  <c r="DA249" i="3"/>
  <c r="DC249" i="3"/>
  <c r="A250" i="3"/>
  <c r="CY250" i="3"/>
  <c r="CZ250" i="3"/>
  <c r="DB250" i="3" s="1"/>
  <c r="DA250" i="3"/>
  <c r="DC250" i="3"/>
  <c r="A251" i="3"/>
  <c r="CY251" i="3"/>
  <c r="CZ251" i="3"/>
  <c r="DA251" i="3"/>
  <c r="DB251" i="3"/>
  <c r="DC251" i="3"/>
  <c r="A252" i="3"/>
  <c r="CY252" i="3"/>
  <c r="CZ252" i="3"/>
  <c r="DA252" i="3"/>
  <c r="DB252" i="3"/>
  <c r="DC252" i="3"/>
  <c r="A253" i="3"/>
  <c r="CY253" i="3"/>
  <c r="CZ253" i="3"/>
  <c r="DB253" i="3" s="1"/>
  <c r="DA253" i="3"/>
  <c r="DC253" i="3"/>
  <c r="A254" i="3"/>
  <c r="CY254" i="3"/>
  <c r="CZ254" i="3"/>
  <c r="DB254" i="3" s="1"/>
  <c r="DA254" i="3"/>
  <c r="DC254" i="3"/>
  <c r="A255" i="3"/>
  <c r="CY255" i="3"/>
  <c r="CZ255" i="3"/>
  <c r="DA255" i="3"/>
  <c r="DB255" i="3"/>
  <c r="DC255" i="3"/>
  <c r="A256" i="3"/>
  <c r="CY256" i="3"/>
  <c r="CZ256" i="3"/>
  <c r="DA256" i="3"/>
  <c r="DB256" i="3"/>
  <c r="DC256" i="3"/>
  <c r="A257" i="3"/>
  <c r="CY257" i="3"/>
  <c r="CZ257" i="3"/>
  <c r="DB257" i="3" s="1"/>
  <c r="DA257" i="3"/>
  <c r="DC257" i="3"/>
  <c r="A258" i="3"/>
  <c r="CY258" i="3"/>
  <c r="CZ258" i="3"/>
  <c r="DB258" i="3" s="1"/>
  <c r="DA258" i="3"/>
  <c r="DC258" i="3"/>
  <c r="A259" i="3"/>
  <c r="CY259" i="3"/>
  <c r="CZ259" i="3"/>
  <c r="DA259" i="3"/>
  <c r="DB259" i="3"/>
  <c r="DC259" i="3"/>
  <c r="A260" i="3"/>
  <c r="CY260" i="3"/>
  <c r="CZ260" i="3"/>
  <c r="DA260" i="3"/>
  <c r="DB260" i="3"/>
  <c r="DC260" i="3"/>
  <c r="A261" i="3"/>
  <c r="CY261" i="3"/>
  <c r="CZ261" i="3"/>
  <c r="DB261" i="3" s="1"/>
  <c r="DA261" i="3"/>
  <c r="DC261" i="3"/>
  <c r="A262" i="3"/>
  <c r="CY262" i="3"/>
  <c r="CZ262" i="3"/>
  <c r="DB262" i="3" s="1"/>
  <c r="DA262" i="3"/>
  <c r="DC262" i="3"/>
  <c r="A263" i="3"/>
  <c r="CY263" i="3"/>
  <c r="CZ263" i="3"/>
  <c r="DA263" i="3"/>
  <c r="DB263" i="3"/>
  <c r="DC263" i="3"/>
  <c r="A264" i="3"/>
  <c r="CY264" i="3"/>
  <c r="CZ264" i="3"/>
  <c r="DA264" i="3"/>
  <c r="DB264" i="3"/>
  <c r="DC264" i="3"/>
  <c r="A265" i="3"/>
  <c r="CY265" i="3"/>
  <c r="CZ265" i="3"/>
  <c r="DB265" i="3" s="1"/>
  <c r="DA265" i="3"/>
  <c r="DC265" i="3"/>
  <c r="A266" i="3"/>
  <c r="CY266" i="3"/>
  <c r="CZ266" i="3"/>
  <c r="DB266" i="3" s="1"/>
  <c r="DA266" i="3"/>
  <c r="DC266" i="3"/>
  <c r="A267" i="3"/>
  <c r="CY267" i="3"/>
  <c r="CZ267" i="3"/>
  <c r="DA267" i="3"/>
  <c r="DB267" i="3"/>
  <c r="DC267" i="3"/>
  <c r="A268" i="3"/>
  <c r="CY268" i="3"/>
  <c r="CZ268" i="3"/>
  <c r="DA268" i="3"/>
  <c r="DB268" i="3"/>
  <c r="DC268" i="3"/>
  <c r="A269" i="3"/>
  <c r="CY269" i="3"/>
  <c r="CZ269" i="3"/>
  <c r="DB269" i="3" s="1"/>
  <c r="DA269" i="3"/>
  <c r="DC269" i="3"/>
  <c r="A270" i="3"/>
  <c r="CY270" i="3"/>
  <c r="CZ270" i="3"/>
  <c r="DB270" i="3" s="1"/>
  <c r="DA270" i="3"/>
  <c r="DC270" i="3"/>
  <c r="A271" i="3"/>
  <c r="CY271" i="3"/>
  <c r="CZ271" i="3"/>
  <c r="DA271" i="3"/>
  <c r="DB271" i="3"/>
  <c r="DC271" i="3"/>
  <c r="A272" i="3"/>
  <c r="CY272" i="3"/>
  <c r="CZ272" i="3"/>
  <c r="DA272" i="3"/>
  <c r="DB272" i="3"/>
  <c r="DC272" i="3"/>
  <c r="A273" i="3"/>
  <c r="CY273" i="3"/>
  <c r="CZ273" i="3"/>
  <c r="DB273" i="3" s="1"/>
  <c r="DA273" i="3"/>
  <c r="DC273" i="3"/>
  <c r="A274" i="3"/>
  <c r="CY274" i="3"/>
  <c r="CZ274" i="3"/>
  <c r="DB274" i="3" s="1"/>
  <c r="DA274" i="3"/>
  <c r="DC274" i="3"/>
  <c r="A275" i="3"/>
  <c r="CY275" i="3"/>
  <c r="CZ275" i="3"/>
  <c r="DA275" i="3"/>
  <c r="DB275" i="3"/>
  <c r="DC275" i="3"/>
  <c r="A276" i="3"/>
  <c r="CY276" i="3"/>
  <c r="CZ276" i="3"/>
  <c r="DA276" i="3"/>
  <c r="DB276" i="3"/>
  <c r="DC276" i="3"/>
  <c r="A277" i="3"/>
  <c r="CY277" i="3"/>
  <c r="CZ277" i="3"/>
  <c r="DB277" i="3" s="1"/>
  <c r="DA277" i="3"/>
  <c r="DC277" i="3"/>
  <c r="A278" i="3"/>
  <c r="CY278" i="3"/>
  <c r="CZ278" i="3"/>
  <c r="DB278" i="3" s="1"/>
  <c r="DA278" i="3"/>
  <c r="DC278" i="3"/>
  <c r="A279" i="3"/>
  <c r="CY279" i="3"/>
  <c r="CZ279" i="3"/>
  <c r="DA279" i="3"/>
  <c r="DB279" i="3"/>
  <c r="DC279" i="3"/>
  <c r="A280" i="3"/>
  <c r="CY280" i="3"/>
  <c r="CZ280" i="3"/>
  <c r="DA280" i="3"/>
  <c r="DB280" i="3"/>
  <c r="DC280" i="3"/>
  <c r="A281" i="3"/>
  <c r="CY281" i="3"/>
  <c r="CZ281" i="3"/>
  <c r="DB281" i="3" s="1"/>
  <c r="DA281" i="3"/>
  <c r="DC281" i="3"/>
  <c r="A282" i="3"/>
  <c r="CY282" i="3"/>
  <c r="CZ282" i="3"/>
  <c r="DB282" i="3" s="1"/>
  <c r="DA282" i="3"/>
  <c r="DC282" i="3"/>
  <c r="A283" i="3"/>
  <c r="CY283" i="3"/>
  <c r="CZ283" i="3"/>
  <c r="DA283" i="3"/>
  <c r="DB283" i="3"/>
  <c r="DC283" i="3"/>
  <c r="A284" i="3"/>
  <c r="CY284" i="3"/>
  <c r="CZ284" i="3"/>
  <c r="DA284" i="3"/>
  <c r="DB284" i="3"/>
  <c r="DC284" i="3"/>
  <c r="A285" i="3"/>
  <c r="CY285" i="3"/>
  <c r="CZ285" i="3"/>
  <c r="DB285" i="3" s="1"/>
  <c r="DA285" i="3"/>
  <c r="DC285" i="3"/>
  <c r="A286" i="3"/>
  <c r="CY286" i="3"/>
  <c r="CZ286" i="3"/>
  <c r="DB286" i="3" s="1"/>
  <c r="DA286" i="3"/>
  <c r="DC286" i="3"/>
  <c r="A287" i="3"/>
  <c r="CY287" i="3"/>
  <c r="CZ287" i="3"/>
  <c r="DA287" i="3"/>
  <c r="DB287" i="3"/>
  <c r="DC287" i="3"/>
  <c r="A288" i="3"/>
  <c r="CY288" i="3"/>
  <c r="CZ288" i="3"/>
  <c r="DA288" i="3"/>
  <c r="DB288" i="3"/>
  <c r="DC288" i="3"/>
  <c r="A289" i="3"/>
  <c r="CY289" i="3"/>
  <c r="CZ289" i="3"/>
  <c r="DB289" i="3" s="1"/>
  <c r="DA289" i="3"/>
  <c r="DC289" i="3"/>
  <c r="A290" i="3"/>
  <c r="CY290" i="3"/>
  <c r="CZ290" i="3"/>
  <c r="DB290" i="3" s="1"/>
  <c r="DA290" i="3"/>
  <c r="DC290" i="3"/>
  <c r="A291" i="3"/>
  <c r="CX291" i="3"/>
  <c r="CY291" i="3"/>
  <c r="CZ291" i="3"/>
  <c r="DA291" i="3"/>
  <c r="DB291" i="3"/>
  <c r="DC291" i="3"/>
  <c r="A292" i="3"/>
  <c r="CX292" i="3"/>
  <c r="CY292" i="3"/>
  <c r="CZ292" i="3"/>
  <c r="DA292" i="3"/>
  <c r="DB292" i="3"/>
  <c r="DC292" i="3"/>
  <c r="A293" i="3"/>
  <c r="CX293" i="3"/>
  <c r="CY293" i="3"/>
  <c r="CZ293" i="3"/>
  <c r="DB293" i="3" s="1"/>
  <c r="DA293" i="3"/>
  <c r="DC293" i="3"/>
  <c r="A294" i="3"/>
  <c r="CX294" i="3"/>
  <c r="CY294" i="3"/>
  <c r="CZ294" i="3"/>
  <c r="DB294" i="3" s="1"/>
  <c r="DA294" i="3"/>
  <c r="DC294" i="3"/>
  <c r="A295" i="3"/>
  <c r="CX295" i="3"/>
  <c r="CY295" i="3"/>
  <c r="CZ295" i="3"/>
  <c r="DA295" i="3"/>
  <c r="DB295" i="3"/>
  <c r="DC295" i="3"/>
  <c r="A296" i="3"/>
  <c r="CX296" i="3"/>
  <c r="CY296" i="3"/>
  <c r="CZ296" i="3"/>
  <c r="DA296" i="3"/>
  <c r="DB296" i="3"/>
  <c r="DC296" i="3"/>
  <c r="A297" i="3"/>
  <c r="CX297" i="3"/>
  <c r="CY297" i="3"/>
  <c r="CZ297" i="3"/>
  <c r="DB297" i="3" s="1"/>
  <c r="DA297" i="3"/>
  <c r="DC297" i="3"/>
  <c r="A298" i="3"/>
  <c r="CX298" i="3"/>
  <c r="CY298" i="3"/>
  <c r="CZ298" i="3"/>
  <c r="DB298" i="3" s="1"/>
  <c r="DA298" i="3"/>
  <c r="DC298" i="3"/>
  <c r="A299" i="3"/>
  <c r="CX299" i="3"/>
  <c r="CY299" i="3"/>
  <c r="CZ299" i="3"/>
  <c r="DA299" i="3"/>
  <c r="DB299" i="3"/>
  <c r="DC299" i="3"/>
  <c r="A300" i="3"/>
  <c r="CX300" i="3"/>
  <c r="CY300" i="3"/>
  <c r="CZ300" i="3"/>
  <c r="DA300" i="3"/>
  <c r="DB300" i="3"/>
  <c r="DC300" i="3"/>
  <c r="A301" i="3"/>
  <c r="CX301" i="3"/>
  <c r="CY301" i="3"/>
  <c r="CZ301" i="3"/>
  <c r="DB301" i="3" s="1"/>
  <c r="DA301" i="3"/>
  <c r="DC301" i="3"/>
  <c r="A302" i="3"/>
  <c r="CX302" i="3"/>
  <c r="CY302" i="3"/>
  <c r="CZ302" i="3"/>
  <c r="DB302" i="3" s="1"/>
  <c r="DA302" i="3"/>
  <c r="DC302" i="3"/>
  <c r="A303" i="3"/>
  <c r="CX303" i="3"/>
  <c r="CY303" i="3"/>
  <c r="CZ303" i="3"/>
  <c r="DA303" i="3"/>
  <c r="DB303" i="3"/>
  <c r="DC303" i="3"/>
  <c r="A304" i="3"/>
  <c r="CX304" i="3"/>
  <c r="CY304" i="3"/>
  <c r="CZ304" i="3"/>
  <c r="DA304" i="3"/>
  <c r="DB304" i="3"/>
  <c r="DC304" i="3"/>
  <c r="A305" i="3"/>
  <c r="CX305" i="3"/>
  <c r="CY305" i="3"/>
  <c r="CZ305" i="3"/>
  <c r="DB305" i="3" s="1"/>
  <c r="DA305" i="3"/>
  <c r="DC305" i="3"/>
  <c r="A306" i="3"/>
  <c r="CX306" i="3"/>
  <c r="CY306" i="3"/>
  <c r="CZ306" i="3"/>
  <c r="DB306" i="3" s="1"/>
  <c r="DA306" i="3"/>
  <c r="DC306" i="3"/>
  <c r="A307" i="3"/>
  <c r="CX307" i="3"/>
  <c r="CY307" i="3"/>
  <c r="CZ307" i="3"/>
  <c r="DA307" i="3"/>
  <c r="DB307" i="3"/>
  <c r="DC307" i="3"/>
  <c r="A308" i="3"/>
  <c r="CX308" i="3"/>
  <c r="CY308" i="3"/>
  <c r="CZ308" i="3"/>
  <c r="DA308" i="3"/>
  <c r="DB308" i="3"/>
  <c r="DC308" i="3"/>
  <c r="A309" i="3"/>
  <c r="CX309" i="3"/>
  <c r="CY309" i="3"/>
  <c r="CZ309" i="3"/>
  <c r="DB309" i="3" s="1"/>
  <c r="DA309" i="3"/>
  <c r="DC309" i="3"/>
  <c r="A310" i="3"/>
  <c r="CX310" i="3"/>
  <c r="CY310" i="3"/>
  <c r="CZ310" i="3"/>
  <c r="DB310" i="3" s="1"/>
  <c r="DA310" i="3"/>
  <c r="DC310" i="3"/>
  <c r="A311" i="3"/>
  <c r="CX311" i="3"/>
  <c r="CY311" i="3"/>
  <c r="CZ311" i="3"/>
  <c r="DA311" i="3"/>
  <c r="DB311" i="3"/>
  <c r="DC311" i="3"/>
  <c r="A312" i="3"/>
  <c r="CX312" i="3"/>
  <c r="CY312" i="3"/>
  <c r="CZ312" i="3"/>
  <c r="DA312" i="3"/>
  <c r="DB312" i="3"/>
  <c r="DC312" i="3"/>
  <c r="A313" i="3"/>
  <c r="CX313" i="3"/>
  <c r="CY313" i="3"/>
  <c r="CZ313" i="3"/>
  <c r="DB313" i="3" s="1"/>
  <c r="DA313" i="3"/>
  <c r="DC313" i="3"/>
  <c r="A314" i="3"/>
  <c r="CX314" i="3"/>
  <c r="CY314" i="3"/>
  <c r="CZ314" i="3"/>
  <c r="DB314" i="3" s="1"/>
  <c r="DA314" i="3"/>
  <c r="DC314" i="3"/>
  <c r="A315" i="3"/>
  <c r="CX315" i="3"/>
  <c r="CY315" i="3"/>
  <c r="CZ315" i="3"/>
  <c r="DA315" i="3"/>
  <c r="DB315" i="3"/>
  <c r="DC315" i="3"/>
  <c r="A316" i="3"/>
  <c r="CX316" i="3"/>
  <c r="CY316" i="3"/>
  <c r="CZ316" i="3"/>
  <c r="DA316" i="3"/>
  <c r="DB316" i="3"/>
  <c r="DC316" i="3"/>
  <c r="A317" i="3"/>
  <c r="CX317" i="3"/>
  <c r="CY317" i="3"/>
  <c r="CZ317" i="3"/>
  <c r="DB317" i="3" s="1"/>
  <c r="DA317" i="3"/>
  <c r="DC317" i="3"/>
  <c r="A318" i="3"/>
  <c r="CX318" i="3"/>
  <c r="CY318" i="3"/>
  <c r="CZ318" i="3"/>
  <c r="DB318" i="3" s="1"/>
  <c r="DA318" i="3"/>
  <c r="DC318" i="3"/>
  <c r="A319" i="3"/>
  <c r="CY319" i="3"/>
  <c r="CZ319" i="3"/>
  <c r="DA319" i="3"/>
  <c r="DB319" i="3"/>
  <c r="DC319" i="3"/>
  <c r="A320" i="3"/>
  <c r="CY320" i="3"/>
  <c r="CZ320" i="3"/>
  <c r="DA320" i="3"/>
  <c r="DB320" i="3"/>
  <c r="DC320" i="3"/>
  <c r="A321" i="3"/>
  <c r="CY321" i="3"/>
  <c r="CZ321" i="3"/>
  <c r="DB321" i="3" s="1"/>
  <c r="DA321" i="3"/>
  <c r="DC321" i="3"/>
  <c r="A322" i="3"/>
  <c r="CY322" i="3"/>
  <c r="CZ322" i="3"/>
  <c r="DB322" i="3" s="1"/>
  <c r="DA322" i="3"/>
  <c r="DC322" i="3"/>
  <c r="A323" i="3"/>
  <c r="CY323" i="3"/>
  <c r="CZ323" i="3"/>
  <c r="DA323" i="3"/>
  <c r="DB323" i="3"/>
  <c r="DC323" i="3"/>
  <c r="A324" i="3"/>
  <c r="CY324" i="3"/>
  <c r="CZ324" i="3"/>
  <c r="DA324" i="3"/>
  <c r="DB324" i="3"/>
  <c r="DC324" i="3"/>
  <c r="A325" i="3"/>
  <c r="CY325" i="3"/>
  <c r="CZ325" i="3"/>
  <c r="DB325" i="3" s="1"/>
  <c r="DA325" i="3"/>
  <c r="DC325" i="3"/>
  <c r="A326" i="3"/>
  <c r="CY326" i="3"/>
  <c r="CZ326" i="3"/>
  <c r="DB326" i="3" s="1"/>
  <c r="DA326" i="3"/>
  <c r="DC326" i="3"/>
  <c r="A327" i="3"/>
  <c r="CY327" i="3"/>
  <c r="CZ327" i="3"/>
  <c r="DA327" i="3"/>
  <c r="DB327" i="3"/>
  <c r="DC327" i="3"/>
  <c r="A328" i="3"/>
  <c r="CY328" i="3"/>
  <c r="CZ328" i="3"/>
  <c r="DA328" i="3"/>
  <c r="DB328" i="3"/>
  <c r="DC328" i="3"/>
  <c r="A329" i="3"/>
  <c r="CY329" i="3"/>
  <c r="CZ329" i="3"/>
  <c r="DB329" i="3" s="1"/>
  <c r="DA329" i="3"/>
  <c r="DC329" i="3"/>
  <c r="A330" i="3"/>
  <c r="CY330" i="3"/>
  <c r="CZ330" i="3"/>
  <c r="DB330" i="3" s="1"/>
  <c r="DA330" i="3"/>
  <c r="DC330" i="3"/>
  <c r="A331" i="3"/>
  <c r="CY331" i="3"/>
  <c r="CZ331" i="3"/>
  <c r="DA331" i="3"/>
  <c r="DB331" i="3"/>
  <c r="DC331" i="3"/>
  <c r="A332" i="3"/>
  <c r="CX332" i="3"/>
  <c r="CY332" i="3"/>
  <c r="CZ332" i="3"/>
  <c r="DA332" i="3"/>
  <c r="DB332" i="3"/>
  <c r="DC332" i="3"/>
  <c r="A333" i="3"/>
  <c r="CX333" i="3"/>
  <c r="CY333" i="3"/>
  <c r="CZ333" i="3"/>
  <c r="DB333" i="3" s="1"/>
  <c r="DA333" i="3"/>
  <c r="DC333" i="3"/>
  <c r="A334" i="3"/>
  <c r="CY334" i="3"/>
  <c r="CZ334" i="3"/>
  <c r="DB334" i="3" s="1"/>
  <c r="DA334" i="3"/>
  <c r="DC334" i="3"/>
  <c r="A335" i="3"/>
  <c r="CY335" i="3"/>
  <c r="CZ335" i="3"/>
  <c r="DA335" i="3"/>
  <c r="DB335" i="3"/>
  <c r="DC335" i="3"/>
  <c r="A336" i="3"/>
  <c r="CX336" i="3"/>
  <c r="CY336" i="3"/>
  <c r="CZ336" i="3"/>
  <c r="DA336" i="3"/>
  <c r="DB336" i="3"/>
  <c r="DC336" i="3"/>
  <c r="A337" i="3"/>
  <c r="CX337" i="3"/>
  <c r="CY337" i="3"/>
  <c r="CZ337" i="3"/>
  <c r="DB337" i="3" s="1"/>
  <c r="DA337" i="3"/>
  <c r="DC337" i="3"/>
  <c r="A338" i="3"/>
  <c r="CX338" i="3"/>
  <c r="CY338" i="3"/>
  <c r="CZ338" i="3"/>
  <c r="DB338" i="3" s="1"/>
  <c r="DA338" i="3"/>
  <c r="DC338" i="3"/>
  <c r="A339" i="3"/>
  <c r="CX339" i="3"/>
  <c r="CY339" i="3"/>
  <c r="CZ339" i="3"/>
  <c r="DA339" i="3"/>
  <c r="DB339" i="3"/>
  <c r="DC339" i="3"/>
  <c r="A340" i="3"/>
  <c r="CX340" i="3"/>
  <c r="CY340" i="3"/>
  <c r="CZ340" i="3"/>
  <c r="DA340" i="3"/>
  <c r="DB340" i="3"/>
  <c r="DC340" i="3"/>
  <c r="A341" i="3"/>
  <c r="CX341" i="3"/>
  <c r="CY341" i="3"/>
  <c r="CZ341" i="3"/>
  <c r="DB341" i="3" s="1"/>
  <c r="DA341" i="3"/>
  <c r="DC341" i="3"/>
  <c r="A342" i="3"/>
  <c r="CX342" i="3"/>
  <c r="CY342" i="3"/>
  <c r="CZ342" i="3"/>
  <c r="DB342" i="3" s="1"/>
  <c r="DA342" i="3"/>
  <c r="DC342" i="3"/>
  <c r="A343" i="3"/>
  <c r="CX343" i="3"/>
  <c r="CY343" i="3"/>
  <c r="CZ343" i="3"/>
  <c r="DA343" i="3"/>
  <c r="DB343" i="3"/>
  <c r="DC343" i="3"/>
  <c r="A344" i="3"/>
  <c r="CX344" i="3"/>
  <c r="CY344" i="3"/>
  <c r="CZ344" i="3"/>
  <c r="DA344" i="3"/>
  <c r="DB344" i="3"/>
  <c r="DC344" i="3"/>
  <c r="A345" i="3"/>
  <c r="CX345" i="3"/>
  <c r="CY345" i="3"/>
  <c r="CZ345" i="3"/>
  <c r="DB345" i="3" s="1"/>
  <c r="DA345" i="3"/>
  <c r="DC345" i="3"/>
  <c r="A346" i="3"/>
  <c r="CX346" i="3"/>
  <c r="CY346" i="3"/>
  <c r="CZ346" i="3"/>
  <c r="DB346" i="3" s="1"/>
  <c r="DA346" i="3"/>
  <c r="DC346" i="3"/>
  <c r="A347" i="3"/>
  <c r="CX347" i="3"/>
  <c r="CY347" i="3"/>
  <c r="CZ347" i="3"/>
  <c r="DA347" i="3"/>
  <c r="DB347" i="3"/>
  <c r="DC347" i="3"/>
  <c r="A348" i="3"/>
  <c r="CX348" i="3"/>
  <c r="CY348" i="3"/>
  <c r="CZ348" i="3"/>
  <c r="DA348" i="3"/>
  <c r="DB348" i="3"/>
  <c r="DC348" i="3"/>
  <c r="A349" i="3"/>
  <c r="CX349" i="3"/>
  <c r="CY349" i="3"/>
  <c r="CZ349" i="3"/>
  <c r="DB349" i="3" s="1"/>
  <c r="DA349" i="3"/>
  <c r="DC349" i="3"/>
  <c r="A350" i="3"/>
  <c r="CX350" i="3"/>
  <c r="CY350" i="3"/>
  <c r="CZ350" i="3"/>
  <c r="DB350" i="3" s="1"/>
  <c r="DA350" i="3"/>
  <c r="DC350" i="3"/>
  <c r="A351" i="3"/>
  <c r="CX351" i="3"/>
  <c r="CY351" i="3"/>
  <c r="CZ351" i="3"/>
  <c r="DA351" i="3"/>
  <c r="DB351" i="3"/>
  <c r="DC351" i="3"/>
  <c r="A352" i="3"/>
  <c r="CX352" i="3"/>
  <c r="CY352" i="3"/>
  <c r="CZ352" i="3"/>
  <c r="DA352" i="3"/>
  <c r="DB352" i="3"/>
  <c r="DC352" i="3"/>
  <c r="A353" i="3"/>
  <c r="CX353" i="3"/>
  <c r="CY353" i="3"/>
  <c r="CZ353" i="3"/>
  <c r="DB353" i="3" s="1"/>
  <c r="DA353" i="3"/>
  <c r="DC353" i="3"/>
  <c r="A354" i="3"/>
  <c r="CX354" i="3"/>
  <c r="CY354" i="3"/>
  <c r="CZ354" i="3"/>
  <c r="DB354" i="3" s="1"/>
  <c r="DA354" i="3"/>
  <c r="DC354" i="3"/>
  <c r="A355" i="3"/>
  <c r="CY355" i="3"/>
  <c r="CZ355" i="3"/>
  <c r="DA355" i="3"/>
  <c r="DB355" i="3"/>
  <c r="DC355" i="3"/>
  <c r="A356" i="3"/>
  <c r="CY356" i="3"/>
  <c r="CZ356" i="3"/>
  <c r="DA356" i="3"/>
  <c r="DB356" i="3"/>
  <c r="DC356" i="3"/>
  <c r="A357" i="3"/>
  <c r="CY357" i="3"/>
  <c r="CZ357" i="3"/>
  <c r="DB357" i="3" s="1"/>
  <c r="DA357" i="3"/>
  <c r="DC357" i="3"/>
  <c r="A358" i="3"/>
  <c r="CY358" i="3"/>
  <c r="CZ358" i="3"/>
  <c r="DA358" i="3"/>
  <c r="DB358" i="3"/>
  <c r="DC358" i="3"/>
  <c r="A359" i="3"/>
  <c r="CY359" i="3"/>
  <c r="CZ359" i="3"/>
  <c r="DA359" i="3"/>
  <c r="DB359" i="3"/>
  <c r="DC359" i="3"/>
  <c r="A360" i="3"/>
  <c r="CY360" i="3"/>
  <c r="CZ360" i="3"/>
  <c r="DB360" i="3" s="1"/>
  <c r="DA360" i="3"/>
  <c r="DC360" i="3"/>
  <c r="A361" i="3"/>
  <c r="CY361" i="3"/>
  <c r="CZ361" i="3"/>
  <c r="DB361" i="3" s="1"/>
  <c r="DA361" i="3"/>
  <c r="DC361" i="3"/>
  <c r="A362" i="3"/>
  <c r="CY362" i="3"/>
  <c r="CZ362" i="3"/>
  <c r="DB362" i="3" s="1"/>
  <c r="DA362" i="3"/>
  <c r="DC362" i="3"/>
  <c r="A363" i="3"/>
  <c r="CY363" i="3"/>
  <c r="CZ363" i="3"/>
  <c r="DA363" i="3"/>
  <c r="DB363" i="3"/>
  <c r="DC363" i="3"/>
  <c r="A364" i="3"/>
  <c r="CY364" i="3"/>
  <c r="CZ364" i="3"/>
  <c r="DA364" i="3"/>
  <c r="DB364" i="3"/>
  <c r="DC364" i="3"/>
  <c r="A365" i="3"/>
  <c r="CY365" i="3"/>
  <c r="CZ365" i="3"/>
  <c r="DB365" i="3" s="1"/>
  <c r="DA365" i="3"/>
  <c r="DC365" i="3"/>
  <c r="A366" i="3"/>
  <c r="CY366" i="3"/>
  <c r="CZ366" i="3"/>
  <c r="DA366" i="3"/>
  <c r="DB366" i="3"/>
  <c r="DC366" i="3"/>
  <c r="A367" i="3"/>
  <c r="CY367" i="3"/>
  <c r="CZ367" i="3"/>
  <c r="DA367" i="3"/>
  <c r="DB367" i="3"/>
  <c r="DC367" i="3"/>
  <c r="A368" i="3"/>
  <c r="CY368" i="3"/>
  <c r="CZ368" i="3"/>
  <c r="DB368" i="3" s="1"/>
  <c r="DA368" i="3"/>
  <c r="DC368" i="3"/>
  <c r="A369" i="3"/>
  <c r="CY369" i="3"/>
  <c r="CZ369" i="3"/>
  <c r="DB369" i="3" s="1"/>
  <c r="DA369" i="3"/>
  <c r="DC369" i="3"/>
  <c r="A370" i="3"/>
  <c r="CY370" i="3"/>
  <c r="CZ370" i="3"/>
  <c r="DB370" i="3" s="1"/>
  <c r="DA370" i="3"/>
  <c r="DC370" i="3"/>
  <c r="A371" i="3"/>
  <c r="CY371" i="3"/>
  <c r="CZ371" i="3"/>
  <c r="DA371" i="3"/>
  <c r="DB371" i="3"/>
  <c r="DC371" i="3"/>
  <c r="A372" i="3"/>
  <c r="CY372" i="3"/>
  <c r="CZ372" i="3"/>
  <c r="DA372" i="3"/>
  <c r="DB372" i="3"/>
  <c r="DC372" i="3"/>
  <c r="A373" i="3"/>
  <c r="CY373" i="3"/>
  <c r="CZ373" i="3"/>
  <c r="DB373" i="3" s="1"/>
  <c r="DA373" i="3"/>
  <c r="DC373" i="3"/>
  <c r="A374" i="3"/>
  <c r="CY374" i="3"/>
  <c r="CZ374" i="3"/>
  <c r="DA374" i="3"/>
  <c r="DB374" i="3"/>
  <c r="DC374" i="3"/>
  <c r="A375" i="3"/>
  <c r="CY375" i="3"/>
  <c r="CZ375" i="3"/>
  <c r="DA375" i="3"/>
  <c r="DB375" i="3"/>
  <c r="DC375" i="3"/>
  <c r="A376" i="3"/>
  <c r="CX376" i="3"/>
  <c r="CY376" i="3"/>
  <c r="CZ376" i="3"/>
  <c r="DB376" i="3" s="1"/>
  <c r="DA376" i="3"/>
  <c r="DC376" i="3"/>
  <c r="A377" i="3"/>
  <c r="CX377" i="3"/>
  <c r="CY377" i="3"/>
  <c r="CZ377" i="3"/>
  <c r="DB377" i="3" s="1"/>
  <c r="DA377" i="3"/>
  <c r="DC377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D24" i="1"/>
  <c r="E26" i="1"/>
  <c r="Z26" i="1"/>
  <c r="AA26" i="1"/>
  <c r="AM26" i="1"/>
  <c r="AN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G26" i="1"/>
  <c r="DH26" i="1"/>
  <c r="DI26" i="1"/>
  <c r="DJ26" i="1"/>
  <c r="DK26" i="1"/>
  <c r="DL26" i="1"/>
  <c r="DM26" i="1"/>
  <c r="DN26" i="1"/>
  <c r="DO26" i="1"/>
  <c r="DP26" i="1"/>
  <c r="DQ26" i="1"/>
  <c r="DR26" i="1"/>
  <c r="DS26" i="1"/>
  <c r="DT26" i="1"/>
  <c r="DU26" i="1"/>
  <c r="DV26" i="1"/>
  <c r="DW26" i="1"/>
  <c r="DX26" i="1"/>
  <c r="DY26" i="1"/>
  <c r="DZ26" i="1"/>
  <c r="EA26" i="1"/>
  <c r="EB26" i="1"/>
  <c r="EC26" i="1"/>
  <c r="ED26" i="1"/>
  <c r="EE26" i="1"/>
  <c r="EF26" i="1"/>
  <c r="EG26" i="1"/>
  <c r="EH26" i="1"/>
  <c r="EI26" i="1"/>
  <c r="EJ26" i="1"/>
  <c r="EK26" i="1"/>
  <c r="EL26" i="1"/>
  <c r="EM26" i="1"/>
  <c r="EN26" i="1"/>
  <c r="EO26" i="1"/>
  <c r="EP26" i="1"/>
  <c r="EQ26" i="1"/>
  <c r="ER26" i="1"/>
  <c r="ES26" i="1"/>
  <c r="ET26" i="1"/>
  <c r="EU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FP26" i="1"/>
  <c r="FQ26" i="1"/>
  <c r="FR26" i="1"/>
  <c r="FS26" i="1"/>
  <c r="FT26" i="1"/>
  <c r="FU26" i="1"/>
  <c r="FV26" i="1"/>
  <c r="FW26" i="1"/>
  <c r="FX26" i="1"/>
  <c r="FY26" i="1"/>
  <c r="FZ26" i="1"/>
  <c r="GA26" i="1"/>
  <c r="GB26" i="1"/>
  <c r="GC26" i="1"/>
  <c r="GD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C28" i="1"/>
  <c r="D28" i="1"/>
  <c r="I28" i="1"/>
  <c r="CX1" i="3" s="1"/>
  <c r="S28" i="1"/>
  <c r="CY28" i="1" s="1"/>
  <c r="X28" i="1" s="1"/>
  <c r="AC28" i="1"/>
  <c r="AB28" i="1" s="1"/>
  <c r="AD28" i="1"/>
  <c r="CR28" i="1" s="1"/>
  <c r="Q28" i="1" s="1"/>
  <c r="AE28" i="1"/>
  <c r="AF28" i="1"/>
  <c r="AG28" i="1"/>
  <c r="AH28" i="1"/>
  <c r="CV28" i="1" s="1"/>
  <c r="U28" i="1" s="1"/>
  <c r="AI28" i="1"/>
  <c r="AJ28" i="1"/>
  <c r="CS28" i="1"/>
  <c r="R28" i="1" s="1"/>
  <c r="GK28" i="1" s="1"/>
  <c r="CT28" i="1"/>
  <c r="CU28" i="1"/>
  <c r="T28" i="1" s="1"/>
  <c r="CW28" i="1"/>
  <c r="V28" i="1" s="1"/>
  <c r="CX28" i="1"/>
  <c r="W28" i="1" s="1"/>
  <c r="FR28" i="1"/>
  <c r="GL28" i="1"/>
  <c r="GO28" i="1"/>
  <c r="GP28" i="1"/>
  <c r="GV28" i="1"/>
  <c r="GX28" i="1"/>
  <c r="HC28" i="1"/>
  <c r="C29" i="1"/>
  <c r="D29" i="1"/>
  <c r="I29" i="1"/>
  <c r="AC29" i="1"/>
  <c r="CQ29" i="1" s="1"/>
  <c r="AD29" i="1"/>
  <c r="CR29" i="1" s="1"/>
  <c r="AE29" i="1"/>
  <c r="AF29" i="1"/>
  <c r="AG29" i="1"/>
  <c r="AH29" i="1"/>
  <c r="CV29" i="1" s="1"/>
  <c r="AI29" i="1"/>
  <c r="AJ29" i="1"/>
  <c r="CS29" i="1"/>
  <c r="CT29" i="1"/>
  <c r="CU29" i="1"/>
  <c r="CW29" i="1"/>
  <c r="CX29" i="1"/>
  <c r="FR29" i="1"/>
  <c r="GL29" i="1"/>
  <c r="GO29" i="1"/>
  <c r="GP29" i="1"/>
  <c r="GV29" i="1"/>
  <c r="HC29" i="1"/>
  <c r="C30" i="1"/>
  <c r="D30" i="1"/>
  <c r="I30" i="1"/>
  <c r="CX5" i="3" s="1"/>
  <c r="R30" i="1"/>
  <c r="T30" i="1"/>
  <c r="AC30" i="1"/>
  <c r="AD30" i="1"/>
  <c r="AE30" i="1"/>
  <c r="AF30" i="1"/>
  <c r="AG30" i="1"/>
  <c r="AH30" i="1"/>
  <c r="CV30" i="1" s="1"/>
  <c r="U30" i="1" s="1"/>
  <c r="AI30" i="1"/>
  <c r="AJ30" i="1"/>
  <c r="CX30" i="1" s="1"/>
  <c r="W30" i="1" s="1"/>
  <c r="CQ30" i="1"/>
  <c r="P30" i="1" s="1"/>
  <c r="CS30" i="1"/>
  <c r="CT30" i="1"/>
  <c r="S30" i="1" s="1"/>
  <c r="CU30" i="1"/>
  <c r="CW30" i="1"/>
  <c r="V30" i="1" s="1"/>
  <c r="FR30" i="1"/>
  <c r="GK30" i="1"/>
  <c r="GL30" i="1"/>
  <c r="GO30" i="1"/>
  <c r="GP30" i="1"/>
  <c r="GV30" i="1"/>
  <c r="GX30" i="1"/>
  <c r="HC30" i="1"/>
  <c r="C31" i="1"/>
  <c r="D31" i="1"/>
  <c r="I31" i="1"/>
  <c r="I32" i="1" s="1"/>
  <c r="S31" i="1"/>
  <c r="V31" i="1"/>
  <c r="AC31" i="1"/>
  <c r="AD31" i="1"/>
  <c r="CR31" i="1" s="1"/>
  <c r="AE31" i="1"/>
  <c r="AF31" i="1"/>
  <c r="AG31" i="1"/>
  <c r="AH31" i="1"/>
  <c r="CV31" i="1" s="1"/>
  <c r="AI31" i="1"/>
  <c r="AJ31" i="1"/>
  <c r="CS31" i="1"/>
  <c r="R31" i="1" s="1"/>
  <c r="GK31" i="1" s="1"/>
  <c r="CT31" i="1"/>
  <c r="CU31" i="1"/>
  <c r="T31" i="1" s="1"/>
  <c r="CW31" i="1"/>
  <c r="CX31" i="1"/>
  <c r="W31" i="1" s="1"/>
  <c r="FR31" i="1"/>
  <c r="GL31" i="1"/>
  <c r="GO31" i="1"/>
  <c r="GP31" i="1"/>
  <c r="GV31" i="1"/>
  <c r="HC31" i="1"/>
  <c r="GX31" i="1" s="1"/>
  <c r="R32" i="1"/>
  <c r="GK32" i="1" s="1"/>
  <c r="AC32" i="1"/>
  <c r="AD32" i="1"/>
  <c r="AB32" i="1" s="1"/>
  <c r="AE32" i="1"/>
  <c r="AF32" i="1"/>
  <c r="CT32" i="1" s="1"/>
  <c r="AG32" i="1"/>
  <c r="AH32" i="1"/>
  <c r="CV32" i="1" s="1"/>
  <c r="U32" i="1" s="1"/>
  <c r="AI32" i="1"/>
  <c r="AJ32" i="1"/>
  <c r="CX32" i="1" s="1"/>
  <c r="CQ32" i="1"/>
  <c r="CR32" i="1"/>
  <c r="Q32" i="1" s="1"/>
  <c r="CS32" i="1"/>
  <c r="CU32" i="1"/>
  <c r="T32" i="1" s="1"/>
  <c r="CW32" i="1"/>
  <c r="V32" i="1" s="1"/>
  <c r="FR32" i="1"/>
  <c r="GL32" i="1"/>
  <c r="GO32" i="1"/>
  <c r="GP32" i="1"/>
  <c r="GV32" i="1"/>
  <c r="HC32" i="1" s="1"/>
  <c r="C33" i="1"/>
  <c r="D33" i="1"/>
  <c r="I33" i="1"/>
  <c r="CX12" i="3" s="1"/>
  <c r="P33" i="1"/>
  <c r="R33" i="1"/>
  <c r="AC33" i="1"/>
  <c r="AD33" i="1"/>
  <c r="AB33" i="1" s="1"/>
  <c r="AE33" i="1"/>
  <c r="AF33" i="1"/>
  <c r="CT33" i="1" s="1"/>
  <c r="S33" i="1" s="1"/>
  <c r="CY33" i="1" s="1"/>
  <c r="X33" i="1" s="1"/>
  <c r="AG33" i="1"/>
  <c r="AH33" i="1"/>
  <c r="CV33" i="1" s="1"/>
  <c r="U33" i="1" s="1"/>
  <c r="AI33" i="1"/>
  <c r="AJ33" i="1"/>
  <c r="CX33" i="1" s="1"/>
  <c r="W33" i="1" s="1"/>
  <c r="CQ33" i="1"/>
  <c r="CR33" i="1"/>
  <c r="Q33" i="1" s="1"/>
  <c r="CS33" i="1"/>
  <c r="CU33" i="1"/>
  <c r="T33" i="1" s="1"/>
  <c r="CW33" i="1"/>
  <c r="V33" i="1" s="1"/>
  <c r="FR33" i="1"/>
  <c r="GL33" i="1"/>
  <c r="GO33" i="1"/>
  <c r="GP33" i="1"/>
  <c r="GV33" i="1"/>
  <c r="HC33" i="1" s="1"/>
  <c r="GX33" i="1"/>
  <c r="C34" i="1"/>
  <c r="D34" i="1"/>
  <c r="I34" i="1"/>
  <c r="P34" i="1"/>
  <c r="R34" i="1"/>
  <c r="AC34" i="1"/>
  <c r="AD34" i="1"/>
  <c r="AB34" i="1" s="1"/>
  <c r="AE34" i="1"/>
  <c r="AF34" i="1"/>
  <c r="CT34" i="1" s="1"/>
  <c r="S34" i="1" s="1"/>
  <c r="AG34" i="1"/>
  <c r="AH34" i="1"/>
  <c r="CV34" i="1" s="1"/>
  <c r="U34" i="1" s="1"/>
  <c r="AI34" i="1"/>
  <c r="AJ34" i="1"/>
  <c r="CX34" i="1" s="1"/>
  <c r="W34" i="1" s="1"/>
  <c r="CQ34" i="1"/>
  <c r="CR34" i="1"/>
  <c r="Q34" i="1" s="1"/>
  <c r="CS34" i="1"/>
  <c r="CU34" i="1"/>
  <c r="T34" i="1" s="1"/>
  <c r="CW34" i="1"/>
  <c r="V34" i="1" s="1"/>
  <c r="FR34" i="1"/>
  <c r="GL34" i="1"/>
  <c r="GO34" i="1"/>
  <c r="GP34" i="1"/>
  <c r="GV34" i="1"/>
  <c r="GX34" i="1"/>
  <c r="HC34" i="1"/>
  <c r="I35" i="1"/>
  <c r="V35" i="1"/>
  <c r="AC35" i="1"/>
  <c r="AD35" i="1"/>
  <c r="CR35" i="1" s="1"/>
  <c r="AE35" i="1"/>
  <c r="AF35" i="1"/>
  <c r="CT35" i="1" s="1"/>
  <c r="AG35" i="1"/>
  <c r="AH35" i="1"/>
  <c r="CV35" i="1" s="1"/>
  <c r="AI35" i="1"/>
  <c r="AJ35" i="1"/>
  <c r="CX35" i="1" s="1"/>
  <c r="CQ35" i="1"/>
  <c r="P35" i="1" s="1"/>
  <c r="CS35" i="1"/>
  <c r="R35" i="1" s="1"/>
  <c r="GK35" i="1" s="1"/>
  <c r="CU35" i="1"/>
  <c r="T35" i="1" s="1"/>
  <c r="CW35" i="1"/>
  <c r="FR35" i="1"/>
  <c r="GL35" i="1"/>
  <c r="GO35" i="1"/>
  <c r="GP35" i="1"/>
  <c r="GV35" i="1"/>
  <c r="HC35" i="1" s="1"/>
  <c r="GX35" i="1"/>
  <c r="I36" i="1"/>
  <c r="P36" i="1"/>
  <c r="AC36" i="1"/>
  <c r="AD36" i="1"/>
  <c r="AE36" i="1"/>
  <c r="AF36" i="1"/>
  <c r="CT36" i="1" s="1"/>
  <c r="S36" i="1" s="1"/>
  <c r="AG36" i="1"/>
  <c r="AH36" i="1"/>
  <c r="CV36" i="1" s="1"/>
  <c r="U36" i="1" s="1"/>
  <c r="AI36" i="1"/>
  <c r="AJ36" i="1"/>
  <c r="CX36" i="1" s="1"/>
  <c r="W36" i="1" s="1"/>
  <c r="CQ36" i="1"/>
  <c r="CS36" i="1"/>
  <c r="R36" i="1" s="1"/>
  <c r="GK36" i="1" s="1"/>
  <c r="CU36" i="1"/>
  <c r="T36" i="1" s="1"/>
  <c r="CW36" i="1"/>
  <c r="V36" i="1" s="1"/>
  <c r="FR36" i="1"/>
  <c r="GL36" i="1"/>
  <c r="GO36" i="1"/>
  <c r="GP36" i="1"/>
  <c r="GV36" i="1"/>
  <c r="GX36" i="1"/>
  <c r="HC36" i="1"/>
  <c r="C37" i="1"/>
  <c r="D37" i="1"/>
  <c r="I37" i="1"/>
  <c r="P37" i="1"/>
  <c r="AC37" i="1"/>
  <c r="AD37" i="1"/>
  <c r="AE37" i="1"/>
  <c r="AF37" i="1"/>
  <c r="CT37" i="1" s="1"/>
  <c r="S37" i="1" s="1"/>
  <c r="CY37" i="1" s="1"/>
  <c r="X37" i="1" s="1"/>
  <c r="AG37" i="1"/>
  <c r="AH37" i="1"/>
  <c r="CV37" i="1" s="1"/>
  <c r="U37" i="1" s="1"/>
  <c r="AI37" i="1"/>
  <c r="AJ37" i="1"/>
  <c r="CX37" i="1" s="1"/>
  <c r="W37" i="1" s="1"/>
  <c r="CQ37" i="1"/>
  <c r="CS37" i="1"/>
  <c r="R37" i="1" s="1"/>
  <c r="GK37" i="1" s="1"/>
  <c r="CU37" i="1"/>
  <c r="T37" i="1" s="1"/>
  <c r="CW37" i="1"/>
  <c r="V37" i="1" s="1"/>
  <c r="FR37" i="1"/>
  <c r="GL37" i="1"/>
  <c r="GO37" i="1"/>
  <c r="GP37" i="1"/>
  <c r="GV37" i="1"/>
  <c r="GX37" i="1"/>
  <c r="HC37" i="1"/>
  <c r="C38" i="1"/>
  <c r="D38" i="1"/>
  <c r="I38" i="1"/>
  <c r="R38" i="1"/>
  <c r="GK38" i="1" s="1"/>
  <c r="AC38" i="1"/>
  <c r="AD38" i="1"/>
  <c r="CR38" i="1" s="1"/>
  <c r="Q38" i="1" s="1"/>
  <c r="AE38" i="1"/>
  <c r="AF38" i="1"/>
  <c r="CT38" i="1" s="1"/>
  <c r="S38" i="1" s="1"/>
  <c r="AG38" i="1"/>
  <c r="AH38" i="1"/>
  <c r="CV38" i="1" s="1"/>
  <c r="U38" i="1" s="1"/>
  <c r="AI38" i="1"/>
  <c r="AJ38" i="1"/>
  <c r="CX38" i="1" s="1"/>
  <c r="W38" i="1" s="1"/>
  <c r="CQ38" i="1"/>
  <c r="P38" i="1" s="1"/>
  <c r="CS38" i="1"/>
  <c r="CU38" i="1"/>
  <c r="CW38" i="1"/>
  <c r="V38" i="1" s="1"/>
  <c r="FR38" i="1"/>
  <c r="GL38" i="1"/>
  <c r="GO38" i="1"/>
  <c r="GP38" i="1"/>
  <c r="GV38" i="1"/>
  <c r="GX38" i="1"/>
  <c r="HC38" i="1"/>
  <c r="C39" i="1"/>
  <c r="D39" i="1"/>
  <c r="I39" i="1"/>
  <c r="V39" i="1"/>
  <c r="AC39" i="1"/>
  <c r="AD39" i="1"/>
  <c r="AE39" i="1"/>
  <c r="AF39" i="1"/>
  <c r="CT39" i="1" s="1"/>
  <c r="AG39" i="1"/>
  <c r="AH39" i="1"/>
  <c r="CV39" i="1" s="1"/>
  <c r="U39" i="1" s="1"/>
  <c r="AI39" i="1"/>
  <c r="AJ39" i="1"/>
  <c r="CX39" i="1" s="1"/>
  <c r="CQ39" i="1"/>
  <c r="P39" i="1" s="1"/>
  <c r="CS39" i="1"/>
  <c r="R39" i="1" s="1"/>
  <c r="GK39" i="1" s="1"/>
  <c r="CU39" i="1"/>
  <c r="T39" i="1" s="1"/>
  <c r="CW39" i="1"/>
  <c r="FR39" i="1"/>
  <c r="GL39" i="1"/>
  <c r="GO39" i="1"/>
  <c r="GP39" i="1"/>
  <c r="GV39" i="1"/>
  <c r="HC39" i="1"/>
  <c r="C40" i="1"/>
  <c r="D40" i="1"/>
  <c r="I40" i="1"/>
  <c r="I44" i="1" s="1"/>
  <c r="R40" i="1"/>
  <c r="GK40" i="1" s="1"/>
  <c r="AC40" i="1"/>
  <c r="AD40" i="1"/>
  <c r="CR40" i="1" s="1"/>
  <c r="Q40" i="1" s="1"/>
  <c r="AE40" i="1"/>
  <c r="AF40" i="1"/>
  <c r="CT40" i="1" s="1"/>
  <c r="S40" i="1" s="1"/>
  <c r="AG40" i="1"/>
  <c r="AH40" i="1"/>
  <c r="CV40" i="1" s="1"/>
  <c r="U40" i="1" s="1"/>
  <c r="AI40" i="1"/>
  <c r="AJ40" i="1"/>
  <c r="CX40" i="1" s="1"/>
  <c r="W40" i="1" s="1"/>
  <c r="CQ40" i="1"/>
  <c r="P40" i="1" s="1"/>
  <c r="CP40" i="1" s="1"/>
  <c r="O40" i="1" s="1"/>
  <c r="CS40" i="1"/>
  <c r="CU40" i="1"/>
  <c r="CW40" i="1"/>
  <c r="V40" i="1" s="1"/>
  <c r="FR40" i="1"/>
  <c r="GL40" i="1"/>
  <c r="GO40" i="1"/>
  <c r="GP40" i="1"/>
  <c r="GV40" i="1"/>
  <c r="GX40" i="1"/>
  <c r="HC40" i="1"/>
  <c r="I41" i="1"/>
  <c r="T41" i="1" s="1"/>
  <c r="R41" i="1"/>
  <c r="GK41" i="1" s="1"/>
  <c r="AC41" i="1"/>
  <c r="AD41" i="1"/>
  <c r="CR41" i="1" s="1"/>
  <c r="Q41" i="1" s="1"/>
  <c r="AE41" i="1"/>
  <c r="AF41" i="1"/>
  <c r="CT41" i="1" s="1"/>
  <c r="S41" i="1" s="1"/>
  <c r="AG41" i="1"/>
  <c r="AH41" i="1"/>
  <c r="CV41" i="1" s="1"/>
  <c r="U41" i="1" s="1"/>
  <c r="AI41" i="1"/>
  <c r="AJ41" i="1"/>
  <c r="CX41" i="1" s="1"/>
  <c r="W41" i="1" s="1"/>
  <c r="CQ41" i="1"/>
  <c r="P41" i="1" s="1"/>
  <c r="CS41" i="1"/>
  <c r="CU41" i="1"/>
  <c r="CW41" i="1"/>
  <c r="V41" i="1" s="1"/>
  <c r="FR41" i="1"/>
  <c r="GL41" i="1"/>
  <c r="GO41" i="1"/>
  <c r="GP41" i="1"/>
  <c r="GV41" i="1"/>
  <c r="HC41" i="1" s="1"/>
  <c r="GX41" i="1"/>
  <c r="AC42" i="1"/>
  <c r="AD42" i="1"/>
  <c r="AE42" i="1"/>
  <c r="AF42" i="1"/>
  <c r="AG42" i="1"/>
  <c r="AH42" i="1"/>
  <c r="CV42" i="1" s="1"/>
  <c r="AI42" i="1"/>
  <c r="AJ42" i="1"/>
  <c r="CX42" i="1" s="1"/>
  <c r="CQ42" i="1"/>
  <c r="CS42" i="1"/>
  <c r="CT42" i="1"/>
  <c r="CU42" i="1"/>
  <c r="CW42" i="1"/>
  <c r="FR42" i="1"/>
  <c r="GL42" i="1"/>
  <c r="GO42" i="1"/>
  <c r="GP42" i="1"/>
  <c r="GV42" i="1"/>
  <c r="HC42" i="1"/>
  <c r="I43" i="1"/>
  <c r="T43" i="1" s="1"/>
  <c r="AC43" i="1"/>
  <c r="AE43" i="1"/>
  <c r="AF43" i="1"/>
  <c r="CT43" i="1" s="1"/>
  <c r="AG43" i="1"/>
  <c r="AH43" i="1"/>
  <c r="AI43" i="1"/>
  <c r="CW43" i="1" s="1"/>
  <c r="AJ43" i="1"/>
  <c r="CX43" i="1" s="1"/>
  <c r="CQ43" i="1"/>
  <c r="CU43" i="1"/>
  <c r="CV43" i="1"/>
  <c r="FR43" i="1"/>
  <c r="GL43" i="1"/>
  <c r="GO43" i="1"/>
  <c r="GP43" i="1"/>
  <c r="GV43" i="1"/>
  <c r="HC43" i="1" s="1"/>
  <c r="AC44" i="1"/>
  <c r="AE44" i="1"/>
  <c r="AD44" i="1" s="1"/>
  <c r="CR44" i="1" s="1"/>
  <c r="Q44" i="1" s="1"/>
  <c r="AF44" i="1"/>
  <c r="AG44" i="1"/>
  <c r="CU44" i="1" s="1"/>
  <c r="AH44" i="1"/>
  <c r="AI44" i="1"/>
  <c r="CW44" i="1" s="1"/>
  <c r="V44" i="1" s="1"/>
  <c r="AJ44" i="1"/>
  <c r="CT44" i="1"/>
  <c r="S44" i="1" s="1"/>
  <c r="CV44" i="1"/>
  <c r="U44" i="1" s="1"/>
  <c r="CX44" i="1"/>
  <c r="W44" i="1" s="1"/>
  <c r="FR44" i="1"/>
  <c r="GL44" i="1"/>
  <c r="GO44" i="1"/>
  <c r="GP44" i="1"/>
  <c r="GV44" i="1"/>
  <c r="HC44" i="1"/>
  <c r="GX44" i="1" s="1"/>
  <c r="C45" i="1"/>
  <c r="D45" i="1"/>
  <c r="I45" i="1"/>
  <c r="AC45" i="1"/>
  <c r="AE45" i="1"/>
  <c r="AD45" i="1" s="1"/>
  <c r="CR45" i="1" s="1"/>
  <c r="Q45" i="1" s="1"/>
  <c r="AF45" i="1"/>
  <c r="AG45" i="1"/>
  <c r="CU45" i="1" s="1"/>
  <c r="T45" i="1" s="1"/>
  <c r="AH45" i="1"/>
  <c r="AI45" i="1"/>
  <c r="CW45" i="1" s="1"/>
  <c r="V45" i="1" s="1"/>
  <c r="AJ45" i="1"/>
  <c r="CT45" i="1"/>
  <c r="S45" i="1" s="1"/>
  <c r="CV45" i="1"/>
  <c r="U45" i="1" s="1"/>
  <c r="CX45" i="1"/>
  <c r="W45" i="1" s="1"/>
  <c r="FR45" i="1"/>
  <c r="GL45" i="1"/>
  <c r="GO45" i="1"/>
  <c r="GP45" i="1"/>
  <c r="GV45" i="1"/>
  <c r="HC45" i="1"/>
  <c r="GX45" i="1" s="1"/>
  <c r="I46" i="1"/>
  <c r="U46" i="1"/>
  <c r="AC46" i="1"/>
  <c r="AE46" i="1"/>
  <c r="AF46" i="1"/>
  <c r="AG46" i="1"/>
  <c r="CU46" i="1" s="1"/>
  <c r="T46" i="1" s="1"/>
  <c r="AH46" i="1"/>
  <c r="AI46" i="1"/>
  <c r="CW46" i="1" s="1"/>
  <c r="V46" i="1" s="1"/>
  <c r="AJ46" i="1"/>
  <c r="CT46" i="1"/>
  <c r="S46" i="1" s="1"/>
  <c r="CV46" i="1"/>
  <c r="CX46" i="1"/>
  <c r="W46" i="1" s="1"/>
  <c r="FR46" i="1"/>
  <c r="GL46" i="1"/>
  <c r="GO46" i="1"/>
  <c r="GP46" i="1"/>
  <c r="GV46" i="1"/>
  <c r="HC46" i="1" s="1"/>
  <c r="GX46" i="1" s="1"/>
  <c r="I47" i="1"/>
  <c r="AC47" i="1"/>
  <c r="AE47" i="1"/>
  <c r="AD47" i="1" s="1"/>
  <c r="CR47" i="1" s="1"/>
  <c r="Q47" i="1" s="1"/>
  <c r="AF47" i="1"/>
  <c r="AG47" i="1"/>
  <c r="CU47" i="1" s="1"/>
  <c r="T47" i="1" s="1"/>
  <c r="AH47" i="1"/>
  <c r="AI47" i="1"/>
  <c r="CW47" i="1" s="1"/>
  <c r="V47" i="1" s="1"/>
  <c r="AJ47" i="1"/>
  <c r="CT47" i="1"/>
  <c r="S47" i="1" s="1"/>
  <c r="CV47" i="1"/>
  <c r="U47" i="1" s="1"/>
  <c r="CX47" i="1"/>
  <c r="W47" i="1" s="1"/>
  <c r="FR47" i="1"/>
  <c r="GL47" i="1"/>
  <c r="GO47" i="1"/>
  <c r="GP47" i="1"/>
  <c r="GV47" i="1"/>
  <c r="HC47" i="1"/>
  <c r="GX47" i="1" s="1"/>
  <c r="I48" i="1"/>
  <c r="U48" i="1"/>
  <c r="AC48" i="1"/>
  <c r="AE48" i="1"/>
  <c r="AF48" i="1"/>
  <c r="AG48" i="1"/>
  <c r="CU48" i="1" s="1"/>
  <c r="T48" i="1" s="1"/>
  <c r="AH48" i="1"/>
  <c r="AI48" i="1"/>
  <c r="CW48" i="1" s="1"/>
  <c r="V48" i="1" s="1"/>
  <c r="AJ48" i="1"/>
  <c r="CT48" i="1"/>
  <c r="S48" i="1" s="1"/>
  <c r="CV48" i="1"/>
  <c r="CX48" i="1"/>
  <c r="W48" i="1" s="1"/>
  <c r="FR48" i="1"/>
  <c r="GL48" i="1"/>
  <c r="GO48" i="1"/>
  <c r="GP48" i="1"/>
  <c r="GV48" i="1"/>
  <c r="HC48" i="1" s="1"/>
  <c r="GX48" i="1" s="1"/>
  <c r="I49" i="1"/>
  <c r="AC49" i="1"/>
  <c r="AE49" i="1"/>
  <c r="AD49" i="1" s="1"/>
  <c r="CR49" i="1" s="1"/>
  <c r="Q49" i="1" s="1"/>
  <c r="AF49" i="1"/>
  <c r="AG49" i="1"/>
  <c r="CU49" i="1" s="1"/>
  <c r="T49" i="1" s="1"/>
  <c r="AH49" i="1"/>
  <c r="AI49" i="1"/>
  <c r="CW49" i="1" s="1"/>
  <c r="V49" i="1" s="1"/>
  <c r="AJ49" i="1"/>
  <c r="CT49" i="1"/>
  <c r="S49" i="1" s="1"/>
  <c r="CV49" i="1"/>
  <c r="U49" i="1" s="1"/>
  <c r="CX49" i="1"/>
  <c r="W49" i="1" s="1"/>
  <c r="FR49" i="1"/>
  <c r="GL49" i="1"/>
  <c r="GO49" i="1"/>
  <c r="GP49" i="1"/>
  <c r="GV49" i="1"/>
  <c r="HC49" i="1"/>
  <c r="GX49" i="1" s="1"/>
  <c r="I50" i="1"/>
  <c r="U50" i="1"/>
  <c r="AC50" i="1"/>
  <c r="AE50" i="1"/>
  <c r="AF50" i="1"/>
  <c r="AG50" i="1"/>
  <c r="CU50" i="1" s="1"/>
  <c r="T50" i="1" s="1"/>
  <c r="AH50" i="1"/>
  <c r="AI50" i="1"/>
  <c r="CW50" i="1" s="1"/>
  <c r="V50" i="1" s="1"/>
  <c r="AJ50" i="1"/>
  <c r="CT50" i="1"/>
  <c r="S50" i="1" s="1"/>
  <c r="CV50" i="1"/>
  <c r="CX50" i="1"/>
  <c r="W50" i="1" s="1"/>
  <c r="FR50" i="1"/>
  <c r="GL50" i="1"/>
  <c r="GO50" i="1"/>
  <c r="GP50" i="1"/>
  <c r="GV50" i="1"/>
  <c r="HC50" i="1" s="1"/>
  <c r="GX50" i="1" s="1"/>
  <c r="I51" i="1"/>
  <c r="AC51" i="1"/>
  <c r="AE51" i="1"/>
  <c r="AD51" i="1" s="1"/>
  <c r="CR51" i="1" s="1"/>
  <c r="Q51" i="1" s="1"/>
  <c r="AF51" i="1"/>
  <c r="AG51" i="1"/>
  <c r="CU51" i="1" s="1"/>
  <c r="T51" i="1" s="1"/>
  <c r="AH51" i="1"/>
  <c r="AI51" i="1"/>
  <c r="CW51" i="1" s="1"/>
  <c r="V51" i="1" s="1"/>
  <c r="AJ51" i="1"/>
  <c r="CT51" i="1"/>
  <c r="S51" i="1" s="1"/>
  <c r="CV51" i="1"/>
  <c r="U51" i="1" s="1"/>
  <c r="CX51" i="1"/>
  <c r="W51" i="1" s="1"/>
  <c r="FR51" i="1"/>
  <c r="GL51" i="1"/>
  <c r="GO51" i="1"/>
  <c r="GP51" i="1"/>
  <c r="GV51" i="1"/>
  <c r="HC51" i="1"/>
  <c r="GX51" i="1" s="1"/>
  <c r="I52" i="1"/>
  <c r="U52" i="1"/>
  <c r="AC52" i="1"/>
  <c r="AE52" i="1"/>
  <c r="AF52" i="1"/>
  <c r="AG52" i="1"/>
  <c r="CU52" i="1" s="1"/>
  <c r="T52" i="1" s="1"/>
  <c r="AH52" i="1"/>
  <c r="AI52" i="1"/>
  <c r="CW52" i="1" s="1"/>
  <c r="V52" i="1" s="1"/>
  <c r="AJ52" i="1"/>
  <c r="CT52" i="1"/>
  <c r="S52" i="1" s="1"/>
  <c r="CV52" i="1"/>
  <c r="CX52" i="1"/>
  <c r="W52" i="1" s="1"/>
  <c r="FR52" i="1"/>
  <c r="GL52" i="1"/>
  <c r="GO52" i="1"/>
  <c r="GP52" i="1"/>
  <c r="GV52" i="1"/>
  <c r="HC52" i="1" s="1"/>
  <c r="GX52" i="1" s="1"/>
  <c r="I53" i="1"/>
  <c r="AC53" i="1"/>
  <c r="AE53" i="1"/>
  <c r="AD53" i="1" s="1"/>
  <c r="CR53" i="1" s="1"/>
  <c r="Q53" i="1" s="1"/>
  <c r="AF53" i="1"/>
  <c r="AG53" i="1"/>
  <c r="CU53" i="1" s="1"/>
  <c r="T53" i="1" s="1"/>
  <c r="AH53" i="1"/>
  <c r="AI53" i="1"/>
  <c r="CW53" i="1" s="1"/>
  <c r="V53" i="1" s="1"/>
  <c r="AJ53" i="1"/>
  <c r="CT53" i="1"/>
  <c r="S53" i="1" s="1"/>
  <c r="CV53" i="1"/>
  <c r="U53" i="1" s="1"/>
  <c r="CX53" i="1"/>
  <c r="W53" i="1" s="1"/>
  <c r="FR53" i="1"/>
  <c r="GL53" i="1"/>
  <c r="GO53" i="1"/>
  <c r="GP53" i="1"/>
  <c r="GV53" i="1"/>
  <c r="HC53" i="1"/>
  <c r="GX53" i="1" s="1"/>
  <c r="I54" i="1"/>
  <c r="U54" i="1"/>
  <c r="AC54" i="1"/>
  <c r="AE54" i="1"/>
  <c r="AF54" i="1"/>
  <c r="AG54" i="1"/>
  <c r="CU54" i="1" s="1"/>
  <c r="T54" i="1" s="1"/>
  <c r="AH54" i="1"/>
  <c r="AI54" i="1"/>
  <c r="CW54" i="1" s="1"/>
  <c r="V54" i="1" s="1"/>
  <c r="AJ54" i="1"/>
  <c r="CT54" i="1"/>
  <c r="S54" i="1" s="1"/>
  <c r="CV54" i="1"/>
  <c r="CX54" i="1"/>
  <c r="W54" i="1" s="1"/>
  <c r="FR54" i="1"/>
  <c r="GL54" i="1"/>
  <c r="GO54" i="1"/>
  <c r="GP54" i="1"/>
  <c r="GV54" i="1"/>
  <c r="HC54" i="1" s="1"/>
  <c r="GX54" i="1" s="1"/>
  <c r="I55" i="1"/>
  <c r="AC55" i="1"/>
  <c r="AE55" i="1"/>
  <c r="AD55" i="1" s="1"/>
  <c r="CR55" i="1" s="1"/>
  <c r="Q55" i="1" s="1"/>
  <c r="AF55" i="1"/>
  <c r="AG55" i="1"/>
  <c r="CU55" i="1" s="1"/>
  <c r="T55" i="1" s="1"/>
  <c r="AH55" i="1"/>
  <c r="AI55" i="1"/>
  <c r="CW55" i="1" s="1"/>
  <c r="V55" i="1" s="1"/>
  <c r="AJ55" i="1"/>
  <c r="CT55" i="1"/>
  <c r="S55" i="1" s="1"/>
  <c r="CV55" i="1"/>
  <c r="U55" i="1" s="1"/>
  <c r="CX55" i="1"/>
  <c r="W55" i="1" s="1"/>
  <c r="FR55" i="1"/>
  <c r="GL55" i="1"/>
  <c r="GO55" i="1"/>
  <c r="GP55" i="1"/>
  <c r="GV55" i="1"/>
  <c r="HC55" i="1"/>
  <c r="GX55" i="1" s="1"/>
  <c r="I56" i="1"/>
  <c r="U56" i="1"/>
  <c r="AC56" i="1"/>
  <c r="AE56" i="1"/>
  <c r="AF56" i="1"/>
  <c r="AG56" i="1"/>
  <c r="CU56" i="1" s="1"/>
  <c r="T56" i="1" s="1"/>
  <c r="AH56" i="1"/>
  <c r="AI56" i="1"/>
  <c r="CW56" i="1" s="1"/>
  <c r="V56" i="1" s="1"/>
  <c r="AJ56" i="1"/>
  <c r="CT56" i="1"/>
  <c r="S56" i="1" s="1"/>
  <c r="CV56" i="1"/>
  <c r="CX56" i="1"/>
  <c r="W56" i="1" s="1"/>
  <c r="FR56" i="1"/>
  <c r="GL56" i="1"/>
  <c r="GO56" i="1"/>
  <c r="GP56" i="1"/>
  <c r="GV56" i="1"/>
  <c r="HC56" i="1" s="1"/>
  <c r="GX56" i="1" s="1"/>
  <c r="I57" i="1"/>
  <c r="AC57" i="1"/>
  <c r="AE57" i="1"/>
  <c r="AD57" i="1" s="1"/>
  <c r="CR57" i="1" s="1"/>
  <c r="Q57" i="1" s="1"/>
  <c r="AF57" i="1"/>
  <c r="AG57" i="1"/>
  <c r="CU57" i="1" s="1"/>
  <c r="T57" i="1" s="1"/>
  <c r="AH57" i="1"/>
  <c r="AI57" i="1"/>
  <c r="CW57" i="1" s="1"/>
  <c r="V57" i="1" s="1"/>
  <c r="AJ57" i="1"/>
  <c r="CT57" i="1"/>
  <c r="S57" i="1" s="1"/>
  <c r="CV57" i="1"/>
  <c r="U57" i="1" s="1"/>
  <c r="CX57" i="1"/>
  <c r="W57" i="1" s="1"/>
  <c r="FR57" i="1"/>
  <c r="GL57" i="1"/>
  <c r="GO57" i="1"/>
  <c r="GP57" i="1"/>
  <c r="GV57" i="1"/>
  <c r="HC57" i="1"/>
  <c r="GX57" i="1" s="1"/>
  <c r="C58" i="1"/>
  <c r="D58" i="1"/>
  <c r="I58" i="1"/>
  <c r="AC58" i="1"/>
  <c r="AE58" i="1"/>
  <c r="AD58" i="1" s="1"/>
  <c r="CR58" i="1" s="1"/>
  <c r="Q58" i="1" s="1"/>
  <c r="AF58" i="1"/>
  <c r="AG58" i="1"/>
  <c r="CU58" i="1" s="1"/>
  <c r="T58" i="1" s="1"/>
  <c r="AH58" i="1"/>
  <c r="AI58" i="1"/>
  <c r="CW58" i="1" s="1"/>
  <c r="V58" i="1" s="1"/>
  <c r="AJ58" i="1"/>
  <c r="CT58" i="1"/>
  <c r="S58" i="1" s="1"/>
  <c r="CV58" i="1"/>
  <c r="U58" i="1" s="1"/>
  <c r="CX58" i="1"/>
  <c r="W58" i="1" s="1"/>
  <c r="FR58" i="1"/>
  <c r="GL58" i="1"/>
  <c r="GO58" i="1"/>
  <c r="GP58" i="1"/>
  <c r="GV58" i="1"/>
  <c r="HC58" i="1"/>
  <c r="GX58" i="1" s="1"/>
  <c r="I59" i="1"/>
  <c r="U59" i="1"/>
  <c r="AC59" i="1"/>
  <c r="AE59" i="1"/>
  <c r="AF59" i="1"/>
  <c r="AG59" i="1"/>
  <c r="CU59" i="1" s="1"/>
  <c r="T59" i="1" s="1"/>
  <c r="AH59" i="1"/>
  <c r="AI59" i="1"/>
  <c r="CW59" i="1" s="1"/>
  <c r="V59" i="1" s="1"/>
  <c r="AJ59" i="1"/>
  <c r="CT59" i="1"/>
  <c r="S59" i="1" s="1"/>
  <c r="CV59" i="1"/>
  <c r="CX59" i="1"/>
  <c r="W59" i="1" s="1"/>
  <c r="FR59" i="1"/>
  <c r="GL59" i="1"/>
  <c r="GO59" i="1"/>
  <c r="GP59" i="1"/>
  <c r="GV59" i="1"/>
  <c r="HC59" i="1" s="1"/>
  <c r="GX59" i="1" s="1"/>
  <c r="I60" i="1"/>
  <c r="AC60" i="1"/>
  <c r="AE60" i="1"/>
  <c r="AD60" i="1" s="1"/>
  <c r="CR60" i="1" s="1"/>
  <c r="Q60" i="1" s="1"/>
  <c r="AF60" i="1"/>
  <c r="AG60" i="1"/>
  <c r="CU60" i="1" s="1"/>
  <c r="T60" i="1" s="1"/>
  <c r="AH60" i="1"/>
  <c r="AI60" i="1"/>
  <c r="CW60" i="1" s="1"/>
  <c r="V60" i="1" s="1"/>
  <c r="AJ60" i="1"/>
  <c r="CT60" i="1"/>
  <c r="S60" i="1" s="1"/>
  <c r="CV60" i="1"/>
  <c r="U60" i="1" s="1"/>
  <c r="CX60" i="1"/>
  <c r="W60" i="1" s="1"/>
  <c r="FR60" i="1"/>
  <c r="GL60" i="1"/>
  <c r="GO60" i="1"/>
  <c r="GP60" i="1"/>
  <c r="GV60" i="1"/>
  <c r="HC60" i="1"/>
  <c r="GX60" i="1" s="1"/>
  <c r="I61" i="1"/>
  <c r="U61" i="1"/>
  <c r="AC61" i="1"/>
  <c r="AE61" i="1"/>
  <c r="AF61" i="1"/>
  <c r="AG61" i="1"/>
  <c r="CU61" i="1" s="1"/>
  <c r="T61" i="1" s="1"/>
  <c r="AH61" i="1"/>
  <c r="AI61" i="1"/>
  <c r="CW61" i="1" s="1"/>
  <c r="V61" i="1" s="1"/>
  <c r="AJ61" i="1"/>
  <c r="CT61" i="1"/>
  <c r="S61" i="1" s="1"/>
  <c r="CV61" i="1"/>
  <c r="CX61" i="1"/>
  <c r="W61" i="1" s="1"/>
  <c r="FR61" i="1"/>
  <c r="GL61" i="1"/>
  <c r="GO61" i="1"/>
  <c r="GP61" i="1"/>
  <c r="GV61" i="1"/>
  <c r="HC61" i="1" s="1"/>
  <c r="GX61" i="1" s="1"/>
  <c r="C62" i="1"/>
  <c r="D62" i="1"/>
  <c r="I62" i="1"/>
  <c r="U62" i="1"/>
  <c r="AC62" i="1"/>
  <c r="AE62" i="1"/>
  <c r="AF62" i="1"/>
  <c r="AG62" i="1"/>
  <c r="CU62" i="1" s="1"/>
  <c r="T62" i="1" s="1"/>
  <c r="AH62" i="1"/>
  <c r="AI62" i="1"/>
  <c r="CW62" i="1" s="1"/>
  <c r="V62" i="1" s="1"/>
  <c r="AJ62" i="1"/>
  <c r="CT62" i="1"/>
  <c r="S62" i="1" s="1"/>
  <c r="CV62" i="1"/>
  <c r="CX62" i="1"/>
  <c r="W62" i="1" s="1"/>
  <c r="FR62" i="1"/>
  <c r="GL62" i="1"/>
  <c r="GO62" i="1"/>
  <c r="GP62" i="1"/>
  <c r="GV62" i="1"/>
  <c r="HC62" i="1" s="1"/>
  <c r="GX62" i="1" s="1"/>
  <c r="I63" i="1"/>
  <c r="AC63" i="1"/>
  <c r="AE63" i="1"/>
  <c r="AD63" i="1" s="1"/>
  <c r="CR63" i="1" s="1"/>
  <c r="Q63" i="1" s="1"/>
  <c r="AF63" i="1"/>
  <c r="AG63" i="1"/>
  <c r="CU63" i="1" s="1"/>
  <c r="T63" i="1" s="1"/>
  <c r="AH63" i="1"/>
  <c r="AI63" i="1"/>
  <c r="AJ63" i="1"/>
  <c r="CS63" i="1"/>
  <c r="R63" i="1" s="1"/>
  <c r="CT63" i="1"/>
  <c r="S63" i="1" s="1"/>
  <c r="CV63" i="1"/>
  <c r="U63" i="1" s="1"/>
  <c r="CW63" i="1"/>
  <c r="V63" i="1" s="1"/>
  <c r="CX63" i="1"/>
  <c r="W63" i="1" s="1"/>
  <c r="FR63" i="1"/>
  <c r="GK63" i="1"/>
  <c r="GL63" i="1"/>
  <c r="GO63" i="1"/>
  <c r="GP63" i="1"/>
  <c r="GV63" i="1"/>
  <c r="HC63" i="1"/>
  <c r="GX63" i="1" s="1"/>
  <c r="I64" i="1"/>
  <c r="U64" i="1"/>
  <c r="AC64" i="1"/>
  <c r="AE64" i="1"/>
  <c r="AF64" i="1"/>
  <c r="CT64" i="1" s="1"/>
  <c r="S64" i="1" s="1"/>
  <c r="AG64" i="1"/>
  <c r="AH64" i="1"/>
  <c r="AI64" i="1"/>
  <c r="CW64" i="1" s="1"/>
  <c r="V64" i="1" s="1"/>
  <c r="AJ64" i="1"/>
  <c r="CX64" i="1" s="1"/>
  <c r="W64" i="1" s="1"/>
  <c r="CQ64" i="1"/>
  <c r="P64" i="1" s="1"/>
  <c r="CU64" i="1"/>
  <c r="T64" i="1" s="1"/>
  <c r="CV64" i="1"/>
  <c r="FR64" i="1"/>
  <c r="GL64" i="1"/>
  <c r="GO64" i="1"/>
  <c r="GP64" i="1"/>
  <c r="GV64" i="1"/>
  <c r="HC64" i="1" s="1"/>
  <c r="GX64" i="1" s="1"/>
  <c r="I65" i="1"/>
  <c r="AC65" i="1"/>
  <c r="AD65" i="1"/>
  <c r="CR65" i="1" s="1"/>
  <c r="Q65" i="1" s="1"/>
  <c r="AE65" i="1"/>
  <c r="AF65" i="1"/>
  <c r="AG65" i="1"/>
  <c r="CU65" i="1" s="1"/>
  <c r="T65" i="1" s="1"/>
  <c r="AH65" i="1"/>
  <c r="CV65" i="1" s="1"/>
  <c r="U65" i="1" s="1"/>
  <c r="AI65" i="1"/>
  <c r="AJ65" i="1"/>
  <c r="CS65" i="1"/>
  <c r="R65" i="1" s="1"/>
  <c r="CT65" i="1"/>
  <c r="S65" i="1" s="1"/>
  <c r="CW65" i="1"/>
  <c r="V65" i="1" s="1"/>
  <c r="CX65" i="1"/>
  <c r="W65" i="1" s="1"/>
  <c r="FR65" i="1"/>
  <c r="GK65" i="1"/>
  <c r="GL65" i="1"/>
  <c r="GO65" i="1"/>
  <c r="GP65" i="1"/>
  <c r="GV65" i="1"/>
  <c r="HC65" i="1"/>
  <c r="GX65" i="1" s="1"/>
  <c r="C66" i="1"/>
  <c r="D66" i="1"/>
  <c r="I66" i="1"/>
  <c r="S66" i="1"/>
  <c r="AC66" i="1"/>
  <c r="AD66" i="1"/>
  <c r="CR66" i="1" s="1"/>
  <c r="Q66" i="1" s="1"/>
  <c r="AE66" i="1"/>
  <c r="AF66" i="1"/>
  <c r="AG66" i="1"/>
  <c r="CU66" i="1" s="1"/>
  <c r="T66" i="1" s="1"/>
  <c r="AH66" i="1"/>
  <c r="CV66" i="1" s="1"/>
  <c r="U66" i="1" s="1"/>
  <c r="AI66" i="1"/>
  <c r="AJ66" i="1"/>
  <c r="CS66" i="1"/>
  <c r="R66" i="1" s="1"/>
  <c r="CT66" i="1"/>
  <c r="CW66" i="1"/>
  <c r="V66" i="1" s="1"/>
  <c r="CX66" i="1"/>
  <c r="W66" i="1" s="1"/>
  <c r="FR66" i="1"/>
  <c r="GK66" i="1"/>
  <c r="GL66" i="1"/>
  <c r="GO66" i="1"/>
  <c r="GP66" i="1"/>
  <c r="GV66" i="1"/>
  <c r="HC66" i="1"/>
  <c r="GX66" i="1" s="1"/>
  <c r="I67" i="1"/>
  <c r="AC67" i="1"/>
  <c r="AE67" i="1"/>
  <c r="AF67" i="1"/>
  <c r="CT67" i="1" s="1"/>
  <c r="S67" i="1" s="1"/>
  <c r="AG67" i="1"/>
  <c r="AH67" i="1"/>
  <c r="AI67" i="1"/>
  <c r="CW67" i="1" s="1"/>
  <c r="V67" i="1" s="1"/>
  <c r="AJ67" i="1"/>
  <c r="CX67" i="1" s="1"/>
  <c r="W67" i="1" s="1"/>
  <c r="CQ67" i="1"/>
  <c r="P67" i="1" s="1"/>
  <c r="CU67" i="1"/>
  <c r="T67" i="1" s="1"/>
  <c r="CV67" i="1"/>
  <c r="U67" i="1" s="1"/>
  <c r="FR67" i="1"/>
  <c r="GL67" i="1"/>
  <c r="GO67" i="1"/>
  <c r="GP67" i="1"/>
  <c r="GV67" i="1"/>
  <c r="HC67" i="1" s="1"/>
  <c r="GX67" i="1" s="1"/>
  <c r="I68" i="1"/>
  <c r="AC68" i="1"/>
  <c r="AD68" i="1"/>
  <c r="CR68" i="1" s="1"/>
  <c r="Q68" i="1" s="1"/>
  <c r="AE68" i="1"/>
  <c r="AF68" i="1"/>
  <c r="AG68" i="1"/>
  <c r="CU68" i="1" s="1"/>
  <c r="T68" i="1" s="1"/>
  <c r="AH68" i="1"/>
  <c r="CV68" i="1" s="1"/>
  <c r="U68" i="1" s="1"/>
  <c r="AI68" i="1"/>
  <c r="AJ68" i="1"/>
  <c r="CS68" i="1"/>
  <c r="R68" i="1" s="1"/>
  <c r="CT68" i="1"/>
  <c r="S68" i="1" s="1"/>
  <c r="CW68" i="1"/>
  <c r="V68" i="1" s="1"/>
  <c r="CX68" i="1"/>
  <c r="W68" i="1" s="1"/>
  <c r="FR68" i="1"/>
  <c r="GK68" i="1"/>
  <c r="GL68" i="1"/>
  <c r="GO68" i="1"/>
  <c r="GP68" i="1"/>
  <c r="GV68" i="1"/>
  <c r="HC68" i="1"/>
  <c r="GX68" i="1" s="1"/>
  <c r="C69" i="1"/>
  <c r="D69" i="1"/>
  <c r="I69" i="1"/>
  <c r="AC69" i="1"/>
  <c r="AD69" i="1"/>
  <c r="CR69" i="1" s="1"/>
  <c r="Q69" i="1" s="1"/>
  <c r="AE69" i="1"/>
  <c r="AF69" i="1"/>
  <c r="AG69" i="1"/>
  <c r="CU69" i="1" s="1"/>
  <c r="T69" i="1" s="1"/>
  <c r="AH69" i="1"/>
  <c r="CV69" i="1" s="1"/>
  <c r="U69" i="1" s="1"/>
  <c r="AI69" i="1"/>
  <c r="AJ69" i="1"/>
  <c r="CS69" i="1"/>
  <c r="R69" i="1" s="1"/>
  <c r="CT69" i="1"/>
  <c r="S69" i="1" s="1"/>
  <c r="CW69" i="1"/>
  <c r="V69" i="1" s="1"/>
  <c r="CX69" i="1"/>
  <c r="W69" i="1" s="1"/>
  <c r="FR69" i="1"/>
  <c r="GK69" i="1"/>
  <c r="GL69" i="1"/>
  <c r="GO69" i="1"/>
  <c r="GP69" i="1"/>
  <c r="GV69" i="1"/>
  <c r="HC69" i="1"/>
  <c r="GX69" i="1" s="1"/>
  <c r="C70" i="1"/>
  <c r="D70" i="1"/>
  <c r="I70" i="1"/>
  <c r="AC70" i="1"/>
  <c r="AD70" i="1"/>
  <c r="CR70" i="1" s="1"/>
  <c r="Q70" i="1" s="1"/>
  <c r="AE70" i="1"/>
  <c r="AF70" i="1"/>
  <c r="AG70" i="1"/>
  <c r="CU70" i="1" s="1"/>
  <c r="T70" i="1" s="1"/>
  <c r="AH70" i="1"/>
  <c r="CV70" i="1" s="1"/>
  <c r="U70" i="1" s="1"/>
  <c r="AI70" i="1"/>
  <c r="AJ70" i="1"/>
  <c r="CS70" i="1"/>
  <c r="R70" i="1" s="1"/>
  <c r="CT70" i="1"/>
  <c r="S70" i="1" s="1"/>
  <c r="CW70" i="1"/>
  <c r="V70" i="1" s="1"/>
  <c r="CX70" i="1"/>
  <c r="W70" i="1" s="1"/>
  <c r="FR70" i="1"/>
  <c r="GK70" i="1"/>
  <c r="GL70" i="1"/>
  <c r="GO70" i="1"/>
  <c r="GP70" i="1"/>
  <c r="GV70" i="1"/>
  <c r="HC70" i="1"/>
  <c r="GX70" i="1" s="1"/>
  <c r="I71" i="1"/>
  <c r="AC71" i="1"/>
  <c r="AE71" i="1"/>
  <c r="AF71" i="1"/>
  <c r="CT71" i="1" s="1"/>
  <c r="S71" i="1" s="1"/>
  <c r="AG71" i="1"/>
  <c r="AH71" i="1"/>
  <c r="AI71" i="1"/>
  <c r="CW71" i="1" s="1"/>
  <c r="V71" i="1" s="1"/>
  <c r="AJ71" i="1"/>
  <c r="CX71" i="1" s="1"/>
  <c r="W71" i="1" s="1"/>
  <c r="CQ71" i="1"/>
  <c r="P71" i="1" s="1"/>
  <c r="CU71" i="1"/>
  <c r="T71" i="1" s="1"/>
  <c r="CV71" i="1"/>
  <c r="U71" i="1" s="1"/>
  <c r="FR71" i="1"/>
  <c r="GL71" i="1"/>
  <c r="GO71" i="1"/>
  <c r="GP71" i="1"/>
  <c r="GV71" i="1"/>
  <c r="HC71" i="1" s="1"/>
  <c r="GX71" i="1" s="1"/>
  <c r="C72" i="1"/>
  <c r="D72" i="1"/>
  <c r="I72" i="1"/>
  <c r="AC72" i="1"/>
  <c r="AE72" i="1"/>
  <c r="AF72" i="1"/>
  <c r="CT72" i="1" s="1"/>
  <c r="S72" i="1" s="1"/>
  <c r="AG72" i="1"/>
  <c r="AH72" i="1"/>
  <c r="AI72" i="1"/>
  <c r="CW72" i="1" s="1"/>
  <c r="V72" i="1" s="1"/>
  <c r="AJ72" i="1"/>
  <c r="CX72" i="1" s="1"/>
  <c r="W72" i="1" s="1"/>
  <c r="CQ72" i="1"/>
  <c r="P72" i="1" s="1"/>
  <c r="CU72" i="1"/>
  <c r="T72" i="1" s="1"/>
  <c r="CV72" i="1"/>
  <c r="U72" i="1" s="1"/>
  <c r="FR72" i="1"/>
  <c r="GL72" i="1"/>
  <c r="GO72" i="1"/>
  <c r="GP72" i="1"/>
  <c r="GV72" i="1"/>
  <c r="HC72" i="1" s="1"/>
  <c r="GX72" i="1" s="1"/>
  <c r="AC73" i="1"/>
  <c r="AD73" i="1"/>
  <c r="CR73" i="1" s="1"/>
  <c r="AE73" i="1"/>
  <c r="AF73" i="1"/>
  <c r="AG73" i="1"/>
  <c r="CU73" i="1" s="1"/>
  <c r="AH73" i="1"/>
  <c r="CV73" i="1" s="1"/>
  <c r="AI73" i="1"/>
  <c r="AJ73" i="1"/>
  <c r="CS73" i="1"/>
  <c r="CT73" i="1"/>
  <c r="CW73" i="1"/>
  <c r="CX73" i="1"/>
  <c r="FR73" i="1"/>
  <c r="GL73" i="1"/>
  <c r="GO73" i="1"/>
  <c r="GP73" i="1"/>
  <c r="GV73" i="1"/>
  <c r="HC73" i="1"/>
  <c r="I74" i="1"/>
  <c r="AC74" i="1"/>
  <c r="AE74" i="1"/>
  <c r="AF74" i="1"/>
  <c r="CT74" i="1" s="1"/>
  <c r="S74" i="1" s="1"/>
  <c r="AG74" i="1"/>
  <c r="AH74" i="1"/>
  <c r="AI74" i="1"/>
  <c r="CW74" i="1" s="1"/>
  <c r="V74" i="1" s="1"/>
  <c r="AJ74" i="1"/>
  <c r="CX74" i="1" s="1"/>
  <c r="W74" i="1" s="1"/>
  <c r="CQ74" i="1"/>
  <c r="P74" i="1" s="1"/>
  <c r="CU74" i="1"/>
  <c r="T74" i="1" s="1"/>
  <c r="CV74" i="1"/>
  <c r="U74" i="1" s="1"/>
  <c r="FR74" i="1"/>
  <c r="GL74" i="1"/>
  <c r="GO74" i="1"/>
  <c r="GP74" i="1"/>
  <c r="GV74" i="1"/>
  <c r="HC74" i="1" s="1"/>
  <c r="GX74" i="1" s="1"/>
  <c r="C75" i="1"/>
  <c r="D75" i="1"/>
  <c r="I75" i="1"/>
  <c r="AC75" i="1"/>
  <c r="AE75" i="1"/>
  <c r="AF75" i="1"/>
  <c r="CT75" i="1" s="1"/>
  <c r="S75" i="1" s="1"/>
  <c r="AG75" i="1"/>
  <c r="AH75" i="1"/>
  <c r="AI75" i="1"/>
  <c r="CW75" i="1" s="1"/>
  <c r="V75" i="1" s="1"/>
  <c r="AJ75" i="1"/>
  <c r="CX75" i="1" s="1"/>
  <c r="W75" i="1" s="1"/>
  <c r="CQ75" i="1"/>
  <c r="P75" i="1" s="1"/>
  <c r="CU75" i="1"/>
  <c r="T75" i="1" s="1"/>
  <c r="CV75" i="1"/>
  <c r="U75" i="1" s="1"/>
  <c r="FR75" i="1"/>
  <c r="GL75" i="1"/>
  <c r="GO75" i="1"/>
  <c r="GP75" i="1"/>
  <c r="GV75" i="1"/>
  <c r="HC75" i="1" s="1"/>
  <c r="GX75" i="1" s="1"/>
  <c r="AC76" i="1"/>
  <c r="AD76" i="1"/>
  <c r="CR76" i="1" s="1"/>
  <c r="AE76" i="1"/>
  <c r="AF76" i="1"/>
  <c r="AG76" i="1"/>
  <c r="CU76" i="1" s="1"/>
  <c r="AH76" i="1"/>
  <c r="CV76" i="1" s="1"/>
  <c r="AI76" i="1"/>
  <c r="AJ76" i="1"/>
  <c r="CS76" i="1"/>
  <c r="CT76" i="1"/>
  <c r="CW76" i="1"/>
  <c r="CX76" i="1"/>
  <c r="FR76" i="1"/>
  <c r="GL76" i="1"/>
  <c r="GO76" i="1"/>
  <c r="GP76" i="1"/>
  <c r="GV76" i="1"/>
  <c r="HC76" i="1"/>
  <c r="I77" i="1"/>
  <c r="U77" i="1"/>
  <c r="AC77" i="1"/>
  <c r="AE77" i="1"/>
  <c r="AF77" i="1"/>
  <c r="CT77" i="1" s="1"/>
  <c r="S77" i="1" s="1"/>
  <c r="AG77" i="1"/>
  <c r="AH77" i="1"/>
  <c r="AI77" i="1"/>
  <c r="CW77" i="1" s="1"/>
  <c r="V77" i="1" s="1"/>
  <c r="AJ77" i="1"/>
  <c r="CX77" i="1" s="1"/>
  <c r="W77" i="1" s="1"/>
  <c r="CQ77" i="1"/>
  <c r="P77" i="1" s="1"/>
  <c r="CU77" i="1"/>
  <c r="T77" i="1" s="1"/>
  <c r="CV77" i="1"/>
  <c r="FR77" i="1"/>
  <c r="GL77" i="1"/>
  <c r="GO77" i="1"/>
  <c r="GP77" i="1"/>
  <c r="GV77" i="1"/>
  <c r="HC77" i="1" s="1"/>
  <c r="GX77" i="1" s="1"/>
  <c r="C78" i="1"/>
  <c r="D78" i="1"/>
  <c r="I78" i="1"/>
  <c r="U78" i="1"/>
  <c r="AC78" i="1"/>
  <c r="AE78" i="1"/>
  <c r="AF78" i="1"/>
  <c r="CT78" i="1" s="1"/>
  <c r="S78" i="1" s="1"/>
  <c r="AG78" i="1"/>
  <c r="AH78" i="1"/>
  <c r="AI78" i="1"/>
  <c r="CW78" i="1" s="1"/>
  <c r="V78" i="1" s="1"/>
  <c r="AJ78" i="1"/>
  <c r="CX78" i="1" s="1"/>
  <c r="W78" i="1" s="1"/>
  <c r="CQ78" i="1"/>
  <c r="P78" i="1" s="1"/>
  <c r="CU78" i="1"/>
  <c r="T78" i="1" s="1"/>
  <c r="CV78" i="1"/>
  <c r="FR78" i="1"/>
  <c r="GL78" i="1"/>
  <c r="GO78" i="1"/>
  <c r="GP78" i="1"/>
  <c r="GV78" i="1"/>
  <c r="HC78" i="1" s="1"/>
  <c r="GX78" i="1" s="1"/>
  <c r="C79" i="1"/>
  <c r="D79" i="1"/>
  <c r="I79" i="1"/>
  <c r="U79" i="1"/>
  <c r="AC79" i="1"/>
  <c r="AE79" i="1"/>
  <c r="AF79" i="1"/>
  <c r="CT79" i="1" s="1"/>
  <c r="S79" i="1" s="1"/>
  <c r="AG79" i="1"/>
  <c r="AH79" i="1"/>
  <c r="AI79" i="1"/>
  <c r="CW79" i="1" s="1"/>
  <c r="V79" i="1" s="1"/>
  <c r="AJ79" i="1"/>
  <c r="CX79" i="1" s="1"/>
  <c r="W79" i="1" s="1"/>
  <c r="CQ79" i="1"/>
  <c r="P79" i="1" s="1"/>
  <c r="CU79" i="1"/>
  <c r="T79" i="1" s="1"/>
  <c r="CV79" i="1"/>
  <c r="FR79" i="1"/>
  <c r="GL79" i="1"/>
  <c r="GO79" i="1"/>
  <c r="GP79" i="1"/>
  <c r="GV79" i="1"/>
  <c r="HC79" i="1" s="1"/>
  <c r="GX79" i="1" s="1"/>
  <c r="C80" i="1"/>
  <c r="D80" i="1"/>
  <c r="I80" i="1"/>
  <c r="U80" i="1"/>
  <c r="AC80" i="1"/>
  <c r="AE80" i="1"/>
  <c r="AF80" i="1"/>
  <c r="CT80" i="1" s="1"/>
  <c r="S80" i="1" s="1"/>
  <c r="AG80" i="1"/>
  <c r="AH80" i="1"/>
  <c r="AI80" i="1"/>
  <c r="CW80" i="1" s="1"/>
  <c r="V80" i="1" s="1"/>
  <c r="AJ80" i="1"/>
  <c r="CX80" i="1" s="1"/>
  <c r="W80" i="1" s="1"/>
  <c r="CQ80" i="1"/>
  <c r="P80" i="1" s="1"/>
  <c r="CU80" i="1"/>
  <c r="T80" i="1" s="1"/>
  <c r="CV80" i="1"/>
  <c r="FR80" i="1"/>
  <c r="GL80" i="1"/>
  <c r="GO80" i="1"/>
  <c r="GP80" i="1"/>
  <c r="GV80" i="1"/>
  <c r="HC80" i="1" s="1"/>
  <c r="GX80" i="1" s="1"/>
  <c r="C81" i="1"/>
  <c r="D81" i="1"/>
  <c r="I81" i="1"/>
  <c r="U81" i="1"/>
  <c r="AC81" i="1"/>
  <c r="AE81" i="1"/>
  <c r="AF81" i="1"/>
  <c r="CT81" i="1" s="1"/>
  <c r="S81" i="1" s="1"/>
  <c r="AG81" i="1"/>
  <c r="AH81" i="1"/>
  <c r="AI81" i="1"/>
  <c r="CW81" i="1" s="1"/>
  <c r="V81" i="1" s="1"/>
  <c r="AJ81" i="1"/>
  <c r="CX81" i="1" s="1"/>
  <c r="W81" i="1" s="1"/>
  <c r="CQ81" i="1"/>
  <c r="P81" i="1" s="1"/>
  <c r="CU81" i="1"/>
  <c r="T81" i="1" s="1"/>
  <c r="CV81" i="1"/>
  <c r="FR81" i="1"/>
  <c r="GL81" i="1"/>
  <c r="GO81" i="1"/>
  <c r="GP81" i="1"/>
  <c r="GV81" i="1"/>
  <c r="HC81" i="1" s="1"/>
  <c r="GX81" i="1"/>
  <c r="AC82" i="1"/>
  <c r="AD82" i="1"/>
  <c r="CR82" i="1" s="1"/>
  <c r="AE82" i="1"/>
  <c r="AF82" i="1"/>
  <c r="AG82" i="1"/>
  <c r="AH82" i="1"/>
  <c r="CV82" i="1" s="1"/>
  <c r="AI82" i="1"/>
  <c r="AJ82" i="1"/>
  <c r="CQ82" i="1"/>
  <c r="CS82" i="1"/>
  <c r="CT82" i="1"/>
  <c r="CU82" i="1"/>
  <c r="CW82" i="1"/>
  <c r="CX82" i="1"/>
  <c r="FR82" i="1"/>
  <c r="GL82" i="1"/>
  <c r="GO82" i="1"/>
  <c r="GP82" i="1"/>
  <c r="GV82" i="1"/>
  <c r="HC82" i="1"/>
  <c r="C83" i="1"/>
  <c r="D83" i="1"/>
  <c r="I83" i="1"/>
  <c r="S83" i="1"/>
  <c r="CZ83" i="1" s="1"/>
  <c r="Y83" i="1" s="1"/>
  <c r="T83" i="1"/>
  <c r="AC83" i="1"/>
  <c r="AD83" i="1"/>
  <c r="CR83" i="1" s="1"/>
  <c r="Q83" i="1" s="1"/>
  <c r="AE83" i="1"/>
  <c r="AF83" i="1"/>
  <c r="AG83" i="1"/>
  <c r="AH83" i="1"/>
  <c r="CV83" i="1" s="1"/>
  <c r="U83" i="1" s="1"/>
  <c r="AI83" i="1"/>
  <c r="AJ83" i="1"/>
  <c r="CQ83" i="1"/>
  <c r="P83" i="1" s="1"/>
  <c r="CP83" i="1" s="1"/>
  <c r="O83" i="1" s="1"/>
  <c r="CS83" i="1"/>
  <c r="R83" i="1" s="1"/>
  <c r="CT83" i="1"/>
  <c r="CU83" i="1"/>
  <c r="CW83" i="1"/>
  <c r="V83" i="1" s="1"/>
  <c r="CX83" i="1"/>
  <c r="W83" i="1" s="1"/>
  <c r="FR83" i="1"/>
  <c r="GK83" i="1"/>
  <c r="GL83" i="1"/>
  <c r="GO83" i="1"/>
  <c r="GP83" i="1"/>
  <c r="GV83" i="1"/>
  <c r="HC83" i="1"/>
  <c r="GX83" i="1" s="1"/>
  <c r="I84" i="1"/>
  <c r="R84" i="1"/>
  <c r="GK84" i="1" s="1"/>
  <c r="AB84" i="1"/>
  <c r="AC84" i="1"/>
  <c r="AE84" i="1"/>
  <c r="AD84" i="1" s="1"/>
  <c r="CR84" i="1" s="1"/>
  <c r="Q84" i="1" s="1"/>
  <c r="AF84" i="1"/>
  <c r="CT84" i="1" s="1"/>
  <c r="S84" i="1" s="1"/>
  <c r="AG84" i="1"/>
  <c r="AH84" i="1"/>
  <c r="AI84" i="1"/>
  <c r="CW84" i="1" s="1"/>
  <c r="V84" i="1" s="1"/>
  <c r="AJ84" i="1"/>
  <c r="CX84" i="1" s="1"/>
  <c r="W84" i="1" s="1"/>
  <c r="CQ84" i="1"/>
  <c r="P84" i="1" s="1"/>
  <c r="CP84" i="1" s="1"/>
  <c r="O84" i="1" s="1"/>
  <c r="CS84" i="1"/>
  <c r="CU84" i="1"/>
  <c r="T84" i="1" s="1"/>
  <c r="CV84" i="1"/>
  <c r="U84" i="1" s="1"/>
  <c r="FR84" i="1"/>
  <c r="GL84" i="1"/>
  <c r="GO84" i="1"/>
  <c r="GP84" i="1"/>
  <c r="GV84" i="1"/>
  <c r="HC84" i="1" s="1"/>
  <c r="GX84" i="1"/>
  <c r="C85" i="1"/>
  <c r="D85" i="1"/>
  <c r="V85" i="1"/>
  <c r="AC85" i="1"/>
  <c r="CQ85" i="1" s="1"/>
  <c r="P85" i="1" s="1"/>
  <c r="AE85" i="1"/>
  <c r="AD85" i="1" s="1"/>
  <c r="CR85" i="1" s="1"/>
  <c r="Q85" i="1" s="1"/>
  <c r="AF85" i="1"/>
  <c r="AG85" i="1"/>
  <c r="CU85" i="1" s="1"/>
  <c r="T85" i="1" s="1"/>
  <c r="AH85" i="1"/>
  <c r="AI85" i="1"/>
  <c r="AJ85" i="1"/>
  <c r="CS85" i="1"/>
  <c r="R85" i="1" s="1"/>
  <c r="GK85" i="1" s="1"/>
  <c r="CT85" i="1"/>
  <c r="S85" i="1" s="1"/>
  <c r="CV85" i="1"/>
  <c r="U85" i="1" s="1"/>
  <c r="CW85" i="1"/>
  <c r="CX85" i="1"/>
  <c r="W85" i="1" s="1"/>
  <c r="FR85" i="1"/>
  <c r="BY89" i="1" s="1"/>
  <c r="GL85" i="1"/>
  <c r="GO85" i="1"/>
  <c r="GP85" i="1"/>
  <c r="GV85" i="1"/>
  <c r="HC85" i="1"/>
  <c r="GX85" i="1" s="1"/>
  <c r="O86" i="1"/>
  <c r="P86" i="1"/>
  <c r="Q86" i="1"/>
  <c r="R86" i="1"/>
  <c r="GK86" i="1" s="1"/>
  <c r="S86" i="1"/>
  <c r="T86" i="1"/>
  <c r="U86" i="1"/>
  <c r="V86" i="1"/>
  <c r="W86" i="1"/>
  <c r="X86" i="1"/>
  <c r="Y86" i="1"/>
  <c r="AB86" i="1"/>
  <c r="CP86" i="1" s="1"/>
  <c r="AC86" i="1"/>
  <c r="AD86" i="1"/>
  <c r="AE86" i="1"/>
  <c r="AF86" i="1"/>
  <c r="AG86" i="1"/>
  <c r="AH86" i="1"/>
  <c r="AI86" i="1"/>
  <c r="AJ86" i="1"/>
  <c r="FR86" i="1"/>
  <c r="GL86" i="1"/>
  <c r="BZ89" i="1" s="1"/>
  <c r="CG89" i="1" s="1"/>
  <c r="GO86" i="1"/>
  <c r="GP86" i="1"/>
  <c r="GV86" i="1"/>
  <c r="GX86" i="1"/>
  <c r="O87" i="1"/>
  <c r="P87" i="1"/>
  <c r="Q87" i="1"/>
  <c r="R87" i="1"/>
  <c r="GK87" i="1" s="1"/>
  <c r="S87" i="1"/>
  <c r="T87" i="1"/>
  <c r="U87" i="1"/>
  <c r="V87" i="1"/>
  <c r="W87" i="1"/>
  <c r="X87" i="1"/>
  <c r="Y87" i="1"/>
  <c r="AB87" i="1"/>
  <c r="AC87" i="1"/>
  <c r="AD87" i="1"/>
  <c r="AE87" i="1"/>
  <c r="AF87" i="1"/>
  <c r="AG87" i="1"/>
  <c r="AH87" i="1"/>
  <c r="AI87" i="1"/>
  <c r="AJ87" i="1"/>
  <c r="CP87" i="1"/>
  <c r="FR87" i="1"/>
  <c r="GL87" i="1"/>
  <c r="GO87" i="1"/>
  <c r="GP87" i="1"/>
  <c r="GV87" i="1"/>
  <c r="GX87" i="1"/>
  <c r="B89" i="1"/>
  <c r="B26" i="1" s="1"/>
  <c r="C89" i="1"/>
  <c r="C26" i="1" s="1"/>
  <c r="D89" i="1"/>
  <c r="D26" i="1" s="1"/>
  <c r="F89" i="1"/>
  <c r="F26" i="1" s="1"/>
  <c r="G89" i="1"/>
  <c r="G26" i="1" s="1"/>
  <c r="AO89" i="1"/>
  <c r="AO26" i="1" s="1"/>
  <c r="BX89" i="1"/>
  <c r="BX26" i="1" s="1"/>
  <c r="CD89" i="1"/>
  <c r="CD26" i="1" s="1"/>
  <c r="CK89" i="1"/>
  <c r="CL89" i="1"/>
  <c r="CL26" i="1" s="1"/>
  <c r="F93" i="1"/>
  <c r="D118" i="1"/>
  <c r="E120" i="1"/>
  <c r="Z120" i="1"/>
  <c r="AA120" i="1"/>
  <c r="AM120" i="1"/>
  <c r="AN120" i="1"/>
  <c r="BD120" i="1"/>
  <c r="BE120" i="1"/>
  <c r="BF120" i="1"/>
  <c r="BG120" i="1"/>
  <c r="BH120" i="1"/>
  <c r="BI120" i="1"/>
  <c r="BJ120" i="1"/>
  <c r="BK120" i="1"/>
  <c r="BL120" i="1"/>
  <c r="BM120" i="1"/>
  <c r="BN120" i="1"/>
  <c r="BO120" i="1"/>
  <c r="BP120" i="1"/>
  <c r="BQ120" i="1"/>
  <c r="BR120" i="1"/>
  <c r="BS120" i="1"/>
  <c r="BT120" i="1"/>
  <c r="BU120" i="1"/>
  <c r="BV120" i="1"/>
  <c r="BW120" i="1"/>
  <c r="BX120" i="1"/>
  <c r="CM120" i="1"/>
  <c r="CN120" i="1"/>
  <c r="CO120" i="1"/>
  <c r="CP120" i="1"/>
  <c r="CQ120" i="1"/>
  <c r="CR120" i="1"/>
  <c r="CS120" i="1"/>
  <c r="CT120" i="1"/>
  <c r="CU120" i="1"/>
  <c r="CV120" i="1"/>
  <c r="CW120" i="1"/>
  <c r="CX120" i="1"/>
  <c r="CY120" i="1"/>
  <c r="CZ120" i="1"/>
  <c r="DA120" i="1"/>
  <c r="DB120" i="1"/>
  <c r="DC120" i="1"/>
  <c r="DD120" i="1"/>
  <c r="DE120" i="1"/>
  <c r="DF120" i="1"/>
  <c r="DG120" i="1"/>
  <c r="DH120" i="1"/>
  <c r="DI120" i="1"/>
  <c r="DJ120" i="1"/>
  <c r="DK120" i="1"/>
  <c r="DL120" i="1"/>
  <c r="DM120" i="1"/>
  <c r="DN120" i="1"/>
  <c r="DO120" i="1"/>
  <c r="DP120" i="1"/>
  <c r="DQ120" i="1"/>
  <c r="DR120" i="1"/>
  <c r="DS120" i="1"/>
  <c r="DT120" i="1"/>
  <c r="DU120" i="1"/>
  <c r="DV120" i="1"/>
  <c r="DW120" i="1"/>
  <c r="DX120" i="1"/>
  <c r="DY120" i="1"/>
  <c r="DZ120" i="1"/>
  <c r="EA120" i="1"/>
  <c r="EB120" i="1"/>
  <c r="EC120" i="1"/>
  <c r="ED120" i="1"/>
  <c r="EE120" i="1"/>
  <c r="EF120" i="1"/>
  <c r="EG120" i="1"/>
  <c r="EH120" i="1"/>
  <c r="EI120" i="1"/>
  <c r="EJ120" i="1"/>
  <c r="EK120" i="1"/>
  <c r="EL120" i="1"/>
  <c r="EM120" i="1"/>
  <c r="EN120" i="1"/>
  <c r="EO120" i="1"/>
  <c r="EP120" i="1"/>
  <c r="EQ120" i="1"/>
  <c r="ER120" i="1"/>
  <c r="ES120" i="1"/>
  <c r="ET120" i="1"/>
  <c r="EU120" i="1"/>
  <c r="EV120" i="1"/>
  <c r="EW120" i="1"/>
  <c r="EX120" i="1"/>
  <c r="EY120" i="1"/>
  <c r="EZ120" i="1"/>
  <c r="FA120" i="1"/>
  <c r="FB120" i="1"/>
  <c r="FC120" i="1"/>
  <c r="FD120" i="1"/>
  <c r="FE120" i="1"/>
  <c r="FF120" i="1"/>
  <c r="FG120" i="1"/>
  <c r="FH120" i="1"/>
  <c r="FI120" i="1"/>
  <c r="FJ120" i="1"/>
  <c r="FK120" i="1"/>
  <c r="FL120" i="1"/>
  <c r="FM120" i="1"/>
  <c r="FN120" i="1"/>
  <c r="FO120" i="1"/>
  <c r="FP120" i="1"/>
  <c r="FQ120" i="1"/>
  <c r="FR120" i="1"/>
  <c r="FS120" i="1"/>
  <c r="FT120" i="1"/>
  <c r="FU120" i="1"/>
  <c r="FV120" i="1"/>
  <c r="FW120" i="1"/>
  <c r="FX120" i="1"/>
  <c r="FY120" i="1"/>
  <c r="FZ120" i="1"/>
  <c r="GA120" i="1"/>
  <c r="GB120" i="1"/>
  <c r="GC120" i="1"/>
  <c r="GD120" i="1"/>
  <c r="GE120" i="1"/>
  <c r="GF120" i="1"/>
  <c r="GG120" i="1"/>
  <c r="GH120" i="1"/>
  <c r="GI120" i="1"/>
  <c r="GJ120" i="1"/>
  <c r="GK120" i="1"/>
  <c r="GL120" i="1"/>
  <c r="GM120" i="1"/>
  <c r="GN120" i="1"/>
  <c r="GO120" i="1"/>
  <c r="GP120" i="1"/>
  <c r="GQ120" i="1"/>
  <c r="GR120" i="1"/>
  <c r="GS120" i="1"/>
  <c r="GT120" i="1"/>
  <c r="GU120" i="1"/>
  <c r="GV120" i="1"/>
  <c r="GW120" i="1"/>
  <c r="GX120" i="1"/>
  <c r="C122" i="1"/>
  <c r="D122" i="1"/>
  <c r="I122" i="1"/>
  <c r="AC122" i="1"/>
  <c r="AE122" i="1"/>
  <c r="AF122" i="1"/>
  <c r="CT122" i="1" s="1"/>
  <c r="S122" i="1" s="1"/>
  <c r="AG122" i="1"/>
  <c r="AH122" i="1"/>
  <c r="AI122" i="1"/>
  <c r="CW122" i="1" s="1"/>
  <c r="V122" i="1" s="1"/>
  <c r="AJ122" i="1"/>
  <c r="CX122" i="1" s="1"/>
  <c r="W122" i="1" s="1"/>
  <c r="CQ122" i="1"/>
  <c r="P122" i="1" s="1"/>
  <c r="CU122" i="1"/>
  <c r="T122" i="1" s="1"/>
  <c r="AG133" i="1" s="1"/>
  <c r="CV122" i="1"/>
  <c r="U122" i="1" s="1"/>
  <c r="FR122" i="1"/>
  <c r="GL122" i="1"/>
  <c r="GO122" i="1"/>
  <c r="GP122" i="1"/>
  <c r="GV122" i="1"/>
  <c r="HC122" i="1" s="1"/>
  <c r="GX122" i="1" s="1"/>
  <c r="C123" i="1"/>
  <c r="D123" i="1"/>
  <c r="I123" i="1"/>
  <c r="AC123" i="1"/>
  <c r="AE123" i="1"/>
  <c r="AF123" i="1"/>
  <c r="CT123" i="1" s="1"/>
  <c r="S123" i="1" s="1"/>
  <c r="AG123" i="1"/>
  <c r="AH123" i="1"/>
  <c r="AI123" i="1"/>
  <c r="CW123" i="1" s="1"/>
  <c r="V123" i="1" s="1"/>
  <c r="AJ123" i="1"/>
  <c r="CX123" i="1" s="1"/>
  <c r="W123" i="1" s="1"/>
  <c r="CQ123" i="1"/>
  <c r="P123" i="1" s="1"/>
  <c r="CU123" i="1"/>
  <c r="T123" i="1" s="1"/>
  <c r="CV123" i="1"/>
  <c r="U123" i="1" s="1"/>
  <c r="FR123" i="1"/>
  <c r="GL123" i="1"/>
  <c r="GO123" i="1"/>
  <c r="GP123" i="1"/>
  <c r="GV123" i="1"/>
  <c r="HC123" i="1" s="1"/>
  <c r="GX123" i="1" s="1"/>
  <c r="I124" i="1"/>
  <c r="W124" i="1"/>
  <c r="AC124" i="1"/>
  <c r="AD124" i="1"/>
  <c r="CR124" i="1" s="1"/>
  <c r="Q124" i="1" s="1"/>
  <c r="AE124" i="1"/>
  <c r="AF124" i="1"/>
  <c r="AG124" i="1"/>
  <c r="CU124" i="1" s="1"/>
  <c r="T124" i="1" s="1"/>
  <c r="AH124" i="1"/>
  <c r="CV124" i="1" s="1"/>
  <c r="U124" i="1" s="1"/>
  <c r="AI124" i="1"/>
  <c r="AJ124" i="1"/>
  <c r="CS124" i="1"/>
  <c r="R124" i="1" s="1"/>
  <c r="GK124" i="1" s="1"/>
  <c r="CT124" i="1"/>
  <c r="S124" i="1" s="1"/>
  <c r="CW124" i="1"/>
  <c r="V124" i="1" s="1"/>
  <c r="CX124" i="1"/>
  <c r="FR124" i="1"/>
  <c r="GL124" i="1"/>
  <c r="GO124" i="1"/>
  <c r="GP124" i="1"/>
  <c r="GV124" i="1"/>
  <c r="HC124" i="1"/>
  <c r="GX124" i="1" s="1"/>
  <c r="I125" i="1"/>
  <c r="AC125" i="1"/>
  <c r="AE125" i="1"/>
  <c r="AF125" i="1"/>
  <c r="CT125" i="1" s="1"/>
  <c r="S125" i="1" s="1"/>
  <c r="AG125" i="1"/>
  <c r="AH125" i="1"/>
  <c r="AI125" i="1"/>
  <c r="CW125" i="1" s="1"/>
  <c r="V125" i="1" s="1"/>
  <c r="AJ125" i="1"/>
  <c r="CX125" i="1" s="1"/>
  <c r="W125" i="1" s="1"/>
  <c r="CQ125" i="1"/>
  <c r="P125" i="1" s="1"/>
  <c r="CU125" i="1"/>
  <c r="T125" i="1" s="1"/>
  <c r="CV125" i="1"/>
  <c r="U125" i="1" s="1"/>
  <c r="FR125" i="1"/>
  <c r="GL125" i="1"/>
  <c r="GO125" i="1"/>
  <c r="GP125" i="1"/>
  <c r="GV125" i="1"/>
  <c r="HC125" i="1" s="1"/>
  <c r="GX125" i="1" s="1"/>
  <c r="C126" i="1"/>
  <c r="D126" i="1"/>
  <c r="I126" i="1"/>
  <c r="AC126" i="1"/>
  <c r="AE126" i="1"/>
  <c r="AF126" i="1"/>
  <c r="CT126" i="1" s="1"/>
  <c r="S126" i="1" s="1"/>
  <c r="AG126" i="1"/>
  <c r="AH126" i="1"/>
  <c r="AI126" i="1"/>
  <c r="CW126" i="1" s="1"/>
  <c r="V126" i="1" s="1"/>
  <c r="AJ126" i="1"/>
  <c r="CX126" i="1" s="1"/>
  <c r="W126" i="1" s="1"/>
  <c r="CQ126" i="1"/>
  <c r="P126" i="1" s="1"/>
  <c r="CU126" i="1"/>
  <c r="T126" i="1" s="1"/>
  <c r="CV126" i="1"/>
  <c r="U126" i="1" s="1"/>
  <c r="FR126" i="1"/>
  <c r="GL126" i="1"/>
  <c r="GO126" i="1"/>
  <c r="GP126" i="1"/>
  <c r="GV126" i="1"/>
  <c r="HC126" i="1" s="1"/>
  <c r="GX126" i="1" s="1"/>
  <c r="I127" i="1"/>
  <c r="W127" i="1"/>
  <c r="AC127" i="1"/>
  <c r="AD127" i="1"/>
  <c r="CR127" i="1" s="1"/>
  <c r="Q127" i="1" s="1"/>
  <c r="AE127" i="1"/>
  <c r="AF127" i="1"/>
  <c r="AG127" i="1"/>
  <c r="CU127" i="1" s="1"/>
  <c r="T127" i="1" s="1"/>
  <c r="AH127" i="1"/>
  <c r="CV127" i="1" s="1"/>
  <c r="U127" i="1" s="1"/>
  <c r="AI127" i="1"/>
  <c r="AJ127" i="1"/>
  <c r="CS127" i="1"/>
  <c r="R127" i="1" s="1"/>
  <c r="GK127" i="1" s="1"/>
  <c r="CT127" i="1"/>
  <c r="S127" i="1" s="1"/>
  <c r="CW127" i="1"/>
  <c r="V127" i="1" s="1"/>
  <c r="CX127" i="1"/>
  <c r="FR127" i="1"/>
  <c r="GL127" i="1"/>
  <c r="GO127" i="1"/>
  <c r="GP127" i="1"/>
  <c r="GV127" i="1"/>
  <c r="HC127" i="1"/>
  <c r="GX127" i="1" s="1"/>
  <c r="I128" i="1"/>
  <c r="AC128" i="1"/>
  <c r="AE128" i="1"/>
  <c r="AF128" i="1"/>
  <c r="CT128" i="1" s="1"/>
  <c r="S128" i="1" s="1"/>
  <c r="AG128" i="1"/>
  <c r="AH128" i="1"/>
  <c r="AI128" i="1"/>
  <c r="CW128" i="1" s="1"/>
  <c r="V128" i="1" s="1"/>
  <c r="AJ128" i="1"/>
  <c r="CX128" i="1" s="1"/>
  <c r="W128" i="1" s="1"/>
  <c r="CQ128" i="1"/>
  <c r="P128" i="1" s="1"/>
  <c r="CU128" i="1"/>
  <c r="T128" i="1" s="1"/>
  <c r="CV128" i="1"/>
  <c r="U128" i="1" s="1"/>
  <c r="FR128" i="1"/>
  <c r="GL128" i="1"/>
  <c r="GO128" i="1"/>
  <c r="GP128" i="1"/>
  <c r="GV128" i="1"/>
  <c r="HC128" i="1" s="1"/>
  <c r="GX128" i="1" s="1"/>
  <c r="C129" i="1"/>
  <c r="D129" i="1"/>
  <c r="R129" i="1"/>
  <c r="GK129" i="1" s="1"/>
  <c r="V129" i="1"/>
  <c r="AC129" i="1"/>
  <c r="CQ129" i="1" s="1"/>
  <c r="P129" i="1" s="1"/>
  <c r="AE129" i="1"/>
  <c r="AD129" i="1" s="1"/>
  <c r="CR129" i="1" s="1"/>
  <c r="Q129" i="1" s="1"/>
  <c r="AF129" i="1"/>
  <c r="CT129" i="1" s="1"/>
  <c r="S129" i="1" s="1"/>
  <c r="AG129" i="1"/>
  <c r="CU129" i="1" s="1"/>
  <c r="T129" i="1" s="1"/>
  <c r="AH129" i="1"/>
  <c r="AI129" i="1"/>
  <c r="AJ129" i="1"/>
  <c r="CX129" i="1" s="1"/>
  <c r="W129" i="1" s="1"/>
  <c r="AJ133" i="1" s="1"/>
  <c r="CS129" i="1"/>
  <c r="CV129" i="1"/>
  <c r="U129" i="1" s="1"/>
  <c r="CW129" i="1"/>
  <c r="FR129" i="1"/>
  <c r="BY133" i="1" s="1"/>
  <c r="GL129" i="1"/>
  <c r="GO129" i="1"/>
  <c r="GP129" i="1"/>
  <c r="GV129" i="1"/>
  <c r="HC129" i="1" s="1"/>
  <c r="GX129" i="1"/>
  <c r="I130" i="1"/>
  <c r="P130" i="1"/>
  <c r="AC130" i="1"/>
  <c r="AD130" i="1"/>
  <c r="CR130" i="1" s="1"/>
  <c r="Q130" i="1" s="1"/>
  <c r="AE130" i="1"/>
  <c r="CS130" i="1" s="1"/>
  <c r="R130" i="1" s="1"/>
  <c r="GK130" i="1" s="1"/>
  <c r="AF130" i="1"/>
  <c r="AG130" i="1"/>
  <c r="AH130" i="1"/>
  <c r="CV130" i="1" s="1"/>
  <c r="U130" i="1" s="1"/>
  <c r="AI130" i="1"/>
  <c r="CW130" i="1" s="1"/>
  <c r="V130" i="1" s="1"/>
  <c r="AJ130" i="1"/>
  <c r="CQ130" i="1"/>
  <c r="CT130" i="1"/>
  <c r="S130" i="1" s="1"/>
  <c r="CU130" i="1"/>
  <c r="T130" i="1" s="1"/>
  <c r="CX130" i="1"/>
  <c r="W130" i="1" s="1"/>
  <c r="FR130" i="1"/>
  <c r="GL130" i="1"/>
  <c r="GO130" i="1"/>
  <c r="GP130" i="1"/>
  <c r="GV130" i="1"/>
  <c r="HC130" i="1"/>
  <c r="GX130" i="1" s="1"/>
  <c r="C131" i="1"/>
  <c r="D131" i="1"/>
  <c r="I131" i="1"/>
  <c r="CX184" i="3" s="1"/>
  <c r="AC131" i="1"/>
  <c r="AB131" i="1" s="1"/>
  <c r="AD131" i="1"/>
  <c r="CR131" i="1" s="1"/>
  <c r="Q131" i="1" s="1"/>
  <c r="AE131" i="1"/>
  <c r="CS131" i="1" s="1"/>
  <c r="R131" i="1" s="1"/>
  <c r="GK131" i="1" s="1"/>
  <c r="AF131" i="1"/>
  <c r="AG131" i="1"/>
  <c r="AH131" i="1"/>
  <c r="CV131" i="1" s="1"/>
  <c r="U131" i="1" s="1"/>
  <c r="AI131" i="1"/>
  <c r="CW131" i="1" s="1"/>
  <c r="V131" i="1" s="1"/>
  <c r="AJ131" i="1"/>
  <c r="CQ131" i="1"/>
  <c r="P131" i="1" s="1"/>
  <c r="CP131" i="1" s="1"/>
  <c r="O131" i="1" s="1"/>
  <c r="CT131" i="1"/>
  <c r="S131" i="1" s="1"/>
  <c r="CU131" i="1"/>
  <c r="T131" i="1" s="1"/>
  <c r="CX131" i="1"/>
  <c r="W131" i="1" s="1"/>
  <c r="CY131" i="1"/>
  <c r="X131" i="1" s="1"/>
  <c r="FR131" i="1"/>
  <c r="GL131" i="1"/>
  <c r="BZ133" i="1" s="1"/>
  <c r="GO131" i="1"/>
  <c r="GP131" i="1"/>
  <c r="CD133" i="1" s="1"/>
  <c r="GV131" i="1"/>
  <c r="HC131" i="1"/>
  <c r="GX131" i="1" s="1"/>
  <c r="B133" i="1"/>
  <c r="B120" i="1" s="1"/>
  <c r="C133" i="1"/>
  <c r="C120" i="1" s="1"/>
  <c r="D133" i="1"/>
  <c r="D120" i="1" s="1"/>
  <c r="F133" i="1"/>
  <c r="F120" i="1" s="1"/>
  <c r="G133" i="1"/>
  <c r="G120" i="1" s="1"/>
  <c r="AO133" i="1"/>
  <c r="AO120" i="1" s="1"/>
  <c r="BB133" i="1"/>
  <c r="BB120" i="1" s="1"/>
  <c r="BX133" i="1"/>
  <c r="CK133" i="1"/>
  <c r="CK120" i="1" s="1"/>
  <c r="CL133" i="1"/>
  <c r="F137" i="1"/>
  <c r="F146" i="1"/>
  <c r="D162" i="1"/>
  <c r="B164" i="1"/>
  <c r="E164" i="1"/>
  <c r="Z164" i="1"/>
  <c r="AA164" i="1"/>
  <c r="AM164" i="1"/>
  <c r="AN164" i="1"/>
  <c r="BD164" i="1"/>
  <c r="BE164" i="1"/>
  <c r="BF164" i="1"/>
  <c r="BG164" i="1"/>
  <c r="BH164" i="1"/>
  <c r="BI164" i="1"/>
  <c r="BJ164" i="1"/>
  <c r="BK164" i="1"/>
  <c r="BL164" i="1"/>
  <c r="BM164" i="1"/>
  <c r="BN164" i="1"/>
  <c r="BO164" i="1"/>
  <c r="BP164" i="1"/>
  <c r="BQ164" i="1"/>
  <c r="BR164" i="1"/>
  <c r="BS164" i="1"/>
  <c r="BT164" i="1"/>
  <c r="BU164" i="1"/>
  <c r="BV164" i="1"/>
  <c r="BW164" i="1"/>
  <c r="CK164" i="1"/>
  <c r="CM164" i="1"/>
  <c r="CN164" i="1"/>
  <c r="CO164" i="1"/>
  <c r="CP164" i="1"/>
  <c r="CQ164" i="1"/>
  <c r="CR164" i="1"/>
  <c r="CS164" i="1"/>
  <c r="CT164" i="1"/>
  <c r="CU164" i="1"/>
  <c r="CV164" i="1"/>
  <c r="CW164" i="1"/>
  <c r="CX164" i="1"/>
  <c r="CY164" i="1"/>
  <c r="CZ164" i="1"/>
  <c r="DA164" i="1"/>
  <c r="DB164" i="1"/>
  <c r="DC164" i="1"/>
  <c r="DD164" i="1"/>
  <c r="DE164" i="1"/>
  <c r="DF164" i="1"/>
  <c r="DG164" i="1"/>
  <c r="DH164" i="1"/>
  <c r="DI164" i="1"/>
  <c r="DJ164" i="1"/>
  <c r="DK164" i="1"/>
  <c r="DL164" i="1"/>
  <c r="DM164" i="1"/>
  <c r="DN164" i="1"/>
  <c r="DO164" i="1"/>
  <c r="DP164" i="1"/>
  <c r="DQ164" i="1"/>
  <c r="DR164" i="1"/>
  <c r="DS164" i="1"/>
  <c r="DT164" i="1"/>
  <c r="DU164" i="1"/>
  <c r="DV164" i="1"/>
  <c r="DW164" i="1"/>
  <c r="DX164" i="1"/>
  <c r="DY164" i="1"/>
  <c r="DZ164" i="1"/>
  <c r="EA164" i="1"/>
  <c r="EB164" i="1"/>
  <c r="EC164" i="1"/>
  <c r="ED164" i="1"/>
  <c r="EE164" i="1"/>
  <c r="EF164" i="1"/>
  <c r="EG164" i="1"/>
  <c r="EH164" i="1"/>
  <c r="EI164" i="1"/>
  <c r="EJ164" i="1"/>
  <c r="EK164" i="1"/>
  <c r="EL164" i="1"/>
  <c r="EM164" i="1"/>
  <c r="EN164" i="1"/>
  <c r="EO164" i="1"/>
  <c r="EP164" i="1"/>
  <c r="EQ164" i="1"/>
  <c r="ER164" i="1"/>
  <c r="ES164" i="1"/>
  <c r="ET164" i="1"/>
  <c r="EU164" i="1"/>
  <c r="EV164" i="1"/>
  <c r="EW164" i="1"/>
  <c r="EX164" i="1"/>
  <c r="EY164" i="1"/>
  <c r="EZ164" i="1"/>
  <c r="FA164" i="1"/>
  <c r="FB164" i="1"/>
  <c r="FC164" i="1"/>
  <c r="FD164" i="1"/>
  <c r="FE164" i="1"/>
  <c r="FF164" i="1"/>
  <c r="FG164" i="1"/>
  <c r="FH164" i="1"/>
  <c r="FI164" i="1"/>
  <c r="FJ164" i="1"/>
  <c r="FK164" i="1"/>
  <c r="FL164" i="1"/>
  <c r="FM164" i="1"/>
  <c r="FN164" i="1"/>
  <c r="FO164" i="1"/>
  <c r="FP164" i="1"/>
  <c r="FQ164" i="1"/>
  <c r="FR164" i="1"/>
  <c r="FS164" i="1"/>
  <c r="FT164" i="1"/>
  <c r="FU164" i="1"/>
  <c r="FV164" i="1"/>
  <c r="FW164" i="1"/>
  <c r="FX164" i="1"/>
  <c r="FY164" i="1"/>
  <c r="FZ164" i="1"/>
  <c r="GA164" i="1"/>
  <c r="GB164" i="1"/>
  <c r="GC164" i="1"/>
  <c r="GD164" i="1"/>
  <c r="GE164" i="1"/>
  <c r="GF164" i="1"/>
  <c r="GG164" i="1"/>
  <c r="GH164" i="1"/>
  <c r="GI164" i="1"/>
  <c r="GJ164" i="1"/>
  <c r="GK164" i="1"/>
  <c r="GL164" i="1"/>
  <c r="GM164" i="1"/>
  <c r="GN164" i="1"/>
  <c r="GO164" i="1"/>
  <c r="GP164" i="1"/>
  <c r="GQ164" i="1"/>
  <c r="GR164" i="1"/>
  <c r="GS164" i="1"/>
  <c r="GT164" i="1"/>
  <c r="GU164" i="1"/>
  <c r="GV164" i="1"/>
  <c r="GW164" i="1"/>
  <c r="GX164" i="1"/>
  <c r="U166" i="1"/>
  <c r="AC166" i="1"/>
  <c r="AE166" i="1"/>
  <c r="AF166" i="1"/>
  <c r="AG166" i="1"/>
  <c r="AH166" i="1"/>
  <c r="AI166" i="1"/>
  <c r="CW166" i="1" s="1"/>
  <c r="V166" i="1" s="1"/>
  <c r="AJ166" i="1"/>
  <c r="CQ166" i="1"/>
  <c r="P166" i="1" s="1"/>
  <c r="CT166" i="1"/>
  <c r="S166" i="1" s="1"/>
  <c r="CU166" i="1"/>
  <c r="T166" i="1" s="1"/>
  <c r="CV166" i="1"/>
  <c r="CX166" i="1"/>
  <c r="W166" i="1" s="1"/>
  <c r="FR166" i="1"/>
  <c r="GL166" i="1"/>
  <c r="GO166" i="1"/>
  <c r="GP166" i="1"/>
  <c r="GV166" i="1"/>
  <c r="HC166" i="1" s="1"/>
  <c r="GX166" i="1" s="1"/>
  <c r="P167" i="1"/>
  <c r="CP167" i="1" s="1"/>
  <c r="O167" i="1" s="1"/>
  <c r="AC167" i="1"/>
  <c r="AD167" i="1"/>
  <c r="CR167" i="1" s="1"/>
  <c r="Q167" i="1" s="1"/>
  <c r="AE167" i="1"/>
  <c r="CS167" i="1" s="1"/>
  <c r="R167" i="1" s="1"/>
  <c r="AF167" i="1"/>
  <c r="AG167" i="1"/>
  <c r="AH167" i="1"/>
  <c r="CV167" i="1" s="1"/>
  <c r="U167" i="1" s="1"/>
  <c r="AI167" i="1"/>
  <c r="CW167" i="1" s="1"/>
  <c r="V167" i="1" s="1"/>
  <c r="AJ167" i="1"/>
  <c r="CQ167" i="1"/>
  <c r="CT167" i="1"/>
  <c r="S167" i="1" s="1"/>
  <c r="CZ167" i="1" s="1"/>
  <c r="Y167" i="1" s="1"/>
  <c r="CU167" i="1"/>
  <c r="T167" i="1" s="1"/>
  <c r="CX167" i="1"/>
  <c r="W167" i="1" s="1"/>
  <c r="CY167" i="1"/>
  <c r="X167" i="1" s="1"/>
  <c r="FR167" i="1"/>
  <c r="GK167" i="1"/>
  <c r="GL167" i="1"/>
  <c r="GN167" i="1"/>
  <c r="GP167" i="1"/>
  <c r="GV167" i="1"/>
  <c r="HC167" i="1"/>
  <c r="GX167" i="1" s="1"/>
  <c r="C168" i="1"/>
  <c r="D168" i="1"/>
  <c r="I168" i="1"/>
  <c r="S168" i="1"/>
  <c r="CY168" i="1" s="1"/>
  <c r="X168" i="1" s="1"/>
  <c r="AC168" i="1"/>
  <c r="AB168" i="1" s="1"/>
  <c r="AD168" i="1"/>
  <c r="CR168" i="1" s="1"/>
  <c r="Q168" i="1" s="1"/>
  <c r="AE168" i="1"/>
  <c r="AF168" i="1"/>
  <c r="AG168" i="1"/>
  <c r="AH168" i="1"/>
  <c r="CV168" i="1" s="1"/>
  <c r="U168" i="1" s="1"/>
  <c r="AI168" i="1"/>
  <c r="AJ168" i="1"/>
  <c r="CS168" i="1"/>
  <c r="R168" i="1" s="1"/>
  <c r="GK168" i="1" s="1"/>
  <c r="CT168" i="1"/>
  <c r="CU168" i="1"/>
  <c r="T168" i="1" s="1"/>
  <c r="CW168" i="1"/>
  <c r="V168" i="1" s="1"/>
  <c r="CX168" i="1"/>
  <c r="W168" i="1" s="1"/>
  <c r="FR168" i="1"/>
  <c r="GL168" i="1"/>
  <c r="GN168" i="1"/>
  <c r="GP168" i="1"/>
  <c r="GV168" i="1"/>
  <c r="HC168" i="1"/>
  <c r="GX168" i="1" s="1"/>
  <c r="C169" i="1"/>
  <c r="D169" i="1"/>
  <c r="P169" i="1"/>
  <c r="T169" i="1"/>
  <c r="AC169" i="1"/>
  <c r="AE169" i="1"/>
  <c r="AF169" i="1"/>
  <c r="AG169" i="1"/>
  <c r="AH169" i="1"/>
  <c r="AI169" i="1"/>
  <c r="CW169" i="1" s="1"/>
  <c r="V169" i="1" s="1"/>
  <c r="AJ169" i="1"/>
  <c r="CQ169" i="1"/>
  <c r="CT169" i="1"/>
  <c r="S169" i="1" s="1"/>
  <c r="CU169" i="1"/>
  <c r="CV169" i="1"/>
  <c r="U169" i="1" s="1"/>
  <c r="CX169" i="1"/>
  <c r="W169" i="1" s="1"/>
  <c r="FR169" i="1"/>
  <c r="GL169" i="1"/>
  <c r="GN169" i="1"/>
  <c r="GP169" i="1"/>
  <c r="GV169" i="1"/>
  <c r="HC169" i="1"/>
  <c r="GX169" i="1" s="1"/>
  <c r="C170" i="1"/>
  <c r="D170" i="1"/>
  <c r="AC170" i="1"/>
  <c r="AD170" i="1"/>
  <c r="AE170" i="1"/>
  <c r="AF170" i="1"/>
  <c r="CT170" i="1" s="1"/>
  <c r="S170" i="1" s="1"/>
  <c r="AG170" i="1"/>
  <c r="AH170" i="1"/>
  <c r="CV170" i="1" s="1"/>
  <c r="U170" i="1" s="1"/>
  <c r="AI170" i="1"/>
  <c r="AJ170" i="1"/>
  <c r="CX170" i="1" s="1"/>
  <c r="W170" i="1" s="1"/>
  <c r="CQ170" i="1"/>
  <c r="P170" i="1" s="1"/>
  <c r="CS170" i="1"/>
  <c r="R170" i="1" s="1"/>
  <c r="GK170" i="1" s="1"/>
  <c r="CU170" i="1"/>
  <c r="T170" i="1" s="1"/>
  <c r="CW170" i="1"/>
  <c r="V170" i="1" s="1"/>
  <c r="CY170" i="1"/>
  <c r="X170" i="1" s="1"/>
  <c r="FR170" i="1"/>
  <c r="GL170" i="1"/>
  <c r="GN170" i="1"/>
  <c r="GP170" i="1"/>
  <c r="GV170" i="1"/>
  <c r="GX170" i="1"/>
  <c r="HC170" i="1"/>
  <c r="I171" i="1"/>
  <c r="AC171" i="1"/>
  <c r="AD171" i="1"/>
  <c r="CR171" i="1" s="1"/>
  <c r="AE171" i="1"/>
  <c r="AF171" i="1"/>
  <c r="CT171" i="1" s="1"/>
  <c r="AG171" i="1"/>
  <c r="AH171" i="1"/>
  <c r="CV171" i="1" s="1"/>
  <c r="AI171" i="1"/>
  <c r="AJ171" i="1"/>
  <c r="CX171" i="1" s="1"/>
  <c r="CQ171" i="1"/>
  <c r="P171" i="1" s="1"/>
  <c r="CS171" i="1"/>
  <c r="R171" i="1" s="1"/>
  <c r="GK171" i="1" s="1"/>
  <c r="CU171" i="1"/>
  <c r="CW171" i="1"/>
  <c r="V171" i="1" s="1"/>
  <c r="FR171" i="1"/>
  <c r="BY201" i="1" s="1"/>
  <c r="GL171" i="1"/>
  <c r="GO171" i="1"/>
  <c r="GP171" i="1"/>
  <c r="GV171" i="1"/>
  <c r="HC171" i="1" s="1"/>
  <c r="GX171" i="1" s="1"/>
  <c r="C172" i="1"/>
  <c r="D172" i="1"/>
  <c r="I172" i="1"/>
  <c r="CX222" i="3" s="1"/>
  <c r="AC172" i="1"/>
  <c r="AD172" i="1"/>
  <c r="CR172" i="1" s="1"/>
  <c r="AE172" i="1"/>
  <c r="AF172" i="1"/>
  <c r="CT172" i="1" s="1"/>
  <c r="S172" i="1" s="1"/>
  <c r="AG172" i="1"/>
  <c r="AH172" i="1"/>
  <c r="CV172" i="1" s="1"/>
  <c r="AI172" i="1"/>
  <c r="AJ172" i="1"/>
  <c r="CX172" i="1" s="1"/>
  <c r="W172" i="1" s="1"/>
  <c r="CQ172" i="1"/>
  <c r="P172" i="1" s="1"/>
  <c r="CS172" i="1"/>
  <c r="R172" i="1" s="1"/>
  <c r="GK172" i="1" s="1"/>
  <c r="CU172" i="1"/>
  <c r="CW172" i="1"/>
  <c r="V172" i="1" s="1"/>
  <c r="FR172" i="1"/>
  <c r="GL172" i="1"/>
  <c r="GO172" i="1"/>
  <c r="GP172" i="1"/>
  <c r="GV172" i="1"/>
  <c r="HC172" i="1" s="1"/>
  <c r="C173" i="1"/>
  <c r="D173" i="1"/>
  <c r="I173" i="1"/>
  <c r="V173" i="1"/>
  <c r="AC173" i="1"/>
  <c r="AD173" i="1"/>
  <c r="CR173" i="1" s="1"/>
  <c r="Q173" i="1" s="1"/>
  <c r="AE173" i="1"/>
  <c r="AF173" i="1"/>
  <c r="CT173" i="1" s="1"/>
  <c r="S173" i="1" s="1"/>
  <c r="AG173" i="1"/>
  <c r="AH173" i="1"/>
  <c r="CV173" i="1" s="1"/>
  <c r="U173" i="1" s="1"/>
  <c r="AI173" i="1"/>
  <c r="AJ173" i="1"/>
  <c r="CX173" i="1" s="1"/>
  <c r="W173" i="1" s="1"/>
  <c r="CQ173" i="1"/>
  <c r="P173" i="1" s="1"/>
  <c r="CS173" i="1"/>
  <c r="R173" i="1" s="1"/>
  <c r="GK173" i="1" s="1"/>
  <c r="CU173" i="1"/>
  <c r="T173" i="1" s="1"/>
  <c r="CW173" i="1"/>
  <c r="FR173" i="1"/>
  <c r="GL173" i="1"/>
  <c r="GN173" i="1"/>
  <c r="GP173" i="1"/>
  <c r="GV173" i="1"/>
  <c r="HC173" i="1" s="1"/>
  <c r="GX173" i="1"/>
  <c r="AC174" i="1"/>
  <c r="AD174" i="1"/>
  <c r="AE174" i="1"/>
  <c r="AF174" i="1"/>
  <c r="CT174" i="1" s="1"/>
  <c r="AG174" i="1"/>
  <c r="AH174" i="1"/>
  <c r="CV174" i="1" s="1"/>
  <c r="AI174" i="1"/>
  <c r="AJ174" i="1"/>
  <c r="CX174" i="1" s="1"/>
  <c r="CQ174" i="1"/>
  <c r="CS174" i="1"/>
  <c r="CU174" i="1"/>
  <c r="CW174" i="1"/>
  <c r="FR174" i="1"/>
  <c r="GL174" i="1"/>
  <c r="GN174" i="1"/>
  <c r="GP174" i="1"/>
  <c r="GV174" i="1"/>
  <c r="HC174" i="1"/>
  <c r="C175" i="1"/>
  <c r="D175" i="1"/>
  <c r="AC175" i="1"/>
  <c r="CQ175" i="1" s="1"/>
  <c r="P175" i="1" s="1"/>
  <c r="AE175" i="1"/>
  <c r="AF175" i="1"/>
  <c r="AG175" i="1"/>
  <c r="CU175" i="1" s="1"/>
  <c r="T175" i="1" s="1"/>
  <c r="AH175" i="1"/>
  <c r="AI175" i="1"/>
  <c r="CW175" i="1" s="1"/>
  <c r="V175" i="1" s="1"/>
  <c r="AJ175" i="1"/>
  <c r="CT175" i="1"/>
  <c r="S175" i="1" s="1"/>
  <c r="CV175" i="1"/>
  <c r="U175" i="1" s="1"/>
  <c r="CX175" i="1"/>
  <c r="W175" i="1" s="1"/>
  <c r="FR175" i="1"/>
  <c r="GL175" i="1"/>
  <c r="GN175" i="1"/>
  <c r="GP175" i="1"/>
  <c r="GV175" i="1"/>
  <c r="HC175" i="1" s="1"/>
  <c r="GX175" i="1" s="1"/>
  <c r="I176" i="1"/>
  <c r="W176" i="1"/>
  <c r="AC176" i="1"/>
  <c r="AE176" i="1"/>
  <c r="CS176" i="1" s="1"/>
  <c r="R176" i="1" s="1"/>
  <c r="AF176" i="1"/>
  <c r="AG176" i="1"/>
  <c r="CU176" i="1" s="1"/>
  <c r="T176" i="1" s="1"/>
  <c r="AH176" i="1"/>
  <c r="AI176" i="1"/>
  <c r="CW176" i="1" s="1"/>
  <c r="V176" i="1" s="1"/>
  <c r="AJ176" i="1"/>
  <c r="CT176" i="1"/>
  <c r="S176" i="1" s="1"/>
  <c r="CV176" i="1"/>
  <c r="U176" i="1" s="1"/>
  <c r="CX176" i="1"/>
  <c r="FR176" i="1"/>
  <c r="GK176" i="1"/>
  <c r="GL176" i="1"/>
  <c r="GN176" i="1"/>
  <c r="GP176" i="1"/>
  <c r="GV176" i="1"/>
  <c r="HC176" i="1"/>
  <c r="GX176" i="1" s="1"/>
  <c r="C177" i="1"/>
  <c r="D177" i="1"/>
  <c r="I177" i="1"/>
  <c r="I178" i="1" s="1"/>
  <c r="S177" i="1"/>
  <c r="AC177" i="1"/>
  <c r="AE177" i="1"/>
  <c r="CS177" i="1" s="1"/>
  <c r="R177" i="1" s="1"/>
  <c r="GK177" i="1" s="1"/>
  <c r="AF177" i="1"/>
  <c r="AG177" i="1"/>
  <c r="CU177" i="1" s="1"/>
  <c r="T177" i="1" s="1"/>
  <c r="AH177" i="1"/>
  <c r="AI177" i="1"/>
  <c r="CW177" i="1" s="1"/>
  <c r="V177" i="1" s="1"/>
  <c r="AJ177" i="1"/>
  <c r="CT177" i="1"/>
  <c r="CV177" i="1"/>
  <c r="U177" i="1" s="1"/>
  <c r="CX177" i="1"/>
  <c r="W177" i="1" s="1"/>
  <c r="FR177" i="1"/>
  <c r="GL177" i="1"/>
  <c r="GN177" i="1"/>
  <c r="GP177" i="1"/>
  <c r="GV177" i="1"/>
  <c r="HC177" i="1"/>
  <c r="GX177" i="1" s="1"/>
  <c r="AC178" i="1"/>
  <c r="CQ178" i="1" s="1"/>
  <c r="P178" i="1" s="1"/>
  <c r="AE178" i="1"/>
  <c r="AF178" i="1"/>
  <c r="AG178" i="1"/>
  <c r="CU178" i="1" s="1"/>
  <c r="T178" i="1" s="1"/>
  <c r="AH178" i="1"/>
  <c r="AI178" i="1"/>
  <c r="CW178" i="1" s="1"/>
  <c r="V178" i="1" s="1"/>
  <c r="AJ178" i="1"/>
  <c r="CT178" i="1"/>
  <c r="S178" i="1" s="1"/>
  <c r="CV178" i="1"/>
  <c r="U178" i="1" s="1"/>
  <c r="CX178" i="1"/>
  <c r="W178" i="1" s="1"/>
  <c r="FR178" i="1"/>
  <c r="GL178" i="1"/>
  <c r="GN178" i="1"/>
  <c r="GP178" i="1"/>
  <c r="GV178" i="1"/>
  <c r="HC178" i="1" s="1"/>
  <c r="GX178" i="1" s="1"/>
  <c r="C179" i="1"/>
  <c r="D179" i="1"/>
  <c r="I179" i="1"/>
  <c r="AC179" i="1"/>
  <c r="CQ179" i="1" s="1"/>
  <c r="P179" i="1" s="1"/>
  <c r="AE179" i="1"/>
  <c r="AF179" i="1"/>
  <c r="AG179" i="1"/>
  <c r="CU179" i="1" s="1"/>
  <c r="T179" i="1" s="1"/>
  <c r="AH179" i="1"/>
  <c r="AI179" i="1"/>
  <c r="CW179" i="1" s="1"/>
  <c r="V179" i="1" s="1"/>
  <c r="AJ179" i="1"/>
  <c r="CT179" i="1"/>
  <c r="S179" i="1" s="1"/>
  <c r="CV179" i="1"/>
  <c r="U179" i="1" s="1"/>
  <c r="CX179" i="1"/>
  <c r="W179" i="1" s="1"/>
  <c r="FR179" i="1"/>
  <c r="GL179" i="1"/>
  <c r="GN179" i="1"/>
  <c r="GP179" i="1"/>
  <c r="GV179" i="1"/>
  <c r="HC179" i="1" s="1"/>
  <c r="GX179" i="1" s="1"/>
  <c r="I180" i="1"/>
  <c r="S180" i="1"/>
  <c r="AC180" i="1"/>
  <c r="AE180" i="1"/>
  <c r="CS180" i="1" s="1"/>
  <c r="R180" i="1" s="1"/>
  <c r="GK180" i="1" s="1"/>
  <c r="AF180" i="1"/>
  <c r="AG180" i="1"/>
  <c r="CU180" i="1" s="1"/>
  <c r="T180" i="1" s="1"/>
  <c r="AH180" i="1"/>
  <c r="AI180" i="1"/>
  <c r="CW180" i="1" s="1"/>
  <c r="V180" i="1" s="1"/>
  <c r="AJ180" i="1"/>
  <c r="CT180" i="1"/>
  <c r="CV180" i="1"/>
  <c r="U180" i="1" s="1"/>
  <c r="CX180" i="1"/>
  <c r="W180" i="1" s="1"/>
  <c r="FR180" i="1"/>
  <c r="GL180" i="1"/>
  <c r="GN180" i="1"/>
  <c r="GP180" i="1"/>
  <c r="GV180" i="1"/>
  <c r="HC180" i="1"/>
  <c r="GX180" i="1" s="1"/>
  <c r="C181" i="1"/>
  <c r="D181" i="1"/>
  <c r="I181" i="1"/>
  <c r="I182" i="1" s="1"/>
  <c r="S181" i="1"/>
  <c r="AC181" i="1"/>
  <c r="AE181" i="1"/>
  <c r="CS181" i="1" s="1"/>
  <c r="R181" i="1" s="1"/>
  <c r="GK181" i="1" s="1"/>
  <c r="AF181" i="1"/>
  <c r="AG181" i="1"/>
  <c r="CU181" i="1" s="1"/>
  <c r="T181" i="1" s="1"/>
  <c r="AH181" i="1"/>
  <c r="AI181" i="1"/>
  <c r="CW181" i="1" s="1"/>
  <c r="V181" i="1" s="1"/>
  <c r="AJ181" i="1"/>
  <c r="CT181" i="1"/>
  <c r="CV181" i="1"/>
  <c r="U181" i="1" s="1"/>
  <c r="CX181" i="1"/>
  <c r="W181" i="1" s="1"/>
  <c r="FR181" i="1"/>
  <c r="GL181" i="1"/>
  <c r="GN181" i="1"/>
  <c r="GP181" i="1"/>
  <c r="GV181" i="1"/>
  <c r="HC181" i="1"/>
  <c r="GX181" i="1" s="1"/>
  <c r="U182" i="1"/>
  <c r="AC182" i="1"/>
  <c r="CQ182" i="1" s="1"/>
  <c r="P182" i="1" s="1"/>
  <c r="AE182" i="1"/>
  <c r="AF182" i="1"/>
  <c r="AG182" i="1"/>
  <c r="CU182" i="1" s="1"/>
  <c r="T182" i="1" s="1"/>
  <c r="AH182" i="1"/>
  <c r="AI182" i="1"/>
  <c r="CW182" i="1" s="1"/>
  <c r="AJ182" i="1"/>
  <c r="CT182" i="1"/>
  <c r="S182" i="1" s="1"/>
  <c r="CV182" i="1"/>
  <c r="CX182" i="1"/>
  <c r="W182" i="1" s="1"/>
  <c r="FR182" i="1"/>
  <c r="GL182" i="1"/>
  <c r="GN182" i="1"/>
  <c r="GP182" i="1"/>
  <c r="GV182" i="1"/>
  <c r="HC182" i="1" s="1"/>
  <c r="C183" i="1"/>
  <c r="D183" i="1"/>
  <c r="I183" i="1"/>
  <c r="U183" i="1"/>
  <c r="AC183" i="1"/>
  <c r="CQ183" i="1" s="1"/>
  <c r="P183" i="1" s="1"/>
  <c r="AE183" i="1"/>
  <c r="AF183" i="1"/>
  <c r="AG183" i="1"/>
  <c r="CU183" i="1" s="1"/>
  <c r="T183" i="1" s="1"/>
  <c r="AH183" i="1"/>
  <c r="AI183" i="1"/>
  <c r="CW183" i="1" s="1"/>
  <c r="V183" i="1" s="1"/>
  <c r="AJ183" i="1"/>
  <c r="CT183" i="1"/>
  <c r="S183" i="1" s="1"/>
  <c r="CV183" i="1"/>
  <c r="CX183" i="1"/>
  <c r="W183" i="1" s="1"/>
  <c r="FR183" i="1"/>
  <c r="GL183" i="1"/>
  <c r="GN183" i="1"/>
  <c r="GP183" i="1"/>
  <c r="GV183" i="1"/>
  <c r="HC183" i="1" s="1"/>
  <c r="GX183" i="1" s="1"/>
  <c r="I184" i="1"/>
  <c r="S184" i="1"/>
  <c r="AC184" i="1"/>
  <c r="AE184" i="1"/>
  <c r="CS184" i="1" s="1"/>
  <c r="R184" i="1" s="1"/>
  <c r="GK184" i="1" s="1"/>
  <c r="AF184" i="1"/>
  <c r="AG184" i="1"/>
  <c r="CU184" i="1" s="1"/>
  <c r="T184" i="1" s="1"/>
  <c r="AH184" i="1"/>
  <c r="AI184" i="1"/>
  <c r="CW184" i="1" s="1"/>
  <c r="V184" i="1" s="1"/>
  <c r="AJ184" i="1"/>
  <c r="CT184" i="1"/>
  <c r="CV184" i="1"/>
  <c r="U184" i="1" s="1"/>
  <c r="CX184" i="1"/>
  <c r="W184" i="1" s="1"/>
  <c r="FR184" i="1"/>
  <c r="GL184" i="1"/>
  <c r="GN184" i="1"/>
  <c r="GP184" i="1"/>
  <c r="GV184" i="1"/>
  <c r="HC184" i="1"/>
  <c r="GX184" i="1" s="1"/>
  <c r="C185" i="1"/>
  <c r="D185" i="1"/>
  <c r="I185" i="1"/>
  <c r="I186" i="1" s="1"/>
  <c r="W185" i="1"/>
  <c r="AC185" i="1"/>
  <c r="AE185" i="1"/>
  <c r="CS185" i="1" s="1"/>
  <c r="R185" i="1" s="1"/>
  <c r="AF185" i="1"/>
  <c r="AG185" i="1"/>
  <c r="CU185" i="1" s="1"/>
  <c r="T185" i="1" s="1"/>
  <c r="AH185" i="1"/>
  <c r="AI185" i="1"/>
  <c r="CW185" i="1" s="1"/>
  <c r="V185" i="1" s="1"/>
  <c r="AJ185" i="1"/>
  <c r="CT185" i="1"/>
  <c r="S185" i="1" s="1"/>
  <c r="CV185" i="1"/>
  <c r="U185" i="1" s="1"/>
  <c r="CX185" i="1"/>
  <c r="FR185" i="1"/>
  <c r="GK185" i="1"/>
  <c r="GL185" i="1"/>
  <c r="GN185" i="1"/>
  <c r="GP185" i="1"/>
  <c r="GV185" i="1"/>
  <c r="HC185" i="1"/>
  <c r="GX185" i="1" s="1"/>
  <c r="U186" i="1"/>
  <c r="AC186" i="1"/>
  <c r="CQ186" i="1" s="1"/>
  <c r="AE186" i="1"/>
  <c r="AF186" i="1"/>
  <c r="AG186" i="1"/>
  <c r="CU186" i="1" s="1"/>
  <c r="AH186" i="1"/>
  <c r="AI186" i="1"/>
  <c r="CW186" i="1" s="1"/>
  <c r="AJ186" i="1"/>
  <c r="CT186" i="1"/>
  <c r="CV186" i="1"/>
  <c r="CX186" i="1"/>
  <c r="W186" i="1" s="1"/>
  <c r="FR186" i="1"/>
  <c r="GL186" i="1"/>
  <c r="GN186" i="1"/>
  <c r="GP186" i="1"/>
  <c r="GV186" i="1"/>
  <c r="HC186" i="1" s="1"/>
  <c r="C187" i="1"/>
  <c r="D187" i="1"/>
  <c r="I187" i="1"/>
  <c r="U187" i="1"/>
  <c r="AC187" i="1"/>
  <c r="CQ187" i="1" s="1"/>
  <c r="P187" i="1" s="1"/>
  <c r="AE187" i="1"/>
  <c r="AF187" i="1"/>
  <c r="AG187" i="1"/>
  <c r="CU187" i="1" s="1"/>
  <c r="T187" i="1" s="1"/>
  <c r="AH187" i="1"/>
  <c r="AI187" i="1"/>
  <c r="CW187" i="1" s="1"/>
  <c r="V187" i="1" s="1"/>
  <c r="AJ187" i="1"/>
  <c r="CT187" i="1"/>
  <c r="S187" i="1" s="1"/>
  <c r="CV187" i="1"/>
  <c r="CX187" i="1"/>
  <c r="W187" i="1" s="1"/>
  <c r="FR187" i="1"/>
  <c r="GL187" i="1"/>
  <c r="GN187" i="1"/>
  <c r="GP187" i="1"/>
  <c r="GV187" i="1"/>
  <c r="HC187" i="1" s="1"/>
  <c r="GX187" i="1" s="1"/>
  <c r="I188" i="1"/>
  <c r="W188" i="1"/>
  <c r="AC188" i="1"/>
  <c r="AE188" i="1"/>
  <c r="CS188" i="1" s="1"/>
  <c r="R188" i="1" s="1"/>
  <c r="AF188" i="1"/>
  <c r="AG188" i="1"/>
  <c r="CU188" i="1" s="1"/>
  <c r="T188" i="1" s="1"/>
  <c r="AH188" i="1"/>
  <c r="AI188" i="1"/>
  <c r="CW188" i="1" s="1"/>
  <c r="V188" i="1" s="1"/>
  <c r="AJ188" i="1"/>
  <c r="CT188" i="1"/>
  <c r="S188" i="1" s="1"/>
  <c r="CV188" i="1"/>
  <c r="U188" i="1" s="1"/>
  <c r="CX188" i="1"/>
  <c r="FR188" i="1"/>
  <c r="GK188" i="1"/>
  <c r="GL188" i="1"/>
  <c r="GN188" i="1"/>
  <c r="GP188" i="1"/>
  <c r="GV188" i="1"/>
  <c r="HC188" i="1"/>
  <c r="GX188" i="1" s="1"/>
  <c r="I189" i="1"/>
  <c r="AC189" i="1"/>
  <c r="CQ189" i="1" s="1"/>
  <c r="P189" i="1" s="1"/>
  <c r="AE189" i="1"/>
  <c r="AF189" i="1"/>
  <c r="AG189" i="1"/>
  <c r="CU189" i="1" s="1"/>
  <c r="T189" i="1" s="1"/>
  <c r="AH189" i="1"/>
  <c r="AI189" i="1"/>
  <c r="CW189" i="1" s="1"/>
  <c r="V189" i="1" s="1"/>
  <c r="AJ189" i="1"/>
  <c r="CT189" i="1"/>
  <c r="S189" i="1" s="1"/>
  <c r="CV189" i="1"/>
  <c r="U189" i="1" s="1"/>
  <c r="CX189" i="1"/>
  <c r="W189" i="1" s="1"/>
  <c r="FR189" i="1"/>
  <c r="GL189" i="1"/>
  <c r="GN189" i="1"/>
  <c r="GP189" i="1"/>
  <c r="GV189" i="1"/>
  <c r="HC189" i="1" s="1"/>
  <c r="GX189" i="1" s="1"/>
  <c r="C190" i="1"/>
  <c r="D190" i="1"/>
  <c r="V190" i="1"/>
  <c r="AC190" i="1"/>
  <c r="AD190" i="1"/>
  <c r="CR190" i="1" s="1"/>
  <c r="Q190" i="1" s="1"/>
  <c r="AE190" i="1"/>
  <c r="AF190" i="1"/>
  <c r="CT190" i="1" s="1"/>
  <c r="S190" i="1" s="1"/>
  <c r="AG190" i="1"/>
  <c r="AH190" i="1"/>
  <c r="CV190" i="1" s="1"/>
  <c r="U190" i="1" s="1"/>
  <c r="AI190" i="1"/>
  <c r="AJ190" i="1"/>
  <c r="CX190" i="1" s="1"/>
  <c r="W190" i="1" s="1"/>
  <c r="CQ190" i="1"/>
  <c r="P190" i="1" s="1"/>
  <c r="CS190" i="1"/>
  <c r="R190" i="1" s="1"/>
  <c r="GK190" i="1" s="1"/>
  <c r="CU190" i="1"/>
  <c r="T190" i="1" s="1"/>
  <c r="CW190" i="1"/>
  <c r="FR190" i="1"/>
  <c r="GL190" i="1"/>
  <c r="GN190" i="1"/>
  <c r="GP190" i="1"/>
  <c r="GV190" i="1"/>
  <c r="HC190" i="1" s="1"/>
  <c r="GX190" i="1"/>
  <c r="I191" i="1"/>
  <c r="AC191" i="1"/>
  <c r="AD191" i="1"/>
  <c r="AE191" i="1"/>
  <c r="AF191" i="1"/>
  <c r="CT191" i="1" s="1"/>
  <c r="S191" i="1" s="1"/>
  <c r="AG191" i="1"/>
  <c r="AH191" i="1"/>
  <c r="CV191" i="1" s="1"/>
  <c r="U191" i="1" s="1"/>
  <c r="AI191" i="1"/>
  <c r="AJ191" i="1"/>
  <c r="CX191" i="1" s="1"/>
  <c r="W191" i="1" s="1"/>
  <c r="CQ191" i="1"/>
  <c r="P191" i="1" s="1"/>
  <c r="CS191" i="1"/>
  <c r="R191" i="1" s="1"/>
  <c r="GK191" i="1" s="1"/>
  <c r="CU191" i="1"/>
  <c r="T191" i="1" s="1"/>
  <c r="CW191" i="1"/>
  <c r="V191" i="1" s="1"/>
  <c r="CY191" i="1"/>
  <c r="X191" i="1" s="1"/>
  <c r="FR191" i="1"/>
  <c r="GL191" i="1"/>
  <c r="GN191" i="1"/>
  <c r="GP191" i="1"/>
  <c r="GV191" i="1"/>
  <c r="GX191" i="1"/>
  <c r="HC191" i="1"/>
  <c r="C192" i="1"/>
  <c r="D192" i="1"/>
  <c r="U192" i="1"/>
  <c r="AC192" i="1"/>
  <c r="CQ192" i="1" s="1"/>
  <c r="P192" i="1" s="1"/>
  <c r="AE192" i="1"/>
  <c r="AF192" i="1"/>
  <c r="AG192" i="1"/>
  <c r="CU192" i="1" s="1"/>
  <c r="T192" i="1" s="1"/>
  <c r="AH192" i="1"/>
  <c r="AI192" i="1"/>
  <c r="CW192" i="1" s="1"/>
  <c r="V192" i="1" s="1"/>
  <c r="AJ192" i="1"/>
  <c r="CT192" i="1"/>
  <c r="S192" i="1" s="1"/>
  <c r="CV192" i="1"/>
  <c r="CX192" i="1"/>
  <c r="W192" i="1" s="1"/>
  <c r="FR192" i="1"/>
  <c r="GL192" i="1"/>
  <c r="GN192" i="1"/>
  <c r="GP192" i="1"/>
  <c r="GV192" i="1"/>
  <c r="HC192" i="1" s="1"/>
  <c r="GX192" i="1" s="1"/>
  <c r="I193" i="1"/>
  <c r="S193" i="1"/>
  <c r="AC193" i="1"/>
  <c r="AE193" i="1"/>
  <c r="CS193" i="1" s="1"/>
  <c r="R193" i="1" s="1"/>
  <c r="GK193" i="1" s="1"/>
  <c r="AF193" i="1"/>
  <c r="AG193" i="1"/>
  <c r="CU193" i="1" s="1"/>
  <c r="T193" i="1" s="1"/>
  <c r="AH193" i="1"/>
  <c r="AI193" i="1"/>
  <c r="CW193" i="1" s="1"/>
  <c r="V193" i="1" s="1"/>
  <c r="AJ193" i="1"/>
  <c r="CT193" i="1"/>
  <c r="CV193" i="1"/>
  <c r="U193" i="1" s="1"/>
  <c r="CX193" i="1"/>
  <c r="W193" i="1" s="1"/>
  <c r="FR193" i="1"/>
  <c r="GL193" i="1"/>
  <c r="GN193" i="1"/>
  <c r="GP193" i="1"/>
  <c r="GV193" i="1"/>
  <c r="HC193" i="1"/>
  <c r="GX193" i="1" s="1"/>
  <c r="I194" i="1"/>
  <c r="U194" i="1"/>
  <c r="AC194" i="1"/>
  <c r="CQ194" i="1" s="1"/>
  <c r="P194" i="1" s="1"/>
  <c r="AE194" i="1"/>
  <c r="AF194" i="1"/>
  <c r="AG194" i="1"/>
  <c r="CU194" i="1" s="1"/>
  <c r="T194" i="1" s="1"/>
  <c r="AH194" i="1"/>
  <c r="AI194" i="1"/>
  <c r="CW194" i="1" s="1"/>
  <c r="V194" i="1" s="1"/>
  <c r="AJ194" i="1"/>
  <c r="CT194" i="1"/>
  <c r="S194" i="1" s="1"/>
  <c r="CV194" i="1"/>
  <c r="CX194" i="1"/>
  <c r="W194" i="1" s="1"/>
  <c r="FR194" i="1"/>
  <c r="GL194" i="1"/>
  <c r="GN194" i="1"/>
  <c r="GP194" i="1"/>
  <c r="GV194" i="1"/>
  <c r="HC194" i="1" s="1"/>
  <c r="GX194" i="1" s="1"/>
  <c r="I195" i="1"/>
  <c r="W195" i="1"/>
  <c r="AC195" i="1"/>
  <c r="AE195" i="1"/>
  <c r="CS195" i="1" s="1"/>
  <c r="R195" i="1" s="1"/>
  <c r="AF195" i="1"/>
  <c r="AG195" i="1"/>
  <c r="CU195" i="1" s="1"/>
  <c r="T195" i="1" s="1"/>
  <c r="AH195" i="1"/>
  <c r="AI195" i="1"/>
  <c r="CW195" i="1" s="1"/>
  <c r="V195" i="1" s="1"/>
  <c r="AJ195" i="1"/>
  <c r="CT195" i="1"/>
  <c r="S195" i="1" s="1"/>
  <c r="CV195" i="1"/>
  <c r="U195" i="1" s="1"/>
  <c r="CX195" i="1"/>
  <c r="FR195" i="1"/>
  <c r="GK195" i="1"/>
  <c r="GL195" i="1"/>
  <c r="GN195" i="1"/>
  <c r="GP195" i="1"/>
  <c r="GV195" i="1"/>
  <c r="HC195" i="1"/>
  <c r="GX195" i="1" s="1"/>
  <c r="I196" i="1"/>
  <c r="AC196" i="1"/>
  <c r="CQ196" i="1" s="1"/>
  <c r="P196" i="1" s="1"/>
  <c r="AE196" i="1"/>
  <c r="AF196" i="1"/>
  <c r="AG196" i="1"/>
  <c r="CU196" i="1" s="1"/>
  <c r="T196" i="1" s="1"/>
  <c r="AH196" i="1"/>
  <c r="AI196" i="1"/>
  <c r="CW196" i="1" s="1"/>
  <c r="V196" i="1" s="1"/>
  <c r="AJ196" i="1"/>
  <c r="CT196" i="1"/>
  <c r="S196" i="1" s="1"/>
  <c r="CV196" i="1"/>
  <c r="U196" i="1" s="1"/>
  <c r="CX196" i="1"/>
  <c r="W196" i="1" s="1"/>
  <c r="FR196" i="1"/>
  <c r="GL196" i="1"/>
  <c r="GN196" i="1"/>
  <c r="GP196" i="1"/>
  <c r="GV196" i="1"/>
  <c r="HC196" i="1" s="1"/>
  <c r="GX196" i="1" s="1"/>
  <c r="I197" i="1"/>
  <c r="W197" i="1"/>
  <c r="AC197" i="1"/>
  <c r="AE197" i="1"/>
  <c r="CS197" i="1" s="1"/>
  <c r="R197" i="1" s="1"/>
  <c r="AF197" i="1"/>
  <c r="AG197" i="1"/>
  <c r="CU197" i="1" s="1"/>
  <c r="T197" i="1" s="1"/>
  <c r="AH197" i="1"/>
  <c r="AI197" i="1"/>
  <c r="CW197" i="1" s="1"/>
  <c r="V197" i="1" s="1"/>
  <c r="AJ197" i="1"/>
  <c r="CT197" i="1"/>
  <c r="S197" i="1" s="1"/>
  <c r="CV197" i="1"/>
  <c r="U197" i="1" s="1"/>
  <c r="CX197" i="1"/>
  <c r="FR197" i="1"/>
  <c r="GK197" i="1"/>
  <c r="GL197" i="1"/>
  <c r="GN197" i="1"/>
  <c r="GP197" i="1"/>
  <c r="GV197" i="1"/>
  <c r="HC197" i="1"/>
  <c r="GX197" i="1" s="1"/>
  <c r="C198" i="1"/>
  <c r="D198" i="1"/>
  <c r="I198" i="1"/>
  <c r="I199" i="1" s="1"/>
  <c r="S198" i="1"/>
  <c r="AC198" i="1"/>
  <c r="AE198" i="1"/>
  <c r="CS198" i="1" s="1"/>
  <c r="R198" i="1" s="1"/>
  <c r="GK198" i="1" s="1"/>
  <c r="AF198" i="1"/>
  <c r="AG198" i="1"/>
  <c r="CU198" i="1" s="1"/>
  <c r="T198" i="1" s="1"/>
  <c r="AH198" i="1"/>
  <c r="AI198" i="1"/>
  <c r="CW198" i="1" s="1"/>
  <c r="V198" i="1" s="1"/>
  <c r="AJ198" i="1"/>
  <c r="CT198" i="1"/>
  <c r="CV198" i="1"/>
  <c r="U198" i="1" s="1"/>
  <c r="CX198" i="1"/>
  <c r="W198" i="1" s="1"/>
  <c r="FR198" i="1"/>
  <c r="GL198" i="1"/>
  <c r="GN198" i="1"/>
  <c r="GP198" i="1"/>
  <c r="GV198" i="1"/>
  <c r="HC198" i="1"/>
  <c r="GX198" i="1" s="1"/>
  <c r="AC199" i="1"/>
  <c r="CQ199" i="1" s="1"/>
  <c r="P199" i="1" s="1"/>
  <c r="AE199" i="1"/>
  <c r="AF199" i="1"/>
  <c r="AG199" i="1"/>
  <c r="CU199" i="1" s="1"/>
  <c r="T199" i="1" s="1"/>
  <c r="AH199" i="1"/>
  <c r="AI199" i="1"/>
  <c r="CW199" i="1" s="1"/>
  <c r="V199" i="1" s="1"/>
  <c r="AJ199" i="1"/>
  <c r="CT199" i="1"/>
  <c r="S199" i="1" s="1"/>
  <c r="CV199" i="1"/>
  <c r="U199" i="1" s="1"/>
  <c r="CX199" i="1"/>
  <c r="W199" i="1" s="1"/>
  <c r="FR199" i="1"/>
  <c r="GL199" i="1"/>
  <c r="GN199" i="1"/>
  <c r="GP199" i="1"/>
  <c r="GV199" i="1"/>
  <c r="HC199" i="1" s="1"/>
  <c r="GX199" i="1" s="1"/>
  <c r="B201" i="1"/>
  <c r="C201" i="1"/>
  <c r="C164" i="1" s="1"/>
  <c r="D201" i="1"/>
  <c r="D164" i="1" s="1"/>
  <c r="F201" i="1"/>
  <c r="F164" i="1" s="1"/>
  <c r="G201" i="1"/>
  <c r="G164" i="1" s="1"/>
  <c r="AO201" i="1"/>
  <c r="AO164" i="1" s="1"/>
  <c r="BC201" i="1"/>
  <c r="BX201" i="1"/>
  <c r="BX164" i="1" s="1"/>
  <c r="CK201" i="1"/>
  <c r="BB201" i="1" s="1"/>
  <c r="CL201" i="1"/>
  <c r="CL164" i="1" s="1"/>
  <c r="F205" i="1"/>
  <c r="D233" i="1"/>
  <c r="B235" i="1"/>
  <c r="D235" i="1"/>
  <c r="E235" i="1"/>
  <c r="Z235" i="1"/>
  <c r="AA235" i="1"/>
  <c r="AM235" i="1"/>
  <c r="AN235" i="1"/>
  <c r="BD235" i="1"/>
  <c r="BE235" i="1"/>
  <c r="BF235" i="1"/>
  <c r="BG235" i="1"/>
  <c r="BH235" i="1"/>
  <c r="BI235" i="1"/>
  <c r="BJ235" i="1"/>
  <c r="BK235" i="1"/>
  <c r="BL235" i="1"/>
  <c r="BM235" i="1"/>
  <c r="BN235" i="1"/>
  <c r="BO235" i="1"/>
  <c r="BP235" i="1"/>
  <c r="BQ235" i="1"/>
  <c r="BR235" i="1"/>
  <c r="BS235" i="1"/>
  <c r="BT235" i="1"/>
  <c r="BU235" i="1"/>
  <c r="BV235" i="1"/>
  <c r="BW235" i="1"/>
  <c r="CM235" i="1"/>
  <c r="CN235" i="1"/>
  <c r="CO235" i="1"/>
  <c r="CP235" i="1"/>
  <c r="CQ235" i="1"/>
  <c r="CR235" i="1"/>
  <c r="CS235" i="1"/>
  <c r="CT235" i="1"/>
  <c r="CU235" i="1"/>
  <c r="CV235" i="1"/>
  <c r="CW235" i="1"/>
  <c r="CX235" i="1"/>
  <c r="CY235" i="1"/>
  <c r="CZ235" i="1"/>
  <c r="DA235" i="1"/>
  <c r="DB235" i="1"/>
  <c r="DC235" i="1"/>
  <c r="DD235" i="1"/>
  <c r="DE235" i="1"/>
  <c r="DF235" i="1"/>
  <c r="DG235" i="1"/>
  <c r="DH235" i="1"/>
  <c r="DI235" i="1"/>
  <c r="DJ235" i="1"/>
  <c r="DK235" i="1"/>
  <c r="DL235" i="1"/>
  <c r="DM235" i="1"/>
  <c r="DN235" i="1"/>
  <c r="DO235" i="1"/>
  <c r="DP235" i="1"/>
  <c r="DQ235" i="1"/>
  <c r="DR235" i="1"/>
  <c r="DS235" i="1"/>
  <c r="DT235" i="1"/>
  <c r="DU235" i="1"/>
  <c r="DV235" i="1"/>
  <c r="DW235" i="1"/>
  <c r="DX235" i="1"/>
  <c r="DY235" i="1"/>
  <c r="DZ235" i="1"/>
  <c r="EA235" i="1"/>
  <c r="EB235" i="1"/>
  <c r="EC235" i="1"/>
  <c r="ED235" i="1"/>
  <c r="EE235" i="1"/>
  <c r="EF235" i="1"/>
  <c r="EG235" i="1"/>
  <c r="EH235" i="1"/>
  <c r="EI235" i="1"/>
  <c r="EJ235" i="1"/>
  <c r="EK235" i="1"/>
  <c r="EL235" i="1"/>
  <c r="EM235" i="1"/>
  <c r="EN235" i="1"/>
  <c r="EO235" i="1"/>
  <c r="EP235" i="1"/>
  <c r="EQ235" i="1"/>
  <c r="ER235" i="1"/>
  <c r="ES235" i="1"/>
  <c r="ET235" i="1"/>
  <c r="EU235" i="1"/>
  <c r="EV235" i="1"/>
  <c r="EW235" i="1"/>
  <c r="EX235" i="1"/>
  <c r="EY235" i="1"/>
  <c r="EZ235" i="1"/>
  <c r="FA235" i="1"/>
  <c r="FB235" i="1"/>
  <c r="FC235" i="1"/>
  <c r="FD235" i="1"/>
  <c r="FE235" i="1"/>
  <c r="FF235" i="1"/>
  <c r="FG235" i="1"/>
  <c r="FH235" i="1"/>
  <c r="FI235" i="1"/>
  <c r="FJ235" i="1"/>
  <c r="FK235" i="1"/>
  <c r="FL235" i="1"/>
  <c r="FM235" i="1"/>
  <c r="FN235" i="1"/>
  <c r="FO235" i="1"/>
  <c r="FP235" i="1"/>
  <c r="FQ235" i="1"/>
  <c r="FR235" i="1"/>
  <c r="FS235" i="1"/>
  <c r="FT235" i="1"/>
  <c r="FU235" i="1"/>
  <c r="FV235" i="1"/>
  <c r="FW235" i="1"/>
  <c r="FX235" i="1"/>
  <c r="FY235" i="1"/>
  <c r="FZ235" i="1"/>
  <c r="GA235" i="1"/>
  <c r="GB235" i="1"/>
  <c r="GC235" i="1"/>
  <c r="GD235" i="1"/>
  <c r="GE235" i="1"/>
  <c r="GF235" i="1"/>
  <c r="GG235" i="1"/>
  <c r="GH235" i="1"/>
  <c r="GI235" i="1"/>
  <c r="GJ235" i="1"/>
  <c r="GK235" i="1"/>
  <c r="GL235" i="1"/>
  <c r="GM235" i="1"/>
  <c r="GN235" i="1"/>
  <c r="GO235" i="1"/>
  <c r="GP235" i="1"/>
  <c r="GQ235" i="1"/>
  <c r="GR235" i="1"/>
  <c r="GS235" i="1"/>
  <c r="GT235" i="1"/>
  <c r="GU235" i="1"/>
  <c r="GV235" i="1"/>
  <c r="GW235" i="1"/>
  <c r="GX235" i="1"/>
  <c r="C237" i="1"/>
  <c r="D237" i="1"/>
  <c r="S237" i="1"/>
  <c r="AC237" i="1"/>
  <c r="AE237" i="1"/>
  <c r="AF237" i="1"/>
  <c r="AG237" i="1"/>
  <c r="CU237" i="1" s="1"/>
  <c r="T237" i="1" s="1"/>
  <c r="AG242" i="1" s="1"/>
  <c r="AH237" i="1"/>
  <c r="AI237" i="1"/>
  <c r="CW237" i="1" s="1"/>
  <c r="V237" i="1" s="1"/>
  <c r="AJ237" i="1"/>
  <c r="CT237" i="1"/>
  <c r="CV237" i="1"/>
  <c r="U237" i="1" s="1"/>
  <c r="AH242" i="1" s="1"/>
  <c r="CX237" i="1"/>
  <c r="W237" i="1" s="1"/>
  <c r="AJ242" i="1" s="1"/>
  <c r="FR237" i="1"/>
  <c r="GL237" i="1"/>
  <c r="GN237" i="1"/>
  <c r="GO237" i="1"/>
  <c r="GV237" i="1"/>
  <c r="HC237" i="1" s="1"/>
  <c r="GX237" i="1" s="1"/>
  <c r="CJ242" i="1" s="1"/>
  <c r="C238" i="1"/>
  <c r="D238" i="1"/>
  <c r="I238" i="1"/>
  <c r="U238" i="1"/>
  <c r="W238" i="1"/>
  <c r="AC238" i="1"/>
  <c r="AE238" i="1"/>
  <c r="AF238" i="1"/>
  <c r="AG238" i="1"/>
  <c r="CU238" i="1" s="1"/>
  <c r="T238" i="1" s="1"/>
  <c r="AH238" i="1"/>
  <c r="AI238" i="1"/>
  <c r="CW238" i="1" s="1"/>
  <c r="V238" i="1" s="1"/>
  <c r="AI242" i="1" s="1"/>
  <c r="AJ238" i="1"/>
  <c r="CT238" i="1"/>
  <c r="S238" i="1" s="1"/>
  <c r="CV238" i="1"/>
  <c r="CX238" i="1"/>
  <c r="FR238" i="1"/>
  <c r="GL238" i="1"/>
  <c r="GN238" i="1"/>
  <c r="GO238" i="1"/>
  <c r="GV238" i="1"/>
  <c r="HC238" i="1"/>
  <c r="GX238" i="1" s="1"/>
  <c r="C239" i="1"/>
  <c r="D239" i="1"/>
  <c r="T239" i="1"/>
  <c r="V239" i="1"/>
  <c r="AC239" i="1"/>
  <c r="AD239" i="1"/>
  <c r="CR239" i="1" s="1"/>
  <c r="Q239" i="1" s="1"/>
  <c r="AE239" i="1"/>
  <c r="AF239" i="1"/>
  <c r="CT239" i="1" s="1"/>
  <c r="S239" i="1" s="1"/>
  <c r="AG239" i="1"/>
  <c r="AH239" i="1"/>
  <c r="CV239" i="1" s="1"/>
  <c r="U239" i="1" s="1"/>
  <c r="AI239" i="1"/>
  <c r="AJ239" i="1"/>
  <c r="CX239" i="1" s="1"/>
  <c r="W239" i="1" s="1"/>
  <c r="CQ239" i="1"/>
  <c r="P239" i="1" s="1"/>
  <c r="CP239" i="1" s="1"/>
  <c r="O239" i="1" s="1"/>
  <c r="CS239" i="1"/>
  <c r="R239" i="1" s="1"/>
  <c r="CU239" i="1"/>
  <c r="CW239" i="1"/>
  <c r="FR239" i="1"/>
  <c r="BY242" i="1" s="1"/>
  <c r="GL239" i="1"/>
  <c r="BZ242" i="1" s="1"/>
  <c r="BZ235" i="1" s="1"/>
  <c r="GN239" i="1"/>
  <c r="CB242" i="1" s="1"/>
  <c r="CB235" i="1" s="1"/>
  <c r="GO239" i="1"/>
  <c r="GV239" i="1"/>
  <c r="HC239" i="1" s="1"/>
  <c r="GX239" i="1"/>
  <c r="C240" i="1"/>
  <c r="D240" i="1"/>
  <c r="S240" i="1"/>
  <c r="U240" i="1"/>
  <c r="AC240" i="1"/>
  <c r="AE240" i="1"/>
  <c r="AF240" i="1"/>
  <c r="AG240" i="1"/>
  <c r="CU240" i="1" s="1"/>
  <c r="T240" i="1" s="1"/>
  <c r="AH240" i="1"/>
  <c r="AI240" i="1"/>
  <c r="CW240" i="1" s="1"/>
  <c r="V240" i="1" s="1"/>
  <c r="AJ240" i="1"/>
  <c r="CT240" i="1"/>
  <c r="CV240" i="1"/>
  <c r="CX240" i="1"/>
  <c r="W240" i="1" s="1"/>
  <c r="FR240" i="1"/>
  <c r="GL240" i="1"/>
  <c r="GN240" i="1"/>
  <c r="GO240" i="1"/>
  <c r="GV240" i="1"/>
  <c r="HC240" i="1"/>
  <c r="GX240" i="1" s="1"/>
  <c r="B242" i="1"/>
  <c r="C242" i="1"/>
  <c r="C235" i="1" s="1"/>
  <c r="D242" i="1"/>
  <c r="F242" i="1"/>
  <c r="F235" i="1" s="1"/>
  <c r="G242" i="1"/>
  <c r="G235" i="1" s="1"/>
  <c r="AO242" i="1"/>
  <c r="AO235" i="1" s="1"/>
  <c r="AQ242" i="1"/>
  <c r="AQ235" i="1" s="1"/>
  <c r="AS242" i="1"/>
  <c r="AS235" i="1" s="1"/>
  <c r="BC242" i="1"/>
  <c r="BC235" i="1" s="1"/>
  <c r="BX242" i="1"/>
  <c r="BX235" i="1" s="1"/>
  <c r="CC242" i="1"/>
  <c r="CG242" i="1"/>
  <c r="CK242" i="1"/>
  <c r="CL242" i="1"/>
  <c r="CL235" i="1" s="1"/>
  <c r="F246" i="1"/>
  <c r="F252" i="1"/>
  <c r="D271" i="1"/>
  <c r="D273" i="1"/>
  <c r="E273" i="1"/>
  <c r="Z273" i="1"/>
  <c r="AA273" i="1"/>
  <c r="AM273" i="1"/>
  <c r="AN273" i="1"/>
  <c r="BD273" i="1"/>
  <c r="BE273" i="1"/>
  <c r="BF273" i="1"/>
  <c r="BG273" i="1"/>
  <c r="BH273" i="1"/>
  <c r="BI273" i="1"/>
  <c r="BJ273" i="1"/>
  <c r="BK273" i="1"/>
  <c r="BL273" i="1"/>
  <c r="BM273" i="1"/>
  <c r="BN273" i="1"/>
  <c r="BO273" i="1"/>
  <c r="BP273" i="1"/>
  <c r="BQ273" i="1"/>
  <c r="BR273" i="1"/>
  <c r="BS273" i="1"/>
  <c r="BT273" i="1"/>
  <c r="BU273" i="1"/>
  <c r="BV273" i="1"/>
  <c r="BW273" i="1"/>
  <c r="CM273" i="1"/>
  <c r="CN273" i="1"/>
  <c r="CO273" i="1"/>
  <c r="CP273" i="1"/>
  <c r="CQ273" i="1"/>
  <c r="CR273" i="1"/>
  <c r="CS273" i="1"/>
  <c r="CT273" i="1"/>
  <c r="CU273" i="1"/>
  <c r="CV273" i="1"/>
  <c r="CW273" i="1"/>
  <c r="CX273" i="1"/>
  <c r="CY273" i="1"/>
  <c r="CZ273" i="1"/>
  <c r="DA273" i="1"/>
  <c r="DB273" i="1"/>
  <c r="DC273" i="1"/>
  <c r="DD273" i="1"/>
  <c r="DE273" i="1"/>
  <c r="DF273" i="1"/>
  <c r="DG273" i="1"/>
  <c r="DH273" i="1"/>
  <c r="DI273" i="1"/>
  <c r="DJ273" i="1"/>
  <c r="DK273" i="1"/>
  <c r="DL273" i="1"/>
  <c r="DM273" i="1"/>
  <c r="DN273" i="1"/>
  <c r="DO273" i="1"/>
  <c r="DP273" i="1"/>
  <c r="DQ273" i="1"/>
  <c r="DR273" i="1"/>
  <c r="DS273" i="1"/>
  <c r="DT273" i="1"/>
  <c r="DU273" i="1"/>
  <c r="DV273" i="1"/>
  <c r="DW273" i="1"/>
  <c r="DX273" i="1"/>
  <c r="DY273" i="1"/>
  <c r="DZ273" i="1"/>
  <c r="EA273" i="1"/>
  <c r="EB273" i="1"/>
  <c r="EC273" i="1"/>
  <c r="ED273" i="1"/>
  <c r="EE273" i="1"/>
  <c r="EF273" i="1"/>
  <c r="EG273" i="1"/>
  <c r="EH273" i="1"/>
  <c r="EI273" i="1"/>
  <c r="EJ273" i="1"/>
  <c r="EK273" i="1"/>
  <c r="EL273" i="1"/>
  <c r="EM273" i="1"/>
  <c r="EN273" i="1"/>
  <c r="EO273" i="1"/>
  <c r="EP273" i="1"/>
  <c r="EQ273" i="1"/>
  <c r="ER273" i="1"/>
  <c r="ES273" i="1"/>
  <c r="ET273" i="1"/>
  <c r="EU273" i="1"/>
  <c r="EV273" i="1"/>
  <c r="EW273" i="1"/>
  <c r="EX273" i="1"/>
  <c r="EY273" i="1"/>
  <c r="EZ273" i="1"/>
  <c r="FA273" i="1"/>
  <c r="FB273" i="1"/>
  <c r="FC273" i="1"/>
  <c r="FD273" i="1"/>
  <c r="FE273" i="1"/>
  <c r="FF273" i="1"/>
  <c r="FG273" i="1"/>
  <c r="FH273" i="1"/>
  <c r="FI273" i="1"/>
  <c r="FJ273" i="1"/>
  <c r="FK273" i="1"/>
  <c r="FL273" i="1"/>
  <c r="FM273" i="1"/>
  <c r="FN273" i="1"/>
  <c r="FO273" i="1"/>
  <c r="FP273" i="1"/>
  <c r="FQ273" i="1"/>
  <c r="FR273" i="1"/>
  <c r="FS273" i="1"/>
  <c r="FT273" i="1"/>
  <c r="FU273" i="1"/>
  <c r="FV273" i="1"/>
  <c r="FW273" i="1"/>
  <c r="FX273" i="1"/>
  <c r="FY273" i="1"/>
  <c r="FZ273" i="1"/>
  <c r="GA273" i="1"/>
  <c r="GB273" i="1"/>
  <c r="GC273" i="1"/>
  <c r="GD273" i="1"/>
  <c r="GE273" i="1"/>
  <c r="GF273" i="1"/>
  <c r="GG273" i="1"/>
  <c r="GH273" i="1"/>
  <c r="GI273" i="1"/>
  <c r="GJ273" i="1"/>
  <c r="GK273" i="1"/>
  <c r="GL273" i="1"/>
  <c r="GM273" i="1"/>
  <c r="GN273" i="1"/>
  <c r="GO273" i="1"/>
  <c r="GP273" i="1"/>
  <c r="GQ273" i="1"/>
  <c r="GR273" i="1"/>
  <c r="GS273" i="1"/>
  <c r="GT273" i="1"/>
  <c r="GU273" i="1"/>
  <c r="GV273" i="1"/>
  <c r="GW273" i="1"/>
  <c r="GX273" i="1"/>
  <c r="C275" i="1"/>
  <c r="D275" i="1"/>
  <c r="AC275" i="1"/>
  <c r="AE275" i="1"/>
  <c r="AD275" i="1" s="1"/>
  <c r="AF275" i="1"/>
  <c r="CT275" i="1" s="1"/>
  <c r="S275" i="1" s="1"/>
  <c r="AG275" i="1"/>
  <c r="AH275" i="1"/>
  <c r="AI275" i="1"/>
  <c r="CW275" i="1" s="1"/>
  <c r="V275" i="1" s="1"/>
  <c r="AJ275" i="1"/>
  <c r="CX275" i="1" s="1"/>
  <c r="W275" i="1" s="1"/>
  <c r="CQ275" i="1"/>
  <c r="P275" i="1" s="1"/>
  <c r="CU275" i="1"/>
  <c r="T275" i="1" s="1"/>
  <c r="CV275" i="1"/>
  <c r="U275" i="1" s="1"/>
  <c r="FR275" i="1"/>
  <c r="GL275" i="1"/>
  <c r="GN275" i="1"/>
  <c r="GP275" i="1"/>
  <c r="GV275" i="1"/>
  <c r="HC275" i="1" s="1"/>
  <c r="GX275" i="1" s="1"/>
  <c r="C276" i="1"/>
  <c r="D276" i="1"/>
  <c r="AC276" i="1"/>
  <c r="CQ276" i="1" s="1"/>
  <c r="P276" i="1" s="1"/>
  <c r="AE276" i="1"/>
  <c r="AD276" i="1" s="1"/>
  <c r="AF276" i="1"/>
  <c r="CT276" i="1" s="1"/>
  <c r="S276" i="1" s="1"/>
  <c r="AG276" i="1"/>
  <c r="CU276" i="1" s="1"/>
  <c r="T276" i="1" s="1"/>
  <c r="AH276" i="1"/>
  <c r="AI276" i="1"/>
  <c r="AJ276" i="1"/>
  <c r="CX276" i="1" s="1"/>
  <c r="W276" i="1" s="1"/>
  <c r="CS276" i="1"/>
  <c r="R276" i="1" s="1"/>
  <c r="GK276" i="1" s="1"/>
  <c r="CV276" i="1"/>
  <c r="U276" i="1" s="1"/>
  <c r="CW276" i="1"/>
  <c r="V276" i="1" s="1"/>
  <c r="FR276" i="1"/>
  <c r="GL276" i="1"/>
  <c r="GN276" i="1"/>
  <c r="CB286" i="1" s="1"/>
  <c r="GP276" i="1"/>
  <c r="GV276" i="1"/>
  <c r="GX276" i="1"/>
  <c r="HC276" i="1"/>
  <c r="I277" i="1"/>
  <c r="AC277" i="1"/>
  <c r="AB277" i="1" s="1"/>
  <c r="AD277" i="1"/>
  <c r="CR277" i="1" s="1"/>
  <c r="Q277" i="1" s="1"/>
  <c r="AE277" i="1"/>
  <c r="CS277" i="1" s="1"/>
  <c r="R277" i="1" s="1"/>
  <c r="GK277" i="1" s="1"/>
  <c r="AF277" i="1"/>
  <c r="AG277" i="1"/>
  <c r="AH277" i="1"/>
  <c r="CV277" i="1" s="1"/>
  <c r="U277" i="1" s="1"/>
  <c r="AI277" i="1"/>
  <c r="CW277" i="1" s="1"/>
  <c r="V277" i="1" s="1"/>
  <c r="AJ277" i="1"/>
  <c r="CQ277" i="1"/>
  <c r="P277" i="1" s="1"/>
  <c r="CT277" i="1"/>
  <c r="S277" i="1" s="1"/>
  <c r="CU277" i="1"/>
  <c r="T277" i="1" s="1"/>
  <c r="CX277" i="1"/>
  <c r="W277" i="1" s="1"/>
  <c r="FR277" i="1"/>
  <c r="GL277" i="1"/>
  <c r="BZ286" i="1" s="1"/>
  <c r="GN277" i="1"/>
  <c r="GP277" i="1"/>
  <c r="CD286" i="1" s="1"/>
  <c r="GV277" i="1"/>
  <c r="HC277" i="1" s="1"/>
  <c r="GX277" i="1" s="1"/>
  <c r="C278" i="1"/>
  <c r="D278" i="1"/>
  <c r="I278" i="1"/>
  <c r="AC278" i="1"/>
  <c r="AB278" i="1" s="1"/>
  <c r="AD278" i="1"/>
  <c r="CR278" i="1" s="1"/>
  <c r="Q278" i="1" s="1"/>
  <c r="AE278" i="1"/>
  <c r="CS278" i="1" s="1"/>
  <c r="R278" i="1" s="1"/>
  <c r="GK278" i="1" s="1"/>
  <c r="AF278" i="1"/>
  <c r="AG278" i="1"/>
  <c r="AH278" i="1"/>
  <c r="CV278" i="1" s="1"/>
  <c r="U278" i="1" s="1"/>
  <c r="AI278" i="1"/>
  <c r="CW278" i="1" s="1"/>
  <c r="V278" i="1" s="1"/>
  <c r="AJ278" i="1"/>
  <c r="CQ278" i="1"/>
  <c r="P278" i="1" s="1"/>
  <c r="CT278" i="1"/>
  <c r="S278" i="1" s="1"/>
  <c r="CU278" i="1"/>
  <c r="T278" i="1" s="1"/>
  <c r="CX278" i="1"/>
  <c r="W278" i="1" s="1"/>
  <c r="FR278" i="1"/>
  <c r="GL278" i="1"/>
  <c r="GN278" i="1"/>
  <c r="GP278" i="1"/>
  <c r="GV278" i="1"/>
  <c r="HC278" i="1" s="1"/>
  <c r="GX278" i="1" s="1"/>
  <c r="I279" i="1"/>
  <c r="AC279" i="1"/>
  <c r="CQ279" i="1" s="1"/>
  <c r="P279" i="1" s="1"/>
  <c r="AE279" i="1"/>
  <c r="AD279" i="1" s="1"/>
  <c r="AF279" i="1"/>
  <c r="CT279" i="1" s="1"/>
  <c r="S279" i="1" s="1"/>
  <c r="AG279" i="1"/>
  <c r="CU279" i="1" s="1"/>
  <c r="T279" i="1" s="1"/>
  <c r="AH279" i="1"/>
  <c r="AI279" i="1"/>
  <c r="AJ279" i="1"/>
  <c r="CX279" i="1" s="1"/>
  <c r="W279" i="1" s="1"/>
  <c r="CS279" i="1"/>
  <c r="R279" i="1" s="1"/>
  <c r="GK279" i="1" s="1"/>
  <c r="CV279" i="1"/>
  <c r="U279" i="1" s="1"/>
  <c r="CW279" i="1"/>
  <c r="V279" i="1" s="1"/>
  <c r="FR279" i="1"/>
  <c r="GL279" i="1"/>
  <c r="GN279" i="1"/>
  <c r="GP279" i="1"/>
  <c r="GV279" i="1"/>
  <c r="GX279" i="1"/>
  <c r="HC279" i="1"/>
  <c r="C280" i="1"/>
  <c r="D280" i="1"/>
  <c r="I280" i="1"/>
  <c r="AC280" i="1"/>
  <c r="CQ280" i="1" s="1"/>
  <c r="P280" i="1" s="1"/>
  <c r="AE280" i="1"/>
  <c r="AD280" i="1" s="1"/>
  <c r="AF280" i="1"/>
  <c r="CT280" i="1" s="1"/>
  <c r="S280" i="1" s="1"/>
  <c r="AG280" i="1"/>
  <c r="CU280" i="1" s="1"/>
  <c r="T280" i="1" s="1"/>
  <c r="AH280" i="1"/>
  <c r="AI280" i="1"/>
  <c r="AJ280" i="1"/>
  <c r="CX280" i="1" s="1"/>
  <c r="W280" i="1" s="1"/>
  <c r="CS280" i="1"/>
  <c r="R280" i="1" s="1"/>
  <c r="GK280" i="1" s="1"/>
  <c r="CV280" i="1"/>
  <c r="U280" i="1" s="1"/>
  <c r="CW280" i="1"/>
  <c r="V280" i="1" s="1"/>
  <c r="FR280" i="1"/>
  <c r="GL280" i="1"/>
  <c r="GN280" i="1"/>
  <c r="GP280" i="1"/>
  <c r="GV280" i="1"/>
  <c r="GX280" i="1"/>
  <c r="HC280" i="1"/>
  <c r="AC281" i="1"/>
  <c r="AB281" i="1" s="1"/>
  <c r="AD281" i="1"/>
  <c r="CR281" i="1" s="1"/>
  <c r="AE281" i="1"/>
  <c r="CS281" i="1" s="1"/>
  <c r="AF281" i="1"/>
  <c r="AG281" i="1"/>
  <c r="AH281" i="1"/>
  <c r="CV281" i="1" s="1"/>
  <c r="AI281" i="1"/>
  <c r="CW281" i="1" s="1"/>
  <c r="AJ281" i="1"/>
  <c r="CQ281" i="1"/>
  <c r="CT281" i="1"/>
  <c r="CU281" i="1"/>
  <c r="CX281" i="1"/>
  <c r="FR281" i="1"/>
  <c r="GL281" i="1"/>
  <c r="GN281" i="1"/>
  <c r="GP281" i="1"/>
  <c r="GV281" i="1"/>
  <c r="HC281" i="1" s="1"/>
  <c r="C282" i="1"/>
  <c r="D282" i="1"/>
  <c r="I282" i="1"/>
  <c r="AC282" i="1"/>
  <c r="AB282" i="1" s="1"/>
  <c r="AD282" i="1"/>
  <c r="CR282" i="1" s="1"/>
  <c r="Q282" i="1" s="1"/>
  <c r="AE282" i="1"/>
  <c r="CS282" i="1" s="1"/>
  <c r="R282" i="1" s="1"/>
  <c r="GK282" i="1" s="1"/>
  <c r="AF282" i="1"/>
  <c r="AG282" i="1"/>
  <c r="AH282" i="1"/>
  <c r="CV282" i="1" s="1"/>
  <c r="U282" i="1" s="1"/>
  <c r="AI282" i="1"/>
  <c r="CW282" i="1" s="1"/>
  <c r="V282" i="1" s="1"/>
  <c r="AJ282" i="1"/>
  <c r="CQ282" i="1"/>
  <c r="P282" i="1" s="1"/>
  <c r="CP282" i="1" s="1"/>
  <c r="O282" i="1" s="1"/>
  <c r="CT282" i="1"/>
  <c r="S282" i="1" s="1"/>
  <c r="CU282" i="1"/>
  <c r="T282" i="1" s="1"/>
  <c r="CX282" i="1"/>
  <c r="W282" i="1" s="1"/>
  <c r="FR282" i="1"/>
  <c r="GL282" i="1"/>
  <c r="GN282" i="1"/>
  <c r="GP282" i="1"/>
  <c r="GV282" i="1"/>
  <c r="HC282" i="1" s="1"/>
  <c r="GX282" i="1" s="1"/>
  <c r="I283" i="1"/>
  <c r="AC283" i="1"/>
  <c r="CQ283" i="1" s="1"/>
  <c r="P283" i="1" s="1"/>
  <c r="AE283" i="1"/>
  <c r="AD283" i="1" s="1"/>
  <c r="AF283" i="1"/>
  <c r="CT283" i="1" s="1"/>
  <c r="S283" i="1" s="1"/>
  <c r="AG283" i="1"/>
  <c r="CU283" i="1" s="1"/>
  <c r="T283" i="1" s="1"/>
  <c r="AH283" i="1"/>
  <c r="AI283" i="1"/>
  <c r="AJ283" i="1"/>
  <c r="CX283" i="1" s="1"/>
  <c r="W283" i="1" s="1"/>
  <c r="CS283" i="1"/>
  <c r="R283" i="1" s="1"/>
  <c r="GK283" i="1" s="1"/>
  <c r="CV283" i="1"/>
  <c r="U283" i="1" s="1"/>
  <c r="CW283" i="1"/>
  <c r="V283" i="1" s="1"/>
  <c r="FR283" i="1"/>
  <c r="GL283" i="1"/>
  <c r="GN283" i="1"/>
  <c r="GP283" i="1"/>
  <c r="GV283" i="1"/>
  <c r="GX283" i="1"/>
  <c r="HC283" i="1"/>
  <c r="C284" i="1"/>
  <c r="D284" i="1"/>
  <c r="AC284" i="1"/>
  <c r="AB284" i="1" s="1"/>
  <c r="AD284" i="1"/>
  <c r="CR284" i="1" s="1"/>
  <c r="Q284" i="1" s="1"/>
  <c r="AE284" i="1"/>
  <c r="AF284" i="1"/>
  <c r="AG284" i="1"/>
  <c r="CU284" i="1" s="1"/>
  <c r="T284" i="1" s="1"/>
  <c r="AH284" i="1"/>
  <c r="CV284" i="1" s="1"/>
  <c r="U284" i="1" s="1"/>
  <c r="AI284" i="1"/>
  <c r="AJ284" i="1"/>
  <c r="CS284" i="1"/>
  <c r="R284" i="1" s="1"/>
  <c r="GK284" i="1" s="1"/>
  <c r="CT284" i="1"/>
  <c r="S284" i="1" s="1"/>
  <c r="CW284" i="1"/>
  <c r="V284" i="1" s="1"/>
  <c r="CX284" i="1"/>
  <c r="W284" i="1" s="1"/>
  <c r="FR284" i="1"/>
  <c r="GL284" i="1"/>
  <c r="GN284" i="1"/>
  <c r="GP284" i="1"/>
  <c r="GV284" i="1"/>
  <c r="HC284" i="1"/>
  <c r="GX284" i="1" s="1"/>
  <c r="B286" i="1"/>
  <c r="B273" i="1" s="1"/>
  <c r="C286" i="1"/>
  <c r="C273" i="1" s="1"/>
  <c r="D286" i="1"/>
  <c r="F286" i="1"/>
  <c r="F273" i="1" s="1"/>
  <c r="G286" i="1"/>
  <c r="G273" i="1" s="1"/>
  <c r="AO286" i="1"/>
  <c r="AO273" i="1" s="1"/>
  <c r="BX286" i="1"/>
  <c r="BX273" i="1" s="1"/>
  <c r="BY286" i="1"/>
  <c r="BY273" i="1" s="1"/>
  <c r="CK286" i="1"/>
  <c r="CK273" i="1" s="1"/>
  <c r="CL286" i="1"/>
  <c r="BC286" i="1" s="1"/>
  <c r="F290" i="1"/>
  <c r="B315" i="1"/>
  <c r="B22" i="1" s="1"/>
  <c r="C315" i="1"/>
  <c r="C22" i="1" s="1"/>
  <c r="D315" i="1"/>
  <c r="D22" i="1" s="1"/>
  <c r="F315" i="1"/>
  <c r="F22" i="1" s="1"/>
  <c r="G315" i="1"/>
  <c r="G22" i="1" s="1"/>
  <c r="AO315" i="1"/>
  <c r="AO22" i="1" s="1"/>
  <c r="B347" i="1"/>
  <c r="B18" i="1" s="1"/>
  <c r="C347" i="1"/>
  <c r="C18" i="1" s="1"/>
  <c r="D347" i="1"/>
  <c r="D18" i="1" s="1"/>
  <c r="F347" i="1"/>
  <c r="F18" i="1" s="1"/>
  <c r="G347" i="1"/>
  <c r="G18" i="1" s="1"/>
  <c r="AO347" i="1"/>
  <c r="AO18" i="1" s="1"/>
  <c r="J402" i="5" l="1"/>
  <c r="P402" i="5" s="1"/>
  <c r="G441" i="5"/>
  <c r="O441" i="5" s="1"/>
  <c r="G259" i="5"/>
  <c r="O259" i="5" s="1"/>
  <c r="G180" i="5"/>
  <c r="O180" i="5" s="1"/>
  <c r="X463" i="5"/>
  <c r="J60" i="5"/>
  <c r="P60" i="5" s="1"/>
  <c r="J213" i="5"/>
  <c r="P213" i="5" s="1"/>
  <c r="J317" i="5"/>
  <c r="P317" i="5" s="1"/>
  <c r="J555" i="5"/>
  <c r="P555" i="5" s="1"/>
  <c r="J259" i="5"/>
  <c r="P259" i="5" s="1"/>
  <c r="G168" i="5"/>
  <c r="O168" i="5" s="1"/>
  <c r="G18" i="5"/>
  <c r="W180" i="5"/>
  <c r="G498" i="5"/>
  <c r="O498" i="5" s="1"/>
  <c r="G122" i="5"/>
  <c r="O122" i="5" s="1"/>
  <c r="G555" i="5"/>
  <c r="O555" i="5" s="1"/>
  <c r="G564" i="5"/>
  <c r="O564" i="5" s="1"/>
  <c r="X402" i="5"/>
  <c r="J421" i="5"/>
  <c r="P421" i="5" s="1"/>
  <c r="X410" i="5"/>
  <c r="J573" i="5"/>
  <c r="P573" i="5" s="1"/>
  <c r="J327" i="5"/>
  <c r="P327" i="5" s="1"/>
  <c r="J144" i="5"/>
  <c r="P144" i="5" s="1"/>
  <c r="G144" i="5"/>
  <c r="O144" i="5" s="1"/>
  <c r="J430" i="5"/>
  <c r="P430" i="5" s="1"/>
  <c r="G573" i="5"/>
  <c r="O573" i="5" s="1"/>
  <c r="G509" i="5"/>
  <c r="O509" i="5" s="1"/>
  <c r="J475" i="5"/>
  <c r="P475" i="5" s="1"/>
  <c r="J584" i="5"/>
  <c r="P584" i="5" s="1"/>
  <c r="J463" i="5"/>
  <c r="P463" i="5" s="1"/>
  <c r="G410" i="5"/>
  <c r="O410" i="5" s="1"/>
  <c r="W327" i="5"/>
  <c r="X555" i="5"/>
  <c r="J155" i="5"/>
  <c r="P155" i="5" s="1"/>
  <c r="G305" i="5"/>
  <c r="O305" i="5" s="1"/>
  <c r="J498" i="5"/>
  <c r="P498" i="5" s="1"/>
  <c r="G402" i="5"/>
  <c r="O402" i="5" s="1"/>
  <c r="X584" i="5"/>
  <c r="W259" i="5"/>
  <c r="J168" i="5"/>
  <c r="P168" i="5" s="1"/>
  <c r="G327" i="5"/>
  <c r="O327" i="5" s="1"/>
  <c r="X441" i="5"/>
  <c r="W305" i="5"/>
  <c r="J593" i="5"/>
  <c r="G463" i="5"/>
  <c r="O463" i="5" s="1"/>
  <c r="G540" i="5"/>
  <c r="X509" i="5"/>
  <c r="X421" i="5"/>
  <c r="J509" i="5"/>
  <c r="P509" i="5" s="1"/>
  <c r="G270" i="5"/>
  <c r="O270" i="5" s="1"/>
  <c r="J540" i="5"/>
  <c r="W60" i="5"/>
  <c r="W144" i="5"/>
  <c r="W168" i="5"/>
  <c r="G20" i="5"/>
  <c r="G594" i="5"/>
  <c r="W122" i="5"/>
  <c r="X430" i="5"/>
  <c r="GX281" i="1"/>
  <c r="AB280" i="1"/>
  <c r="CR280" i="1"/>
  <c r="Q280" i="1" s="1"/>
  <c r="AB276" i="1"/>
  <c r="CR276" i="1"/>
  <c r="Q276" i="1" s="1"/>
  <c r="V242" i="1"/>
  <c r="AI235" i="1"/>
  <c r="CZ284" i="1"/>
  <c r="Y284" i="1" s="1"/>
  <c r="CY284" i="1"/>
  <c r="X284" i="1" s="1"/>
  <c r="CZ282" i="1"/>
  <c r="Y282" i="1" s="1"/>
  <c r="CY282" i="1"/>
  <c r="X282" i="1" s="1"/>
  <c r="GO282" i="1" s="1"/>
  <c r="CY280" i="1"/>
  <c r="X280" i="1" s="1"/>
  <c r="CZ280" i="1"/>
  <c r="Y280" i="1" s="1"/>
  <c r="CY279" i="1"/>
  <c r="X279" i="1" s="1"/>
  <c r="CZ279" i="1"/>
  <c r="Y279" i="1" s="1"/>
  <c r="CP278" i="1"/>
  <c r="O278" i="1" s="1"/>
  <c r="CP277" i="1"/>
  <c r="O277" i="1" s="1"/>
  <c r="CY276" i="1"/>
  <c r="X276" i="1" s="1"/>
  <c r="CZ276" i="1"/>
  <c r="Y276" i="1" s="1"/>
  <c r="CJ235" i="1"/>
  <c r="BA242" i="1"/>
  <c r="CZ199" i="1"/>
  <c r="Y199" i="1" s="1"/>
  <c r="CZ195" i="1"/>
  <c r="Y195" i="1" s="1"/>
  <c r="CY195" i="1"/>
  <c r="X195" i="1" s="1"/>
  <c r="CZ185" i="1"/>
  <c r="Y185" i="1" s="1"/>
  <c r="CY185" i="1"/>
  <c r="X185" i="1" s="1"/>
  <c r="AU286" i="1"/>
  <c r="CD273" i="1"/>
  <c r="AJ235" i="1"/>
  <c r="W242" i="1"/>
  <c r="CZ197" i="1"/>
  <c r="Y197" i="1" s="1"/>
  <c r="CY197" i="1"/>
  <c r="X197" i="1" s="1"/>
  <c r="AB283" i="1"/>
  <c r="CR283" i="1"/>
  <c r="Q283" i="1" s="1"/>
  <c r="W281" i="1"/>
  <c r="AJ286" i="1" s="1"/>
  <c r="CP280" i="1"/>
  <c r="O280" i="1" s="1"/>
  <c r="AS286" i="1"/>
  <c r="CB273" i="1"/>
  <c r="CP276" i="1"/>
  <c r="O276" i="1" s="1"/>
  <c r="CR275" i="1"/>
  <c r="Q275" i="1" s="1"/>
  <c r="AB275" i="1"/>
  <c r="BY235" i="1"/>
  <c r="AP242" i="1"/>
  <c r="CI242" i="1"/>
  <c r="AH235" i="1"/>
  <c r="U242" i="1"/>
  <c r="CZ188" i="1"/>
  <c r="Y188" i="1" s="1"/>
  <c r="CY188" i="1"/>
  <c r="X188" i="1" s="1"/>
  <c r="CD120" i="1"/>
  <c r="AU133" i="1"/>
  <c r="BC273" i="1"/>
  <c r="F302" i="1"/>
  <c r="CY283" i="1"/>
  <c r="X283" i="1" s="1"/>
  <c r="CZ283" i="1"/>
  <c r="Y283" i="1" s="1"/>
  <c r="CR279" i="1"/>
  <c r="Q279" i="1" s="1"/>
  <c r="CP279" i="1" s="1"/>
  <c r="O279" i="1" s="1"/>
  <c r="AB279" i="1"/>
  <c r="CJ286" i="1"/>
  <c r="GK239" i="1"/>
  <c r="CY239" i="1"/>
  <c r="X239" i="1" s="1"/>
  <c r="GP239" i="1" s="1"/>
  <c r="CZ176" i="1"/>
  <c r="Y176" i="1" s="1"/>
  <c r="CY176" i="1"/>
  <c r="X176" i="1" s="1"/>
  <c r="CP283" i="1"/>
  <c r="O283" i="1" s="1"/>
  <c r="CZ278" i="1"/>
  <c r="Y278" i="1" s="1"/>
  <c r="CY278" i="1"/>
  <c r="X278" i="1" s="1"/>
  <c r="AQ286" i="1"/>
  <c r="BZ273" i="1"/>
  <c r="CG286" i="1"/>
  <c r="CZ277" i="1"/>
  <c r="Y277" i="1" s="1"/>
  <c r="CY277" i="1"/>
  <c r="X277" i="1" s="1"/>
  <c r="CZ238" i="1"/>
  <c r="Y238" i="1" s="1"/>
  <c r="AG235" i="1"/>
  <c r="T242" i="1"/>
  <c r="W133" i="1"/>
  <c r="AJ120" i="1"/>
  <c r="CK235" i="1"/>
  <c r="BB242" i="1"/>
  <c r="CQ240" i="1"/>
  <c r="P240" i="1" s="1"/>
  <c r="CZ198" i="1"/>
  <c r="Y198" i="1" s="1"/>
  <c r="CY198" i="1"/>
  <c r="X198" i="1" s="1"/>
  <c r="CQ188" i="1"/>
  <c r="P188" i="1" s="1"/>
  <c r="CQ185" i="1"/>
  <c r="P185" i="1" s="1"/>
  <c r="CP185" i="1" s="1"/>
  <c r="O185" i="1" s="1"/>
  <c r="CZ177" i="1"/>
  <c r="Y177" i="1" s="1"/>
  <c r="CY177" i="1"/>
  <c r="X177" i="1" s="1"/>
  <c r="AB174" i="1"/>
  <c r="CR174" i="1"/>
  <c r="CD201" i="1"/>
  <c r="CY129" i="1"/>
  <c r="X129" i="1" s="1"/>
  <c r="CZ129" i="1"/>
  <c r="Y129" i="1" s="1"/>
  <c r="CZ127" i="1"/>
  <c r="Y127" i="1" s="1"/>
  <c r="CY127" i="1"/>
  <c r="X127" i="1" s="1"/>
  <c r="F351" i="1"/>
  <c r="F319" i="1"/>
  <c r="BB286" i="1"/>
  <c r="AP286" i="1"/>
  <c r="CQ284" i="1"/>
  <c r="P284" i="1" s="1"/>
  <c r="CP284" i="1" s="1"/>
  <c r="O284" i="1" s="1"/>
  <c r="CS275" i="1"/>
  <c r="R275" i="1" s="1"/>
  <c r="CZ275" i="1" s="1"/>
  <c r="Y275" i="1" s="1"/>
  <c r="F258" i="1"/>
  <c r="CS240" i="1"/>
  <c r="R240" i="1" s="1"/>
  <c r="CY240" i="1" s="1"/>
  <c r="X240" i="1" s="1"/>
  <c r="AD240" i="1"/>
  <c r="CR240" i="1" s="1"/>
  <c r="Q240" i="1" s="1"/>
  <c r="CQ237" i="1"/>
  <c r="P237" i="1" s="1"/>
  <c r="CY237" i="1"/>
  <c r="X237" i="1" s="1"/>
  <c r="AF242" i="1"/>
  <c r="BC164" i="1"/>
  <c r="F217" i="1"/>
  <c r="AD199" i="1"/>
  <c r="CR199" i="1" s="1"/>
  <c r="Q199" i="1" s="1"/>
  <c r="CS199" i="1"/>
  <c r="R199" i="1" s="1"/>
  <c r="GK199" i="1" s="1"/>
  <c r="CQ197" i="1"/>
  <c r="P197" i="1" s="1"/>
  <c r="CZ193" i="1"/>
  <c r="Y193" i="1" s="1"/>
  <c r="CY193" i="1"/>
  <c r="X193" i="1" s="1"/>
  <c r="AB191" i="1"/>
  <c r="CR191" i="1"/>
  <c r="Q191" i="1" s="1"/>
  <c r="CP191" i="1" s="1"/>
  <c r="O191" i="1" s="1"/>
  <c r="CY190" i="1"/>
  <c r="X190" i="1" s="1"/>
  <c r="CZ190" i="1"/>
  <c r="Y190" i="1" s="1"/>
  <c r="AB190" i="1"/>
  <c r="T186" i="1"/>
  <c r="CZ184" i="1"/>
  <c r="Y184" i="1" s="1"/>
  <c r="CY184" i="1"/>
  <c r="X184" i="1" s="1"/>
  <c r="CZ181" i="1"/>
  <c r="Y181" i="1" s="1"/>
  <c r="CY181" i="1"/>
  <c r="X181" i="1" s="1"/>
  <c r="AD179" i="1"/>
  <c r="CR179" i="1" s="1"/>
  <c r="Q179" i="1" s="1"/>
  <c r="CS179" i="1"/>
  <c r="R179" i="1" s="1"/>
  <c r="GK179" i="1" s="1"/>
  <c r="AD178" i="1"/>
  <c r="CR178" i="1" s="1"/>
  <c r="Q178" i="1" s="1"/>
  <c r="CP178" i="1" s="1"/>
  <c r="O178" i="1" s="1"/>
  <c r="CS178" i="1"/>
  <c r="R178" i="1" s="1"/>
  <c r="GK178" i="1" s="1"/>
  <c r="CQ176" i="1"/>
  <c r="P176" i="1" s="1"/>
  <c r="CY173" i="1"/>
  <c r="X173" i="1" s="1"/>
  <c r="CZ173" i="1"/>
  <c r="Y173" i="1" s="1"/>
  <c r="AB173" i="1"/>
  <c r="U171" i="1"/>
  <c r="Q171" i="1"/>
  <c r="AB170" i="1"/>
  <c r="CR170" i="1"/>
  <c r="Q170" i="1" s="1"/>
  <c r="CP170" i="1" s="1"/>
  <c r="O170" i="1" s="1"/>
  <c r="BZ201" i="1"/>
  <c r="CI201" i="1" s="1"/>
  <c r="GM131" i="1"/>
  <c r="CZ130" i="1"/>
  <c r="Y130" i="1" s="1"/>
  <c r="CY130" i="1"/>
  <c r="X130" i="1" s="1"/>
  <c r="CZ124" i="1"/>
  <c r="Y124" i="1" s="1"/>
  <c r="CY124" i="1"/>
  <c r="X124" i="1" s="1"/>
  <c r="AF133" i="1"/>
  <c r="AH133" i="1"/>
  <c r="AI133" i="1"/>
  <c r="AD122" i="1"/>
  <c r="CS122" i="1"/>
  <c r="R122" i="1" s="1"/>
  <c r="GM87" i="1"/>
  <c r="GN87" i="1"/>
  <c r="BY26" i="1"/>
  <c r="CI89" i="1"/>
  <c r="AP89" i="1"/>
  <c r="CY85" i="1"/>
  <c r="X85" i="1" s="1"/>
  <c r="CZ85" i="1"/>
  <c r="Y85" i="1" s="1"/>
  <c r="CP85" i="1"/>
  <c r="O85" i="1" s="1"/>
  <c r="CX361" i="3"/>
  <c r="CX363" i="3"/>
  <c r="CX362" i="3"/>
  <c r="CX364" i="3"/>
  <c r="CC235" i="1"/>
  <c r="AT242" i="1"/>
  <c r="AD238" i="1"/>
  <c r="CR238" i="1" s="1"/>
  <c r="Q238" i="1" s="1"/>
  <c r="CS238" i="1"/>
  <c r="R238" i="1" s="1"/>
  <c r="GK238" i="1" s="1"/>
  <c r="CP199" i="1"/>
  <c r="O199" i="1" s="1"/>
  <c r="AD196" i="1"/>
  <c r="CR196" i="1" s="1"/>
  <c r="Q196" i="1" s="1"/>
  <c r="CS196" i="1"/>
  <c r="R196" i="1" s="1"/>
  <c r="GK196" i="1" s="1"/>
  <c r="CQ195" i="1"/>
  <c r="P195" i="1" s="1"/>
  <c r="CP195" i="1" s="1"/>
  <c r="O195" i="1" s="1"/>
  <c r="AD189" i="1"/>
  <c r="CR189" i="1" s="1"/>
  <c r="Q189" i="1" s="1"/>
  <c r="CS189" i="1"/>
  <c r="R189" i="1" s="1"/>
  <c r="GK189" i="1" s="1"/>
  <c r="CZ180" i="1"/>
  <c r="Y180" i="1" s="1"/>
  <c r="CY180" i="1"/>
  <c r="X180" i="1" s="1"/>
  <c r="AP201" i="1"/>
  <c r="BY164" i="1"/>
  <c r="GM167" i="1"/>
  <c r="GO167" i="1"/>
  <c r="AD128" i="1"/>
  <c r="CS128" i="1"/>
  <c r="R128" i="1" s="1"/>
  <c r="AD123" i="1"/>
  <c r="CS123" i="1"/>
  <c r="R123" i="1" s="1"/>
  <c r="CY123" i="1" s="1"/>
  <c r="X123" i="1" s="1"/>
  <c r="CG26" i="1"/>
  <c r="AX89" i="1"/>
  <c r="CL273" i="1"/>
  <c r="CZ239" i="1"/>
  <c r="Y239" i="1" s="1"/>
  <c r="AB239" i="1"/>
  <c r="CQ238" i="1"/>
  <c r="P238" i="1" s="1"/>
  <c r="CP238" i="1" s="1"/>
  <c r="O238" i="1" s="1"/>
  <c r="AB238" i="1"/>
  <c r="CY196" i="1"/>
  <c r="X196" i="1" s="1"/>
  <c r="CP196" i="1"/>
  <c r="O196" i="1" s="1"/>
  <c r="AD194" i="1"/>
  <c r="CR194" i="1" s="1"/>
  <c r="Q194" i="1" s="1"/>
  <c r="CS194" i="1"/>
  <c r="R194" i="1" s="1"/>
  <c r="AB193" i="1"/>
  <c r="CQ193" i="1"/>
  <c r="P193" i="1" s="1"/>
  <c r="CZ191" i="1"/>
  <c r="Y191" i="1" s="1"/>
  <c r="CY189" i="1"/>
  <c r="X189" i="1" s="1"/>
  <c r="CP189" i="1"/>
  <c r="O189" i="1" s="1"/>
  <c r="AD187" i="1"/>
  <c r="CR187" i="1" s="1"/>
  <c r="Q187" i="1" s="1"/>
  <c r="CS187" i="1"/>
  <c r="R187" i="1" s="1"/>
  <c r="GX186" i="1"/>
  <c r="V186" i="1"/>
  <c r="AD186" i="1"/>
  <c r="CR186" i="1" s="1"/>
  <c r="Q186" i="1" s="1"/>
  <c r="CS186" i="1"/>
  <c r="R186" i="1" s="1"/>
  <c r="GK186" i="1" s="1"/>
  <c r="CQ184" i="1"/>
  <c r="P184" i="1" s="1"/>
  <c r="CP184" i="1" s="1"/>
  <c r="O184" i="1" s="1"/>
  <c r="CQ181" i="1"/>
  <c r="P181" i="1" s="1"/>
  <c r="CZ179" i="1"/>
  <c r="Y179" i="1" s="1"/>
  <c r="CZ178" i="1"/>
  <c r="Y178" i="1" s="1"/>
  <c r="GX172" i="1"/>
  <c r="T172" i="1"/>
  <c r="W171" i="1"/>
  <c r="S171" i="1"/>
  <c r="AB171" i="1"/>
  <c r="CZ170" i="1"/>
  <c r="Y170" i="1" s="1"/>
  <c r="BZ120" i="1"/>
  <c r="CG133" i="1"/>
  <c r="AQ133" i="1"/>
  <c r="CP130" i="1"/>
  <c r="O130" i="1" s="1"/>
  <c r="CC89" i="1"/>
  <c r="CY199" i="1"/>
  <c r="X199" i="1" s="1"/>
  <c r="CP179" i="1"/>
  <c r="O179" i="1" s="1"/>
  <c r="AD175" i="1"/>
  <c r="CR175" i="1" s="1"/>
  <c r="Q175" i="1" s="1"/>
  <c r="CP175" i="1" s="1"/>
  <c r="O175" i="1" s="1"/>
  <c r="CS175" i="1"/>
  <c r="R175" i="1" s="1"/>
  <c r="GK175" i="1" s="1"/>
  <c r="CY172" i="1"/>
  <c r="X172" i="1" s="1"/>
  <c r="CZ172" i="1"/>
  <c r="Y172" i="1" s="1"/>
  <c r="AB172" i="1"/>
  <c r="CP171" i="1"/>
  <c r="O171" i="1" s="1"/>
  <c r="CS169" i="1"/>
  <c r="R169" i="1" s="1"/>
  <c r="GK169" i="1" s="1"/>
  <c r="AD169" i="1"/>
  <c r="CR169" i="1" s="1"/>
  <c r="Q169" i="1" s="1"/>
  <c r="CP169" i="1" s="1"/>
  <c r="O169" i="1" s="1"/>
  <c r="BY120" i="1"/>
  <c r="CI133" i="1"/>
  <c r="AP133" i="1"/>
  <c r="T133" i="1"/>
  <c r="AG120" i="1"/>
  <c r="CI286" i="1"/>
  <c r="CX365" i="3"/>
  <c r="CX369" i="3"/>
  <c r="CX373" i="3"/>
  <c r="CX371" i="3"/>
  <c r="CX368" i="3"/>
  <c r="CX370" i="3"/>
  <c r="CX366" i="3"/>
  <c r="CX372" i="3"/>
  <c r="CX374" i="3"/>
  <c r="CX375" i="3"/>
  <c r="CX367" i="3"/>
  <c r="I281" i="1"/>
  <c r="V281" i="1" s="1"/>
  <c r="AI286" i="1" s="1"/>
  <c r="CX358" i="3"/>
  <c r="CX357" i="3"/>
  <c r="CX356" i="3"/>
  <c r="CX355" i="3"/>
  <c r="CX360" i="3"/>
  <c r="CX359" i="3"/>
  <c r="F259" i="1"/>
  <c r="CG235" i="1"/>
  <c r="AX242" i="1"/>
  <c r="AD237" i="1"/>
  <c r="CR237" i="1" s="1"/>
  <c r="Q237" i="1" s="1"/>
  <c r="AD242" i="1" s="1"/>
  <c r="CS237" i="1"/>
  <c r="R237" i="1" s="1"/>
  <c r="BB164" i="1"/>
  <c r="F214" i="1"/>
  <c r="CQ198" i="1"/>
  <c r="P198" i="1" s="1"/>
  <c r="CZ196" i="1"/>
  <c r="Y196" i="1" s="1"/>
  <c r="CY194" i="1"/>
  <c r="X194" i="1" s="1"/>
  <c r="CP194" i="1"/>
  <c r="O194" i="1" s="1"/>
  <c r="AD192" i="1"/>
  <c r="CR192" i="1" s="1"/>
  <c r="Q192" i="1" s="1"/>
  <c r="CP192" i="1" s="1"/>
  <c r="O192" i="1" s="1"/>
  <c r="CS192" i="1"/>
  <c r="R192" i="1" s="1"/>
  <c r="CP190" i="1"/>
  <c r="O190" i="1" s="1"/>
  <c r="CZ189" i="1"/>
  <c r="Y189" i="1" s="1"/>
  <c r="CY187" i="1"/>
  <c r="X187" i="1" s="1"/>
  <c r="CP187" i="1"/>
  <c r="O187" i="1" s="1"/>
  <c r="S186" i="1"/>
  <c r="P186" i="1"/>
  <c r="AD183" i="1"/>
  <c r="CR183" i="1" s="1"/>
  <c r="Q183" i="1" s="1"/>
  <c r="CP183" i="1" s="1"/>
  <c r="O183" i="1" s="1"/>
  <c r="CS183" i="1"/>
  <c r="R183" i="1" s="1"/>
  <c r="GX182" i="1"/>
  <c r="V182" i="1"/>
  <c r="AD182" i="1"/>
  <c r="CR182" i="1" s="1"/>
  <c r="Q182" i="1" s="1"/>
  <c r="CP182" i="1" s="1"/>
  <c r="O182" i="1" s="1"/>
  <c r="CS182" i="1"/>
  <c r="R182" i="1" s="1"/>
  <c r="CQ180" i="1"/>
  <c r="P180" i="1" s="1"/>
  <c r="CQ177" i="1"/>
  <c r="P177" i="1" s="1"/>
  <c r="CP177" i="1" s="1"/>
  <c r="O177" i="1" s="1"/>
  <c r="CZ175" i="1"/>
  <c r="Y175" i="1" s="1"/>
  <c r="S174" i="1"/>
  <c r="CP173" i="1"/>
  <c r="O173" i="1" s="1"/>
  <c r="CX223" i="3"/>
  <c r="CX227" i="3"/>
  <c r="CX231" i="3"/>
  <c r="CX226" i="3"/>
  <c r="CX230" i="3"/>
  <c r="CX225" i="3"/>
  <c r="CX229" i="3"/>
  <c r="CX233" i="3"/>
  <c r="CX224" i="3"/>
  <c r="CX228" i="3"/>
  <c r="CX232" i="3"/>
  <c r="I174" i="1"/>
  <c r="U172" i="1"/>
  <c r="Q172" i="1"/>
  <c r="CP172" i="1" s="1"/>
  <c r="O172" i="1" s="1"/>
  <c r="T171" i="1"/>
  <c r="CJ133" i="1"/>
  <c r="CZ69" i="1"/>
  <c r="Y69" i="1" s="1"/>
  <c r="CY69" i="1"/>
  <c r="X69" i="1" s="1"/>
  <c r="CX334" i="3"/>
  <c r="CX335" i="3"/>
  <c r="AD198" i="1"/>
  <c r="CR198" i="1" s="1"/>
  <c r="Q198" i="1" s="1"/>
  <c r="AD197" i="1"/>
  <c r="CR197" i="1" s="1"/>
  <c r="Q197" i="1" s="1"/>
  <c r="AB196" i="1"/>
  <c r="AD195" i="1"/>
  <c r="CR195" i="1" s="1"/>
  <c r="Q195" i="1" s="1"/>
  <c r="AB194" i="1"/>
  <c r="AD193" i="1"/>
  <c r="CR193" i="1" s="1"/>
  <c r="Q193" i="1" s="1"/>
  <c r="AB192" i="1"/>
  <c r="AB189" i="1"/>
  <c r="AD188" i="1"/>
  <c r="CR188" i="1" s="1"/>
  <c r="Q188" i="1" s="1"/>
  <c r="AB187" i="1"/>
  <c r="CX283" i="3"/>
  <c r="CX287" i="3"/>
  <c r="CX282" i="3"/>
  <c r="CX286" i="3"/>
  <c r="CX290" i="3"/>
  <c r="CX281" i="3"/>
  <c r="CX285" i="3"/>
  <c r="CX289" i="3"/>
  <c r="CX280" i="3"/>
  <c r="CX284" i="3"/>
  <c r="CX288" i="3"/>
  <c r="AB186" i="1"/>
  <c r="AD185" i="1"/>
  <c r="CR185" i="1" s="1"/>
  <c r="Q185" i="1" s="1"/>
  <c r="AD184" i="1"/>
  <c r="CR184" i="1" s="1"/>
  <c r="Q184" i="1" s="1"/>
  <c r="AB183" i="1"/>
  <c r="CX263" i="3"/>
  <c r="CX267" i="3"/>
  <c r="CX262" i="3"/>
  <c r="CX266" i="3"/>
  <c r="CX270" i="3"/>
  <c r="CX261" i="3"/>
  <c r="CX265" i="3"/>
  <c r="CX269" i="3"/>
  <c r="CX260" i="3"/>
  <c r="CX264" i="3"/>
  <c r="CX268" i="3"/>
  <c r="AB182" i="1"/>
  <c r="AD181" i="1"/>
  <c r="CR181" i="1" s="1"/>
  <c r="Q181" i="1" s="1"/>
  <c r="AD180" i="1"/>
  <c r="CR180" i="1" s="1"/>
  <c r="Q180" i="1" s="1"/>
  <c r="AB179" i="1"/>
  <c r="CX247" i="3"/>
  <c r="CX250" i="3"/>
  <c r="CX249" i="3"/>
  <c r="CX248" i="3"/>
  <c r="AB178" i="1"/>
  <c r="AD177" i="1"/>
  <c r="CR177" i="1" s="1"/>
  <c r="Q177" i="1" s="1"/>
  <c r="AD176" i="1"/>
  <c r="CR176" i="1" s="1"/>
  <c r="Q176" i="1" s="1"/>
  <c r="AB175" i="1"/>
  <c r="CY166" i="1"/>
  <c r="X166" i="1" s="1"/>
  <c r="AD166" i="1"/>
  <c r="CR166" i="1" s="1"/>
  <c r="Q166" i="1" s="1"/>
  <c r="CS166" i="1"/>
  <c r="R166" i="1" s="1"/>
  <c r="CZ131" i="1"/>
  <c r="Y131" i="1" s="1"/>
  <c r="GN131" i="1" s="1"/>
  <c r="AB129" i="1"/>
  <c r="CY128" i="1"/>
  <c r="X128" i="1" s="1"/>
  <c r="CC133" i="1"/>
  <c r="AB124" i="1"/>
  <c r="CQ124" i="1"/>
  <c r="P124" i="1" s="1"/>
  <c r="CP124" i="1" s="1"/>
  <c r="O124" i="1" s="1"/>
  <c r="CY122" i="1"/>
  <c r="X122" i="1" s="1"/>
  <c r="GM86" i="1"/>
  <c r="GN86" i="1"/>
  <c r="AB70" i="1"/>
  <c r="CQ70" i="1"/>
  <c r="P70" i="1" s="1"/>
  <c r="CP70" i="1" s="1"/>
  <c r="O70" i="1" s="1"/>
  <c r="CZ68" i="1"/>
  <c r="Y68" i="1" s="1"/>
  <c r="CY68" i="1"/>
  <c r="X68" i="1" s="1"/>
  <c r="AB65" i="1"/>
  <c r="CQ65" i="1"/>
  <c r="P65" i="1" s="1"/>
  <c r="CP65" i="1" s="1"/>
  <c r="O65" i="1" s="1"/>
  <c r="CY67" i="1"/>
  <c r="X67" i="1" s="1"/>
  <c r="CZ66" i="1"/>
  <c r="Y66" i="1" s="1"/>
  <c r="CY66" i="1"/>
  <c r="X66" i="1" s="1"/>
  <c r="CX322" i="3"/>
  <c r="CX326" i="3"/>
  <c r="CX330" i="3"/>
  <c r="CX321" i="3"/>
  <c r="CX325" i="3"/>
  <c r="CX329" i="3"/>
  <c r="CX320" i="3"/>
  <c r="CX324" i="3"/>
  <c r="CX328" i="3"/>
  <c r="CX319" i="3"/>
  <c r="CX331" i="3"/>
  <c r="CX327" i="3"/>
  <c r="CX323" i="3"/>
  <c r="CX271" i="3"/>
  <c r="CX275" i="3"/>
  <c r="CX279" i="3"/>
  <c r="CX274" i="3"/>
  <c r="CX278" i="3"/>
  <c r="CX273" i="3"/>
  <c r="CX277" i="3"/>
  <c r="CX272" i="3"/>
  <c r="CX276" i="3"/>
  <c r="CX251" i="3"/>
  <c r="CX255" i="3"/>
  <c r="CX259" i="3"/>
  <c r="CX254" i="3"/>
  <c r="CX258" i="3"/>
  <c r="CX253" i="3"/>
  <c r="CX257" i="3"/>
  <c r="CX252" i="3"/>
  <c r="CX256" i="3"/>
  <c r="CX243" i="3"/>
  <c r="CX242" i="3"/>
  <c r="CX246" i="3"/>
  <c r="CX241" i="3"/>
  <c r="CX245" i="3"/>
  <c r="CX240" i="3"/>
  <c r="CX244" i="3"/>
  <c r="CQ168" i="1"/>
  <c r="P168" i="1" s="1"/>
  <c r="CP168" i="1" s="1"/>
  <c r="O168" i="1" s="1"/>
  <c r="AB167" i="1"/>
  <c r="CP166" i="1"/>
  <c r="O166" i="1" s="1"/>
  <c r="CL120" i="1"/>
  <c r="BC133" i="1"/>
  <c r="AB130" i="1"/>
  <c r="AB127" i="1"/>
  <c r="CQ127" i="1"/>
  <c r="P127" i="1" s="1"/>
  <c r="CP127" i="1" s="1"/>
  <c r="O127" i="1" s="1"/>
  <c r="BZ26" i="1"/>
  <c r="AQ89" i="1"/>
  <c r="W82" i="1"/>
  <c r="S73" i="1"/>
  <c r="CZ70" i="1"/>
  <c r="Y70" i="1" s="1"/>
  <c r="CY70" i="1"/>
  <c r="X70" i="1" s="1"/>
  <c r="AB68" i="1"/>
  <c r="CQ68" i="1"/>
  <c r="P68" i="1" s="1"/>
  <c r="CP68" i="1" s="1"/>
  <c r="O68" i="1" s="1"/>
  <c r="CZ65" i="1"/>
  <c r="Y65" i="1" s="1"/>
  <c r="CY65" i="1"/>
  <c r="X65" i="1" s="1"/>
  <c r="P42" i="1"/>
  <c r="AB169" i="1"/>
  <c r="CZ168" i="1"/>
  <c r="Y168" i="1" s="1"/>
  <c r="CP129" i="1"/>
  <c r="O129" i="1" s="1"/>
  <c r="AD126" i="1"/>
  <c r="CS126" i="1"/>
  <c r="R126" i="1" s="1"/>
  <c r="AD125" i="1"/>
  <c r="CS125" i="1"/>
  <c r="R125" i="1" s="1"/>
  <c r="CK26" i="1"/>
  <c r="BB89" i="1"/>
  <c r="CY81" i="1"/>
  <c r="X81" i="1" s="1"/>
  <c r="CY79" i="1"/>
  <c r="X79" i="1" s="1"/>
  <c r="CY77" i="1"/>
  <c r="X77" i="1" s="1"/>
  <c r="CZ64" i="1"/>
  <c r="Y64" i="1" s="1"/>
  <c r="CX168" i="3"/>
  <c r="CX172" i="3"/>
  <c r="CX169" i="3"/>
  <c r="CX175" i="3"/>
  <c r="CX174" i="3"/>
  <c r="CX171" i="3"/>
  <c r="CX173" i="3"/>
  <c r="CX170" i="3"/>
  <c r="CX159" i="3"/>
  <c r="CX163" i="3"/>
  <c r="CX167" i="3"/>
  <c r="CX160" i="3"/>
  <c r="CX164" i="3"/>
  <c r="CX157" i="3"/>
  <c r="CX161" i="3"/>
  <c r="CX165" i="3"/>
  <c r="CX158" i="3"/>
  <c r="CX162" i="3"/>
  <c r="CX166" i="3"/>
  <c r="CX155" i="3"/>
  <c r="CX156" i="3"/>
  <c r="CX154" i="3"/>
  <c r="R82" i="1"/>
  <c r="GK82" i="1" s="1"/>
  <c r="T73" i="1"/>
  <c r="AB73" i="1"/>
  <c r="CQ73" i="1"/>
  <c r="AD72" i="1"/>
  <c r="CS72" i="1"/>
  <c r="R72" i="1" s="1"/>
  <c r="CY72" i="1" s="1"/>
  <c r="X72" i="1" s="1"/>
  <c r="AD71" i="1"/>
  <c r="CS71" i="1"/>
  <c r="R71" i="1" s="1"/>
  <c r="V43" i="1"/>
  <c r="AD43" i="1"/>
  <c r="CS43" i="1"/>
  <c r="R43" i="1" s="1"/>
  <c r="GK43" i="1" s="1"/>
  <c r="GM40" i="1"/>
  <c r="CY84" i="1"/>
  <c r="X84" i="1" s="1"/>
  <c r="GN84" i="1" s="1"/>
  <c r="AB83" i="1"/>
  <c r="AB82" i="1"/>
  <c r="AD81" i="1"/>
  <c r="CS81" i="1"/>
  <c r="R81" i="1" s="1"/>
  <c r="GK81" i="1" s="1"/>
  <c r="AD80" i="1"/>
  <c r="CS80" i="1"/>
  <c r="R80" i="1" s="1"/>
  <c r="GK80" i="1" s="1"/>
  <c r="AD79" i="1"/>
  <c r="CS79" i="1"/>
  <c r="R79" i="1" s="1"/>
  <c r="GK79" i="1" s="1"/>
  <c r="AD78" i="1"/>
  <c r="CS78" i="1"/>
  <c r="R78" i="1" s="1"/>
  <c r="GK78" i="1" s="1"/>
  <c r="AD77" i="1"/>
  <c r="CS77" i="1"/>
  <c r="R77" i="1" s="1"/>
  <c r="GK77" i="1" s="1"/>
  <c r="AD67" i="1"/>
  <c r="CS67" i="1"/>
  <c r="R67" i="1" s="1"/>
  <c r="GK67" i="1" s="1"/>
  <c r="AD64" i="1"/>
  <c r="CS64" i="1"/>
  <c r="R64" i="1" s="1"/>
  <c r="GK64" i="1" s="1"/>
  <c r="CZ63" i="1"/>
  <c r="Y63" i="1" s="1"/>
  <c r="CY63" i="1"/>
  <c r="X63" i="1" s="1"/>
  <c r="CQ63" i="1"/>
  <c r="P63" i="1" s="1"/>
  <c r="CP63" i="1" s="1"/>
  <c r="O63" i="1" s="1"/>
  <c r="AB63" i="1"/>
  <c r="CQ60" i="1"/>
  <c r="P60" i="1" s="1"/>
  <c r="CP60" i="1" s="1"/>
  <c r="O60" i="1" s="1"/>
  <c r="AB60" i="1"/>
  <c r="CQ58" i="1"/>
  <c r="P58" i="1" s="1"/>
  <c r="CP58" i="1" s="1"/>
  <c r="O58" i="1" s="1"/>
  <c r="AB58" i="1"/>
  <c r="CQ57" i="1"/>
  <c r="P57" i="1" s="1"/>
  <c r="CP57" i="1" s="1"/>
  <c r="O57" i="1" s="1"/>
  <c r="AB57" i="1"/>
  <c r="CQ55" i="1"/>
  <c r="P55" i="1" s="1"/>
  <c r="CP55" i="1" s="1"/>
  <c r="O55" i="1" s="1"/>
  <c r="AB55" i="1"/>
  <c r="CQ53" i="1"/>
  <c r="P53" i="1" s="1"/>
  <c r="CP53" i="1" s="1"/>
  <c r="O53" i="1" s="1"/>
  <c r="AB53" i="1"/>
  <c r="CQ51" i="1"/>
  <c r="P51" i="1" s="1"/>
  <c r="CP51" i="1" s="1"/>
  <c r="O51" i="1" s="1"/>
  <c r="AB51" i="1"/>
  <c r="CQ49" i="1"/>
  <c r="P49" i="1" s="1"/>
  <c r="CP49" i="1" s="1"/>
  <c r="O49" i="1" s="1"/>
  <c r="AB49" i="1"/>
  <c r="CQ47" i="1"/>
  <c r="P47" i="1" s="1"/>
  <c r="CP47" i="1" s="1"/>
  <c r="O47" i="1" s="1"/>
  <c r="AB47" i="1"/>
  <c r="CQ45" i="1"/>
  <c r="P45" i="1" s="1"/>
  <c r="CP45" i="1" s="1"/>
  <c r="O45" i="1" s="1"/>
  <c r="AB45" i="1"/>
  <c r="CQ44" i="1"/>
  <c r="P44" i="1" s="1"/>
  <c r="CP44" i="1" s="1"/>
  <c r="O44" i="1" s="1"/>
  <c r="AB44" i="1"/>
  <c r="CZ38" i="1"/>
  <c r="Y38" i="1" s="1"/>
  <c r="CY38" i="1"/>
  <c r="X38" i="1" s="1"/>
  <c r="AB38" i="1"/>
  <c r="CX187" i="3"/>
  <c r="CX191" i="3"/>
  <c r="CX186" i="3"/>
  <c r="CX190" i="3"/>
  <c r="CX185" i="3"/>
  <c r="CX189" i="3"/>
  <c r="CX188" i="3"/>
  <c r="BC89" i="1"/>
  <c r="AU89" i="1"/>
  <c r="AB85" i="1"/>
  <c r="CZ84" i="1"/>
  <c r="Y84" i="1" s="1"/>
  <c r="CY83" i="1"/>
  <c r="X83" i="1" s="1"/>
  <c r="GN83" i="1" s="1"/>
  <c r="AB76" i="1"/>
  <c r="CQ76" i="1"/>
  <c r="AD75" i="1"/>
  <c r="CS75" i="1"/>
  <c r="R75" i="1" s="1"/>
  <c r="AD74" i="1"/>
  <c r="CS74" i="1"/>
  <c r="R74" i="1" s="1"/>
  <c r="Q73" i="1"/>
  <c r="CY71" i="1"/>
  <c r="X71" i="1" s="1"/>
  <c r="AB69" i="1"/>
  <c r="CQ69" i="1"/>
  <c r="P69" i="1" s="1"/>
  <c r="CP69" i="1" s="1"/>
  <c r="O69" i="1" s="1"/>
  <c r="AB66" i="1"/>
  <c r="CQ66" i="1"/>
  <c r="P66" i="1" s="1"/>
  <c r="CP66" i="1" s="1"/>
  <c r="O66" i="1" s="1"/>
  <c r="CZ60" i="1"/>
  <c r="Y60" i="1" s="1"/>
  <c r="CZ57" i="1"/>
  <c r="Y57" i="1" s="1"/>
  <c r="CZ53" i="1"/>
  <c r="Y53" i="1" s="1"/>
  <c r="CZ49" i="1"/>
  <c r="Y49" i="1" s="1"/>
  <c r="CZ45" i="1"/>
  <c r="Y45" i="1" s="1"/>
  <c r="GX43" i="1"/>
  <c r="CX136" i="3"/>
  <c r="CX138" i="3"/>
  <c r="CX137" i="3"/>
  <c r="CX135" i="3"/>
  <c r="CX134" i="3"/>
  <c r="CX127" i="3"/>
  <c r="CX131" i="3"/>
  <c r="CX126" i="3"/>
  <c r="CX130" i="3"/>
  <c r="CX125" i="3"/>
  <c r="CX129" i="3"/>
  <c r="CX133" i="3"/>
  <c r="CX128" i="3"/>
  <c r="CX132" i="3"/>
  <c r="CX119" i="3"/>
  <c r="CX123" i="3"/>
  <c r="CX118" i="3"/>
  <c r="CX122" i="3"/>
  <c r="CX117" i="3"/>
  <c r="CX121" i="3"/>
  <c r="CX116" i="3"/>
  <c r="CX120" i="3"/>
  <c r="CX124" i="3"/>
  <c r="CX111" i="3"/>
  <c r="CX115" i="3"/>
  <c r="CX110" i="3"/>
  <c r="CX114" i="3"/>
  <c r="CX109" i="3"/>
  <c r="CX113" i="3"/>
  <c r="CX112" i="3"/>
  <c r="CX103" i="3"/>
  <c r="CX107" i="3"/>
  <c r="CX102" i="3"/>
  <c r="CX106" i="3"/>
  <c r="CX101" i="3"/>
  <c r="CX105" i="3"/>
  <c r="CX100" i="3"/>
  <c r="CX104" i="3"/>
  <c r="CX108" i="3"/>
  <c r="U43" i="1"/>
  <c r="U42" i="1"/>
  <c r="CR42" i="1"/>
  <c r="AB42" i="1"/>
  <c r="CP38" i="1"/>
  <c r="O38" i="1" s="1"/>
  <c r="CZ36" i="1"/>
  <c r="Y36" i="1" s="1"/>
  <c r="CY36" i="1"/>
  <c r="X36" i="1" s="1"/>
  <c r="GK34" i="1"/>
  <c r="CZ34" i="1"/>
  <c r="Y34" i="1" s="1"/>
  <c r="CX3" i="3"/>
  <c r="CX2" i="3"/>
  <c r="CX4" i="3"/>
  <c r="V29" i="1"/>
  <c r="S29" i="1"/>
  <c r="CX139" i="3"/>
  <c r="CX143" i="3"/>
  <c r="CX147" i="3"/>
  <c r="CX151" i="3"/>
  <c r="CX140" i="3"/>
  <c r="CX144" i="3"/>
  <c r="CX148" i="3"/>
  <c r="CX142" i="3"/>
  <c r="CX146" i="3"/>
  <c r="CX150" i="3"/>
  <c r="CX141" i="3"/>
  <c r="CX145" i="3"/>
  <c r="CX149" i="3"/>
  <c r="I82" i="1"/>
  <c r="U82" i="1" s="1"/>
  <c r="I76" i="1"/>
  <c r="S76" i="1" s="1"/>
  <c r="I73" i="1"/>
  <c r="W73" i="1" s="1"/>
  <c r="CX95" i="3"/>
  <c r="CX99" i="3"/>
  <c r="CX94" i="3"/>
  <c r="CX98" i="3"/>
  <c r="CX97" i="3"/>
  <c r="CX96" i="3"/>
  <c r="CX91" i="3"/>
  <c r="CX90" i="3"/>
  <c r="CX89" i="3"/>
  <c r="CX93" i="3"/>
  <c r="CX92" i="3"/>
  <c r="CX83" i="3"/>
  <c r="CX87" i="3"/>
  <c r="CX82" i="3"/>
  <c r="CX86" i="3"/>
  <c r="CX81" i="3"/>
  <c r="CX85" i="3"/>
  <c r="CX84" i="3"/>
  <c r="CX88" i="3"/>
  <c r="CS62" i="1"/>
  <c r="R62" i="1" s="1"/>
  <c r="AD62" i="1"/>
  <c r="CR62" i="1" s="1"/>
  <c r="Q62" i="1" s="1"/>
  <c r="CS61" i="1"/>
  <c r="R61" i="1" s="1"/>
  <c r="AD61" i="1"/>
  <c r="CR61" i="1" s="1"/>
  <c r="Q61" i="1" s="1"/>
  <c r="CS59" i="1"/>
  <c r="R59" i="1" s="1"/>
  <c r="AD59" i="1"/>
  <c r="CR59" i="1" s="1"/>
  <c r="Q59" i="1" s="1"/>
  <c r="CS56" i="1"/>
  <c r="R56" i="1" s="1"/>
  <c r="AD56" i="1"/>
  <c r="CR56" i="1" s="1"/>
  <c r="Q56" i="1" s="1"/>
  <c r="CS54" i="1"/>
  <c r="R54" i="1" s="1"/>
  <c r="AD54" i="1"/>
  <c r="CR54" i="1" s="1"/>
  <c r="Q54" i="1" s="1"/>
  <c r="CS52" i="1"/>
  <c r="R52" i="1" s="1"/>
  <c r="AD52" i="1"/>
  <c r="CR52" i="1" s="1"/>
  <c r="Q52" i="1" s="1"/>
  <c r="CS50" i="1"/>
  <c r="R50" i="1" s="1"/>
  <c r="AD50" i="1"/>
  <c r="CR50" i="1" s="1"/>
  <c r="Q50" i="1" s="1"/>
  <c r="CS48" i="1"/>
  <c r="R48" i="1" s="1"/>
  <c r="AD48" i="1"/>
  <c r="CR48" i="1" s="1"/>
  <c r="Q48" i="1" s="1"/>
  <c r="CS46" i="1"/>
  <c r="R46" i="1" s="1"/>
  <c r="AD46" i="1"/>
  <c r="CR46" i="1" s="1"/>
  <c r="Q46" i="1" s="1"/>
  <c r="T44" i="1"/>
  <c r="CP41" i="1"/>
  <c r="O41" i="1" s="1"/>
  <c r="CZ40" i="1"/>
  <c r="Y40" i="1" s="1"/>
  <c r="CY40" i="1"/>
  <c r="X40" i="1" s="1"/>
  <c r="GN40" i="1" s="1"/>
  <c r="AB40" i="1"/>
  <c r="CX35" i="3"/>
  <c r="CX39" i="3"/>
  <c r="CX34" i="3"/>
  <c r="CX38" i="3"/>
  <c r="CX33" i="3"/>
  <c r="CX37" i="3"/>
  <c r="CX32" i="3"/>
  <c r="CX36" i="3"/>
  <c r="GX39" i="1"/>
  <c r="CY62" i="1"/>
  <c r="X62" i="1" s="1"/>
  <c r="AB62" i="1"/>
  <c r="CY61" i="1"/>
  <c r="X61" i="1" s="1"/>
  <c r="AB61" i="1"/>
  <c r="CY59" i="1"/>
  <c r="X59" i="1" s="1"/>
  <c r="AB59" i="1"/>
  <c r="CY56" i="1"/>
  <c r="X56" i="1" s="1"/>
  <c r="AB56" i="1"/>
  <c r="CY54" i="1"/>
  <c r="X54" i="1" s="1"/>
  <c r="AB54" i="1"/>
  <c r="CY52" i="1"/>
  <c r="X52" i="1" s="1"/>
  <c r="AB52" i="1"/>
  <c r="CY50" i="1"/>
  <c r="X50" i="1" s="1"/>
  <c r="AB50" i="1"/>
  <c r="CY48" i="1"/>
  <c r="X48" i="1" s="1"/>
  <c r="AB48" i="1"/>
  <c r="CY46" i="1"/>
  <c r="X46" i="1" s="1"/>
  <c r="AB46" i="1"/>
  <c r="P43" i="1"/>
  <c r="S42" i="1"/>
  <c r="CZ41" i="1"/>
  <c r="Y41" i="1" s="1"/>
  <c r="CY41" i="1"/>
  <c r="X41" i="1" s="1"/>
  <c r="AB41" i="1"/>
  <c r="CR39" i="1"/>
  <c r="Q39" i="1" s="1"/>
  <c r="CP39" i="1" s="1"/>
  <c r="O39" i="1" s="1"/>
  <c r="AB39" i="1"/>
  <c r="AB37" i="1"/>
  <c r="CR37" i="1"/>
  <c r="Q37" i="1" s="1"/>
  <c r="CP37" i="1" s="1"/>
  <c r="O37" i="1" s="1"/>
  <c r="CP30" i="1"/>
  <c r="O30" i="1" s="1"/>
  <c r="CQ62" i="1"/>
  <c r="P62" i="1" s="1"/>
  <c r="CP62" i="1" s="1"/>
  <c r="O62" i="1" s="1"/>
  <c r="CQ61" i="1"/>
  <c r="P61" i="1" s="1"/>
  <c r="CS60" i="1"/>
  <c r="R60" i="1" s="1"/>
  <c r="GK60" i="1" s="1"/>
  <c r="CQ59" i="1"/>
  <c r="P59" i="1" s="1"/>
  <c r="CP59" i="1" s="1"/>
  <c r="O59" i="1" s="1"/>
  <c r="CS58" i="1"/>
  <c r="R58" i="1" s="1"/>
  <c r="GK58" i="1" s="1"/>
  <c r="CX67" i="3"/>
  <c r="CX71" i="3"/>
  <c r="CX70" i="3"/>
  <c r="CX69" i="3"/>
  <c r="CX68" i="3"/>
  <c r="CS57" i="1"/>
  <c r="R57" i="1" s="1"/>
  <c r="GK57" i="1" s="1"/>
  <c r="CQ56" i="1"/>
  <c r="P56" i="1" s="1"/>
  <c r="CP56" i="1" s="1"/>
  <c r="O56" i="1" s="1"/>
  <c r="CS55" i="1"/>
  <c r="R55" i="1" s="1"/>
  <c r="GK55" i="1" s="1"/>
  <c r="CQ54" i="1"/>
  <c r="P54" i="1" s="1"/>
  <c r="CP54" i="1" s="1"/>
  <c r="O54" i="1" s="1"/>
  <c r="CS53" i="1"/>
  <c r="R53" i="1" s="1"/>
  <c r="GK53" i="1" s="1"/>
  <c r="CQ52" i="1"/>
  <c r="P52" i="1" s="1"/>
  <c r="CP52" i="1" s="1"/>
  <c r="O52" i="1" s="1"/>
  <c r="CS51" i="1"/>
  <c r="R51" i="1" s="1"/>
  <c r="GK51" i="1" s="1"/>
  <c r="CQ50" i="1"/>
  <c r="P50" i="1" s="1"/>
  <c r="CP50" i="1" s="1"/>
  <c r="O50" i="1" s="1"/>
  <c r="CS49" i="1"/>
  <c r="R49" i="1" s="1"/>
  <c r="GK49" i="1" s="1"/>
  <c r="CQ48" i="1"/>
  <c r="P48" i="1" s="1"/>
  <c r="CP48" i="1" s="1"/>
  <c r="O48" i="1" s="1"/>
  <c r="CS47" i="1"/>
  <c r="R47" i="1" s="1"/>
  <c r="GK47" i="1" s="1"/>
  <c r="CQ46" i="1"/>
  <c r="P46" i="1" s="1"/>
  <c r="CP46" i="1" s="1"/>
  <c r="O46" i="1" s="1"/>
  <c r="CS45" i="1"/>
  <c r="R45" i="1" s="1"/>
  <c r="GK45" i="1" s="1"/>
  <c r="CX51" i="3"/>
  <c r="CX55" i="3"/>
  <c r="CX59" i="3"/>
  <c r="CX63" i="3"/>
  <c r="CX50" i="3"/>
  <c r="CX54" i="3"/>
  <c r="CX58" i="3"/>
  <c r="CX62" i="3"/>
  <c r="CX66" i="3"/>
  <c r="CX49" i="3"/>
  <c r="CX53" i="3"/>
  <c r="CX57" i="3"/>
  <c r="CX61" i="3"/>
  <c r="CX65" i="3"/>
  <c r="CX52" i="3"/>
  <c r="CX56" i="3"/>
  <c r="CX60" i="3"/>
  <c r="CX64" i="3"/>
  <c r="CS44" i="1"/>
  <c r="R44" i="1" s="1"/>
  <c r="GK44" i="1" s="1"/>
  <c r="U35" i="1"/>
  <c r="Q35" i="1"/>
  <c r="CP35" i="1" s="1"/>
  <c r="O35" i="1" s="1"/>
  <c r="GK33" i="1"/>
  <c r="CZ33" i="1"/>
  <c r="Y33" i="1" s="1"/>
  <c r="AB31" i="1"/>
  <c r="CQ31" i="1"/>
  <c r="P31" i="1" s="1"/>
  <c r="P32" i="1"/>
  <c r="GX32" i="1"/>
  <c r="W29" i="1"/>
  <c r="R29" i="1"/>
  <c r="P29" i="1"/>
  <c r="CX43" i="3"/>
  <c r="CX47" i="3"/>
  <c r="CX42" i="3"/>
  <c r="CX46" i="3"/>
  <c r="CX41" i="3"/>
  <c r="CX45" i="3"/>
  <c r="CX40" i="3"/>
  <c r="CX44" i="3"/>
  <c r="CX48" i="3"/>
  <c r="W39" i="1"/>
  <c r="S39" i="1"/>
  <c r="CX27" i="3"/>
  <c r="CX31" i="3"/>
  <c r="CX26" i="3"/>
  <c r="CX30" i="3"/>
  <c r="CX29" i="3"/>
  <c r="CX28" i="3"/>
  <c r="CZ37" i="1"/>
  <c r="Y37" i="1" s="1"/>
  <c r="AB36" i="1"/>
  <c r="CR36" i="1"/>
  <c r="Q36" i="1" s="1"/>
  <c r="CP36" i="1"/>
  <c r="O36" i="1" s="1"/>
  <c r="CZ30" i="1"/>
  <c r="Y30" i="1" s="1"/>
  <c r="CY30" i="1"/>
  <c r="X30" i="1" s="1"/>
  <c r="CX75" i="3"/>
  <c r="CX79" i="3"/>
  <c r="CX74" i="3"/>
  <c r="CX78" i="3"/>
  <c r="CX73" i="3"/>
  <c r="CX77" i="3"/>
  <c r="CX72" i="3"/>
  <c r="CX76" i="3"/>
  <c r="CX80" i="3"/>
  <c r="W43" i="1"/>
  <c r="S43" i="1"/>
  <c r="I42" i="1"/>
  <c r="T40" i="1"/>
  <c r="T38" i="1"/>
  <c r="W35" i="1"/>
  <c r="S35" i="1"/>
  <c r="AB35" i="1"/>
  <c r="CY34" i="1"/>
  <c r="X34" i="1" s="1"/>
  <c r="CY31" i="1"/>
  <c r="X31" i="1" s="1"/>
  <c r="CR30" i="1"/>
  <c r="Q30" i="1" s="1"/>
  <c r="AB30" i="1"/>
  <c r="GX29" i="1"/>
  <c r="T29" i="1"/>
  <c r="CX15" i="3"/>
  <c r="CX14" i="3"/>
  <c r="CX18" i="3"/>
  <c r="CX13" i="3"/>
  <c r="CX17" i="3"/>
  <c r="CX16" i="3"/>
  <c r="U31" i="1"/>
  <c r="Q31" i="1"/>
  <c r="AB29" i="1"/>
  <c r="CZ28" i="1"/>
  <c r="Y28" i="1" s="1"/>
  <c r="U29" i="1"/>
  <c r="Q29" i="1"/>
  <c r="CQ28" i="1"/>
  <c r="P28" i="1" s="1"/>
  <c r="CX19" i="3"/>
  <c r="CX23" i="3"/>
  <c r="CX22" i="3"/>
  <c r="CX21" i="3"/>
  <c r="CX25" i="3"/>
  <c r="CX20" i="3"/>
  <c r="CX24" i="3"/>
  <c r="CP34" i="1"/>
  <c r="O34" i="1" s="1"/>
  <c r="CP33" i="1"/>
  <c r="O33" i="1" s="1"/>
  <c r="W32" i="1"/>
  <c r="S32" i="1"/>
  <c r="CZ31" i="1"/>
  <c r="Y31" i="1" s="1"/>
  <c r="CX7" i="3"/>
  <c r="CX11" i="3"/>
  <c r="CX6" i="3"/>
  <c r="CX10" i="3"/>
  <c r="CX9" i="3"/>
  <c r="CX8" i="3"/>
  <c r="G283" i="5" l="1"/>
  <c r="J283" i="5"/>
  <c r="J511" i="5"/>
  <c r="G593" i="5"/>
  <c r="J336" i="5"/>
  <c r="G336" i="5"/>
  <c r="J594" i="5"/>
  <c r="G14" i="5"/>
  <c r="G16" i="5"/>
  <c r="G15" i="5"/>
  <c r="G511" i="5"/>
  <c r="W286" i="1"/>
  <c r="AJ273" i="1"/>
  <c r="CI164" i="1"/>
  <c r="AZ201" i="1"/>
  <c r="V286" i="1"/>
  <c r="AI273" i="1"/>
  <c r="GO191" i="1"/>
  <c r="GM191" i="1"/>
  <c r="GM279" i="1"/>
  <c r="GO279" i="1"/>
  <c r="GN35" i="1"/>
  <c r="CY76" i="1"/>
  <c r="X76" i="1" s="1"/>
  <c r="GO178" i="1"/>
  <c r="GO170" i="1"/>
  <c r="GM170" i="1"/>
  <c r="GM37" i="1"/>
  <c r="GN37" i="1"/>
  <c r="GM172" i="1"/>
  <c r="GN172" i="1"/>
  <c r="GO192" i="1"/>
  <c r="CZ43" i="1"/>
  <c r="Y43" i="1" s="1"/>
  <c r="CY43" i="1"/>
  <c r="X43" i="1" s="1"/>
  <c r="GM59" i="1"/>
  <c r="GM41" i="1"/>
  <c r="GN41" i="1"/>
  <c r="GM38" i="1"/>
  <c r="GN38" i="1"/>
  <c r="AB74" i="1"/>
  <c r="CR74" i="1"/>
  <c r="Q74" i="1" s="1"/>
  <c r="CP74" i="1" s="1"/>
  <c r="O74" i="1" s="1"/>
  <c r="GN44" i="1"/>
  <c r="GK125" i="1"/>
  <c r="CZ125" i="1"/>
  <c r="Y125" i="1" s="1"/>
  <c r="GM65" i="1"/>
  <c r="GN65" i="1"/>
  <c r="GM124" i="1"/>
  <c r="GN124" i="1"/>
  <c r="CY174" i="1"/>
  <c r="X174" i="1" s="1"/>
  <c r="GO199" i="1"/>
  <c r="GM199" i="1"/>
  <c r="BB235" i="1"/>
  <c r="F255" i="1"/>
  <c r="GM283" i="1"/>
  <c r="GO283" i="1"/>
  <c r="AZ242" i="1"/>
  <c r="CI235" i="1"/>
  <c r="GN33" i="1"/>
  <c r="GM33" i="1"/>
  <c r="GN34" i="1"/>
  <c r="GM34" i="1"/>
  <c r="CP28" i="1"/>
  <c r="O28" i="1" s="1"/>
  <c r="CY35" i="1"/>
  <c r="X35" i="1" s="1"/>
  <c r="GM35" i="1" s="1"/>
  <c r="CZ35" i="1"/>
  <c r="Y35" i="1" s="1"/>
  <c r="T42" i="1"/>
  <c r="AG89" i="1" s="1"/>
  <c r="GX42" i="1"/>
  <c r="R42" i="1"/>
  <c r="GK42" i="1" s="1"/>
  <c r="CP29" i="1"/>
  <c r="O29" i="1" s="1"/>
  <c r="CP32" i="1"/>
  <c r="O32" i="1" s="1"/>
  <c r="GK46" i="1"/>
  <c r="CZ46" i="1"/>
  <c r="Y46" i="1" s="1"/>
  <c r="GN46" i="1" s="1"/>
  <c r="GK50" i="1"/>
  <c r="CZ50" i="1"/>
  <c r="Y50" i="1" s="1"/>
  <c r="GK54" i="1"/>
  <c r="CZ54" i="1"/>
  <c r="Y54" i="1" s="1"/>
  <c r="GN54" i="1" s="1"/>
  <c r="GK59" i="1"/>
  <c r="CZ59" i="1"/>
  <c r="Y59" i="1" s="1"/>
  <c r="GN59" i="1" s="1"/>
  <c r="GK62" i="1"/>
  <c r="CZ62" i="1"/>
  <c r="Y62" i="1" s="1"/>
  <c r="GM62" i="1" s="1"/>
  <c r="CZ29" i="1"/>
  <c r="Y29" i="1" s="1"/>
  <c r="CY29" i="1"/>
  <c r="X29" i="1" s="1"/>
  <c r="Q42" i="1"/>
  <c r="CP42" i="1" s="1"/>
  <c r="O42" i="1" s="1"/>
  <c r="CY44" i="1"/>
  <c r="X44" i="1" s="1"/>
  <c r="GM44" i="1" s="1"/>
  <c r="CY47" i="1"/>
  <c r="X47" i="1" s="1"/>
  <c r="CY51" i="1"/>
  <c r="X51" i="1" s="1"/>
  <c r="CY55" i="1"/>
  <c r="X55" i="1" s="1"/>
  <c r="GN55" i="1" s="1"/>
  <c r="CY58" i="1"/>
  <c r="X58" i="1" s="1"/>
  <c r="GK74" i="1"/>
  <c r="CZ74" i="1"/>
  <c r="Y74" i="1" s="1"/>
  <c r="P76" i="1"/>
  <c r="CP76" i="1" s="1"/>
  <c r="O76" i="1" s="1"/>
  <c r="Q76" i="1"/>
  <c r="AB77" i="1"/>
  <c r="CR77" i="1"/>
  <c r="Q77" i="1" s="1"/>
  <c r="CP77" i="1" s="1"/>
  <c r="O77" i="1" s="1"/>
  <c r="AB79" i="1"/>
  <c r="CR79" i="1"/>
  <c r="Q79" i="1" s="1"/>
  <c r="CP79" i="1" s="1"/>
  <c r="O79" i="1" s="1"/>
  <c r="AB81" i="1"/>
  <c r="CR81" i="1"/>
  <c r="Q81" i="1" s="1"/>
  <c r="CP81" i="1" s="1"/>
  <c r="O81" i="1" s="1"/>
  <c r="AB71" i="1"/>
  <c r="CR71" i="1"/>
  <c r="Q71" i="1" s="1"/>
  <c r="CP71" i="1" s="1"/>
  <c r="O71" i="1" s="1"/>
  <c r="CZ77" i="1"/>
  <c r="Y77" i="1" s="1"/>
  <c r="CZ79" i="1"/>
  <c r="Y79" i="1" s="1"/>
  <c r="CZ81" i="1"/>
  <c r="Y81" i="1" s="1"/>
  <c r="BB26" i="1"/>
  <c r="F102" i="1"/>
  <c r="BB315" i="1"/>
  <c r="AB126" i="1"/>
  <c r="CR126" i="1"/>
  <c r="Q126" i="1" s="1"/>
  <c r="CP126" i="1" s="1"/>
  <c r="O126" i="1" s="1"/>
  <c r="AQ26" i="1"/>
  <c r="F99" i="1"/>
  <c r="GM127" i="1"/>
  <c r="GN127" i="1"/>
  <c r="CZ67" i="1"/>
  <c r="Y67" i="1" s="1"/>
  <c r="GM83" i="1"/>
  <c r="GX174" i="1"/>
  <c r="CJ201" i="1" s="1"/>
  <c r="P174" i="1"/>
  <c r="GM173" i="1"/>
  <c r="GO173" i="1"/>
  <c r="AB180" i="1"/>
  <c r="CY186" i="1"/>
  <c r="X186" i="1" s="1"/>
  <c r="CZ186" i="1"/>
  <c r="Y186" i="1" s="1"/>
  <c r="GM190" i="1"/>
  <c r="GO190" i="1"/>
  <c r="AC201" i="1"/>
  <c r="AD235" i="1"/>
  <c r="Q242" i="1"/>
  <c r="T120" i="1"/>
  <c r="F154" i="1"/>
  <c r="CG120" i="1"/>
  <c r="AX133" i="1"/>
  <c r="CZ169" i="1"/>
  <c r="Y169" i="1" s="1"/>
  <c r="CY175" i="1"/>
  <c r="X175" i="1" s="1"/>
  <c r="GO175" i="1" s="1"/>
  <c r="AB181" i="1"/>
  <c r="CP193" i="1"/>
  <c r="O193" i="1" s="1"/>
  <c r="GO196" i="1"/>
  <c r="GM196" i="1"/>
  <c r="AB128" i="1"/>
  <c r="CR128" i="1"/>
  <c r="Q128" i="1" s="1"/>
  <c r="CP128" i="1" s="1"/>
  <c r="O128" i="1" s="1"/>
  <c r="GM85" i="1"/>
  <c r="GN85" i="1"/>
  <c r="CI26" i="1"/>
  <c r="AZ89" i="1"/>
  <c r="GK122" i="1"/>
  <c r="AE133" i="1"/>
  <c r="CZ122" i="1"/>
  <c r="Y122" i="1" s="1"/>
  <c r="S133" i="1"/>
  <c r="AF120" i="1"/>
  <c r="AF235" i="1"/>
  <c r="S242" i="1"/>
  <c r="GM284" i="1"/>
  <c r="GO284" i="1"/>
  <c r="CY179" i="1"/>
  <c r="X179" i="1" s="1"/>
  <c r="AB188" i="1"/>
  <c r="AB240" i="1"/>
  <c r="W120" i="1"/>
  <c r="F157" i="1"/>
  <c r="F296" i="1"/>
  <c r="AQ273" i="1"/>
  <c r="T281" i="1"/>
  <c r="AG286" i="1" s="1"/>
  <c r="F152" i="1"/>
  <c r="AU120" i="1"/>
  <c r="GM239" i="1"/>
  <c r="GM276" i="1"/>
  <c r="GO276" i="1"/>
  <c r="GM280" i="1"/>
  <c r="GO280" i="1"/>
  <c r="GO277" i="1"/>
  <c r="GM277" i="1"/>
  <c r="S281" i="1"/>
  <c r="P281" i="1"/>
  <c r="CP31" i="1"/>
  <c r="O31" i="1" s="1"/>
  <c r="CZ32" i="1"/>
  <c r="Y32" i="1" s="1"/>
  <c r="CY32" i="1"/>
  <c r="X32" i="1" s="1"/>
  <c r="GK29" i="1"/>
  <c r="GM52" i="1"/>
  <c r="GM30" i="1"/>
  <c r="GN30" i="1"/>
  <c r="CZ42" i="1"/>
  <c r="Y42" i="1" s="1"/>
  <c r="CY42" i="1"/>
  <c r="X42" i="1" s="1"/>
  <c r="GM69" i="1"/>
  <c r="GN69" i="1"/>
  <c r="GN58" i="1"/>
  <c r="AB64" i="1"/>
  <c r="CR64" i="1"/>
  <c r="Q64" i="1" s="1"/>
  <c r="CP64" i="1" s="1"/>
  <c r="O64" i="1" s="1"/>
  <c r="GK72" i="1"/>
  <c r="CZ72" i="1"/>
  <c r="Y72" i="1" s="1"/>
  <c r="GM70" i="1"/>
  <c r="GN70" i="1"/>
  <c r="GK183" i="1"/>
  <c r="CZ183" i="1"/>
  <c r="Y183" i="1" s="1"/>
  <c r="GM184" i="1"/>
  <c r="GO184" i="1"/>
  <c r="GM195" i="1"/>
  <c r="GO195" i="1"/>
  <c r="AT235" i="1"/>
  <c r="F260" i="1"/>
  <c r="AB122" i="1"/>
  <c r="CR122" i="1"/>
  <c r="Q122" i="1" s="1"/>
  <c r="CP275" i="1"/>
  <c r="O275" i="1" s="1"/>
  <c r="GO278" i="1"/>
  <c r="GM278" i="1"/>
  <c r="CJ89" i="1"/>
  <c r="GK48" i="1"/>
  <c r="CZ48" i="1"/>
  <c r="Y48" i="1" s="1"/>
  <c r="GN48" i="1" s="1"/>
  <c r="GK52" i="1"/>
  <c r="CZ52" i="1"/>
  <c r="Y52" i="1" s="1"/>
  <c r="GN52" i="1" s="1"/>
  <c r="GK56" i="1"/>
  <c r="CZ56" i="1"/>
  <c r="Y56" i="1" s="1"/>
  <c r="GM56" i="1" s="1"/>
  <c r="GK61" i="1"/>
  <c r="CZ61" i="1"/>
  <c r="Y61" i="1" s="1"/>
  <c r="S82" i="1"/>
  <c r="T82" i="1"/>
  <c r="CY45" i="1"/>
  <c r="X45" i="1" s="1"/>
  <c r="CY49" i="1"/>
  <c r="X49" i="1" s="1"/>
  <c r="CY53" i="1"/>
  <c r="X53" i="1" s="1"/>
  <c r="CY57" i="1"/>
  <c r="X57" i="1" s="1"/>
  <c r="GM57" i="1" s="1"/>
  <c r="CY60" i="1"/>
  <c r="X60" i="1" s="1"/>
  <c r="U73" i="1"/>
  <c r="AH89" i="1" s="1"/>
  <c r="GK75" i="1"/>
  <c r="CZ75" i="1"/>
  <c r="Y75" i="1" s="1"/>
  <c r="T76" i="1"/>
  <c r="AU26" i="1"/>
  <c r="F108" i="1"/>
  <c r="CY74" i="1"/>
  <c r="X74" i="1" s="1"/>
  <c r="R76" i="1"/>
  <c r="GK76" i="1" s="1"/>
  <c r="AB78" i="1"/>
  <c r="CR78" i="1"/>
  <c r="Q78" i="1" s="1"/>
  <c r="CP78" i="1" s="1"/>
  <c r="O78" i="1" s="1"/>
  <c r="AB80" i="1"/>
  <c r="CR80" i="1"/>
  <c r="Q80" i="1" s="1"/>
  <c r="CP80" i="1" s="1"/>
  <c r="O80" i="1" s="1"/>
  <c r="AB72" i="1"/>
  <c r="CR72" i="1"/>
  <c r="Q72" i="1" s="1"/>
  <c r="CP72" i="1" s="1"/>
  <c r="O72" i="1" s="1"/>
  <c r="V76" i="1"/>
  <c r="GX82" i="1"/>
  <c r="CY64" i="1"/>
  <c r="X64" i="1" s="1"/>
  <c r="CZ78" i="1"/>
  <c r="Y78" i="1" s="1"/>
  <c r="CZ80" i="1"/>
  <c r="Y80" i="1" s="1"/>
  <c r="P82" i="1"/>
  <c r="AC133" i="1"/>
  <c r="AB125" i="1"/>
  <c r="CR125" i="1"/>
  <c r="Q125" i="1" s="1"/>
  <c r="CP125" i="1" s="1"/>
  <c r="O125" i="1" s="1"/>
  <c r="GM129" i="1"/>
  <c r="GN129" i="1"/>
  <c r="V42" i="1"/>
  <c r="AI89" i="1" s="1"/>
  <c r="GX73" i="1"/>
  <c r="GM84" i="1"/>
  <c r="CY125" i="1"/>
  <c r="X125" i="1" s="1"/>
  <c r="V73" i="1"/>
  <c r="AB199" i="1"/>
  <c r="W174" i="1"/>
  <c r="AJ201" i="1" s="1"/>
  <c r="AB177" i="1"/>
  <c r="CP198" i="1"/>
  <c r="O198" i="1" s="1"/>
  <c r="CI273" i="1"/>
  <c r="AZ286" i="1"/>
  <c r="AZ133" i="1"/>
  <c r="CI120" i="1"/>
  <c r="U174" i="1"/>
  <c r="AH201" i="1" s="1"/>
  <c r="GN130" i="1"/>
  <c r="GM130" i="1"/>
  <c r="CY169" i="1"/>
  <c r="X169" i="1" s="1"/>
  <c r="GM169" i="1" s="1"/>
  <c r="AB184" i="1"/>
  <c r="GK194" i="1"/>
  <c r="GO194" i="1" s="1"/>
  <c r="CZ194" i="1"/>
  <c r="Y194" i="1" s="1"/>
  <c r="AB123" i="1"/>
  <c r="CR123" i="1"/>
  <c r="Q123" i="1" s="1"/>
  <c r="CP123" i="1" s="1"/>
  <c r="O123" i="1" s="1"/>
  <c r="AP164" i="1"/>
  <c r="F210" i="1"/>
  <c r="AB195" i="1"/>
  <c r="AI120" i="1"/>
  <c r="V133" i="1"/>
  <c r="CP176" i="1"/>
  <c r="O176" i="1" s="1"/>
  <c r="CP197" i="1"/>
  <c r="O197" i="1" s="1"/>
  <c r="AB237" i="1"/>
  <c r="BB273" i="1"/>
  <c r="F299" i="1"/>
  <c r="CD164" i="1"/>
  <c r="AU201" i="1"/>
  <c r="AB185" i="1"/>
  <c r="T174" i="1"/>
  <c r="AG201" i="1" s="1"/>
  <c r="CY238" i="1"/>
  <c r="X238" i="1" s="1"/>
  <c r="AK242" i="1" s="1"/>
  <c r="CG273" i="1"/>
  <c r="AX286" i="1"/>
  <c r="AP235" i="1"/>
  <c r="F251" i="1"/>
  <c r="AS273" i="1"/>
  <c r="F303" i="1"/>
  <c r="BA235" i="1"/>
  <c r="F262" i="1"/>
  <c r="Q281" i="1"/>
  <c r="AD286" i="1" s="1"/>
  <c r="GM282" i="1"/>
  <c r="CZ39" i="1"/>
  <c r="Y39" i="1" s="1"/>
  <c r="CY39" i="1"/>
  <c r="X39" i="1" s="1"/>
  <c r="GN39" i="1" s="1"/>
  <c r="GN56" i="1"/>
  <c r="GM63" i="1"/>
  <c r="GN63" i="1"/>
  <c r="U76" i="1"/>
  <c r="GM68" i="1"/>
  <c r="GN68" i="1"/>
  <c r="GM177" i="1"/>
  <c r="GO177" i="1"/>
  <c r="GK182" i="1"/>
  <c r="GO182" i="1" s="1"/>
  <c r="CZ182" i="1"/>
  <c r="Y182" i="1" s="1"/>
  <c r="GK192" i="1"/>
  <c r="CZ192" i="1"/>
  <c r="Y192" i="1" s="1"/>
  <c r="AX235" i="1"/>
  <c r="F249" i="1"/>
  <c r="AP120" i="1"/>
  <c r="F142" i="1"/>
  <c r="GO179" i="1"/>
  <c r="GM179" i="1"/>
  <c r="GO189" i="1"/>
  <c r="GM189" i="1"/>
  <c r="GK123" i="1"/>
  <c r="CZ123" i="1"/>
  <c r="Y123" i="1" s="1"/>
  <c r="BZ164" i="1"/>
  <c r="CG201" i="1"/>
  <c r="AQ201" i="1"/>
  <c r="AQ315" i="1" s="1"/>
  <c r="CY183" i="1"/>
  <c r="X183" i="1" s="1"/>
  <c r="GO183" i="1" s="1"/>
  <c r="GK240" i="1"/>
  <c r="CZ240" i="1"/>
  <c r="Y240" i="1" s="1"/>
  <c r="AP273" i="1"/>
  <c r="F295" i="1"/>
  <c r="GM185" i="1"/>
  <c r="GO185" i="1"/>
  <c r="BA286" i="1"/>
  <c r="CJ273" i="1"/>
  <c r="U235" i="1"/>
  <c r="F264" i="1"/>
  <c r="GN36" i="1"/>
  <c r="GM36" i="1"/>
  <c r="GM46" i="1"/>
  <c r="GN50" i="1"/>
  <c r="GM50" i="1"/>
  <c r="GM54" i="1"/>
  <c r="CP61" i="1"/>
  <c r="O61" i="1" s="1"/>
  <c r="CZ44" i="1"/>
  <c r="Y44" i="1" s="1"/>
  <c r="CZ47" i="1"/>
  <c r="Y47" i="1" s="1"/>
  <c r="GN47" i="1" s="1"/>
  <c r="CZ51" i="1"/>
  <c r="Y51" i="1" s="1"/>
  <c r="GM51" i="1" s="1"/>
  <c r="CZ55" i="1"/>
  <c r="Y55" i="1" s="1"/>
  <c r="CZ58" i="1"/>
  <c r="Y58" i="1" s="1"/>
  <c r="GM58" i="1" s="1"/>
  <c r="GM66" i="1"/>
  <c r="GN66" i="1"/>
  <c r="R73" i="1"/>
  <c r="GK73" i="1" s="1"/>
  <c r="AB75" i="1"/>
  <c r="CR75" i="1"/>
  <c r="Q75" i="1" s="1"/>
  <c r="CP75" i="1" s="1"/>
  <c r="O75" i="1" s="1"/>
  <c r="BC26" i="1"/>
  <c r="F105" i="1"/>
  <c r="BC315" i="1"/>
  <c r="W42" i="1"/>
  <c r="AJ89" i="1" s="1"/>
  <c r="GM45" i="1"/>
  <c r="GN45" i="1"/>
  <c r="GM49" i="1"/>
  <c r="GN49" i="1"/>
  <c r="GM53" i="1"/>
  <c r="GN53" i="1"/>
  <c r="GM60" i="1"/>
  <c r="GN60" i="1"/>
  <c r="AB67" i="1"/>
  <c r="CR67" i="1"/>
  <c r="Q67" i="1" s="1"/>
  <c r="CP67" i="1" s="1"/>
  <c r="O67" i="1" s="1"/>
  <c r="CY75" i="1"/>
  <c r="X75" i="1" s="1"/>
  <c r="AB43" i="1"/>
  <c r="CR43" i="1"/>
  <c r="Q43" i="1" s="1"/>
  <c r="CP43" i="1" s="1"/>
  <c r="O43" i="1" s="1"/>
  <c r="GK71" i="1"/>
  <c r="CZ71" i="1"/>
  <c r="Y71" i="1" s="1"/>
  <c r="P73" i="1"/>
  <c r="CP73" i="1" s="1"/>
  <c r="O73" i="1" s="1"/>
  <c r="GX76" i="1"/>
  <c r="W76" i="1"/>
  <c r="CY78" i="1"/>
  <c r="X78" i="1" s="1"/>
  <c r="CY80" i="1"/>
  <c r="X80" i="1" s="1"/>
  <c r="V82" i="1"/>
  <c r="GK126" i="1"/>
  <c r="CZ126" i="1"/>
  <c r="Y126" i="1" s="1"/>
  <c r="Q82" i="1"/>
  <c r="CY126" i="1"/>
  <c r="X126" i="1" s="1"/>
  <c r="BC120" i="1"/>
  <c r="F149" i="1"/>
  <c r="GM168" i="1"/>
  <c r="GO168" i="1"/>
  <c r="AK133" i="1"/>
  <c r="CC120" i="1"/>
  <c r="AT133" i="1"/>
  <c r="GK166" i="1"/>
  <c r="AE201" i="1"/>
  <c r="CZ166" i="1"/>
  <c r="Y166" i="1" s="1"/>
  <c r="GM166" i="1" s="1"/>
  <c r="BA133" i="1"/>
  <c r="CJ120" i="1"/>
  <c r="V174" i="1"/>
  <c r="AI201" i="1" s="1"/>
  <c r="CP180" i="1"/>
  <c r="O180" i="1" s="1"/>
  <c r="CP186" i="1"/>
  <c r="O186" i="1" s="1"/>
  <c r="AB198" i="1"/>
  <c r="GK237" i="1"/>
  <c r="CZ237" i="1"/>
  <c r="Y237" i="1" s="1"/>
  <c r="AL242" i="1" s="1"/>
  <c r="AE242" i="1"/>
  <c r="CC26" i="1"/>
  <c r="AT89" i="1"/>
  <c r="AQ120" i="1"/>
  <c r="F143" i="1"/>
  <c r="AF201" i="1"/>
  <c r="CY171" i="1"/>
  <c r="X171" i="1" s="1"/>
  <c r="GN171" i="1" s="1"/>
  <c r="CZ171" i="1"/>
  <c r="Y171" i="1" s="1"/>
  <c r="CP181" i="1"/>
  <c r="O181" i="1" s="1"/>
  <c r="GK187" i="1"/>
  <c r="CZ187" i="1"/>
  <c r="Y187" i="1" s="1"/>
  <c r="GM187" i="1" s="1"/>
  <c r="GP238" i="1"/>
  <c r="GM238" i="1"/>
  <c r="AX26" i="1"/>
  <c r="F96" i="1"/>
  <c r="GK128" i="1"/>
  <c r="CZ128" i="1"/>
  <c r="Y128" i="1" s="1"/>
  <c r="R174" i="1"/>
  <c r="GK174" i="1" s="1"/>
  <c r="AP26" i="1"/>
  <c r="F98" i="1"/>
  <c r="AP315" i="1"/>
  <c r="AH120" i="1"/>
  <c r="U133" i="1"/>
  <c r="AB166" i="1"/>
  <c r="AB176" i="1"/>
  <c r="CY182" i="1"/>
  <c r="X182" i="1" s="1"/>
  <c r="GM182" i="1" s="1"/>
  <c r="CY192" i="1"/>
  <c r="X192" i="1" s="1"/>
  <c r="GM192" i="1" s="1"/>
  <c r="AB197" i="1"/>
  <c r="CP237" i="1"/>
  <c r="O237" i="1" s="1"/>
  <c r="AC242" i="1"/>
  <c r="GK275" i="1"/>
  <c r="AE286" i="1"/>
  <c r="Q174" i="1"/>
  <c r="AD201" i="1" s="1"/>
  <c r="CY178" i="1"/>
  <c r="X178" i="1" s="1"/>
  <c r="GM178" i="1" s="1"/>
  <c r="CP188" i="1"/>
  <c r="O188" i="1" s="1"/>
  <c r="CP240" i="1"/>
  <c r="O240" i="1" s="1"/>
  <c r="T235" i="1"/>
  <c r="F263" i="1"/>
  <c r="R281" i="1"/>
  <c r="GK281" i="1" s="1"/>
  <c r="CY275" i="1"/>
  <c r="X275" i="1" s="1"/>
  <c r="W235" i="1"/>
  <c r="F266" i="1"/>
  <c r="F305" i="1"/>
  <c r="AU273" i="1"/>
  <c r="U281" i="1"/>
  <c r="AH286" i="1" s="1"/>
  <c r="V235" i="1"/>
  <c r="F265" i="1"/>
  <c r="AD164" i="1" l="1"/>
  <c r="Q201" i="1"/>
  <c r="AQ22" i="1"/>
  <c r="AQ347" i="1"/>
  <c r="F325" i="1"/>
  <c r="GN43" i="1"/>
  <c r="GM43" i="1"/>
  <c r="AJ164" i="1"/>
  <c r="W201" i="1"/>
  <c r="AJ26" i="1"/>
  <c r="W89" i="1"/>
  <c r="AH164" i="1"/>
  <c r="U201" i="1"/>
  <c r="AK235" i="1"/>
  <c r="X242" i="1"/>
  <c r="AI26" i="1"/>
  <c r="V89" i="1"/>
  <c r="GM42" i="1"/>
  <c r="GN42" i="1"/>
  <c r="AD273" i="1"/>
  <c r="Q286" i="1"/>
  <c r="AG164" i="1"/>
  <c r="T201" i="1"/>
  <c r="AH26" i="1"/>
  <c r="U89" i="1"/>
  <c r="AG26" i="1"/>
  <c r="T89" i="1"/>
  <c r="AH273" i="1"/>
  <c r="U286" i="1"/>
  <c r="GN51" i="1"/>
  <c r="V120" i="1"/>
  <c r="F156" i="1"/>
  <c r="GN78" i="1"/>
  <c r="GM78" i="1"/>
  <c r="GO275" i="1"/>
  <c r="AB286" i="1"/>
  <c r="GM275" i="1"/>
  <c r="GM48" i="1"/>
  <c r="AL133" i="1"/>
  <c r="GM28" i="1"/>
  <c r="GN28" i="1"/>
  <c r="R242" i="1"/>
  <c r="AE235" i="1"/>
  <c r="GM194" i="1"/>
  <c r="GM188" i="1"/>
  <c r="GO188" i="1"/>
  <c r="U120" i="1"/>
  <c r="F155" i="1"/>
  <c r="AC235" i="1"/>
  <c r="P242" i="1"/>
  <c r="CF242" i="1"/>
  <c r="CH242" i="1"/>
  <c r="CE242" i="1"/>
  <c r="AT26" i="1"/>
  <c r="F107" i="1"/>
  <c r="GO186" i="1"/>
  <c r="GM186" i="1"/>
  <c r="F153" i="1"/>
  <c r="BA120" i="1"/>
  <c r="AT120" i="1"/>
  <c r="F151" i="1"/>
  <c r="GN61" i="1"/>
  <c r="GM61" i="1"/>
  <c r="AD89" i="1"/>
  <c r="GM176" i="1"/>
  <c r="GO176" i="1"/>
  <c r="GM171" i="1"/>
  <c r="GN125" i="1"/>
  <c r="GM125" i="1"/>
  <c r="AD133" i="1"/>
  <c r="CP122" i="1"/>
  <c r="O122" i="1" s="1"/>
  <c r="GM47" i="1"/>
  <c r="CP281" i="1"/>
  <c r="O281" i="1" s="1"/>
  <c r="AC286" i="1"/>
  <c r="F148" i="1"/>
  <c r="S120" i="1"/>
  <c r="AZ26" i="1"/>
  <c r="F100" i="1"/>
  <c r="AZ315" i="1"/>
  <c r="GN128" i="1"/>
  <c r="GM128" i="1"/>
  <c r="GM193" i="1"/>
  <c r="GO193" i="1"/>
  <c r="AX120" i="1"/>
  <c r="F140" i="1"/>
  <c r="Q235" i="1"/>
  <c r="F254" i="1"/>
  <c r="GN126" i="1"/>
  <c r="GM126" i="1"/>
  <c r="GN71" i="1"/>
  <c r="GM71" i="1"/>
  <c r="GN79" i="1"/>
  <c r="GM79" i="1"/>
  <c r="GN62" i="1"/>
  <c r="AC89" i="1"/>
  <c r="GO187" i="1"/>
  <c r="CZ73" i="1"/>
  <c r="Y73" i="1" s="1"/>
  <c r="AL89" i="1" s="1"/>
  <c r="GM55" i="1"/>
  <c r="GM39" i="1"/>
  <c r="V273" i="1"/>
  <c r="F309" i="1"/>
  <c r="AF164" i="1"/>
  <c r="S201" i="1"/>
  <c r="GM180" i="1"/>
  <c r="GO180" i="1"/>
  <c r="GN72" i="1"/>
  <c r="GM72" i="1"/>
  <c r="GN32" i="1"/>
  <c r="GM32" i="1"/>
  <c r="AE273" i="1"/>
  <c r="R286" i="1"/>
  <c r="AI164" i="1"/>
  <c r="V201" i="1"/>
  <c r="AE164" i="1"/>
  <c r="R201" i="1"/>
  <c r="X133" i="1"/>
  <c r="AK120" i="1"/>
  <c r="GN67" i="1"/>
  <c r="GM67" i="1"/>
  <c r="GN57" i="1"/>
  <c r="GN75" i="1"/>
  <c r="GM75" i="1"/>
  <c r="CG164" i="1"/>
  <c r="AX201" i="1"/>
  <c r="AU164" i="1"/>
  <c r="F220" i="1"/>
  <c r="GN123" i="1"/>
  <c r="GM123" i="1"/>
  <c r="F144" i="1"/>
  <c r="AZ120" i="1"/>
  <c r="P133" i="1"/>
  <c r="CF133" i="1"/>
  <c r="AC120" i="1"/>
  <c r="CE133" i="1"/>
  <c r="CH133" i="1"/>
  <c r="CZ82" i="1"/>
  <c r="Y82" i="1" s="1"/>
  <c r="CY82" i="1"/>
  <c r="X82" i="1" s="1"/>
  <c r="AK89" i="1" s="1"/>
  <c r="AK201" i="1"/>
  <c r="AE120" i="1"/>
  <c r="R133" i="1"/>
  <c r="CH201" i="1"/>
  <c r="P201" i="1"/>
  <c r="CF201" i="1"/>
  <c r="AC164" i="1"/>
  <c r="CE201" i="1"/>
  <c r="CP174" i="1"/>
  <c r="O174" i="1" s="1"/>
  <c r="BB22" i="1"/>
  <c r="F328" i="1"/>
  <c r="BB347" i="1"/>
  <c r="GN81" i="1"/>
  <c r="GM81" i="1"/>
  <c r="GN77" i="1"/>
  <c r="GM77" i="1"/>
  <c r="AF89" i="1"/>
  <c r="GM29" i="1"/>
  <c r="GN29" i="1"/>
  <c r="CZ174" i="1"/>
  <c r="Y174" i="1" s="1"/>
  <c r="AL201" i="1" s="1"/>
  <c r="GO169" i="1"/>
  <c r="GM183" i="1"/>
  <c r="GM175" i="1"/>
  <c r="CZ76" i="1"/>
  <c r="Y76" i="1" s="1"/>
  <c r="GN76" i="1" s="1"/>
  <c r="W273" i="1"/>
  <c r="F310" i="1"/>
  <c r="GP237" i="1"/>
  <c r="AB242" i="1"/>
  <c r="GM237" i="1"/>
  <c r="CA242" i="1" s="1"/>
  <c r="AP22" i="1"/>
  <c r="F324" i="1"/>
  <c r="G16" i="2" s="1"/>
  <c r="G18" i="2" s="1"/>
  <c r="AP347" i="1"/>
  <c r="BA273" i="1"/>
  <c r="F306" i="1"/>
  <c r="AQ164" i="1"/>
  <c r="F211" i="1"/>
  <c r="AX273" i="1"/>
  <c r="F293" i="1"/>
  <c r="GM198" i="1"/>
  <c r="GO198" i="1"/>
  <c r="CJ26" i="1"/>
  <c r="BA89" i="1"/>
  <c r="CY281" i="1"/>
  <c r="X281" i="1" s="1"/>
  <c r="AK286" i="1" s="1"/>
  <c r="CZ281" i="1"/>
  <c r="Y281" i="1" s="1"/>
  <c r="AL286" i="1" s="1"/>
  <c r="AF286" i="1"/>
  <c r="S235" i="1"/>
  <c r="F257" i="1"/>
  <c r="GP240" i="1"/>
  <c r="GM240" i="1"/>
  <c r="GM181" i="1"/>
  <c r="GO181" i="1"/>
  <c r="AL235" i="1"/>
  <c r="Y242" i="1"/>
  <c r="BC22" i="1"/>
  <c r="BC347" i="1"/>
  <c r="F331" i="1"/>
  <c r="GM197" i="1"/>
  <c r="GO197" i="1"/>
  <c r="F297" i="1"/>
  <c r="AZ273" i="1"/>
  <c r="CP82" i="1"/>
  <c r="O82" i="1" s="1"/>
  <c r="GN80" i="1"/>
  <c r="GM80" i="1"/>
  <c r="GN166" i="1"/>
  <c r="CB201" i="1" s="1"/>
  <c r="GN64" i="1"/>
  <c r="GM64" i="1"/>
  <c r="AE89" i="1"/>
  <c r="GM31" i="1"/>
  <c r="GN31" i="1"/>
  <c r="AG273" i="1"/>
  <c r="T286" i="1"/>
  <c r="CJ164" i="1"/>
  <c r="BA201" i="1"/>
  <c r="AZ235" i="1"/>
  <c r="F253" i="1"/>
  <c r="CY73" i="1"/>
  <c r="X73" i="1" s="1"/>
  <c r="GN73" i="1" s="1"/>
  <c r="GN74" i="1"/>
  <c r="GM74" i="1"/>
  <c r="AZ164" i="1"/>
  <c r="F212" i="1"/>
  <c r="AK26" i="1" l="1"/>
  <c r="X89" i="1"/>
  <c r="AK273" i="1"/>
  <c r="X286" i="1"/>
  <c r="AL164" i="1"/>
  <c r="Y201" i="1"/>
  <c r="AL26" i="1"/>
  <c r="Y89" i="1"/>
  <c r="AE26" i="1"/>
  <c r="R89" i="1"/>
  <c r="AB235" i="1"/>
  <c r="O242" i="1"/>
  <c r="BB18" i="1"/>
  <c r="F360" i="1"/>
  <c r="CH164" i="1"/>
  <c r="AY201" i="1"/>
  <c r="CB164" i="1"/>
  <c r="AS201" i="1"/>
  <c r="AL273" i="1"/>
  <c r="Y286" i="1"/>
  <c r="AR242" i="1"/>
  <c r="CA235" i="1"/>
  <c r="AF26" i="1"/>
  <c r="S89" i="1"/>
  <c r="GO174" i="1"/>
  <c r="CC201" i="1" s="1"/>
  <c r="GM174" i="1"/>
  <c r="CA201" i="1" s="1"/>
  <c r="AB201" i="1"/>
  <c r="P164" i="1"/>
  <c r="F204" i="1"/>
  <c r="AK164" i="1"/>
  <c r="X201" i="1"/>
  <c r="AV133" i="1"/>
  <c r="CE120" i="1"/>
  <c r="GM76" i="1"/>
  <c r="CA89" i="1" s="1"/>
  <c r="AD26" i="1"/>
  <c r="Q89" i="1"/>
  <c r="GM73" i="1"/>
  <c r="CF235" i="1"/>
  <c r="AW242" i="1"/>
  <c r="U273" i="1"/>
  <c r="F308" i="1"/>
  <c r="U26" i="1"/>
  <c r="F111" i="1"/>
  <c r="U315" i="1"/>
  <c r="Q273" i="1"/>
  <c r="F298" i="1"/>
  <c r="V26" i="1"/>
  <c r="F112" i="1"/>
  <c r="V315" i="1"/>
  <c r="W26" i="1"/>
  <c r="F113" i="1"/>
  <c r="W315" i="1"/>
  <c r="AQ18" i="1"/>
  <c r="F357" i="1"/>
  <c r="T273" i="1"/>
  <c r="F307" i="1"/>
  <c r="BC18" i="1"/>
  <c r="F363" i="1"/>
  <c r="AC26" i="1"/>
  <c r="P89" i="1"/>
  <c r="CE89" i="1"/>
  <c r="CF89" i="1"/>
  <c r="CH89" i="1"/>
  <c r="R235" i="1"/>
  <c r="F256" i="1"/>
  <c r="O286" i="1"/>
  <c r="AB273" i="1"/>
  <c r="CD242" i="1"/>
  <c r="R120" i="1"/>
  <c r="F147" i="1"/>
  <c r="AW133" i="1"/>
  <c r="CF120" i="1"/>
  <c r="AX164" i="1"/>
  <c r="F208" i="1"/>
  <c r="AX315" i="1"/>
  <c r="X120" i="1"/>
  <c r="F158" i="1"/>
  <c r="AC273" i="1"/>
  <c r="CE286" i="1"/>
  <c r="P286" i="1"/>
  <c r="CF286" i="1"/>
  <c r="CH286" i="1"/>
  <c r="AD120" i="1"/>
  <c r="Q133" i="1"/>
  <c r="AV242" i="1"/>
  <c r="CE235" i="1"/>
  <c r="AL120" i="1"/>
  <c r="Y133" i="1"/>
  <c r="T26" i="1"/>
  <c r="F110" i="1"/>
  <c r="T315" i="1"/>
  <c r="T164" i="1"/>
  <c r="F222" i="1"/>
  <c r="X235" i="1"/>
  <c r="F267" i="1"/>
  <c r="F223" i="1"/>
  <c r="U164" i="1"/>
  <c r="W164" i="1"/>
  <c r="F225" i="1"/>
  <c r="F213" i="1"/>
  <c r="Q164" i="1"/>
  <c r="AP18" i="1"/>
  <c r="F356" i="1"/>
  <c r="CE164" i="1"/>
  <c r="AV201" i="1"/>
  <c r="V164" i="1"/>
  <c r="F224" i="1"/>
  <c r="S164" i="1"/>
  <c r="F216" i="1"/>
  <c r="AZ22" i="1"/>
  <c r="AZ347" i="1"/>
  <c r="F326" i="1"/>
  <c r="GN122" i="1"/>
  <c r="CB133" i="1" s="1"/>
  <c r="AB133" i="1"/>
  <c r="GM122" i="1"/>
  <c r="CA133" i="1" s="1"/>
  <c r="P235" i="1"/>
  <c r="F245" i="1"/>
  <c r="BA26" i="1"/>
  <c r="BA315" i="1"/>
  <c r="F109" i="1"/>
  <c r="F221" i="1"/>
  <c r="BA164" i="1"/>
  <c r="GM82" i="1"/>
  <c r="GN82" i="1"/>
  <c r="CB89" i="1" s="1"/>
  <c r="Y235" i="1"/>
  <c r="F268" i="1"/>
  <c r="S286" i="1"/>
  <c r="AF273" i="1"/>
  <c r="CF164" i="1"/>
  <c r="AW201" i="1"/>
  <c r="CH120" i="1"/>
  <c r="AY133" i="1"/>
  <c r="F136" i="1"/>
  <c r="P120" i="1"/>
  <c r="R164" i="1"/>
  <c r="F215" i="1"/>
  <c r="F300" i="1"/>
  <c r="R273" i="1"/>
  <c r="GO281" i="1"/>
  <c r="CC286" i="1" s="1"/>
  <c r="GM281" i="1"/>
  <c r="CA286" i="1" s="1"/>
  <c r="CH235" i="1"/>
  <c r="AY242" i="1"/>
  <c r="AB89" i="1"/>
  <c r="CB26" i="1" l="1"/>
  <c r="AS89" i="1"/>
  <c r="CC273" i="1"/>
  <c r="AT286" i="1"/>
  <c r="CA26" i="1"/>
  <c r="AR89" i="1"/>
  <c r="CA164" i="1"/>
  <c r="AR201" i="1"/>
  <c r="CA273" i="1"/>
  <c r="AR286" i="1"/>
  <c r="CC164" i="1"/>
  <c r="AT201" i="1"/>
  <c r="AR133" i="1"/>
  <c r="CA120" i="1"/>
  <c r="CD235" i="1"/>
  <c r="AU242" i="1"/>
  <c r="P26" i="1"/>
  <c r="F92" i="1"/>
  <c r="P315" i="1"/>
  <c r="W22" i="1"/>
  <c r="F339" i="1"/>
  <c r="W347" i="1"/>
  <c r="U22" i="1"/>
  <c r="F337" i="1"/>
  <c r="U347" i="1"/>
  <c r="AS164" i="1"/>
  <c r="F218" i="1"/>
  <c r="R26" i="1"/>
  <c r="F103" i="1"/>
  <c r="R315" i="1"/>
  <c r="Y164" i="1"/>
  <c r="F227" i="1"/>
  <c r="X273" i="1"/>
  <c r="F311" i="1"/>
  <c r="O133" i="1"/>
  <c r="AB120" i="1"/>
  <c r="AV286" i="1"/>
  <c r="CE273" i="1"/>
  <c r="AX22" i="1"/>
  <c r="F322" i="1"/>
  <c r="AX347" i="1"/>
  <c r="AW120" i="1"/>
  <c r="F139" i="1"/>
  <c r="CH26" i="1"/>
  <c r="AY89" i="1"/>
  <c r="AR235" i="1"/>
  <c r="F269" i="1"/>
  <c r="F250" i="1"/>
  <c r="AY235" i="1"/>
  <c r="T22" i="1"/>
  <c r="F336" i="1"/>
  <c r="T347" i="1"/>
  <c r="F145" i="1"/>
  <c r="Q120" i="1"/>
  <c r="AY120" i="1"/>
  <c r="F141" i="1"/>
  <c r="AY286" i="1"/>
  <c r="CH273" i="1"/>
  <c r="F288" i="1"/>
  <c r="O273" i="1"/>
  <c r="Q26" i="1"/>
  <c r="F101" i="1"/>
  <c r="Q315" i="1"/>
  <c r="AV120" i="1"/>
  <c r="F138" i="1"/>
  <c r="S26" i="1"/>
  <c r="F104" i="1"/>
  <c r="S315" i="1"/>
  <c r="Y273" i="1"/>
  <c r="F312" i="1"/>
  <c r="AY164" i="1"/>
  <c r="F209" i="1"/>
  <c r="F244" i="1"/>
  <c r="O235" i="1"/>
  <c r="Y26" i="1"/>
  <c r="F115" i="1"/>
  <c r="Y315" i="1"/>
  <c r="X26" i="1"/>
  <c r="F114" i="1"/>
  <c r="X315" i="1"/>
  <c r="AW164" i="1"/>
  <c r="F207" i="1"/>
  <c r="AZ18" i="1"/>
  <c r="F358" i="1"/>
  <c r="Y120" i="1"/>
  <c r="F159" i="1"/>
  <c r="F289" i="1"/>
  <c r="P273" i="1"/>
  <c r="AS133" i="1"/>
  <c r="CB120" i="1"/>
  <c r="AV164" i="1"/>
  <c r="F206" i="1"/>
  <c r="CF26" i="1"/>
  <c r="AW89" i="1"/>
  <c r="AB26" i="1"/>
  <c r="O89" i="1"/>
  <c r="S273" i="1"/>
  <c r="F301" i="1"/>
  <c r="BA22" i="1"/>
  <c r="F335" i="1"/>
  <c r="BA347" i="1"/>
  <c r="AV235" i="1"/>
  <c r="F247" i="1"/>
  <c r="AW286" i="1"/>
  <c r="CF273" i="1"/>
  <c r="CE26" i="1"/>
  <c r="AV89" i="1"/>
  <c r="V22" i="1"/>
  <c r="F338" i="1"/>
  <c r="V347" i="1"/>
  <c r="AW235" i="1"/>
  <c r="F248" i="1"/>
  <c r="X164" i="1"/>
  <c r="F226" i="1"/>
  <c r="AB164" i="1"/>
  <c r="O201" i="1"/>
  <c r="AV26" i="1" l="1"/>
  <c r="F94" i="1"/>
  <c r="AV315" i="1"/>
  <c r="O164" i="1"/>
  <c r="F203" i="1"/>
  <c r="AW273" i="1"/>
  <c r="F292" i="1"/>
  <c r="O26" i="1"/>
  <c r="F91" i="1"/>
  <c r="O315" i="1"/>
  <c r="X22" i="1"/>
  <c r="F340" i="1"/>
  <c r="X347" i="1"/>
  <c r="S22" i="1"/>
  <c r="F330" i="1"/>
  <c r="J16" i="2" s="1"/>
  <c r="J18" i="2" s="1"/>
  <c r="S347" i="1"/>
  <c r="T18" i="1"/>
  <c r="F368" i="1"/>
  <c r="F261" i="1"/>
  <c r="AU235" i="1"/>
  <c r="AU315" i="1"/>
  <c r="AT164" i="1"/>
  <c r="F219" i="1"/>
  <c r="AT315" i="1"/>
  <c r="AR164" i="1"/>
  <c r="F228" i="1"/>
  <c r="F229" i="1" s="1"/>
  <c r="F304" i="1"/>
  <c r="AT273" i="1"/>
  <c r="O120" i="1"/>
  <c r="F135" i="1"/>
  <c r="P22" i="1"/>
  <c r="P347" i="1"/>
  <c r="F318" i="1"/>
  <c r="V18" i="1"/>
  <c r="F370" i="1"/>
  <c r="AW26" i="1"/>
  <c r="F95" i="1"/>
  <c r="AW315" i="1"/>
  <c r="R22" i="1"/>
  <c r="F329" i="1"/>
  <c r="R347" i="1"/>
  <c r="W18" i="1"/>
  <c r="F371" i="1"/>
  <c r="F313" i="1"/>
  <c r="AR273" i="1"/>
  <c r="AR26" i="1"/>
  <c r="F116" i="1"/>
  <c r="AR315" i="1"/>
  <c r="AS26" i="1"/>
  <c r="F106" i="1"/>
  <c r="AS315" i="1"/>
  <c r="Q22" i="1"/>
  <c r="Q347" i="1"/>
  <c r="F327" i="1"/>
  <c r="BA18" i="1"/>
  <c r="F367" i="1"/>
  <c r="AS120" i="1"/>
  <c r="F150" i="1"/>
  <c r="Y22" i="1"/>
  <c r="F341" i="1"/>
  <c r="Y347" i="1"/>
  <c r="F294" i="1"/>
  <c r="AY273" i="1"/>
  <c r="AY26" i="1"/>
  <c r="F97" i="1"/>
  <c r="AY315" i="1"/>
  <c r="AX18" i="1"/>
  <c r="F354" i="1"/>
  <c r="AV273" i="1"/>
  <c r="F291" i="1"/>
  <c r="U18" i="1"/>
  <c r="F369" i="1"/>
  <c r="F160" i="1"/>
  <c r="AR120" i="1"/>
  <c r="P18" i="1" l="1"/>
  <c r="F350" i="1"/>
  <c r="S18" i="1"/>
  <c r="F362" i="1"/>
  <c r="AV22" i="1"/>
  <c r="F320" i="1"/>
  <c r="AV347" i="1"/>
  <c r="AR22" i="1"/>
  <c r="AR347" i="1"/>
  <c r="F342" i="1"/>
  <c r="F343" i="1" s="1"/>
  <c r="AT22" i="1"/>
  <c r="F333" i="1"/>
  <c r="F16" i="2" s="1"/>
  <c r="F18" i="2" s="1"/>
  <c r="AT347" i="1"/>
  <c r="AW22" i="1"/>
  <c r="F321" i="1"/>
  <c r="AW347" i="1"/>
  <c r="F230" i="1"/>
  <c r="F231" i="1"/>
  <c r="O22" i="1"/>
  <c r="F317" i="1"/>
  <c r="O347" i="1"/>
  <c r="AS22" i="1"/>
  <c r="F332" i="1"/>
  <c r="E16" i="2" s="1"/>
  <c r="AS347" i="1"/>
  <c r="AY22" i="1"/>
  <c r="AY347" i="1"/>
  <c r="F323" i="1"/>
  <c r="Y18" i="1"/>
  <c r="F373" i="1"/>
  <c r="Q18" i="1"/>
  <c r="F359" i="1"/>
  <c r="R18" i="1"/>
  <c r="F361" i="1"/>
  <c r="AU22" i="1"/>
  <c r="AU347" i="1"/>
  <c r="F334" i="1"/>
  <c r="H16" i="2" s="1"/>
  <c r="H18" i="2" s="1"/>
  <c r="X18" i="1"/>
  <c r="F372" i="1"/>
  <c r="AS18" i="1" l="1"/>
  <c r="F364" i="1"/>
  <c r="AW18" i="1"/>
  <c r="F353" i="1"/>
  <c r="AY18" i="1"/>
  <c r="F355" i="1"/>
  <c r="F344" i="1"/>
  <c r="F345" i="1" s="1"/>
  <c r="AU18" i="1"/>
  <c r="F366" i="1"/>
  <c r="E18" i="2"/>
  <c r="I16" i="2"/>
  <c r="I18" i="2" s="1"/>
  <c r="AV18" i="1"/>
  <c r="F352" i="1"/>
  <c r="O18" i="1"/>
  <c r="F349" i="1"/>
  <c r="AT18" i="1"/>
  <c r="F365" i="1"/>
  <c r="AR18" i="1"/>
  <c r="F374" i="1"/>
</calcChain>
</file>

<file path=xl/sharedStrings.xml><?xml version="1.0" encoding="utf-8"?>
<sst xmlns="http://schemas.openxmlformats.org/spreadsheetml/2006/main" count="10393" uniqueCount="1001">
  <si>
    <t>Smeta.RU  (495) 974-1589</t>
  </si>
  <si>
    <t>_PS_</t>
  </si>
  <si>
    <t>Smeta.RU</t>
  </si>
  <si>
    <t>НИЯУ МИФИ  Доп. раб. место  MCCS-0027251</t>
  </si>
  <si>
    <t>Новый объект_(Копия)_(Копия)_(Копия)</t>
  </si>
  <si>
    <t>на капитальный ремонт помещений  учебных аудиторий №3,8,11,12,13 3-го этажа  Корпуса К НИЯУ МИФИ по адресу: г.Москва,Каширское шоссе,д.31,стр.46_(Копия)</t>
  </si>
  <si>
    <t/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</si>
  <si>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</si>
  <si>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</si>
  <si>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</si>
  <si>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</si>
  <si>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</si>
  <si>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</si>
  <si>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Новый раздел</t>
  </si>
  <si>
    <t>1 Общестроительные работы</t>
  </si>
  <si>
    <t>1</t>
  </si>
  <si>
    <t>57-3-1</t>
  </si>
  <si>
    <t>Разборка плинтусов деревянных и из пластмассовых материалов</t>
  </si>
  <si>
    <t>100 м</t>
  </si>
  <si>
    <t>ФЕРр-2001, 57-3-1, приказ Минстроя России №1039/пр от 30.12.2016г.</t>
  </si>
  <si>
    <t>Ремонтно-строительные работы</t>
  </si>
  <si>
    <t>Полы</t>
  </si>
  <si>
    <t>рФЕР-57</t>
  </si>
  <si>
    <t>2</t>
  </si>
  <si>
    <t>57-2-1</t>
  </si>
  <si>
    <t>Разборка покрытий полов из линолеума и релина</t>
  </si>
  <si>
    <t>100 м2</t>
  </si>
  <si>
    <t>ФЕРр-2001, 57-2-1, приказ Минстроя России №1039/пр от 30.12.2016г.</t>
  </si>
  <si>
    <t>3</t>
  </si>
  <si>
    <t>57-1-3 прим.</t>
  </si>
  <si>
    <t>Разборка оснований покрытия полов простильных полов (фальшпол деревянный)</t>
  </si>
  <si>
    <t>ФЕРр-2001, 57-1-3, приказ Минстроя России №1039/пр от 30.12.2016г.</t>
  </si>
  <si>
    <t>4</t>
  </si>
  <si>
    <t>65-33-1</t>
  </si>
  <si>
    <t>Смена жалюзийных решеток</t>
  </si>
  <si>
    <t>100 ШТ</t>
  </si>
  <si>
    <t>ФЕР-2001, 65-33-1, приказ Минстроя России №1039/пр от 30.12.2016г.</t>
  </si>
  <si>
    <t>Внтуренниие с/техработы: смена труб</t>
  </si>
  <si>
    <t>рФЕР-65</t>
  </si>
  <si>
    <t>4,1</t>
  </si>
  <si>
    <t>19.2.03.07-0028</t>
  </si>
  <si>
    <t>Решетки пластиковые вентиляционные прим. (согласно тех.заданию)</t>
  </si>
  <si>
    <t>шт.</t>
  </si>
  <si>
    <t>ФССЦ-2001, 19.2.03.07-0028, приказ Минстроя России №1039/пр от 30.12.2016г.</t>
  </si>
  <si>
    <t>5</t>
  </si>
  <si>
    <t>46-02-009-02</t>
  </si>
  <si>
    <t>Отбивка штукатурки с поверхностей стен</t>
  </si>
  <si>
    <t>ФЕР-2001, 46-02-009-02, приказ Минстроя России №1039/пр от 30.12.2016г.</t>
  </si>
  <si>
    <t>Общестроительные работы</t>
  </si>
  <si>
    <t>Реконструкция зданий и сооружений</t>
  </si>
  <si>
    <t>ФЕР-46</t>
  </si>
  <si>
    <t>*0,9</t>
  </si>
  <si>
    <t>*0,85</t>
  </si>
  <si>
    <t>6</t>
  </si>
  <si>
    <t>57-10-3</t>
  </si>
  <si>
    <t>Заделка выбоин в полах цементных площадью до 1,0 м2</t>
  </si>
  <si>
    <t>100 мест</t>
  </si>
  <si>
    <t>ФЕР-2001, 57-10-3, приказ Минстроя России №1039/пр от 30.12.2016г.</t>
  </si>
  <si>
    <t>6,1</t>
  </si>
  <si>
    <t>04.3.01.09</t>
  </si>
  <si>
    <t>Раствор готовый кладочный тяжелый цементный</t>
  </si>
  <si>
    <t>м3</t>
  </si>
  <si>
    <t>6,2</t>
  </si>
  <si>
    <t>04.3.02.13-0103</t>
  </si>
  <si>
    <t>Смесь сухая  цементно-песчаная "БИРСС 11" (марка М150), бездобавочная</t>
  </si>
  <si>
    <t>т</t>
  </si>
  <si>
    <t>ФССЦ-2001, 04.3.02.13-0103, приказ Минстроя России №1039/пр от 30.12.2016г.</t>
  </si>
  <si>
    <t>7</t>
  </si>
  <si>
    <t>11-01-011-08</t>
  </si>
  <si>
    <t>Устройство стяжек из выравнивающей смеси типа "Ветонит" 5000, толщиной 5 мм</t>
  </si>
  <si>
    <t>ФЕР-2001, 11-01-011-08, приказ Минстроя России №1039/пр от 30.12.2016г.</t>
  </si>
  <si>
    <t>)*1,25</t>
  </si>
  <si>
    <t>)*1,15</t>
  </si>
  <si>
    <t>ФЕР-11</t>
  </si>
  <si>
    <t>Поправка: МДС 81-35.2004, п.4.7</t>
  </si>
  <si>
    <t>8</t>
  </si>
  <si>
    <t>11-01-011-10</t>
  </si>
  <si>
    <t>Устройство стяжек на каждый последующий слой толщиной 1 мм добавлять к расценке 11-01-011-08</t>
  </si>
  <si>
    <t>ФЕР-2001, 11-01-011-10, приказ Минстроя России №1039/пр от 30.12.2016г.</t>
  </si>
  <si>
    <t>*5</t>
  </si>
  <si>
    <t>)*1,25*5</t>
  </si>
  <si>
    <t>)*1,15*5</t>
  </si>
  <si>
    <t>9</t>
  </si>
  <si>
    <t>15-07-003-02</t>
  </si>
  <si>
    <t>Грунтование водно-дисперсионной грунтовкой  поверхностей пористых (камень, кирпич, бетон и т д)</t>
  </si>
  <si>
    <t>ФЕР-2001, 15-07-003-02, приказ Минстроя России №1039/пр от 30.12.2016г.</t>
  </si>
  <si>
    <t>Отделочные работы</t>
  </si>
  <si>
    <t>ФЕР-15</t>
  </si>
  <si>
    <t>10</t>
  </si>
  <si>
    <t>11-01-036-01</t>
  </si>
  <si>
    <t>Устройство покрытий из линолеума на клее</t>
  </si>
  <si>
    <t>ФЕР-2001, 11-01-036-01, приказ Минстроя России №1039/пр от 30.12.2016г.</t>
  </si>
  <si>
    <t>10,1</t>
  </si>
  <si>
    <t>01.6.03.04</t>
  </si>
  <si>
    <t>Линолеум на теплозвукоизолирующей подоснове</t>
  </si>
  <si>
    <t>м2</t>
  </si>
  <si>
    <t>10,2</t>
  </si>
  <si>
    <t>01.6.03.04-0101</t>
  </si>
  <si>
    <t>Линолеум коммерческий гетерогенный "ТАРКЕТТ TRAVERTINE" (толщина 2 мм, толщина защитного слоя 0,5 мм, класс 33/41, пож. безопасность Г1, В2, РП1, Д2, Т2)</t>
  </si>
  <si>
    <t>ФССЦ-2001, 01.6.03.04-0101, приказ Минстроя России №1039/пр от 30.12.2016г.</t>
  </si>
  <si>
    <t>10,3</t>
  </si>
  <si>
    <t>14.1.06.05</t>
  </si>
  <si>
    <t>Состав клеящий</t>
  </si>
  <si>
    <t>кг</t>
  </si>
  <si>
    <t>10,4</t>
  </si>
  <si>
    <t>14.1.02.03-0002</t>
  </si>
  <si>
    <t>Клей ПВА</t>
  </si>
  <si>
    <t>ФССЦ-2001, 14.1.02.03-0002, приказ Минстроя России №1039/пр от 30.12.2016г.</t>
  </si>
  <si>
    <t>11</t>
  </si>
  <si>
    <t>11-01-040-03</t>
  </si>
  <si>
    <t>Устройство плинтусов поливинилхлоридных на винтах самонарезающих</t>
  </si>
  <si>
    <t>ФЕР-2001, 11-01-040-03, приказ Минстроя России №1039/пр от 30.12.2016г.</t>
  </si>
  <si>
    <t>11,1</t>
  </si>
  <si>
    <t>11.3.03.06</t>
  </si>
  <si>
    <t>Плинтуса для полов пластиковые</t>
  </si>
  <si>
    <t>м</t>
  </si>
  <si>
    <t>11,2</t>
  </si>
  <si>
    <t>11.3.03.06-0001</t>
  </si>
  <si>
    <t>Плинтуса для полов пластиковые  KronPlast Premium, 19х48 мм прим.</t>
  </si>
  <si>
    <t>ФССЦ-2001, 11.3.03.06-0001, приказ Минстроя России №1039/пр от 30.12.2016г.</t>
  </si>
  <si>
    <t>11,3</t>
  </si>
  <si>
    <t>11.3.03.14</t>
  </si>
  <si>
    <t>Уголок наружный для пластикового плинтуса</t>
  </si>
  <si>
    <t>11,4</t>
  </si>
  <si>
    <t>11.3.03.14-0011</t>
  </si>
  <si>
    <t>Заглушки торцевая для пластикового плинтуса правая, высота 48 мм</t>
  </si>
  <si>
    <t>100 шт.</t>
  </si>
  <si>
    <t>ФССЦ-2001, 11.3.03.14-0011, приказ Минстроя России №1039/пр от 30.12.2016г.</t>
  </si>
  <si>
    <t>11,5</t>
  </si>
  <si>
    <t>11.3.03.14-0001</t>
  </si>
  <si>
    <t>Заглушка торцевая для пластикового плинтуса левая, высота 48 мм</t>
  </si>
  <si>
    <t>ФССЦ-2001, 11.3.03.14-0001, приказ Минстроя России №1039/пр от 30.12.2016г.</t>
  </si>
  <si>
    <t>11,6</t>
  </si>
  <si>
    <t>11.3.03.14-0021</t>
  </si>
  <si>
    <t>Соединитель для пластикового плинтуса, высота 48 мм</t>
  </si>
  <si>
    <t>ФССЦ-2001, 11.3.03.14-0021, приказ Минстроя России №1039/пр от 30.12.2016г.</t>
  </si>
  <si>
    <t>11,7</t>
  </si>
  <si>
    <t>11.3.03.14-0031</t>
  </si>
  <si>
    <t>Уголок внутренний для пластикового плинтуса, высота 48 мм</t>
  </si>
  <si>
    <t>ФССЦ-2001, 11.3.03.14-0031, приказ Минстроя России №1039/пр от 30.12.2016г.</t>
  </si>
  <si>
    <t>11,8</t>
  </si>
  <si>
    <t>11.3.03.14-0033</t>
  </si>
  <si>
    <t>Уголок наружный для пластикового плинтуса, высота 48 мм</t>
  </si>
  <si>
    <t>ФССЦ-2001, 11.3.03.14-0033, приказ Минстроя России №1039/пр от 30.12.2016г.</t>
  </si>
  <si>
    <t>11,9</t>
  </si>
  <si>
    <t>Уголок внутренний для пластикового плинтуса</t>
  </si>
  <si>
    <t>11,10</t>
  </si>
  <si>
    <t>Соединитель для пластикового плинтуса</t>
  </si>
  <si>
    <t>11,11</t>
  </si>
  <si>
    <t>Заглушка торцевая для пластикового плинтуса левая</t>
  </si>
  <si>
    <t>11,12</t>
  </si>
  <si>
    <t>Заглушка торцевая для пластикового плинтуса правая</t>
  </si>
  <si>
    <t>12</t>
  </si>
  <si>
    <t>11-01-049-01</t>
  </si>
  <si>
    <t>Укладка металлического накладного профиля (порога)</t>
  </si>
  <si>
    <t>ФЕР-2001, 11-01-049-01, приказ Минстроя России №1039/пр от 30.12.2016г.</t>
  </si>
  <si>
    <t>12,1</t>
  </si>
  <si>
    <t>09.2.03.02-0002</t>
  </si>
  <si>
    <t>Профили стыкоперекрывающие из алюминиевых сплавов (порожки) с покрытием и антискользящей вставкой, шириной 39 мм, длиной до 1,8 м</t>
  </si>
  <si>
    <t>ФССЦ-2001, 09.2.03.02-0002, приказ Минстроя России №1039/пр от 30.12.2016г.</t>
  </si>
  <si>
    <t>12,2</t>
  </si>
  <si>
    <t>09.2.03.02-0001</t>
  </si>
  <si>
    <t>Профили стыкоперекрывающие из алюминиевых сплавов (порожки) с покрытием и антискользящей вставкой, шириной 39 мм, длиной 0,9 м</t>
  </si>
  <si>
    <t>ФССЦ-2001, 09.2.03.02-0001, приказ Минстроя России №1039/пр от 30.12.2016г.</t>
  </si>
  <si>
    <t>12,3</t>
  </si>
  <si>
    <t>09.2.03.02</t>
  </si>
  <si>
    <t>Профили стыкоперекрывающие из алюминиевых сплавов (порожки) с покрытием</t>
  </si>
  <si>
    <t>13</t>
  </si>
  <si>
    <t>15-02-019-03</t>
  </si>
  <si>
    <t>Сплошное выравнивание внутренних поверхностей (однослойное оштукатуривание) из сухих растворных смесей толщиной до 10 мм стен</t>
  </si>
  <si>
    <t>ФЕР-2001, 15-02-019-03, приказ Минстроя России №1039/пр от 30.12.2016г.</t>
  </si>
  <si>
    <t>13,1</t>
  </si>
  <si>
    <t>04.3.02.09</t>
  </si>
  <si>
    <t>Смеси на цементной основе</t>
  </si>
  <si>
    <t>13,2</t>
  </si>
  <si>
    <t>04.3.02.05-0002</t>
  </si>
  <si>
    <t>Смесь штукатурная «Ротбанд», КНАУФ</t>
  </si>
  <si>
    <t>ФССЦ-2001, 04.3.02.05-0002, приказ Минстроя России №1039/пр от 30.12.2016г.</t>
  </si>
  <si>
    <t>Штукатрурные работы</t>
  </si>
  <si>
    <t>рФЕР-61</t>
  </si>
  <si>
    <t>13,3</t>
  </si>
  <si>
    <t>14.3.01.01-0001</t>
  </si>
  <si>
    <t>Грунтовка: «Бетоконтакт», КНАУФ</t>
  </si>
  <si>
    <t>ФССЦ-2001, 14.3.01.01-0001, приказ Минстроя России №1039/пр от 30.12.2016г.</t>
  </si>
  <si>
    <t>14</t>
  </si>
  <si>
    <t>15-02-019-07</t>
  </si>
  <si>
    <t>Сплошное выравнивание внутренних поверхностей (однослойное оштукатуривание) из сухих растворных смесей на каждый 1 мм изменения толщины слоя добавлять или исключать к расценке 15-02-019-03</t>
  </si>
  <si>
    <t>ФЕР-2001, 15-02-019-07, приказ Минстроя России №886/пр от 15.06.2017</t>
  </si>
  <si>
    <t>*10</t>
  </si>
  <si>
    <t>)*1,25*10</t>
  </si>
  <si>
    <t>)*1,15*10</t>
  </si>
  <si>
    <t>14,1</t>
  </si>
  <si>
    <t>14,2</t>
  </si>
  <si>
    <t>15</t>
  </si>
  <si>
    <t>15-01-047-15</t>
  </si>
  <si>
    <t>Устройство подвесных потолков типа &lt;Армстронг&gt; по каркасу из оцинкованного профиля</t>
  </si>
  <si>
    <t>ФЕР-2001, 15-01-047-15, приказ Минстроя России №1039/пр от 30.12.2016г.</t>
  </si>
  <si>
    <t>16</t>
  </si>
  <si>
    <t>61-1-4</t>
  </si>
  <si>
    <t>Сплошное выравнивание штукатурки стен полимерцементным раствором при толщине намета до 10 мм</t>
  </si>
  <si>
    <t>ФЕРр-2001, 61-1-4, приказ Минстроя России №1039/пр от 30.12.2016г.</t>
  </si>
  <si>
    <t>Поправка: МДС 81-35.2004, п.4.9</t>
  </si>
  <si>
    <t>16,1</t>
  </si>
  <si>
    <t>17</t>
  </si>
  <si>
    <t>15-04-005-03</t>
  </si>
  <si>
    <t>Окраска поливинилацетатными водоэмульсионными составами улучшенная по штукатурке стен дверных откосов</t>
  </si>
  <si>
    <t>ФЕР-2001, 15-04-005-03, приказ Минстроя России №1039/пр от 30.12.2016г.</t>
  </si>
  <si>
    <t>17,1</t>
  </si>
  <si>
    <t>14.3.02.01</t>
  </si>
  <si>
    <t>Краска водоэмульсионная</t>
  </si>
  <si>
    <t>17,2</t>
  </si>
  <si>
    <t>14.3.02.01-0223</t>
  </si>
  <si>
    <t>Краска водоэмульсионная для внутренних работ ВАК-15</t>
  </si>
  <si>
    <t>ФССЦ-2001, 14.3.02.01-0223, приказ Минстроя России №1039/пр от 30.12.2016г.</t>
  </si>
  <si>
    <t>18</t>
  </si>
  <si>
    <t>15-04-006-03</t>
  </si>
  <si>
    <t>Покрытие поверхностей грунтовкой глубокого проникновения за 1 раз стен</t>
  </si>
  <si>
    <t>ФЕР-2001, 15-04-006-03, приказ Минстроя России №1039/пр от 30.12.2016г.</t>
  </si>
  <si>
    <t>18,1</t>
  </si>
  <si>
    <t>14.4.01.21</t>
  </si>
  <si>
    <t>Грунтовка</t>
  </si>
  <si>
    <t>18,2</t>
  </si>
  <si>
    <t>19</t>
  </si>
  <si>
    <t>15-01-049-04 прим</t>
  </si>
  <si>
    <t>Демонтаж школьной доски: Облицовка стен по готовому каркасу щитами-картинами из древесностружечных плит фанерованных шпоном</t>
  </si>
  <si>
    <t>ФЕР-2001, 15-01-049-04, приказ Минстроя России №1039/пр от 30.12.2016г.</t>
  </si>
  <si>
    <t>Поправка: Табл.2, п.2  Наименование: При демонтаже (разборке) сборных деревянных конструкций</t>
  </si>
  <si>
    <t>)*0</t>
  </si>
  <si>
    <t>)*0,8</t>
  </si>
  <si>
    <t>Поправка: Табл.2, п.2</t>
  </si>
  <si>
    <t>20</t>
  </si>
  <si>
    <t>Установка  школьной доски: Облицовка стен по готовому каркасу щитами-картинами из древесностружечных плит фанерованных шпоном (без стоимости материала)</t>
  </si>
  <si>
    <t>21</t>
  </si>
  <si>
    <t>17-01-002-04 прим.</t>
  </si>
  <si>
    <t>Демонтаж :Установка гарнитуры туалетной: вешалок, подстаканников, поручней для ванн и т.д.</t>
  </si>
  <si>
    <t>10 ШТ</t>
  </si>
  <si>
    <t>ФЕР-2001, 17-01-002-04, приказ Минстроя России №1039/пр от 30.12.2016г.</t>
  </si>
  <si>
    <t>Поправка: МДС 81-36.2004, п.3.3.1.в  Наименование: При демонтаже внутренних санитарно-технических устройств (водопровода, газопровода, канализации, водостоков, отопления, вентиляции)</t>
  </si>
  <si>
    <t>)*0,4</t>
  </si>
  <si>
    <t>Водопровод и канализация - внутренние устройства</t>
  </si>
  <si>
    <t>ФЕР-17</t>
  </si>
  <si>
    <t>Поправка: МДС 81-36.2004, п.3.3.1.в</t>
  </si>
  <si>
    <t>22</t>
  </si>
  <si>
    <t>Установка гарнитуры туалетной: вешалок, подстаканников, поручней для ванн и т.д.</t>
  </si>
  <si>
    <t>22,1</t>
  </si>
  <si>
    <t>18.2.06.03-0001</t>
  </si>
  <si>
    <t>Вешалки-крючки однорожковые В-К стальные с гальванопокрытием  20 крючков прим.</t>
  </si>
  <si>
    <t>ФССЦ-2001, 18.2.06.03-0001, приказ Минстроя России №1039/пр от 30.12.2016г.</t>
  </si>
  <si>
    <t>23</t>
  </si>
  <si>
    <t>56-4-1</t>
  </si>
  <si>
    <t>Ремонт оконных блоков</t>
  </si>
  <si>
    <t>ФЕР-2001, 56-4-1, приказ Минстроя России №1039/пр от 30.12.2016г.</t>
  </si>
  <si>
    <t>Проемы</t>
  </si>
  <si>
    <t>рФЕР-56</t>
  </si>
  <si>
    <t>23,1</t>
  </si>
  <si>
    <t>01.7.19.06-0005</t>
  </si>
  <si>
    <t>Прокладки уплотнительные, Д=40 мм</t>
  </si>
  <si>
    <t>ФССЦ-2001, 01.7.19.06-0005, приказ Минстроя России №1039/пр от 30.12.2016г.</t>
  </si>
  <si>
    <t>24</t>
  </si>
  <si>
    <t>69-15-1</t>
  </si>
  <si>
    <t>Затаривание строительного мусора в мешки</t>
  </si>
  <si>
    <t>ФЕР-2001, 69-15-1, приказ Минстроя России №1039/пр от 30.12.2016г.</t>
  </si>
  <si>
    <t>Прочие ремонтно-строительные работы</t>
  </si>
  <si>
    <t>рФЕР-69</t>
  </si>
  <si>
    <t>25</t>
  </si>
  <si>
    <t>т01-01-01-041</t>
  </si>
  <si>
    <t>Погрузочные работы при автомобильных перевозках мусора строительного с погрузкой вручную</t>
  </si>
  <si>
    <t>1 Т ГРУЗА</t>
  </si>
  <si>
    <t>ФССЦпг-2001, т01-01-01-041, приказ Минстроя России №1039/пр от 30.12.2016г.</t>
  </si>
  <si>
    <t>Погрузочно-разгрузочные работы</t>
  </si>
  <si>
    <t>Перевозка грузов , (ФССЦпр 2011-изм. № 4-6, раздел 1):  погрузочно-разгрузочные работы  (НР и СП в прям. затратах )</t>
  </si>
  <si>
    <t>ФССЦпр  пог. а/п (2011,изм. 4-6)</t>
  </si>
  <si>
    <t>26</t>
  </si>
  <si>
    <t>т03-01-01-035</t>
  </si>
  <si>
    <t>Перевозка грузов I класса автомобилями бортовыми грузоподъемностью до 15 т на расстояние до 35 км</t>
  </si>
  <si>
    <t>ФССЦпг-2001, т03-01-01-035, приказ Минстроя России №1039/пр от 30.12.2016г.</t>
  </si>
  <si>
    <t>Перевозка грузов авто/транспортом</t>
  </si>
  <si>
    <t>Перевозкуа грузов (ФССЦпр-2011 - изм. 7, разделы 1-4) - по сметной стоимости</t>
  </si>
  <si>
    <t>ФССЦпр , изм. 7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</si>
  <si>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</si>
  <si>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</si>
  <si>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</si>
  <si>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</si>
  <si>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</si>
  <si>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</si>
  <si>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</si>
  <si>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</si>
  <si>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</si>
  <si>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</si>
  <si>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</si>
  <si>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</si>
  <si>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</si>
  <si>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</si>
  <si>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</si>
  <si>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</si>
  <si>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</si>
  <si>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</si>
  <si>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</si>
  <si>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</si>
  <si>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</si>
  <si>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</si>
  <si>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</si>
  <si>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</si>
  <si>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</si>
  <si>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</si>
  <si>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</si>
  <si>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</si>
  <si>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</si>
  <si>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</si>
  <si>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</si>
  <si>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</si>
  <si>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</si>
  <si>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</si>
  <si>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</si>
  <si>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</si>
  <si>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</si>
  <si>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</si>
  <si>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</si>
  <si>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</si>
  <si>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</si>
  <si>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</si>
  <si>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</si>
  <si>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</si>
  <si>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</si>
  <si>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</si>
  <si>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</si>
  <si>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</si>
  <si>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</si>
  <si>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</si>
  <si>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</si>
  <si>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</si>
  <si>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2 Сантехнические работы</t>
  </si>
  <si>
    <t>27</t>
  </si>
  <si>
    <t>65-19-1</t>
  </si>
  <si>
    <t>Демонтаж радиаторов весом до 80 кг</t>
  </si>
  <si>
    <t>ФЕР-2001, 65-19-1, приказ Минстроя России №1039/пр от 30.12.2016г.</t>
  </si>
  <si>
    <t>Внтуренниие с/техработы:  демонтаж, разборка, промывка</t>
  </si>
  <si>
    <t>28</t>
  </si>
  <si>
    <t>18-03-001-02</t>
  </si>
  <si>
    <t>Установка радиаторов стальных</t>
  </si>
  <si>
    <t>100 квт</t>
  </si>
  <si>
    <t>ФЕР-2001, 18-03-001-02, приказ Минстроя России №1039/пр от 30.12.2016г.</t>
  </si>
  <si>
    <t>Отопление - внутренние устройства</t>
  </si>
  <si>
    <t>ФЕР-18</t>
  </si>
  <si>
    <t>28,1</t>
  </si>
  <si>
    <t>18.5.10.05-0009</t>
  </si>
  <si>
    <t>Радиаторы биметаллические, марка «Rifar-A 500», количество секций 12, мощность 1815 Вт прим.</t>
  </si>
  <si>
    <t>ФССЦ-2001, 18.5.10.05-0009, приказ Минстроя России №1039/пр от 30.12.2016г.</t>
  </si>
  <si>
    <t>28,2</t>
  </si>
  <si>
    <t>18.5.10.06</t>
  </si>
  <si>
    <t>Радиаторы</t>
  </si>
  <si>
    <t>квт</t>
  </si>
  <si>
    <t>29</t>
  </si>
  <si>
    <t>15-04-030-04</t>
  </si>
  <si>
    <t>Масляная окраска металлических поверхностей решеток, переплетов, труб диаметром менее 50 мм и т.п., количество окрасок 2</t>
  </si>
  <si>
    <t>ФЕР-2001, 15-04-030-04, приказ Минстроя России №1039/пр от 30.12.2016г.</t>
  </si>
  <si>
    <t>29,1</t>
  </si>
  <si>
    <t>14.4.02.04</t>
  </si>
  <si>
    <t>Краски для внутренних работ масляные готовые к применению</t>
  </si>
  <si>
    <t>29,2</t>
  </si>
  <si>
    <t>14.4.02.04-0101</t>
  </si>
  <si>
    <t>Краски для внутренних работ масляные готовые к применению МА-15 БИО</t>
  </si>
  <si>
    <t>ФССЦ-2001, 14.4.02.04-0101, приказ Минстроя России №1039/пр от 30.12.2016г.</t>
  </si>
  <si>
    <t>30</t>
  </si>
  <si>
    <t>16-05-001-01</t>
  </si>
  <si>
    <t>Установка вентилей, задвижек, затворов, клапанов обратных, кранов проходных на трубопроводах из стальных труб диаметром до 25 мм</t>
  </si>
  <si>
    <t>ШТ</t>
  </si>
  <si>
    <t>ФЕР-2001, 16-05-001-01, приказ Минстроя России №1039/пр от 30.12.2016г.</t>
  </si>
  <si>
    <t>Трубопроводы внутренние</t>
  </si>
  <si>
    <t>ФЕР-16</t>
  </si>
  <si>
    <t>30,1</t>
  </si>
  <si>
    <t>18.1.09.06-0067</t>
  </si>
  <si>
    <t>Кран шаровый муфтовый Valtec для воды диаметром 20 мм со сгоном</t>
  </si>
  <si>
    <t>ФССЦ-2001, 18.1.09.06-0067, приказ Минстроя России №1039/пр от 30.12.2016г.</t>
  </si>
  <si>
    <t>31</t>
  </si>
  <si>
    <t>65-24-1</t>
  </si>
  <si>
    <t>Проверка на прогрев отопительных приборов с регулировкой</t>
  </si>
  <si>
    <t>ФЕР-2001, 65-24-1, приказ Минстроя России №1039/пр от 30.12.2016г.</t>
  </si>
  <si>
    <t>3 Электромонтажные работы</t>
  </si>
  <si>
    <t>32</t>
  </si>
  <si>
    <t>67-3-1</t>
  </si>
  <si>
    <t>Демонтаж кабеля</t>
  </si>
  <si>
    <t>ФЕР-2001, 67-3-1, приказ Минстроя России №1039/пр от 30.12.2016г.</t>
  </si>
  <si>
    <t>Электромонтажные работы</t>
  </si>
  <si>
    <t>рФЕР-67</t>
  </si>
  <si>
    <t>33</t>
  </si>
  <si>
    <t>м08-02-390-01</t>
  </si>
  <si>
    <t>Демонтаж короба пластмассового  шириной до 40 мм (кабель-канал)</t>
  </si>
  <si>
    <t>ФЕРм-2001, м08-02-390-01, приказ Минстроя России №1039/пр от 30.12.2016г.</t>
  </si>
  <si>
    <t>)*0,3</t>
  </si>
  <si>
    <t>Монтажные работы</t>
  </si>
  <si>
    <t>Электромонтажные работы ,  отдел 01-03 : ( на АЭС  НР = 110% ) - (работы по упр. авиа.- движением:  СП=55% (  {АВИА}=1; обычные работы : СП=65 - {AВИА}=0), при работе на АЭС СП= 68% )</t>
  </si>
  <si>
    <t>мФЕР-08</t>
  </si>
  <si>
    <t>Поправка: МДС 81-37.2004, п.3.2.1.4</t>
  </si>
  <si>
    <t>34</t>
  </si>
  <si>
    <t>м08-03-594-08</t>
  </si>
  <si>
    <t>Демонтаж светильников со светодиодными лампами (на склад для хранения)</t>
  </si>
  <si>
    <t>ФЕРм-2001, м08-03-594-08, приказ Минстроя России №1039/пр от 30.12.2016г.</t>
  </si>
  <si>
    <t>)*0,7</t>
  </si>
  <si>
    <t>Поправка: МДС 81-37.2004, п.3.2.1.1</t>
  </si>
  <si>
    <t>35</t>
  </si>
  <si>
    <t>м08-03-525-09 прим.</t>
  </si>
  <si>
    <t>Демонтаж проектора и проекторной доски :Аппарат штепсельный общего назначения, устанавливаемый на конструкции на стене или колонне, с контактами силовых цепей на ток до 63 А</t>
  </si>
  <si>
    <t>КОМПЛ</t>
  </si>
  <si>
    <t>ФЕРм-2001, м08-03-525-09, приказ Минстроя России №1039/пр от 30.12.2016г.</t>
  </si>
  <si>
    <t>)*0,6</t>
  </si>
  <si>
    <t>Поправка: МДС 81-37.2004, п.3.2.1.2</t>
  </si>
  <si>
    <t>36</t>
  </si>
  <si>
    <t>Аппарат штепсельный общего назначения, устанавливаемый на конструкции на стене или колонне, с контактами силовых цепей на ток до 63 А (проектор и проекторная доска без материалов)</t>
  </si>
  <si>
    <t>37</t>
  </si>
  <si>
    <t>67-4-1</t>
  </si>
  <si>
    <t>Демонтаж выключателей, розеток</t>
  </si>
  <si>
    <t>ФЕР-2001, 67-4-1, приказ Минстроя России №1039/пр от 30.12.2016г.</t>
  </si>
  <si>
    <t>38</t>
  </si>
  <si>
    <t>69-1-2</t>
  </si>
  <si>
    <t>Пробивка отверстий в кирпичных стенах для  вручную при толщине стен в 1 кирпич</t>
  </si>
  <si>
    <t>ФЕР-2001, 69-1-2, приказ Минстроя России №1039/пр от 30.12.2016г.</t>
  </si>
  <si>
    <t>39</t>
  </si>
  <si>
    <t>м08-02-410-02 прим.</t>
  </si>
  <si>
    <t>Труба полиэтиленовая по основанию пола, диаметр до 50 мм (гильзы)</t>
  </si>
  <si>
    <t>ФЕРм-2001, м08-02-410-02, приказ Минстроя России №1039/пр от 30.12.2016г.</t>
  </si>
  <si>
    <t>39,1</t>
  </si>
  <si>
    <t>24.3.03.13-0304</t>
  </si>
  <si>
    <t>Трубы гладкие одностенные легкие из ПНД, диаметром 32 мм</t>
  </si>
  <si>
    <t>10 м</t>
  </si>
  <si>
    <t>ФССЦ-2001, 24.3.03.13-0304, приказ Минстроя России №1039/пр от 30.12.2016г.</t>
  </si>
  <si>
    <t>40</t>
  </si>
  <si>
    <t>м10-08-019-01</t>
  </si>
  <si>
    <t>Коробка ответвительная на стене</t>
  </si>
  <si>
    <t>ФЕРм-2001, м10-08-019-01, приказ Минстроя России №1039/пр от 30.12.2016г.</t>
  </si>
  <si>
    <t>Связь: пожарно-охранная сигнализация и пром. телевиз. установки  ( отделы 8 и 9 ) (при устройстве средств посадки самолетов : НР=95%, СП=55% - {АВИА}=1)</t>
  </si>
  <si>
    <t>мФЕР-10</t>
  </si>
  <si>
    <t>40,1</t>
  </si>
  <si>
    <t>20.5.02.04-0004</t>
  </si>
  <si>
    <t>Коробка ответвительная SchneiderElectrik 100x100x50мм прим.</t>
  </si>
  <si>
    <t>10 шт.</t>
  </si>
  <si>
    <t>ФССЦ-2001, 20.5.02.04-0004, приказ Минстроя России №1039/пр от 30.12.2016г.</t>
  </si>
  <si>
    <t>41</t>
  </si>
  <si>
    <t>м08-02-390-03</t>
  </si>
  <si>
    <t>Прокладка короба пластмассового  шириной до 120 мм</t>
  </si>
  <si>
    <t>ФЕРм-2001, м08-02-390-03, приказ Минстроя России №1039/пр от 30.12.2016г.</t>
  </si>
  <si>
    <t>41,1</t>
  </si>
  <si>
    <t>20.2.05.04-0034</t>
  </si>
  <si>
    <t>Кабель-канал (короб) "Efapel" 100x50 мм</t>
  </si>
  <si>
    <t>ФССЦ-2001, 20.2.05.04-0034, приказ Минстроя России №1039/пр от 30.12.2016г.</t>
  </si>
  <si>
    <t>42</t>
  </si>
  <si>
    <t>м08-10-010-01</t>
  </si>
  <si>
    <t>Прокладка труб гофрированных ПВХ для защиты проводов и кабелей</t>
  </si>
  <si>
    <t>ФЕРм-2001, м08-10-010-01, приказ Минстроя России №1039/пр от 30.12.2016г.</t>
  </si>
  <si>
    <t>42,1</t>
  </si>
  <si>
    <t>24.3.03.05-0012</t>
  </si>
  <si>
    <t>Трубы гибкие гофрированные легкие из ПНД, серии BL, с зондом, диаметром 20 мм</t>
  </si>
  <si>
    <t>ФССЦ-2001, 24.3.03.05-0012, приказ Минстроя России №1039/пр от 30.12.2016г.</t>
  </si>
  <si>
    <t>43</t>
  </si>
  <si>
    <t>м08-02-399-02</t>
  </si>
  <si>
    <t>Прокладка кабеля  в коробах, сечением до 35 мм2</t>
  </si>
  <si>
    <t>ФЕРм-2001, м08-02-399-02, приказ Минстроя России №1039/пр от 30.12.2016г.</t>
  </si>
  <si>
    <t>43,1</t>
  </si>
  <si>
    <t>21.1.06.09-0152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</si>
  <si>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t>
  </si>
  <si>
    <t>1000 м</t>
  </si>
  <si>
    <t>ФССЦ-2001, 21.1.06.09-0152, приказ Минстроя России №1039/пр от 30.12.2016г.</t>
  </si>
  <si>
    <t>1000 М</t>
  </si>
  <si>
    <t>44</t>
  </si>
  <si>
    <t>м08-02-412-03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</si>
  <si>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16 мм2</t>
  </si>
  <si>
    <t>ФЕРм-2001, м08-02-412-03, приказ Минстроя России №1039/пр от 30.12.2016г.</t>
  </si>
  <si>
    <t>44,1</t>
  </si>
  <si>
    <t>45</t>
  </si>
  <si>
    <t>м08-03-591-04</t>
  </si>
  <si>
    <t>Выключатель двухклавишный неутопленного типа при открытой проводке</t>
  </si>
  <si>
    <t>ФЕРм-2001, м08-03-591-04, приказ Минстроя России №1039/пр от 30.12.2016г.</t>
  </si>
  <si>
    <t>45,1</t>
  </si>
  <si>
    <t>20.4.01.01-0011</t>
  </si>
  <si>
    <t>Выключатель двухклавишный для открытой проводки серии "EFAPEL" SBR(45х45 мм), белый, с супортами, прим.</t>
  </si>
  <si>
    <t>ФССЦ-2001, 20.4.01.01-0011, приказ Минстроя России №1039/пр от 30.12.2016г.</t>
  </si>
  <si>
    <t>46</t>
  </si>
  <si>
    <t>м08-03-591-08</t>
  </si>
  <si>
    <t>Розетка штепсельная неутопленного типа при открытой проводке</t>
  </si>
  <si>
    <t>ФЕРм-2001, м08-03-591-08, приказ Минстроя России №1039/пр от 30.12.2016г.</t>
  </si>
  <si>
    <t>46,1</t>
  </si>
  <si>
    <t>20.4.03.05-0004</t>
  </si>
  <si>
    <t>Розетка открытой проводки "EFAPEL" 220В2к+з,(45х45мм),белые с супортами в кабель-канал прим.</t>
  </si>
  <si>
    <t>ФССЦ-2001, 20.4.03.05-0004, приказ Минстроя России №1039/пр от 30.12.2016г.</t>
  </si>
  <si>
    <t>46,2</t>
  </si>
  <si>
    <t>20.4.03.05-0005</t>
  </si>
  <si>
    <t>Розетка  для открытой проводки (согласно тех.задания)</t>
  </si>
  <si>
    <t>ФССЦ-2001, 20.4.03.05-0005, приказ Минстроя России №1039/пр от 30.12.2016г.</t>
  </si>
  <si>
    <t>47</t>
  </si>
  <si>
    <t>м08-02-370-02</t>
  </si>
  <si>
    <t>Щиток до трех групп, устанавливаемый в нише цоколя</t>
  </si>
  <si>
    <t>ФЕРм-2001, м08-02-370-02, приказ Минстроя России №1039/пр от 30.12.2016г.</t>
  </si>
  <si>
    <t>47,1</t>
  </si>
  <si>
    <t>62.1.02.03-0003</t>
  </si>
  <si>
    <t>Щит навесной IEK ШРН-18э1 38,18 модулей ,IP31 с клемником(АВВ) с замком,материал корпуса металл прим.</t>
  </si>
  <si>
    <t>ФССЦ-2001, 62.1.02.03-0003, приказ Минстроя России №1039/пр от 30.12.2016г.</t>
  </si>
  <si>
    <t>48</t>
  </si>
  <si>
    <t>м08-03-526-01</t>
  </si>
  <si>
    <t>Установка автомата  одно-, двух-, трехполюсного , устанавливаемого  на конструкции на стене или колонне, на ток до 25 А</t>
  </si>
  <si>
    <t>ФЕРм-2001, м08-03-526-01, приказ Минстроя России №1039/пр от 30.12.2016г.</t>
  </si>
  <si>
    <t>48,1</t>
  </si>
  <si>
    <t>62.1.01.09-0050</t>
  </si>
  <si>
    <t>Выключатели автоматические АВВ 1Р 16А прим.</t>
  </si>
  <si>
    <t>ФССЦ-2001, 62.1.01.09-0050, приказ Минстроя России №1039/пр от 30.12.2016г.</t>
  </si>
  <si>
    <t>48,2</t>
  </si>
  <si>
    <t>62.1.01.09-0049</t>
  </si>
  <si>
    <t>Выключатели автоматические «АВВ" 1Р 10А прим.</t>
  </si>
  <si>
    <t>ФССЦ-2001, 62.1.01.09-0049, приказ Минстроя России №1039/пр от 30.12.2016г.</t>
  </si>
  <si>
    <t>48,3</t>
  </si>
  <si>
    <t>62.1.01.09-0065</t>
  </si>
  <si>
    <t>Выключатели автоматические «АВВ" 3Р 10А прим.</t>
  </si>
  <si>
    <t>ФССЦ-2001, 62.1.01.09-0065, приказ Минстроя России №1039/пр от 30.12.2016г.</t>
  </si>
  <si>
    <t>48,4</t>
  </si>
  <si>
    <t>62.1.01.09-0067</t>
  </si>
  <si>
    <t>Выключатели автоматические  3Р 25А прим.</t>
  </si>
  <si>
    <t>ФССЦ-2001, 62.1.01.09-0067, приказ Минстроя России №1039/пр от 30.12.2016г.</t>
  </si>
  <si>
    <t>48,5</t>
  </si>
  <si>
    <t>62.1.01.09-0051</t>
  </si>
  <si>
    <t>Выключатели автоматические «АВВ" 1Р 20А прим.</t>
  </si>
  <si>
    <t>ФССЦ-2001, 62.1.01.09-0051, приказ Минстроя России №1039/пр от 30.12.2016г.</t>
  </si>
  <si>
    <t>49</t>
  </si>
  <si>
    <t>м08-03-594-14</t>
  </si>
  <si>
    <t>Установка светильников  в подвесных потолках, устанавливаемый на профиле, количество ламп в светильнике до 4</t>
  </si>
  <si>
    <t>ФЕРм-2001, м08-03-594-14, приказ Минстроя России №1039/пр от 30.12.2016г.</t>
  </si>
  <si>
    <t>49,1</t>
  </si>
  <si>
    <t>20.3.03.07-0099</t>
  </si>
  <si>
    <t>Светильник потолочный со светодиодными лампами  "Oskar LED" ,36Вт,3000Лм,IP40 прим.</t>
  </si>
  <si>
    <t>ФССЦ-2001, 20.3.03.07-0099, приказ Минстроя России №1039/пр от 30.12.2016г.</t>
  </si>
  <si>
    <t>и1</t>
  </si>
  <si>
    <t>Итого</t>
  </si>
  <si>
    <t>и2</t>
  </si>
  <si>
    <t>НДС 18%</t>
  </si>
  <si>
    <t>и3</t>
  </si>
  <si>
    <t>4 Пусконаладочные работы</t>
  </si>
  <si>
    <t>50</t>
  </si>
  <si>
    <t>п01-11-028-01</t>
  </si>
  <si>
    <t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</si>
  <si>
    <t>ФЕРп-2001, п01-11-028-01, приказ Минстроя России №1039/пр от 30.12.2016г.</t>
  </si>
  <si>
    <t>Поправка: МДС 81-40.2006, п.2.7  Наименование: В случае, если монтажные и пусконаладочные работы по какому-либо оборудованию выполняются одним и тем же звеном (бригадой),</t>
  </si>
  <si>
    <t>Пусконаладочные работы</t>
  </si>
  <si>
    <t>Пусконаладочные работы : все сборники, отдел 05 ( диагностика лифтов ) и отдел 06 ( техническое освидетельствование ) сборника мрФЕР-01</t>
  </si>
  <si>
    <t>пФЕРп</t>
  </si>
  <si>
    <t>Поправка: МДС 81-40.2006, п.2.7</t>
  </si>
  <si>
    <t>51</t>
  </si>
  <si>
    <t>п01-11-011-01</t>
  </si>
  <si>
    <t>Проверка наличия цепи между заземлителями и заземленными элементами</t>
  </si>
  <si>
    <t>100 измерений</t>
  </si>
  <si>
    <t>ФЕРп-2001, п01-11-011-01, приказ Минстроя России №1039/пр от 30.12.2016г.</t>
  </si>
  <si>
    <t>52</t>
  </si>
  <si>
    <t>п01-11-013-01</t>
  </si>
  <si>
    <t>Замер полного сопротивления цепи "фаза-нуль"</t>
  </si>
  <si>
    <t>ФЕРп-2001, п01-11-013-01, приказ Минстроя России №1039/пр от 30.12.2016г.</t>
  </si>
  <si>
    <t>53</t>
  </si>
  <si>
    <t>п01-12-021-02</t>
  </si>
  <si>
    <t>Испытание аппарата коммутационного напряжением до 35 кВ (Автоматические выключатели до 1000 В)</t>
  </si>
  <si>
    <t>испытание</t>
  </si>
  <si>
    <t>ФЕРп-2001, п01-12-021-02, приказ Минстроя России №1039/пр от 30.12.2016г.</t>
  </si>
  <si>
    <t>5 АПС</t>
  </si>
  <si>
    <t>54</t>
  </si>
  <si>
    <t>м10-08-002-01</t>
  </si>
  <si>
    <t>Демонтаж:Монтаж извещателя ПС автоматического теплового электро-контактный, магнитоконтактный в нормальном исполнении</t>
  </si>
  <si>
    <t>ФЕРм-2001, м10-08-002-01, приказ Минстроя России №1039/пр от 30.12.2016г.</t>
  </si>
  <si>
    <t>55</t>
  </si>
  <si>
    <t>Монтаж извещателя ПС автоматического теплового электро-контактный, магнитоконтактный в нормальном исполнении</t>
  </si>
  <si>
    <t>55,1</t>
  </si>
  <si>
    <t>61.2.02.01-0072</t>
  </si>
  <si>
    <t>Извещатель пожарный дымовой ИП 212-41М (ДИП-41М) прим.</t>
  </si>
  <si>
    <t>ФССЦ-2001, 61.2.02.01-0072, приказ Минстроя России №1039/пр от 30.12.2016г.</t>
  </si>
  <si>
    <t>56</t>
  </si>
  <si>
    <t>м10-08-001-03</t>
  </si>
  <si>
    <t>Приборы ПС приемно-контрольные, пусковые, концентратор блок линейный</t>
  </si>
  <si>
    <t>10 лучей</t>
  </si>
  <si>
    <t>ФЕРм-2001, м10-08-001-03, приказ Минстроя России №1039/пр от 30.12.2016г.</t>
  </si>
  <si>
    <t>56,1</t>
  </si>
  <si>
    <t>61.2.07.04-0051</t>
  </si>
  <si>
    <t>Устройство контроля шлейфа УКШ-1</t>
  </si>
  <si>
    <t>ФССЦ-2001, 61.2.07.04-0051, приказ Минстроя России №1039/пр от 30.12.2016г.</t>
  </si>
  <si>
    <t>57</t>
  </si>
  <si>
    <t>57,1</t>
  </si>
  <si>
    <t>24.3.03.05-0011</t>
  </si>
  <si>
    <t>Трубы гибкие гофрированные легкие из ПНД, серии BL, с зондом, диаметром 16 мм</t>
  </si>
  <si>
    <t>ФССЦ-2001, 24.3.03.05-0011, приказ Минстроя России №1039/пр от 30.12.2016г.</t>
  </si>
  <si>
    <t>58</t>
  </si>
  <si>
    <t>м08-02-412-02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</si>
  <si>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6 мм2</t>
  </si>
  <si>
    <t>ФЕРм-2001, м08-02-412-02, приказ Минстроя России №1039/пр от 30.12.2016г.</t>
  </si>
  <si>
    <t>58,1</t>
  </si>
  <si>
    <t>21.1.08.01-0151</t>
  </si>
  <si>
    <t>ФССЦ-2001, 21.1.08.01-0151, приказ Минстроя России №1039/пр от 30.12.2016г.</t>
  </si>
  <si>
    <t>59</t>
  </si>
  <si>
    <t>м10-02-054-06</t>
  </si>
  <si>
    <t>Электрическая проверка и настройка оборудования</t>
  </si>
  <si>
    <t>ФЕРм-2001, м10-02-054-06, приказ Минстроя России №1039/пр от 30.12.2016г.</t>
  </si>
  <si>
    <t>Связь:  городская, местная, междугородняя проводная телефонная связь ( отделы 1, 2, 3 ) - ( при уст-ве средств посадки самолетов:  {AВИА}=1 - НР=95%, СП=55% )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</si>
  <si>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</si>
  <si>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</si>
  <si>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</si>
  <si>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</si>
  <si>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</si>
  <si>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</si>
  <si>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</si>
  <si>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</si>
  <si>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</si>
  <si>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</si>
  <si>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</si>
  <si>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</si>
  <si>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</si>
  <si>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</si>
  <si>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</si>
  <si>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</si>
  <si>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</si>
  <si>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</si>
  <si>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</si>
  <si>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</si>
  <si>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</si>
  <si>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</si>
  <si>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</si>
  <si>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</si>
  <si>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</si>
  <si>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</si>
  <si>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</si>
  <si>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</si>
  <si>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</si>
  <si>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</si>
  <si>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</si>
  <si>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</si>
  <si>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</si>
  <si>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</si>
  <si>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</si>
  <si>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</si>
  <si>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</si>
  <si>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</si>
  <si>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</si>
  <si>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</si>
  <si>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</si>
  <si>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</si>
  <si>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</si>
  <si>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</si>
  <si>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</si>
  <si>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</si>
  <si>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</si>
  <si>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</si>
  <si>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</si>
  <si>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</si>
  <si>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</si>
  <si>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</si>
  <si>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</si>
  <si>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</si>
  <si>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</si>
  <si>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</si>
  <si>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</si>
  <si>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</si>
  <si>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</si>
  <si>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</si>
  <si>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</si>
  <si>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Уровень цен</t>
  </si>
  <si>
    <t>Индексы за итогом</t>
  </si>
  <si>
    <t>_OBSM_</t>
  </si>
  <si>
    <t>1-100-20</t>
  </si>
  <si>
    <t>Рабочий среднего разряда 2</t>
  </si>
  <si>
    <t>чел.-ч.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</si>
  <si>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</si>
  <si>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</si>
  <si>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</si>
  <si>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</si>
  <si>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</si>
  <si>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</si>
  <si>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1-100-30</t>
  </si>
  <si>
    <t>Рабочий среднего разряда 3</t>
  </si>
  <si>
    <t>01.7.03.01-0001</t>
  </si>
  <si>
    <t>ФССЦ-2001, 01.7.03.01-0001, приказ Минстроя России №1039/пр от 30.12.2016г.</t>
  </si>
  <si>
    <t>Вода</t>
  </si>
  <si>
    <t>03.1.01.01-0002</t>
  </si>
  <si>
    <t>ФССЦ-2001, 03.1.01.01-0002, приказ Минстроя России №1039/пр от 30.12.2016г.</t>
  </si>
  <si>
    <t>Гипсовые вяжущие, марка Г3</t>
  </si>
  <si>
    <t>91.18.01-012</t>
  </si>
  <si>
    <t>ФСЭМ-2001, 91.18.01-012, приказ Минстроя России №1039/пр от 30.12.2016г.</t>
  </si>
  <si>
    <t>Компрессоры передвижные с электродвигателем давлением 600 кПа (6 ат), производительность до 3,5 м3/мин</t>
  </si>
  <si>
    <t>91.21.10-003</t>
  </si>
  <si>
    <t>ФСЭМ-2001, 91.21.10-003, приказ Минстроя России №1039/пр от 30.12.2016г.</t>
  </si>
  <si>
    <t>Молотки при работе от передвижных компрессорных станций отбойные пневматические</t>
  </si>
  <si>
    <t>91.06.06-046</t>
  </si>
  <si>
    <t>ФСЭМ-2001, 91.06.06-046, приказ Минстроя России №1039/пр от 30.12.2016г.</t>
  </si>
  <si>
    <t>Подъемники одномачтовые, грузоподъемность до 500 кг, высота подъема 25 м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</si>
  <si>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</si>
  <si>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</si>
  <si>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</si>
  <si>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04.3.02.01-0415</t>
  </si>
  <si>
    <t>ФССЦ-2001, 04.3.02.01-0415, приказ Минстроя России №1039/пр от 30.12.2016г.</t>
  </si>
  <si>
    <t>Смеси сухие для наливных полов, марка «Ветонит» 5000</t>
  </si>
  <si>
    <t>14.4.01.02-0113</t>
  </si>
  <si>
    <t>ФССЦ-2001, 14.4.01.02-0113, приказ Минстроя России №1039/пр от 30.12.2016г.</t>
  </si>
  <si>
    <t>Грунтовка акриловая НОРТЕКС-ГРУНТ</t>
  </si>
  <si>
    <t>1-100-36</t>
  </si>
  <si>
    <t>Рабочий среднего разряда 3.6</t>
  </si>
  <si>
    <t>91.21.01-012</t>
  </si>
  <si>
    <t>ФСЭМ-2001, 91.21.01-012, приказ Минстроя России №1039/пр от 30.12.2016г.</t>
  </si>
  <si>
    <t>Агрегаты окрасочные высокого давления для окраски поверхностей конструкций, мощность 1 кВт</t>
  </si>
  <si>
    <t>01.7.20.08-0051</t>
  </si>
  <si>
    <t>ФССЦ-2001, 01.7.20.08-0051, приказ Минстроя России №1039/пр от 30.12.2016г.</t>
  </si>
  <si>
    <t>Ветошь</t>
  </si>
  <si>
    <t>1-100-27</t>
  </si>
  <si>
    <t>Рабочий среднего разряда 2.7</t>
  </si>
  <si>
    <t>01.7.15.04-0048</t>
  </si>
  <si>
    <t>ФССЦ-2001, 01.7.15.04-0048, приказ Минстроя России №1039/пр от 30.12.2016г.</t>
  </si>
  <si>
    <t>Винты самонарезающие остроконечные длиной 35 мм</t>
  </si>
  <si>
    <t>01.7.15.07-0021</t>
  </si>
  <si>
    <t>ФССЦ-2001, 01.7.15.07-0021, приказ Минстроя России №1039/пр от 30.12.2016г.</t>
  </si>
  <si>
    <t>Дюбели распорные полиэтиленовые 6х30 мм</t>
  </si>
  <si>
    <t>1000 шт.</t>
  </si>
  <si>
    <t>1-100-32</t>
  </si>
  <si>
    <t>Рабочий среднего разряда 3.2</t>
  </si>
  <si>
    <t>91.06.05-011</t>
  </si>
  <si>
    <t>ФСЭМ-2001, 91.06.05-011, приказ Минстроя России №1039/пр от 30.12.2016г.</t>
  </si>
  <si>
    <t>Погрузчик, грузоподъемность 5 т</t>
  </si>
  <si>
    <t>91.07.08-024</t>
  </si>
  <si>
    <t>ФСЭМ-2001, 91.07.08-024, приказ Минстроя России №1039/пр от 30.12.2016г.</t>
  </si>
  <si>
    <t>Растворосмесители передвижные 65 л</t>
  </si>
  <si>
    <t>1-100-38</t>
  </si>
  <si>
    <t>Рабочий среднего разряда 3.8</t>
  </si>
  <si>
    <t>01.6.04.02-0011</t>
  </si>
  <si>
    <t>ФССЦ-2001, 01.6.04.02-0011, приказ Минстроя России №1039/пр от 30.12.2016г.</t>
  </si>
  <si>
    <t>Панели потолочные с комплектующими «Армстронг»</t>
  </si>
  <si>
    <t>1-100-28</t>
  </si>
  <si>
    <t>Рабочий среднего разряда 2.8</t>
  </si>
  <si>
    <t>01.7.07.04-0003</t>
  </si>
  <si>
    <t>ФССЦ-2001, 01.7.07.04-0003, приказ Минстроя России №1039/пр от 30.12.2016г.</t>
  </si>
  <si>
    <t>Дисперсия поливинилацетатная гомополимерная грубодисперсная непластифицированная (эмульсия поливинилацетатная)</t>
  </si>
  <si>
    <t>1-100-34</t>
  </si>
  <si>
    <t>Рабочий среднего разряда 3.4</t>
  </si>
  <si>
    <t>01.7.17.11-0011</t>
  </si>
  <si>
    <t>ФССЦ-2001, 01.7.17.11-0011, приказ Минстроя России №1039/пр от 30.12.2016г.</t>
  </si>
  <si>
    <t>Шкурка шлифовальная двухслойная с зернистостью 40-25</t>
  </si>
  <si>
    <t>14.5.11.01-0001</t>
  </si>
  <si>
    <t>ФССЦ-2001, 14.5.11.01-0001, приказ Минстроя России №1039/пр от 30.12.2016г.</t>
  </si>
  <si>
    <t>Шпатлевка клеевая</t>
  </si>
  <si>
    <t>1-100-40</t>
  </si>
  <si>
    <t>Рабочий среднего разряда 4</t>
  </si>
  <si>
    <t>1-100-39</t>
  </si>
  <si>
    <t>Рабочий среднего разряда 3.9</t>
  </si>
  <si>
    <t>01.7.02.10-0005</t>
  </si>
  <si>
    <t>ФССЦ-2001, 01.7.02.10-0005, приказ Минстроя России №1039/пр от 30.12.2016г.</t>
  </si>
  <si>
    <t>Бумага ролевая</t>
  </si>
  <si>
    <t>01.7.15.14-0174</t>
  </si>
  <si>
    <t>ФССЦ-2001, 01.7.15.14-0174, приказ Минстроя России №1039/пр от 30.12.2016г.</t>
  </si>
  <si>
    <t>Шурупы с полукруглой головкой 8x100 мм</t>
  </si>
  <si>
    <t>14.4.03.17-0004</t>
  </si>
  <si>
    <t>ФССЦ-2001, 14.4.03.17-0004, приказ Минстроя России №1039/пр от 30.12.2016г.</t>
  </si>
  <si>
    <t>Лак масляный МА-592</t>
  </si>
  <si>
    <t>14.5.09.07-0031</t>
  </si>
  <si>
    <t>ФССЦ-2001, 14.5.09.07-0031, приказ Минстроя России №1039/пр от 30.12.2016г.</t>
  </si>
  <si>
    <t>Растворитель марки Р-4А</t>
  </si>
  <si>
    <t>08.1.02.11-0001</t>
  </si>
  <si>
    <t>ФССЦ-2001, 08.1.02.11-0001, приказ Минстроя России №1039/пр от 30.12.2016г.</t>
  </si>
  <si>
    <t>Поковки из квадратных заготовок, масса 1,8 кг</t>
  </si>
  <si>
    <t>1-100-35</t>
  </si>
  <si>
    <t>Рабочий среднего разряда 3.5</t>
  </si>
  <si>
    <t>01.2.03.03-0013</t>
  </si>
  <si>
    <t>ФССЦ-2001, 01.2.03.03-0013, приказ Минстроя России №1039/пр от 30.12.2016г.</t>
  </si>
  <si>
    <t>Мастика битумная кровельная горячая</t>
  </si>
  <si>
    <t>01.7.15.06-0111</t>
  </si>
  <si>
    <t>ФССЦ-2001, 01.7.15.06-0111, приказ Минстроя России №1039/пр от 30.12.2016г.</t>
  </si>
  <si>
    <t>Гвозди строительные</t>
  </si>
  <si>
    <t>01.7.15.14-0164</t>
  </si>
  <si>
    <t>ФССЦ-2001, 01.7.15.14-0164, приказ Минстроя России №1039/пр от 30.12.2016г.</t>
  </si>
  <si>
    <t>Шурупы с полукруглой головкой 3,5х35 мм</t>
  </si>
  <si>
    <t>11.1.03.01-0062</t>
  </si>
  <si>
    <t>ФССЦ-2001, 11.1.03.01-0062, приказ Минстроя России №1039/пр от 30.12.2016г.</t>
  </si>
  <si>
    <t>Бруски обрезные хвойных пород длиной 2-3,75 м, шириной 75-150 мм, толщиной 40-75 мм, II сорта</t>
  </si>
  <si>
    <t>12.1.02.14-0001</t>
  </si>
  <si>
    <t>ФССЦ-2001, 12.1.02.14-0001, приказ Минстроя России №1039/пр от 30.12.2016г.</t>
  </si>
  <si>
    <t>Толь с крупнозернистой посыпкой гидроизоляционный марки ТГ-350</t>
  </si>
  <si>
    <t>14.1.01.01-0003</t>
  </si>
  <si>
    <t>ФССЦ-2001, 14.1.01.01-0003, приказ Минстроя России №1039/пр от 30.12.2016г.</t>
  </si>
  <si>
    <t>Клей столярный сухой</t>
  </si>
  <si>
    <t>14.5.01.10-0003</t>
  </si>
  <si>
    <t>ФССЦ-2001, 14.5.01.10-0003, приказ Минстроя России №1039/пр от 30.12.2016г.</t>
  </si>
  <si>
    <t>Пена монтажная</t>
  </si>
  <si>
    <t>л</t>
  </si>
  <si>
    <t>1-100-10</t>
  </si>
  <si>
    <t>Рабочий среднего разряда 1</t>
  </si>
  <si>
    <t>01.7.20.03-0003</t>
  </si>
  <si>
    <t>ФССЦ-2001, 01.7.20.03-0003, приказ Минстроя России №1039/пр от 30.12.2016г.</t>
  </si>
  <si>
    <t>Мешки полипропиленовые (50 кг)</t>
  </si>
  <si>
    <t>1-100-21</t>
  </si>
  <si>
    <t>Рабочий среднего разряда 2.1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</si>
  <si>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</si>
  <si>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</si>
  <si>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</si>
  <si>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91.10.09-011</t>
  </si>
  <si>
    <t>ФСЭМ-2001, 91.10.09-011, приказ Минстроя России №1039/пр от 30.12.2016г.</t>
  </si>
  <si>
    <t>Установки для гидравлических испытаний трубопроводов, давление нагнетания низкое 0,1 МПа (1 кгс/см2), высокое 10 МПа (100 кгс/см2)</t>
  </si>
  <si>
    <t>01.3.05.38-0031</t>
  </si>
  <si>
    <t>ФССЦ-2001, 01.3.05.38-0031, приказ Минстроя России №1039/пр от 30.12.2016г.</t>
  </si>
  <si>
    <t>Водный раствор нитрата и карбоната</t>
  </si>
  <si>
    <t>18.5.08.05-0031</t>
  </si>
  <si>
    <t>ФССЦ-2001, 18.5.08.05-0031, приказ Минстроя России №1039/пр от 30.12.2016г.</t>
  </si>
  <si>
    <t>Кронштейны для радиаторов стальных спаренных марки КР1-РС</t>
  </si>
  <si>
    <t>компл.</t>
  </si>
  <si>
    <t>1-100-33</t>
  </si>
  <si>
    <t>Рабочий среднего разряда 3.3</t>
  </si>
  <si>
    <t>14.5.05.02-0001</t>
  </si>
  <si>
    <t>ФССЦ-2001, 14.5.05.02-0001, приказ Минстроя России №1039/пр от 30.12.2016г.</t>
  </si>
  <si>
    <t>Олифа натуральная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</si>
  <si>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</si>
  <si>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</si>
  <si>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</si>
  <si>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01.1.02.08-0001</t>
  </si>
  <si>
    <t>ФССЦ-2001, 01.1.02.08-0001, приказ Минстроя России №1039/пр от 30.12.2016г.</t>
  </si>
  <si>
    <t>Прокладки из паронита марки ПМБ, толщиной 1 мм, диаметром 50 мм</t>
  </si>
  <si>
    <t>01.7.11.07-0045</t>
  </si>
  <si>
    <t>ФССЦ-2001, 01.7.11.07-0045, приказ Минстроя России №1039/пр от 30.12.2016г.</t>
  </si>
  <si>
    <t>Электроды диаметром 5 мм Э42А</t>
  </si>
  <si>
    <t>01.7.15.03-0013</t>
  </si>
  <si>
    <t>ФССЦ-2001, 01.7.15.03-0013, приказ Минстроя России №1039/пр от 30.12.2016г.</t>
  </si>
  <si>
    <t>Болты с гайками и шайбами для санитарно-технических работ диаметром 12 мм</t>
  </si>
  <si>
    <t>1-100-42</t>
  </si>
  <si>
    <t>Рабочий среднего разряда 4.2</t>
  </si>
  <si>
    <t>24.3.01.01-0002</t>
  </si>
  <si>
    <t>ФССЦ-2001, 24.3.01.01-0002, приказ Минстроя России №1039/пр от 30.12.2016г.</t>
  </si>
  <si>
    <t>Трубка полихлорвиниловая</t>
  </si>
  <si>
    <t>999-9950</t>
  </si>
  <si>
    <t>Вспомогательные ненормируемые материалы (2% от ОЗП)</t>
  </si>
  <si>
    <t>РУБ</t>
  </si>
  <si>
    <t>1-100-45</t>
  </si>
  <si>
    <t>Рабочий среднего разряда 4.5</t>
  </si>
  <si>
    <t>91.21.16-012</t>
  </si>
  <si>
    <t>ФСЭМ-2001, 91.21.16-012, приказ Минстроя России №1039/пр от 30.12.2016г.</t>
  </si>
  <si>
    <t>Пресс гидравлический с электроприводом</t>
  </si>
  <si>
    <t>01.3.01.02-0002</t>
  </si>
  <si>
    <t>ФССЦ-2001, 01.3.01.02-0002, приказ Минстроя России №1039/пр от 30.12.2016г.</t>
  </si>
  <si>
    <t>Вазелин технический</t>
  </si>
  <si>
    <t>01.7.02.09-0002</t>
  </si>
  <si>
    <t>ФССЦ-2001, 01.7.02.09-0002, приказ Минстроя России №1039/пр от 30.12.2016г.</t>
  </si>
  <si>
    <t>Шпагат бумажный</t>
  </si>
  <si>
    <t>01.7.06.05-0041</t>
  </si>
  <si>
    <t>ФССЦ-2001, 01.7.06.05-0041, приказ Минстроя России №1039/пр от 30.12.2016г.</t>
  </si>
  <si>
    <t>Лента изоляционная прорезиненная односторонняя ширина 20 мм, толщина 0,25-0,35 мм</t>
  </si>
  <si>
    <t>01.7.11.07-0034</t>
  </si>
  <si>
    <t>ФССЦ-2001, 01.7.11.07-0034, приказ Минстроя России №1039/пр от 30.12.2016г.</t>
  </si>
  <si>
    <t>Электроды диаметром 4 мм Э42А</t>
  </si>
  <si>
    <t>01.7.15.03-0042</t>
  </si>
  <si>
    <t>ФССЦ-2001, 01.7.15.03-0042, приказ Минстроя России №1039/пр от 30.12.2016г.</t>
  </si>
  <si>
    <t>Болты с гайками и шайбами строительные</t>
  </si>
  <si>
    <t>01.7.15.07-0014</t>
  </si>
  <si>
    <t>ФССЦ-2001, 01.7.15.07-0014, приказ Минстроя России №1039/пр от 30.12.2016г.</t>
  </si>
  <si>
    <t>Дюбели распорные полипропиленовые</t>
  </si>
  <si>
    <t>01.7.20.04-0005</t>
  </si>
  <si>
    <t>ФССЦ-2001, 01.7.20.04-0005, приказ Минстроя России №1039/пр от 30.12.2016г.</t>
  </si>
  <si>
    <t>Нитки швейные</t>
  </si>
  <si>
    <t>07.2.07.04-0007</t>
  </si>
  <si>
    <t>ФССЦ-2001, 07.2.07.04-0007, приказ Минстроя России №1039/пр от 30.12.2016г.</t>
  </si>
  <si>
    <t>Конструкции стальные индивидуальные решетчатые сварные массой до 0,1 т</t>
  </si>
  <si>
    <t>14.4.02.09-0001</t>
  </si>
  <si>
    <t>ФССЦ-2001, 14.4.02.09-0001, приказ Минстроя России №1039/пр от 30.12.2016г.</t>
  </si>
  <si>
    <t>Краска</t>
  </si>
  <si>
    <t>14.4.03.17-0011</t>
  </si>
  <si>
    <t>ФССЦ-2001, 14.4.03.17-0011, приказ Минстроя России №1039/пр от 30.12.2016г.</t>
  </si>
  <si>
    <t>Лак электроизоляционный 318</t>
  </si>
  <si>
    <t>20.1.02.23-0082</t>
  </si>
  <si>
    <t>ФССЦ-2001, 20.1.02.23-0082, приказ Минстроя России №1039/пр от 30.12.2016г.</t>
  </si>
  <si>
    <t>Перемычки гибкие, тип ПГС-50</t>
  </si>
  <si>
    <t>04.3.01.09-0016</t>
  </si>
  <si>
    <t>ФССЦ-2001, 04.3.01.09-0016, приказ Минстроя России №1039/пр от 30.12.2016г.</t>
  </si>
  <si>
    <t>Раствор готовый кладочный цементный марки 200</t>
  </si>
  <si>
    <t>14.1.02.01-0002</t>
  </si>
  <si>
    <t>ФССЦ-2001, 14.1.02.01-0002, приказ Минстроя России №1039/пр от 30.12.2016г.</t>
  </si>
  <si>
    <t>Клей БМК-5к</t>
  </si>
  <si>
    <t>20.2.02.01-0019</t>
  </si>
  <si>
    <t>ФССЦ-2001, 20.2.02.01-0019, приказ Минстроя России №1039/пр от 30.12.2016г.</t>
  </si>
  <si>
    <t>Втулки изолирующие</t>
  </si>
  <si>
    <t>20.2.02.02-0011</t>
  </si>
  <si>
    <t>ФССЦ-2001, 20.2.02.02-0011, приказ Минстроя России №1039/пр от 30.12.2016г.</t>
  </si>
  <si>
    <t>Заглушки</t>
  </si>
  <si>
    <t>20.2.08.05-0017</t>
  </si>
  <si>
    <t>ФССЦ-2001, 20.2.08.05-0017, приказ Минстроя России №1039/пр от 30.12.2016г.</t>
  </si>
  <si>
    <t>Профиль монтажный</t>
  </si>
  <si>
    <t>1-100-41</t>
  </si>
  <si>
    <t>Рабочий среднего разряда 4.1</t>
  </si>
  <si>
    <t>01.7.15.14-0165</t>
  </si>
  <si>
    <t>ФССЦ-2001, 01.7.15.14-0165, приказ Минстроя России №1039/пр от 30.12.2016г.</t>
  </si>
  <si>
    <t>Шурупы с полукруглой головкой 4x40 мм</t>
  </si>
  <si>
    <t>08.3.03.05-0013</t>
  </si>
  <si>
    <t>ФССЦ-2001, 08.3.03.05-0013, приказ Минстроя России №1039/пр от 30.12.2016г.</t>
  </si>
  <si>
    <t>Проволока стальная низкоуглеродистая разного назначения оцинкованная диаметром 1,6 мм</t>
  </si>
  <si>
    <t>01.7.15.07-0022</t>
  </si>
  <si>
    <t>ФССЦ-2001, 01.7.15.07-0022, приказ Минстроя России №1039/пр от 30.12.2016г.</t>
  </si>
  <si>
    <t>Дюбели распорные полиэтиленовые 6х40 мм</t>
  </si>
  <si>
    <t>01.7.15.07-0152</t>
  </si>
  <si>
    <t>ФССЦ-2001, 01.7.15.07-0152, приказ Минстроя России №1039/пр от 30.12.2016г.</t>
  </si>
  <si>
    <t>Дюбель с шурупом 6/35 мм</t>
  </si>
  <si>
    <t>01.7.06.07-0001</t>
  </si>
  <si>
    <t>ФССЦ-2001, 01.7.06.07-0001, приказ Минстроя России №1039/пр от 30.12.2016г.</t>
  </si>
  <si>
    <t>Лента К226</t>
  </si>
  <si>
    <t>01.7.07.20-0002</t>
  </si>
  <si>
    <t>ФССЦ-2001, 01.7.07.20-0002, приказ Минстроя России №1039/пр от 30.12.2016г.</t>
  </si>
  <si>
    <t>Тальк молотый, сорт I</t>
  </si>
  <si>
    <t>20.2.01.05-0005</t>
  </si>
  <si>
    <t>ФССЦ-2001, 20.2.01.05-0005, приказ Минстроя России №1039/пр от 30.12.2016г.</t>
  </si>
  <si>
    <t>Гильза кабельная медная ГМ 16</t>
  </si>
  <si>
    <t>20.2.02.01-0013</t>
  </si>
  <si>
    <t>ФССЦ-2001, 20.2.02.01-0013, приказ Минстроя России №1039/пр от 30.12.2016г.</t>
  </si>
  <si>
    <t>Втулки В28</t>
  </si>
  <si>
    <t>01.7.15.14-0161</t>
  </si>
  <si>
    <t>ФССЦ-2001, 01.7.15.14-0161, приказ Минстроя России №1039/пр от 30.12.2016г.</t>
  </si>
  <si>
    <t>Шурупы с полукруглой головкой 2,5х20 мм</t>
  </si>
  <si>
    <t>1-100-46</t>
  </si>
  <si>
    <t>Рабочий среднего разряда 4.6</t>
  </si>
  <si>
    <t>08.3.07.01-0076</t>
  </si>
  <si>
    <t>ФССЦ-2001, 08.3.07.01-0076, приказ Минстроя России №1039/пр от 30.12.2016г.</t>
  </si>
  <si>
    <t>Сталь полосовая, марка стали Ст3сп шириной 50-200 мм толщиной 4-5 мм</t>
  </si>
  <si>
    <t>2-200-60</t>
  </si>
  <si>
    <t>Электромонтажник-наладчик, разряд VI</t>
  </si>
  <si>
    <t>2-400-30</t>
  </si>
  <si>
    <t>Инженер по наладке и испытаниям, категория III</t>
  </si>
  <si>
    <t>2-300-20</t>
  </si>
  <si>
    <t>Техник по наладке и испытаниям, категория II</t>
  </si>
  <si>
    <t>2-400-20</t>
  </si>
  <si>
    <t>Инженер по наладке и испытаниям, категория II</t>
  </si>
  <si>
    <t>01.3.05.17-0002</t>
  </si>
  <si>
    <t>ФССЦ-2001, 01.3.05.17-0002, приказ Минстроя России №1039/пр от 30.12.2016г.</t>
  </si>
  <si>
    <t>Канифоль сосновая</t>
  </si>
  <si>
    <t>01.7.15.07-0012</t>
  </si>
  <si>
    <t>ФССЦ-2001, 01.7.15.07-0012, приказ Минстроя России №1039/пр от 30.12.2016г.</t>
  </si>
  <si>
    <t>Дюбели пластмассовые с шурупами 12х70 мм</t>
  </si>
  <si>
    <t>10.3.02.03-0012</t>
  </si>
  <si>
    <t>ФССЦ-2001, 10.3.02.03-0012, приказ Минстроя России №1039/пр от 30.12.2016г.</t>
  </si>
  <si>
    <t>Припои оловянно-свинцовые бессурьмянистые марки ПОС40</t>
  </si>
  <si>
    <t>14.1.04.02-0002</t>
  </si>
  <si>
    <t>ФССЦ-2001, 14.1.04.02-0002, приказ Минстроя России №1039/пр от 30.12.2016г.</t>
  </si>
  <si>
    <t>Клей 88-СА</t>
  </si>
  <si>
    <t>20.2.01.05-0003</t>
  </si>
  <si>
    <t>ФССЦ-2001, 20.2.01.05-0003, приказ Минстроя России №1039/пр от 30.12.2016г.</t>
  </si>
  <si>
    <t>Гильза кабельная медная ГМ 6</t>
  </si>
  <si>
    <t>20.2.02.01-0012</t>
  </si>
  <si>
    <t>ФССЦ-2001, 20.2.02.01-0012, приказ Минстроя России №1039/пр от 30.12.2016г.</t>
  </si>
  <si>
    <t>Втулки В22</t>
  </si>
  <si>
    <t>1-100-50</t>
  </si>
  <si>
    <t>Рабочий среднего разряда 5</t>
  </si>
  <si>
    <t>01.7.07.07</t>
  </si>
  <si>
    <t>Строительный мусор</t>
  </si>
  <si>
    <t>19.2.03.09</t>
  </si>
  <si>
    <t>Решетки жалюзийные</t>
  </si>
  <si>
    <t>03.2.02.11</t>
  </si>
  <si>
    <t>Цемент</t>
  </si>
  <si>
    <t>04.3.02.13</t>
  </si>
  <si>
    <t>Пескоцементная смесь</t>
  </si>
  <si>
    <t>11.2.09.07</t>
  </si>
  <si>
    <t>Плиты древесностружечные</t>
  </si>
  <si>
    <t>01.7.15.07</t>
  </si>
  <si>
    <t>Дюбели распорные полиэтиленовые</t>
  </si>
  <si>
    <t>01.7.15.14</t>
  </si>
  <si>
    <t>Шурупы строительные</t>
  </si>
  <si>
    <t>18.2.06.04</t>
  </si>
  <si>
    <t>Гарнитура туалетная</t>
  </si>
  <si>
    <t>18.1.01.01</t>
  </si>
  <si>
    <t>Арматура трубопроводная фланцевая</t>
  </si>
  <si>
    <t>23.8.03.12</t>
  </si>
  <si>
    <t>Фланцы стальные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</si>
  <si>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</si>
  <si>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Поправка: МДС 81-35.2004, п.4.9  Наименование: По работам, в технологии производства которых предусмотрена сварка металлоконструкций, металлопроката, стальных труб, листового металла, закладных деталей и др. металлоизделий, элементные сметные нормы и единичные расценки разработаны из условия применения углеродистой стали.При применении нержавеющей стали</t>
  </si>
  <si>
    <t>Поправка: МДС 81-37.2004, п.3.2.1.4  Наименование: Для оборудования легковесного, габаритного, поступающего на стройку в собранном виде, при монтаже которого отсутствуют работы по сварке, демонтаж при условии что оборудование не подлежит дальнейшему использованию (предназначено в лом)  без разборки и резки</t>
  </si>
  <si>
    <t>Поправка: МДС 81-37.2004, п.3.2.1.1  Наименование: Для оборудования легковесного, габаритного, поступающего на стройку в собранном виде, при монтаже которого отсутствуют работы по сварке, демонтаж при условии что оборудование подлежит дальнейшему использованию, со снятием с места установки, необходимой (частичной) разборкой и консервированием с целью длительного или кратковременного хранения</t>
  </si>
  <si>
    <t>Поправка: МДС 81-37.2004, п.3.2.1.2  Наименование: Для оборудования легковесного, габаритного, поступающего на стройку в собранном виде, при монтаже которого отсутствуют работы по сварке, демонтаж при условии что оборудование подлежит дальнейшему использованию, без надобности хранения (перемещается в цеху на другое место установки и т.п.)</t>
  </si>
  <si>
    <t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ПВХ, не распространяющий горение, с низким дымо- и газовыделением, с экраном из алюмолавсановой ленты, марки КПСЭнг-FRLS 1х2х0,75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</si>
  <si>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</si>
  <si>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</si>
  <si>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</si>
  <si>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</si>
  <si>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</si>
  <si>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</si>
  <si>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</si>
  <si>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</si>
  <si>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</si>
  <si>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</si>
  <si>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</si>
  <si>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</si>
  <si>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</si>
  <si>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</si>
  <si>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</si>
  <si>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</si>
  <si>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</si>
  <si>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</si>
  <si>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</si>
  <si>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</si>
  <si>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</si>
  <si>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</si>
  <si>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</si>
  <si>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III квартал 2018 года</t>
  </si>
  <si>
    <t>Зарплата</t>
  </si>
  <si>
    <t>НР от ФОТ</t>
  </si>
  <si>
    <t>%</t>
  </si>
  <si>
    <t>СП от ФОТ</t>
  </si>
  <si>
    <t>Затраты труда</t>
  </si>
  <si>
    <t>чел-ч</t>
  </si>
  <si>
    <t>в т.ч. зарплата машинистов</t>
  </si>
  <si>
    <t>Материальные ресурсы</t>
  </si>
  <si>
    <t>к нр *10</t>
  </si>
  <si>
    <t>СМЕТА</t>
  </si>
  <si>
    <t>на ремонт помещений учебных аудиторий №3, №8, №11, №12, №13 3-го этажа корпуса "К" НИЯУ МИФИ по адресу: г. Москва, Каширское шоссе, д.31, стр.46</t>
  </si>
  <si>
    <t>Приложение 1 к форме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</si>
</sst>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\-\ #,##0.00"/>
  </numFmts>
  <fonts count="18" x14ac:knownFonts="1">
    <font>
      <sz val="10"/>
      <name val="Arial"/>
      <charset val="204"/>
    </font>
    <font>
      <b/>
      <sz val="10"/>
      <color indexed="12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9"/>
      <name val="Arial"/>
      <family val="2"/>
      <charset val="204"/>
    </font>
    <font>
      <i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10" fillId="0" borderId="0" xfId="0" applyFont="1"/>
    <xf numFmtId="0" fontId="11" fillId="0" borderId="0" xfId="0" applyFont="1" applyAlignment="1">
      <alignment horizontal="right"/>
    </xf>
    <xf numFmtId="0" fontId="11" fillId="0" borderId="0" xfId="0" applyFont="1"/>
    <xf numFmtId="0" fontId="11" fillId="0" borderId="0" xfId="0" applyFont="1" applyBorder="1" applyAlignment="1">
      <alignment wrapText="1"/>
    </xf>
    <xf numFmtId="0" fontId="14" fillId="0" borderId="0" xfId="0" applyFont="1" applyAlignment="1">
      <alignment vertical="center" wrapText="1"/>
    </xf>
    <xf numFmtId="0" fontId="13" fillId="0" borderId="0" xfId="0" applyFont="1" applyBorder="1" applyAlignment="1">
      <alignment horizontal="center" wrapText="1"/>
    </xf>
    <xf numFmtId="0" fontId="14" fillId="0" borderId="0" xfId="0" applyFont="1" applyBorder="1" applyAlignment="1">
      <alignment wrapText="1"/>
    </xf>
    <xf numFmtId="0" fontId="11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9" fillId="0" borderId="0" xfId="0" applyFont="1" applyAlignment="1">
      <alignment wrapText="1"/>
    </xf>
    <xf numFmtId="164" fontId="0" fillId="0" borderId="0" xfId="0" applyNumberFormat="1"/>
    <xf numFmtId="0" fontId="14" fillId="0" borderId="0" xfId="0" applyFont="1"/>
    <xf numFmtId="0" fontId="11" fillId="0" borderId="0" xfId="0" applyFont="1" applyAlignment="1">
      <alignment horizontal="left" wrapText="1"/>
    </xf>
    <xf numFmtId="0" fontId="17" fillId="0" borderId="0" xfId="0" applyFont="1" applyAlignment="1">
      <alignment horizontal="right" wrapText="1"/>
    </xf>
    <xf numFmtId="164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0" fontId="9" fillId="0" borderId="0" xfId="0" applyFont="1" applyAlignment="1">
      <alignment horizontal="right" wrapText="1"/>
    </xf>
    <xf numFmtId="0" fontId="17" fillId="0" borderId="2" xfId="0" applyFont="1" applyBorder="1" applyAlignment="1">
      <alignment horizontal="right" wrapText="1"/>
    </xf>
    <xf numFmtId="0" fontId="11" fillId="0" borderId="2" xfId="0" applyFont="1" applyBorder="1" applyAlignment="1">
      <alignment horizontal="right"/>
    </xf>
    <xf numFmtId="164" fontId="11" fillId="0" borderId="2" xfId="0" applyNumberFormat="1" applyFont="1" applyBorder="1" applyAlignment="1">
      <alignment horizontal="right"/>
    </xf>
    <xf numFmtId="0" fontId="11" fillId="0" borderId="2" xfId="0" applyFont="1" applyBorder="1" applyAlignment="1">
      <alignment horizontal="right" wrapText="1"/>
    </xf>
    <xf numFmtId="164" fontId="10" fillId="0" borderId="2" xfId="0" applyNumberFormat="1" applyFont="1" applyBorder="1" applyAlignment="1">
      <alignment horizontal="right"/>
    </xf>
    <xf numFmtId="164" fontId="16" fillId="0" borderId="0" xfId="0" applyNumberFormat="1" applyFont="1" applyAlignment="1">
      <alignment horizontal="right"/>
    </xf>
    <xf numFmtId="164" fontId="17" fillId="0" borderId="0" xfId="0" applyNumberFormat="1" applyFont="1" applyAlignment="1">
      <alignment horizontal="right"/>
    </xf>
    <xf numFmtId="164" fontId="10" fillId="0" borderId="0" xfId="0" applyNumberFormat="1" applyFont="1" applyAlignment="1">
      <alignment horizontal="right"/>
    </xf>
    <xf numFmtId="0" fontId="11" fillId="0" borderId="2" xfId="0" quotePrefix="1" applyFont="1" applyBorder="1" applyAlignment="1">
      <alignment horizontal="right" wrapText="1"/>
    </xf>
    <xf numFmtId="0" fontId="10" fillId="0" borderId="2" xfId="0" applyFont="1" applyBorder="1" applyAlignment="1">
      <alignment horizontal="right"/>
    </xf>
    <xf numFmtId="0" fontId="11" fillId="0" borderId="0" xfId="0" quotePrefix="1" applyFont="1" applyAlignment="1">
      <alignment horizontal="right" wrapText="1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11" fillId="0" borderId="2" xfId="0" applyFont="1" applyBorder="1" applyAlignment="1">
      <alignment horizontal="left" vertical="top"/>
    </xf>
    <xf numFmtId="0" fontId="11" fillId="0" borderId="2" xfId="0" applyFont="1" applyBorder="1" applyAlignment="1">
      <alignment horizontal="left" vertical="top" wrapText="1"/>
    </xf>
    <xf numFmtId="164" fontId="9" fillId="0" borderId="0" xfId="0" applyNumberFormat="1" applyFont="1" applyAlignment="1">
      <alignment horizontal="left"/>
    </xf>
    <xf numFmtId="0" fontId="15" fillId="0" borderId="2" xfId="0" applyFont="1" applyBorder="1" applyAlignment="1">
      <alignment horizontal="center" wrapText="1"/>
    </xf>
    <xf numFmtId="0" fontId="14" fillId="0" borderId="0" xfId="0" applyFont="1" applyAlignment="1">
      <alignment horizontal="left" wrapText="1"/>
    </xf>
    <xf numFmtId="164" fontId="14" fillId="0" borderId="1" xfId="0" applyNumberFormat="1" applyFont="1" applyBorder="1" applyAlignment="1">
      <alignment horizontal="right"/>
    </xf>
    <xf numFmtId="0" fontId="12" fillId="0" borderId="0" xfId="0" applyFont="1" applyAlignment="1">
      <alignment horizontal="center" wrapText="1"/>
    </xf>
    <xf numFmtId="164" fontId="14" fillId="0" borderId="0" xfId="0" applyNumberFormat="1" applyFont="1" applyAlignment="1">
      <alignment horizontal="right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right" wrapText="1"/>
    </xf>
    <xf numFmtId="0" fontId="14" fillId="0" borderId="0" xfId="0" applyFont="1" applyAlignment="1">
      <alignment horizontal="right"/>
    </xf>
    <xf numFmtId="164" fontId="11" fillId="0" borderId="0" xfId="0" applyNumberFormat="1" applyFont="1" applyAlignment="1">
      <alignment horizontal="right"/>
    </xf>
    <xf numFmtId="0" fontId="11" fillId="0" borderId="0" xfId="0" applyFont="1"/>
    <xf numFmtId="0" fontId="11" fillId="0" borderId="2" xfId="0" applyFont="1" applyBorder="1" applyAlignment="1">
      <alignment horizontal="left"/>
    </xf>
    <xf numFmtId="0" fontId="11" fillId="0" borderId="0" xfId="0" applyFont="1" applyAlignment="1">
      <alignment horizontal="right"/>
    </xf>
    <xf numFmtId="0" fontId="13" fillId="0" borderId="0" xfId="0" applyFont="1" applyBorder="1" applyAlignment="1">
      <alignment horizontal="center" wrapText="1"/>
    </xf>
    <xf numFmtId="0" fontId="15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 vertical="top" wrapTex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599"/>
  <sheetViews>
    <sheetView tabSelected="1" zoomScale="70" zoomScaleNormal="70" workbookViewId="0">
      <selection activeCell="AK10" sqref="AK10"/>
    </sheetView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29" width="0" hidden="1" customWidth="1"/>
    <col min="30" max="30" width="147.7109375" hidden="1" customWidth="1"/>
    <col min="31" max="36" width="0" hidden="1" customWidth="1"/>
  </cols>
  <sheetData>
    <row r="1" spans="1:30" x14ac:dyDescent="0.2">
      <c r="A1" s="9" t="str">
        <f>Source!B1</f>
        <v>Smeta.RU  (495) 974-1589</v>
      </c>
      <c r="I1" t="s">
        <v>1000</v>
      </c>
    </row>
    <row r="2" spans="1:30" ht="14.25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1"/>
      <c r="L2" s="11"/>
    </row>
    <row r="3" spans="1:30" ht="14.25" x14ac:dyDescent="0.2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</row>
    <row r="4" spans="1:30" ht="15.75" x14ac:dyDescent="0.25">
      <c r="A4" s="13"/>
      <c r="B4" s="57" t="s">
        <v>998</v>
      </c>
      <c r="C4" s="57"/>
      <c r="D4" s="57"/>
      <c r="E4" s="57"/>
      <c r="F4" s="57"/>
      <c r="G4" s="57"/>
      <c r="H4" s="57"/>
      <c r="I4" s="57"/>
      <c r="J4" s="57"/>
      <c r="K4" s="57"/>
      <c r="L4" s="13"/>
    </row>
    <row r="5" spans="1:30" ht="15.75" x14ac:dyDescent="0.25">
      <c r="A5" s="13"/>
      <c r="B5" s="14"/>
      <c r="C5" s="14"/>
      <c r="D5" s="14"/>
      <c r="E5" s="14"/>
      <c r="F5" s="14"/>
      <c r="G5" s="14"/>
      <c r="H5" s="14"/>
      <c r="I5" s="14"/>
      <c r="J5" s="14"/>
      <c r="K5" s="14"/>
      <c r="L5" s="13"/>
    </row>
    <row r="6" spans="1:30" ht="18" hidden="1" x14ac:dyDescent="0.25">
      <c r="A6" s="13"/>
      <c r="B6" s="58" t="str">
        <f>IF(Source!G20&lt;&gt;"Новая локальная смета", Source!G20, "")</f>
        <v/>
      </c>
      <c r="C6" s="58"/>
      <c r="D6" s="58"/>
      <c r="E6" s="58"/>
      <c r="F6" s="58"/>
      <c r="G6" s="58"/>
      <c r="H6" s="58"/>
      <c r="I6" s="58"/>
      <c r="J6" s="58"/>
      <c r="K6" s="58"/>
      <c r="L6" s="13"/>
    </row>
    <row r="7" spans="1:30" ht="14.25" hidden="1" x14ac:dyDescent="0.2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1:30" ht="36" x14ac:dyDescent="0.25">
      <c r="A8" s="11"/>
      <c r="B8" s="58" t="str">
        <f>IF(Source!G12&lt;&gt;"Новый объект", Source!G12, "")</f>
        <v>на ремонт помещений учебных аудиторий №3, №8, №11, №12, №13 3-го этажа корпуса "К" НИЯУ МИФИ по адресу: г. Москва, Каширское шоссе, д.31, стр.46</v>
      </c>
      <c r="C8" s="58"/>
      <c r="D8" s="58"/>
      <c r="E8" s="58"/>
      <c r="F8" s="58"/>
      <c r="G8" s="58"/>
      <c r="H8" s="58"/>
      <c r="I8" s="58"/>
      <c r="J8" s="58"/>
      <c r="K8" s="58"/>
      <c r="L8" s="15"/>
      <c r="AD8" s="45" t="str">
        <f>IF(Source!G12&lt;&gt;"Новый объект", Source!G12, "")</f>
        <v>на ремонт помещений учебных аудиторий №3, №8, №11, №12, №13 3-го этажа корпуса "К" НИЯУ МИФИ по адресу: г. Москва, Каширское шоссе, д.31, стр.46</v>
      </c>
    </row>
    <row r="9" spans="1:30" ht="14.25" x14ac:dyDescent="0.2">
      <c r="A9" s="11"/>
      <c r="B9" s="59"/>
      <c r="C9" s="59"/>
      <c r="D9" s="59"/>
      <c r="E9" s="59"/>
      <c r="F9" s="59"/>
      <c r="G9" s="59"/>
      <c r="H9" s="59"/>
      <c r="I9" s="59"/>
      <c r="J9" s="59"/>
      <c r="K9" s="59"/>
      <c r="L9" s="12"/>
    </row>
    <row r="10" spans="1:30" ht="14.25" x14ac:dyDescent="0.2">
      <c r="A10" s="60" t="str">
        <f>CONCATENATE("Основание: ", Source!J20)</f>
        <v xml:space="preserve">Основание: </v>
      </c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</row>
    <row r="11" spans="1:30" ht="14.25" x14ac:dyDescent="0.2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</row>
    <row r="12" spans="1:30" ht="14.25" x14ac:dyDescent="0.2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</row>
    <row r="13" spans="1:30" ht="14.25" x14ac:dyDescent="0.2">
      <c r="A13" s="11"/>
      <c r="B13" s="11"/>
      <c r="C13" s="11"/>
      <c r="D13" s="11"/>
      <c r="E13" s="16"/>
      <c r="F13" s="16"/>
      <c r="G13" s="61" t="s">
        <v>965</v>
      </c>
      <c r="H13" s="61"/>
      <c r="I13" s="61" t="s">
        <v>966</v>
      </c>
      <c r="J13" s="61"/>
      <c r="K13" s="11"/>
      <c r="L13" s="11"/>
    </row>
    <row r="14" spans="1:30" ht="15" x14ac:dyDescent="0.25">
      <c r="A14" s="11"/>
      <c r="B14" s="11"/>
      <c r="C14" s="52" t="s">
        <v>967</v>
      </c>
      <c r="D14" s="52"/>
      <c r="E14" s="52"/>
      <c r="F14" s="52"/>
      <c r="G14" s="53">
        <f>SUM(O25:O595)/1000</f>
        <v>266.72235999999992</v>
      </c>
      <c r="H14" s="53"/>
      <c r="I14" s="53">
        <f>(Source!F345/1000)</f>
        <v>2153.75207</v>
      </c>
      <c r="J14" s="53"/>
      <c r="K14" s="54" t="s">
        <v>968</v>
      </c>
      <c r="L14" s="54"/>
    </row>
    <row r="15" spans="1:30" ht="14.25" x14ac:dyDescent="0.2">
      <c r="A15" s="11"/>
      <c r="B15" s="11"/>
      <c r="C15" s="56" t="s">
        <v>969</v>
      </c>
      <c r="D15" s="56"/>
      <c r="E15" s="56"/>
      <c r="F15" s="56"/>
      <c r="G15" s="53">
        <f>SUM(W25:W595)/1000</f>
        <v>175.75459000000009</v>
      </c>
      <c r="H15" s="53"/>
      <c r="I15" s="53">
        <f>(Source!F332)/1000</f>
        <v>1179.66318</v>
      </c>
      <c r="J15" s="53"/>
      <c r="K15" s="54" t="s">
        <v>968</v>
      </c>
      <c r="L15" s="54"/>
    </row>
    <row r="16" spans="1:30" ht="14.25" x14ac:dyDescent="0.2">
      <c r="A16" s="11"/>
      <c r="B16" s="11"/>
      <c r="C16" s="56" t="s">
        <v>970</v>
      </c>
      <c r="D16" s="56"/>
      <c r="E16" s="56"/>
      <c r="F16" s="56"/>
      <c r="G16" s="53">
        <f>SUM(X25:X595)/1000</f>
        <v>88.195139999999995</v>
      </c>
      <c r="H16" s="53"/>
      <c r="I16" s="53">
        <f>(Source!F333)/1000</f>
        <v>591.78931999999998</v>
      </c>
      <c r="J16" s="53"/>
      <c r="K16" s="54" t="s">
        <v>968</v>
      </c>
      <c r="L16" s="54"/>
    </row>
    <row r="17" spans="1:22" ht="14.25" x14ac:dyDescent="0.2">
      <c r="A17" s="11"/>
      <c r="B17" s="11"/>
      <c r="C17" s="56" t="s">
        <v>971</v>
      </c>
      <c r="D17" s="56"/>
      <c r="E17" s="56"/>
      <c r="F17" s="56"/>
      <c r="G17" s="53">
        <f>SUM(Y25:Y595)/1000</f>
        <v>0</v>
      </c>
      <c r="H17" s="53"/>
      <c r="I17" s="53">
        <f>(Source!F324)/1000</f>
        <v>0</v>
      </c>
      <c r="J17" s="53"/>
      <c r="K17" s="54" t="s">
        <v>968</v>
      </c>
      <c r="L17" s="54"/>
    </row>
    <row r="18" spans="1:22" ht="14.25" x14ac:dyDescent="0.2">
      <c r="A18" s="11"/>
      <c r="B18" s="11"/>
      <c r="C18" s="56" t="s">
        <v>972</v>
      </c>
      <c r="D18" s="56"/>
      <c r="E18" s="56"/>
      <c r="F18" s="56"/>
      <c r="G18" s="53">
        <f>SUM(Z25:Z595)/1000</f>
        <v>2.7726299999999999</v>
      </c>
      <c r="H18" s="53"/>
      <c r="I18" s="53">
        <f>(Source!F334+Source!F335)/1000</f>
        <v>53.761120000000005</v>
      </c>
      <c r="J18" s="53"/>
      <c r="K18" s="54" t="s">
        <v>968</v>
      </c>
      <c r="L18" s="54"/>
    </row>
    <row r="19" spans="1:22" ht="15" x14ac:dyDescent="0.25">
      <c r="A19" s="11"/>
      <c r="B19" s="11"/>
      <c r="C19" s="52" t="s">
        <v>973</v>
      </c>
      <c r="D19" s="52"/>
      <c r="E19" s="52"/>
      <c r="F19" s="52"/>
      <c r="G19" s="53">
        <f>I19</f>
        <v>1776.3495031999998</v>
      </c>
      <c r="H19" s="53"/>
      <c r="I19" s="53">
        <f>(Source!F337+Source!F338)</f>
        <v>1776.3495031999998</v>
      </c>
      <c r="J19" s="53"/>
      <c r="K19" s="54" t="s">
        <v>974</v>
      </c>
      <c r="L19" s="54"/>
    </row>
    <row r="20" spans="1:22" ht="15" x14ac:dyDescent="0.25">
      <c r="A20" s="11"/>
      <c r="B20" s="11"/>
      <c r="C20" s="52" t="s">
        <v>975</v>
      </c>
      <c r="D20" s="52"/>
      <c r="E20" s="52"/>
      <c r="F20" s="52"/>
      <c r="G20" s="53">
        <f>SUM(R25:R595)/1000</f>
        <v>16.506580000000003</v>
      </c>
      <c r="H20" s="53"/>
      <c r="I20" s="53">
        <f>(Source!F330+ Source!F329)/1000</f>
        <v>127.90888000000001</v>
      </c>
      <c r="J20" s="53"/>
      <c r="K20" s="54" t="s">
        <v>968</v>
      </c>
      <c r="L20" s="54"/>
    </row>
    <row r="21" spans="1:22" ht="14.25" x14ac:dyDescent="0.2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</row>
    <row r="22" spans="1:22" ht="14.25" x14ac:dyDescent="0.2">
      <c r="A22" s="55" t="s">
        <v>988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</row>
    <row r="23" spans="1:22" ht="57" x14ac:dyDescent="0.2">
      <c r="A23" s="17" t="s">
        <v>976</v>
      </c>
      <c r="B23" s="17" t="s">
        <v>977</v>
      </c>
      <c r="C23" s="17" t="s">
        <v>978</v>
      </c>
      <c r="D23" s="17" t="s">
        <v>979</v>
      </c>
      <c r="E23" s="17" t="s">
        <v>980</v>
      </c>
      <c r="F23" s="17" t="s">
        <v>981</v>
      </c>
      <c r="G23" s="17" t="s">
        <v>982</v>
      </c>
      <c r="H23" s="17" t="s">
        <v>983</v>
      </c>
      <c r="I23" s="17" t="s">
        <v>984</v>
      </c>
      <c r="J23" s="17" t="s">
        <v>985</v>
      </c>
      <c r="K23" s="17" t="s">
        <v>986</v>
      </c>
      <c r="L23" s="17" t="s">
        <v>987</v>
      </c>
    </row>
    <row r="24" spans="1:22" ht="14.25" x14ac:dyDescent="0.2">
      <c r="A24" s="18">
        <v>1</v>
      </c>
      <c r="B24" s="18">
        <v>2</v>
      </c>
      <c r="C24" s="18">
        <v>3</v>
      </c>
      <c r="D24" s="18">
        <v>4</v>
      </c>
      <c r="E24" s="18">
        <v>5</v>
      </c>
      <c r="F24" s="18">
        <v>6</v>
      </c>
      <c r="G24" s="18">
        <v>7</v>
      </c>
      <c r="H24" s="18">
        <v>8</v>
      </c>
      <c r="I24" s="18">
        <v>9</v>
      </c>
      <c r="J24" s="18">
        <v>10</v>
      </c>
      <c r="K24" s="18">
        <v>11</v>
      </c>
      <c r="L24" s="19">
        <v>12</v>
      </c>
    </row>
    <row r="26" spans="1:22" ht="16.5" x14ac:dyDescent="0.25">
      <c r="A26" s="48" t="str">
        <f>CONCATENATE("Раздел: ",IF(Source!G24&lt;&gt;"Новый раздел", Source!G24, ""))</f>
        <v>Раздел: 1 Общестроительные работы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</row>
    <row r="27" spans="1:22" ht="28.5" x14ac:dyDescent="0.2">
      <c r="A27" s="40" t="str">
        <f>Source!E28</f>
        <v>1</v>
      </c>
      <c r="B27" s="41" t="str">
        <f>Source!F28</f>
        <v>57-3-1</v>
      </c>
      <c r="C27" s="41" t="str">
        <f>Source!G28</f>
        <v>Разборка плинтусов деревянных и из пластмассовых материалов</v>
      </c>
      <c r="D27" s="24" t="str">
        <f>Source!H28</f>
        <v>100 м</v>
      </c>
      <c r="E27" s="10">
        <f>Source!I28</f>
        <v>1.2545999999999999</v>
      </c>
      <c r="F27" s="25">
        <f>Source!AL28+Source!AM28+Source!AO28</f>
        <v>29.41</v>
      </c>
      <c r="G27" s="26"/>
      <c r="H27" s="25"/>
      <c r="I27" s="26" t="str">
        <f>Source!BO28</f>
        <v/>
      </c>
      <c r="J27" s="26"/>
      <c r="K27" s="25"/>
      <c r="L27" s="27"/>
      <c r="S27">
        <f>ROUND((Source!FX28/100)*((ROUND(Source!AF28*Source!I28, 2)+ROUND(Source!AE28*Source!I28, 2))), 2)</f>
        <v>29.52</v>
      </c>
      <c r="T27">
        <f>Source!X28</f>
        <v>198.06</v>
      </c>
      <c r="U27">
        <f>ROUND((Source!FY28/100)*((ROUND(Source!AF28*Source!I28, 2)+ROUND(Source!AE28*Source!I28, 2))), 2)</f>
        <v>25.09</v>
      </c>
      <c r="V27">
        <f>Source!Y28</f>
        <v>168.35</v>
      </c>
    </row>
    <row r="28" spans="1:22" x14ac:dyDescent="0.2">
      <c r="C28" s="20" t="str">
        <f>"Объем: "&amp;Source!I28&amp;"=125,46/"&amp;"100"</f>
        <v>Объем: 1,2546=125,46/100</v>
      </c>
    </row>
    <row r="29" spans="1:22" ht="14.25" x14ac:dyDescent="0.2">
      <c r="A29" s="40"/>
      <c r="B29" s="41"/>
      <c r="C29" s="41" t="s">
        <v>989</v>
      </c>
      <c r="D29" s="24"/>
      <c r="E29" s="10"/>
      <c r="F29" s="25">
        <f>Source!AO28</f>
        <v>29.41</v>
      </c>
      <c r="G29" s="26" t="str">
        <f>Source!DG28</f>
        <v/>
      </c>
      <c r="H29" s="25">
        <f>ROUND(Source!AF28*Source!I28, 2)</f>
        <v>36.9</v>
      </c>
      <c r="I29" s="26"/>
      <c r="J29" s="26">
        <f>IF(Source!BA28&lt;&gt; 0, Source!BA28, 1)</f>
        <v>6.71</v>
      </c>
      <c r="K29" s="25">
        <f>Source!S28</f>
        <v>247.58</v>
      </c>
      <c r="L29" s="27"/>
      <c r="R29">
        <f>H29</f>
        <v>36.9</v>
      </c>
    </row>
    <row r="30" spans="1:22" ht="14.25" x14ac:dyDescent="0.2">
      <c r="A30" s="40"/>
      <c r="B30" s="41"/>
      <c r="C30" s="41" t="s">
        <v>990</v>
      </c>
      <c r="D30" s="24" t="s">
        <v>991</v>
      </c>
      <c r="E30" s="10">
        <f>Source!BZ28</f>
        <v>80</v>
      </c>
      <c r="F30" s="44"/>
      <c r="G30" s="26"/>
      <c r="H30" s="25">
        <f>SUM(S27:S32)</f>
        <v>29.52</v>
      </c>
      <c r="I30" s="28"/>
      <c r="J30" s="23">
        <f>Source!AT28</f>
        <v>80</v>
      </c>
      <c r="K30" s="25">
        <f>SUM(T27:T32)</f>
        <v>198.06</v>
      </c>
      <c r="L30" s="27"/>
    </row>
    <row r="31" spans="1:22" ht="14.25" x14ac:dyDescent="0.2">
      <c r="A31" s="40"/>
      <c r="B31" s="41"/>
      <c r="C31" s="41" t="s">
        <v>992</v>
      </c>
      <c r="D31" s="24" t="s">
        <v>991</v>
      </c>
      <c r="E31" s="10">
        <f>Source!CA28</f>
        <v>68</v>
      </c>
      <c r="F31" s="44"/>
      <c r="G31" s="26"/>
      <c r="H31" s="25">
        <f>SUM(U27:U32)</f>
        <v>25.09</v>
      </c>
      <c r="I31" s="28"/>
      <c r="J31" s="23">
        <f>Source!AU28</f>
        <v>68</v>
      </c>
      <c r="K31" s="25">
        <f>SUM(V27:V32)</f>
        <v>168.35</v>
      </c>
      <c r="L31" s="27"/>
    </row>
    <row r="32" spans="1:22" ht="14.25" x14ac:dyDescent="0.2">
      <c r="A32" s="42"/>
      <c r="B32" s="43"/>
      <c r="C32" s="43" t="s">
        <v>993</v>
      </c>
      <c r="D32" s="29" t="s">
        <v>994</v>
      </c>
      <c r="E32" s="30">
        <f>Source!AQ28</f>
        <v>3.77</v>
      </c>
      <c r="F32" s="31"/>
      <c r="G32" s="32" t="str">
        <f>Source!DI28</f>
        <v/>
      </c>
      <c r="H32" s="31"/>
      <c r="I32" s="32"/>
      <c r="J32" s="32"/>
      <c r="K32" s="31"/>
      <c r="L32" s="33">
        <f>Source!U28</f>
        <v>4.7298419999999997</v>
      </c>
    </row>
    <row r="33" spans="1:26" ht="15" x14ac:dyDescent="0.25">
      <c r="G33" s="47">
        <f>H29+H30+H31</f>
        <v>91.51</v>
      </c>
      <c r="H33" s="47"/>
      <c r="J33" s="47">
        <f>K29+K30+K31</f>
        <v>613.99</v>
      </c>
      <c r="K33" s="47"/>
      <c r="L33" s="34">
        <f>Source!U28</f>
        <v>4.7298419999999997</v>
      </c>
      <c r="O33" s="21">
        <f>G33</f>
        <v>91.51</v>
      </c>
      <c r="P33" s="21">
        <f>J33</f>
        <v>613.99</v>
      </c>
      <c r="Q33" s="21">
        <f>L33</f>
        <v>4.7298419999999997</v>
      </c>
      <c r="W33">
        <f>IF(Source!BI28&lt;=1,H29+H30+H31, 0)</f>
        <v>91.51</v>
      </c>
      <c r="X33">
        <f>IF(Source!BI28=2,H29+H30+H31, 0)</f>
        <v>0</v>
      </c>
      <c r="Y33">
        <f>IF(Source!BI28=3,H29+H30+H31, 0)</f>
        <v>0</v>
      </c>
      <c r="Z33">
        <f>IF(Source!BI28=4,H29+H30+H31, 0)</f>
        <v>0</v>
      </c>
    </row>
    <row r="34" spans="1:26" ht="28.5" x14ac:dyDescent="0.2">
      <c r="A34" s="40" t="str">
        <f>Source!E29</f>
        <v>2</v>
      </c>
      <c r="B34" s="41" t="str">
        <f>Source!F29</f>
        <v>57-2-1</v>
      </c>
      <c r="C34" s="41" t="str">
        <f>Source!G29</f>
        <v>Разборка покрытий полов из линолеума и релина</v>
      </c>
      <c r="D34" s="24" t="str">
        <f>Source!H29</f>
        <v>100 м2</v>
      </c>
      <c r="E34" s="10">
        <f>Source!I29</f>
        <v>2.0979999999999999</v>
      </c>
      <c r="F34" s="25">
        <f>Source!AL29+Source!AM29+Source!AO29</f>
        <v>92.9</v>
      </c>
      <c r="G34" s="26"/>
      <c r="H34" s="25"/>
      <c r="I34" s="26" t="str">
        <f>Source!BO29</f>
        <v/>
      </c>
      <c r="J34" s="26"/>
      <c r="K34" s="25"/>
      <c r="L34" s="27"/>
      <c r="S34">
        <f>ROUND((Source!FX29/100)*((ROUND(Source!AF29*Source!I29, 2)+ROUND(Source!AE29*Source!I29, 2))), 2)</f>
        <v>152.06</v>
      </c>
      <c r="T34">
        <f>Source!X29</f>
        <v>1020.34</v>
      </c>
      <c r="U34">
        <f>ROUND((Source!FY29/100)*((ROUND(Source!AF29*Source!I29, 2)+ROUND(Source!AE29*Source!I29, 2))), 2)</f>
        <v>129.25</v>
      </c>
      <c r="V34">
        <f>Source!Y29</f>
        <v>867.29</v>
      </c>
    </row>
    <row r="35" spans="1:26" x14ac:dyDescent="0.2">
      <c r="C35" s="20" t="str">
        <f>"Объем: "&amp;Source!I29&amp;"=209,8/"&amp;"100"</f>
        <v>Объем: 2,098=209,8/100</v>
      </c>
    </row>
    <row r="36" spans="1:26" ht="14.25" x14ac:dyDescent="0.2">
      <c r="A36" s="40"/>
      <c r="B36" s="41"/>
      <c r="C36" s="41" t="s">
        <v>989</v>
      </c>
      <c r="D36" s="24"/>
      <c r="E36" s="10"/>
      <c r="F36" s="25">
        <f>Source!AO29</f>
        <v>88.84</v>
      </c>
      <c r="G36" s="26" t="str">
        <f>Source!DG29</f>
        <v/>
      </c>
      <c r="H36" s="25">
        <f>ROUND(Source!AF29*Source!I29, 2)</f>
        <v>186.39</v>
      </c>
      <c r="I36" s="26"/>
      <c r="J36" s="26">
        <f>IF(Source!BA29&lt;&gt; 0, Source!BA29, 1)</f>
        <v>6.71</v>
      </c>
      <c r="K36" s="25">
        <f>Source!S29</f>
        <v>1250.6500000000001</v>
      </c>
      <c r="L36" s="27"/>
      <c r="R36">
        <f>H36</f>
        <v>186.39</v>
      </c>
    </row>
    <row r="37" spans="1:26" ht="14.25" x14ac:dyDescent="0.2">
      <c r="A37" s="40"/>
      <c r="B37" s="41"/>
      <c r="C37" s="41" t="s">
        <v>300</v>
      </c>
      <c r="D37" s="24"/>
      <c r="E37" s="10"/>
      <c r="F37" s="25">
        <f>Source!AM29</f>
        <v>4.0599999999999996</v>
      </c>
      <c r="G37" s="26" t="str">
        <f>Source!DE29</f>
        <v/>
      </c>
      <c r="H37" s="25">
        <f>ROUND(Source!AD29*Source!I29, 2)</f>
        <v>8.52</v>
      </c>
      <c r="I37" s="26"/>
      <c r="J37" s="26">
        <f>IF(Source!BB29&lt;&gt; 0, Source!BB29, 1)</f>
        <v>6.71</v>
      </c>
      <c r="K37" s="25">
        <f>Source!Q29</f>
        <v>57.15</v>
      </c>
      <c r="L37" s="27"/>
    </row>
    <row r="38" spans="1:26" ht="14.25" x14ac:dyDescent="0.2">
      <c r="A38" s="40"/>
      <c r="B38" s="41"/>
      <c r="C38" s="41" t="s">
        <v>995</v>
      </c>
      <c r="D38" s="24"/>
      <c r="E38" s="10"/>
      <c r="F38" s="25">
        <f>Source!AN29</f>
        <v>1.76</v>
      </c>
      <c r="G38" s="26" t="str">
        <f>Source!DF29</f>
        <v/>
      </c>
      <c r="H38" s="35">
        <f>ROUND(Source!AE29*Source!I29, 2)</f>
        <v>3.69</v>
      </c>
      <c r="I38" s="26"/>
      <c r="J38" s="26">
        <f>IF(Source!BS29&lt;&gt; 0, Source!BS29, 1)</f>
        <v>6.71</v>
      </c>
      <c r="K38" s="35">
        <f>Source!R29</f>
        <v>24.78</v>
      </c>
      <c r="L38" s="27"/>
      <c r="R38">
        <f>H38</f>
        <v>3.69</v>
      </c>
    </row>
    <row r="39" spans="1:26" ht="14.25" x14ac:dyDescent="0.2">
      <c r="A39" s="40"/>
      <c r="B39" s="41"/>
      <c r="C39" s="41" t="s">
        <v>990</v>
      </c>
      <c r="D39" s="24" t="s">
        <v>991</v>
      </c>
      <c r="E39" s="10">
        <f>Source!BZ29</f>
        <v>80</v>
      </c>
      <c r="F39" s="44"/>
      <c r="G39" s="26"/>
      <c r="H39" s="25">
        <f>SUM(S34:S41)</f>
        <v>152.06</v>
      </c>
      <c r="I39" s="28"/>
      <c r="J39" s="23">
        <f>Source!AT29</f>
        <v>80</v>
      </c>
      <c r="K39" s="25">
        <f>SUM(T34:T41)</f>
        <v>1020.34</v>
      </c>
      <c r="L39" s="27"/>
    </row>
    <row r="40" spans="1:26" ht="14.25" x14ac:dyDescent="0.2">
      <c r="A40" s="40"/>
      <c r="B40" s="41"/>
      <c r="C40" s="41" t="s">
        <v>992</v>
      </c>
      <c r="D40" s="24" t="s">
        <v>991</v>
      </c>
      <c r="E40" s="10">
        <f>Source!CA29</f>
        <v>68</v>
      </c>
      <c r="F40" s="44"/>
      <c r="G40" s="26"/>
      <c r="H40" s="25">
        <f>SUM(U34:U41)</f>
        <v>129.25</v>
      </c>
      <c r="I40" s="28"/>
      <c r="J40" s="23">
        <f>Source!AU29</f>
        <v>68</v>
      </c>
      <c r="K40" s="25">
        <f>SUM(V34:V41)</f>
        <v>867.29</v>
      </c>
      <c r="L40" s="27"/>
    </row>
    <row r="41" spans="1:26" ht="14.25" x14ac:dyDescent="0.2">
      <c r="A41" s="42"/>
      <c r="B41" s="43"/>
      <c r="C41" s="43" t="s">
        <v>993</v>
      </c>
      <c r="D41" s="29" t="s">
        <v>994</v>
      </c>
      <c r="E41" s="30">
        <f>Source!AQ29</f>
        <v>11.39</v>
      </c>
      <c r="F41" s="31"/>
      <c r="G41" s="32" t="str">
        <f>Source!DI29</f>
        <v/>
      </c>
      <c r="H41" s="31"/>
      <c r="I41" s="32"/>
      <c r="J41" s="32"/>
      <c r="K41" s="31"/>
      <c r="L41" s="33">
        <f>Source!U29</f>
        <v>23.89622</v>
      </c>
    </row>
    <row r="42" spans="1:26" ht="15" x14ac:dyDescent="0.25">
      <c r="G42" s="47">
        <f>H36+H37+H39+H40</f>
        <v>476.22</v>
      </c>
      <c r="H42" s="47"/>
      <c r="J42" s="47">
        <f>K36+K37+K39+K40</f>
        <v>3195.4300000000003</v>
      </c>
      <c r="K42" s="47"/>
      <c r="L42" s="34">
        <f>Source!U29</f>
        <v>23.89622</v>
      </c>
      <c r="O42" s="21">
        <f>G42</f>
        <v>476.22</v>
      </c>
      <c r="P42" s="21">
        <f>J42</f>
        <v>3195.4300000000003</v>
      </c>
      <c r="Q42" s="21">
        <f>L42</f>
        <v>23.89622</v>
      </c>
      <c r="W42">
        <f>IF(Source!BI29&lt;=1,H36+H37+H39+H40, 0)</f>
        <v>476.22</v>
      </c>
      <c r="X42">
        <f>IF(Source!BI29=2,H36+H37+H39+H40, 0)</f>
        <v>0</v>
      </c>
      <c r="Y42">
        <f>IF(Source!BI29=3,H36+H37+H39+H40, 0)</f>
        <v>0</v>
      </c>
      <c r="Z42">
        <f>IF(Source!BI29=4,H36+H37+H39+H40, 0)</f>
        <v>0</v>
      </c>
    </row>
    <row r="43" spans="1:26" ht="42.75" x14ac:dyDescent="0.2">
      <c r="A43" s="40" t="str">
        <f>Source!E30</f>
        <v>3</v>
      </c>
      <c r="B43" s="41" t="str">
        <f>Source!F30</f>
        <v>57-1-3 прим.</v>
      </c>
      <c r="C43" s="41" t="str">
        <f>Source!G30</f>
        <v>Разборка оснований покрытия полов простильных полов (фальшпол деревянный)</v>
      </c>
      <c r="D43" s="24" t="str">
        <f>Source!H30</f>
        <v>100 м2</v>
      </c>
      <c r="E43" s="10">
        <f>Source!I30</f>
        <v>0.5</v>
      </c>
      <c r="F43" s="25">
        <f>Source!AL30+Source!AM30+Source!AO30</f>
        <v>136.03</v>
      </c>
      <c r="G43" s="26"/>
      <c r="H43" s="25"/>
      <c r="I43" s="26" t="str">
        <f>Source!BO30</f>
        <v/>
      </c>
      <c r="J43" s="26"/>
      <c r="K43" s="25"/>
      <c r="L43" s="27"/>
      <c r="S43">
        <f>ROUND((Source!FX30/100)*((ROUND(Source!AF30*Source!I30, 2)+ROUND(Source!AE30*Source!I30, 2))), 2)</f>
        <v>54.42</v>
      </c>
      <c r="T43">
        <f>Source!X30</f>
        <v>365.1</v>
      </c>
      <c r="U43">
        <f>ROUND((Source!FY30/100)*((ROUND(Source!AF30*Source!I30, 2)+ROUND(Source!AE30*Source!I30, 2))), 2)</f>
        <v>46.25</v>
      </c>
      <c r="V43">
        <f>Source!Y30</f>
        <v>310.33999999999997</v>
      </c>
    </row>
    <row r="44" spans="1:26" x14ac:dyDescent="0.2">
      <c r="C44" s="20" t="str">
        <f>"Объем: "&amp;Source!I30&amp;"=50/"&amp;"100"</f>
        <v>Объем: 0,5=50/100</v>
      </c>
    </row>
    <row r="45" spans="1:26" ht="14.25" x14ac:dyDescent="0.2">
      <c r="A45" s="40"/>
      <c r="B45" s="41"/>
      <c r="C45" s="41" t="s">
        <v>989</v>
      </c>
      <c r="D45" s="24"/>
      <c r="E45" s="10"/>
      <c r="F45" s="25">
        <f>Source!AO30</f>
        <v>136.03</v>
      </c>
      <c r="G45" s="26" t="str">
        <f>Source!DG30</f>
        <v/>
      </c>
      <c r="H45" s="25">
        <f>ROUND(Source!AF30*Source!I30, 2)</f>
        <v>68.02</v>
      </c>
      <c r="I45" s="26"/>
      <c r="J45" s="26">
        <f>IF(Source!BA30&lt;&gt; 0, Source!BA30, 1)</f>
        <v>6.71</v>
      </c>
      <c r="K45" s="25">
        <f>Source!S30</f>
        <v>456.38</v>
      </c>
      <c r="L45" s="27"/>
      <c r="R45">
        <f>H45</f>
        <v>68.02</v>
      </c>
    </row>
    <row r="46" spans="1:26" ht="14.25" x14ac:dyDescent="0.2">
      <c r="A46" s="40"/>
      <c r="B46" s="41"/>
      <c r="C46" s="41" t="s">
        <v>990</v>
      </c>
      <c r="D46" s="24" t="s">
        <v>991</v>
      </c>
      <c r="E46" s="10">
        <f>Source!BZ30</f>
        <v>80</v>
      </c>
      <c r="F46" s="44"/>
      <c r="G46" s="26"/>
      <c r="H46" s="25">
        <f>SUM(S43:S48)</f>
        <v>54.42</v>
      </c>
      <c r="I46" s="28"/>
      <c r="J46" s="23">
        <f>Source!AT30</f>
        <v>80</v>
      </c>
      <c r="K46" s="25">
        <f>SUM(T43:T48)</f>
        <v>365.1</v>
      </c>
      <c r="L46" s="27"/>
    </row>
    <row r="47" spans="1:26" ht="14.25" x14ac:dyDescent="0.2">
      <c r="A47" s="40"/>
      <c r="B47" s="41"/>
      <c r="C47" s="41" t="s">
        <v>992</v>
      </c>
      <c r="D47" s="24" t="s">
        <v>991</v>
      </c>
      <c r="E47" s="10">
        <f>Source!CA30</f>
        <v>68</v>
      </c>
      <c r="F47" s="44"/>
      <c r="G47" s="26"/>
      <c r="H47" s="25">
        <f>SUM(U43:U48)</f>
        <v>46.25</v>
      </c>
      <c r="I47" s="28"/>
      <c r="J47" s="23">
        <f>Source!AU30</f>
        <v>68</v>
      </c>
      <c r="K47" s="25">
        <f>SUM(V43:V48)</f>
        <v>310.33999999999997</v>
      </c>
      <c r="L47" s="27"/>
    </row>
    <row r="48" spans="1:26" ht="14.25" x14ac:dyDescent="0.2">
      <c r="A48" s="42"/>
      <c r="B48" s="43"/>
      <c r="C48" s="43" t="s">
        <v>993</v>
      </c>
      <c r="D48" s="29" t="s">
        <v>994</v>
      </c>
      <c r="E48" s="30">
        <f>Source!AQ30</f>
        <v>17.440000000000001</v>
      </c>
      <c r="F48" s="31"/>
      <c r="G48" s="32" t="str">
        <f>Source!DI30</f>
        <v/>
      </c>
      <c r="H48" s="31"/>
      <c r="I48" s="32"/>
      <c r="J48" s="32"/>
      <c r="K48" s="31"/>
      <c r="L48" s="33">
        <f>Source!U30</f>
        <v>8.7200000000000006</v>
      </c>
    </row>
    <row r="49" spans="1:26" ht="15" x14ac:dyDescent="0.25">
      <c r="G49" s="47">
        <f>H45+H46+H47</f>
        <v>168.69</v>
      </c>
      <c r="H49" s="47"/>
      <c r="J49" s="47">
        <f>K45+K46+K47</f>
        <v>1131.82</v>
      </c>
      <c r="K49" s="47"/>
      <c r="L49" s="34">
        <f>Source!U30</f>
        <v>8.7200000000000006</v>
      </c>
      <c r="O49" s="21">
        <f>G49</f>
        <v>168.69</v>
      </c>
      <c r="P49" s="21">
        <f>J49</f>
        <v>1131.82</v>
      </c>
      <c r="Q49" s="21">
        <f>L49</f>
        <v>8.7200000000000006</v>
      </c>
      <c r="W49">
        <f>IF(Source!BI30&lt;=1,H45+H46+H47, 0)</f>
        <v>168.69</v>
      </c>
      <c r="X49">
        <f>IF(Source!BI30=2,H45+H46+H47, 0)</f>
        <v>0</v>
      </c>
      <c r="Y49">
        <f>IF(Source!BI30=3,H45+H46+H47, 0)</f>
        <v>0</v>
      </c>
      <c r="Z49">
        <f>IF(Source!BI30=4,H45+H46+H47, 0)</f>
        <v>0</v>
      </c>
    </row>
    <row r="50" spans="1:26" ht="14.25" x14ac:dyDescent="0.2">
      <c r="A50" s="40" t="str">
        <f>Source!E31</f>
        <v>4</v>
      </c>
      <c r="B50" s="41" t="str">
        <f>Source!F31</f>
        <v>65-33-1</v>
      </c>
      <c r="C50" s="41" t="str">
        <f>Source!G31</f>
        <v>Смена жалюзийных решеток</v>
      </c>
      <c r="D50" s="24" t="str">
        <f>Source!H31</f>
        <v>100 ШТ</v>
      </c>
      <c r="E50" s="10">
        <f>Source!I31</f>
        <v>0.09</v>
      </c>
      <c r="F50" s="25">
        <f>Source!AL31+Source!AM31+Source!AO31</f>
        <v>430.86</v>
      </c>
      <c r="G50" s="26"/>
      <c r="H50" s="25"/>
      <c r="I50" s="26" t="str">
        <f>Source!BO31</f>
        <v/>
      </c>
      <c r="J50" s="26"/>
      <c r="K50" s="25"/>
      <c r="L50" s="27"/>
      <c r="S50">
        <f>ROUND((Source!FX31/100)*((ROUND(Source!AF31*Source!I31, 2)+ROUND(Source!AE31*Source!I31, 2))), 2)</f>
        <v>36.53</v>
      </c>
      <c r="T50">
        <f>Source!X31</f>
        <v>245.16</v>
      </c>
      <c r="U50">
        <f>ROUND((Source!FY31/100)*((ROUND(Source!AF31*Source!I31, 2)+ROUND(Source!AE31*Source!I31, 2))), 2)</f>
        <v>21.28</v>
      </c>
      <c r="V50">
        <f>Source!Y31</f>
        <v>142.81</v>
      </c>
    </row>
    <row r="51" spans="1:26" x14ac:dyDescent="0.2">
      <c r="C51" s="20" t="str">
        <f>"Объем: "&amp;Source!I31&amp;"=9/"&amp;"100"</f>
        <v>Объем: 0,09=9/100</v>
      </c>
    </row>
    <row r="52" spans="1:26" ht="14.25" x14ac:dyDescent="0.2">
      <c r="A52" s="40"/>
      <c r="B52" s="41"/>
      <c r="C52" s="41" t="s">
        <v>989</v>
      </c>
      <c r="D52" s="24"/>
      <c r="E52" s="10"/>
      <c r="F52" s="25">
        <f>Source!AO31</f>
        <v>394</v>
      </c>
      <c r="G52" s="26" t="str">
        <f>Source!DG31</f>
        <v/>
      </c>
      <c r="H52" s="25">
        <f>ROUND(Source!AF31*Source!I31, 2)</f>
        <v>35.46</v>
      </c>
      <c r="I52" s="26"/>
      <c r="J52" s="26">
        <f>IF(Source!BA31&lt;&gt; 0, Source!BA31, 1)</f>
        <v>6.71</v>
      </c>
      <c r="K52" s="25">
        <f>Source!S31</f>
        <v>237.94</v>
      </c>
      <c r="L52" s="27"/>
      <c r="R52">
        <f>H52</f>
        <v>35.46</v>
      </c>
    </row>
    <row r="53" spans="1:26" ht="14.25" x14ac:dyDescent="0.2">
      <c r="A53" s="40"/>
      <c r="B53" s="41"/>
      <c r="C53" s="41" t="s">
        <v>300</v>
      </c>
      <c r="D53" s="24"/>
      <c r="E53" s="10"/>
      <c r="F53" s="25">
        <f>Source!AM31</f>
        <v>0.31</v>
      </c>
      <c r="G53" s="26" t="str">
        <f>Source!DE31</f>
        <v/>
      </c>
      <c r="H53" s="25">
        <f>ROUND(Source!AD31*Source!I31, 2)</f>
        <v>0.03</v>
      </c>
      <c r="I53" s="26"/>
      <c r="J53" s="26">
        <f>IF(Source!BB31&lt;&gt; 0, Source!BB31, 1)</f>
        <v>6.71</v>
      </c>
      <c r="K53" s="25">
        <f>Source!Q31</f>
        <v>0.19</v>
      </c>
      <c r="L53" s="27"/>
    </row>
    <row r="54" spans="1:26" ht="14.25" x14ac:dyDescent="0.2">
      <c r="A54" s="40"/>
      <c r="B54" s="41"/>
      <c r="C54" s="41" t="s">
        <v>995</v>
      </c>
      <c r="D54" s="24"/>
      <c r="E54" s="10"/>
      <c r="F54" s="25">
        <f>Source!AN31</f>
        <v>0.14000000000000001</v>
      </c>
      <c r="G54" s="26" t="str">
        <f>Source!DF31</f>
        <v/>
      </c>
      <c r="H54" s="35">
        <f>ROUND(Source!AE31*Source!I31, 2)</f>
        <v>0.01</v>
      </c>
      <c r="I54" s="26"/>
      <c r="J54" s="26">
        <f>IF(Source!BS31&lt;&gt; 0, Source!BS31, 1)</f>
        <v>6.71</v>
      </c>
      <c r="K54" s="35">
        <f>Source!R31</f>
        <v>0.08</v>
      </c>
      <c r="L54" s="27"/>
      <c r="R54">
        <f>H54</f>
        <v>0.01</v>
      </c>
    </row>
    <row r="55" spans="1:26" ht="14.25" x14ac:dyDescent="0.2">
      <c r="A55" s="40"/>
      <c r="B55" s="41"/>
      <c r="C55" s="41" t="s">
        <v>996</v>
      </c>
      <c r="D55" s="24"/>
      <c r="E55" s="10"/>
      <c r="F55" s="25">
        <f>Source!AL31</f>
        <v>36.549999999999997</v>
      </c>
      <c r="G55" s="26" t="str">
        <f>Source!DD31</f>
        <v/>
      </c>
      <c r="H55" s="25">
        <f>ROUND(Source!AC31*Source!I31, 2)</f>
        <v>3.29</v>
      </c>
      <c r="I55" s="26"/>
      <c r="J55" s="26">
        <f>IF(Source!BC31&lt;&gt; 0, Source!BC31, 1)</f>
        <v>6.71</v>
      </c>
      <c r="K55" s="25">
        <f>Source!P31</f>
        <v>22.07</v>
      </c>
      <c r="L55" s="27"/>
    </row>
    <row r="56" spans="1:26" ht="14.25" x14ac:dyDescent="0.2">
      <c r="A56" s="40"/>
      <c r="B56" s="41"/>
      <c r="C56" s="41" t="s">
        <v>990</v>
      </c>
      <c r="D56" s="24" t="s">
        <v>991</v>
      </c>
      <c r="E56" s="10">
        <f>Source!BZ31</f>
        <v>103</v>
      </c>
      <c r="F56" s="44"/>
      <c r="G56" s="26"/>
      <c r="H56" s="25">
        <f>SUM(S50:S59)</f>
        <v>36.53</v>
      </c>
      <c r="I56" s="28"/>
      <c r="J56" s="23">
        <f>Source!AT31</f>
        <v>103</v>
      </c>
      <c r="K56" s="25">
        <f>SUM(T50:T59)</f>
        <v>245.16</v>
      </c>
      <c r="L56" s="27"/>
    </row>
    <row r="57" spans="1:26" ht="14.25" x14ac:dyDescent="0.2">
      <c r="A57" s="40"/>
      <c r="B57" s="41"/>
      <c r="C57" s="41" t="s">
        <v>992</v>
      </c>
      <c r="D57" s="24" t="s">
        <v>991</v>
      </c>
      <c r="E57" s="10">
        <f>Source!CA31</f>
        <v>60</v>
      </c>
      <c r="F57" s="44"/>
      <c r="G57" s="26"/>
      <c r="H57" s="25">
        <f>SUM(U50:U59)</f>
        <v>21.28</v>
      </c>
      <c r="I57" s="28"/>
      <c r="J57" s="23">
        <f>Source!AU31</f>
        <v>60</v>
      </c>
      <c r="K57" s="25">
        <f>SUM(V50:V59)</f>
        <v>142.81</v>
      </c>
      <c r="L57" s="27"/>
    </row>
    <row r="58" spans="1:26" ht="14.25" x14ac:dyDescent="0.2">
      <c r="A58" s="40"/>
      <c r="B58" s="41"/>
      <c r="C58" s="41" t="s">
        <v>993</v>
      </c>
      <c r="D58" s="24" t="s">
        <v>994</v>
      </c>
      <c r="E58" s="10">
        <f>Source!AQ31</f>
        <v>46.19</v>
      </c>
      <c r="F58" s="25"/>
      <c r="G58" s="26" t="str">
        <f>Source!DI31</f>
        <v/>
      </c>
      <c r="H58" s="25"/>
      <c r="I58" s="26"/>
      <c r="J58" s="26"/>
      <c r="K58" s="25"/>
      <c r="L58" s="36">
        <f>Source!U31</f>
        <v>4.1570999999999998</v>
      </c>
    </row>
    <row r="59" spans="1:26" ht="28.5" x14ac:dyDescent="0.2">
      <c r="A59" s="42" t="str">
        <f>Source!E32</f>
        <v>4,1</v>
      </c>
      <c r="B59" s="43" t="str">
        <f>Source!F32</f>
        <v>19.2.03.07-0028</v>
      </c>
      <c r="C59" s="43" t="str">
        <f>Source!G32</f>
        <v>Решетки пластиковые вентиляционные прим. (согласно тех.заданию)</v>
      </c>
      <c r="D59" s="29" t="str">
        <f>Source!H32</f>
        <v>шт.</v>
      </c>
      <c r="E59" s="30">
        <f>Source!I32</f>
        <v>9</v>
      </c>
      <c r="F59" s="31">
        <f>Source!AL32+Source!AM32+Source!AO32</f>
        <v>956.29</v>
      </c>
      <c r="G59" s="37" t="s">
        <v>6</v>
      </c>
      <c r="H59" s="31">
        <f>ROUND(Source!AC32*Source!I32, 2)+ROUND(Source!AD32*Source!I32, 2)+ROUND(Source!AF32*Source!I32, 2)</f>
        <v>8606.61</v>
      </c>
      <c r="I59" s="32"/>
      <c r="J59" s="32">
        <f>IF(Source!BC32&lt;&gt; 0, Source!BC32, 1)</f>
        <v>6.71</v>
      </c>
      <c r="K59" s="31">
        <f>Source!O32</f>
        <v>57750.35</v>
      </c>
      <c r="L59" s="38"/>
      <c r="S59">
        <f>ROUND((Source!FX32/100)*((ROUND(Source!AF32*Source!I32, 2)+ROUND(Source!AE32*Source!I32, 2))), 2)</f>
        <v>0</v>
      </c>
      <c r="T59">
        <f>Source!X32</f>
        <v>0</v>
      </c>
      <c r="U59">
        <f>ROUND((Source!FY32/100)*((ROUND(Source!AF32*Source!I32, 2)+ROUND(Source!AE32*Source!I32, 2))), 2)</f>
        <v>0</v>
      </c>
      <c r="V59">
        <f>Source!Y32</f>
        <v>0</v>
      </c>
      <c r="W59">
        <f>IF(Source!BI32&lt;=1,H59, 0)</f>
        <v>8606.61</v>
      </c>
      <c r="X59">
        <f>IF(Source!BI32=2,H59, 0)</f>
        <v>0</v>
      </c>
      <c r="Y59">
        <f>IF(Source!BI32=3,H59, 0)</f>
        <v>0</v>
      </c>
      <c r="Z59">
        <f>IF(Source!BI32=4,H59, 0)</f>
        <v>0</v>
      </c>
    </row>
    <row r="60" spans="1:26" ht="15" x14ac:dyDescent="0.25">
      <c r="G60" s="47">
        <f>H52+H53+H55+H56+H57+SUM(H59:H59)</f>
        <v>8703.2000000000007</v>
      </c>
      <c r="H60" s="47"/>
      <c r="J60" s="47">
        <f>K52+K53+K55+K56+K57+SUM(K59:K59)</f>
        <v>58398.52</v>
      </c>
      <c r="K60" s="47"/>
      <c r="L60" s="34">
        <f>Source!U31</f>
        <v>4.1570999999999998</v>
      </c>
      <c r="O60" s="21">
        <f>G60</f>
        <v>8703.2000000000007</v>
      </c>
      <c r="P60" s="21">
        <f>J60</f>
        <v>58398.52</v>
      </c>
      <c r="Q60" s="21">
        <f>L60</f>
        <v>4.1570999999999998</v>
      </c>
      <c r="W60">
        <f>IF(Source!BI31&lt;=1,H52+H53+H55+H56+H57, 0)</f>
        <v>96.59</v>
      </c>
      <c r="X60">
        <f>IF(Source!BI31=2,H52+H53+H55+H56+H57, 0)</f>
        <v>0</v>
      </c>
      <c r="Y60">
        <f>IF(Source!BI31=3,H52+H53+H55+H56+H57, 0)</f>
        <v>0</v>
      </c>
      <c r="Z60">
        <f>IF(Source!BI31=4,H52+H53+H55+H56+H57, 0)</f>
        <v>0</v>
      </c>
    </row>
    <row r="61" spans="1:26" ht="28.5" x14ac:dyDescent="0.2">
      <c r="A61" s="40" t="str">
        <f>Source!E33</f>
        <v>5</v>
      </c>
      <c r="B61" s="41" t="str">
        <f>Source!F33</f>
        <v>46-02-009-02</v>
      </c>
      <c r="C61" s="41" t="str">
        <f>Source!G33</f>
        <v>Отбивка штукатурки с поверхностей стен</v>
      </c>
      <c r="D61" s="24" t="str">
        <f>Source!H33</f>
        <v>100 м2</v>
      </c>
      <c r="E61" s="10">
        <f>Source!I33</f>
        <v>1.111</v>
      </c>
      <c r="F61" s="25">
        <f>Source!AL33+Source!AM33+Source!AO33</f>
        <v>178</v>
      </c>
      <c r="G61" s="26"/>
      <c r="H61" s="25"/>
      <c r="I61" s="26" t="str">
        <f>Source!BO33</f>
        <v/>
      </c>
      <c r="J61" s="26"/>
      <c r="K61" s="25"/>
      <c r="L61" s="27"/>
      <c r="S61">
        <f>ROUND((Source!FX33/100)*((ROUND(Source!AF33*Source!I33, 2)+ROUND(Source!AE33*Source!I33, 2))), 2)</f>
        <v>195.78</v>
      </c>
      <c r="T61">
        <f>Source!X33</f>
        <v>1313.69</v>
      </c>
      <c r="U61">
        <f>ROUND((Source!FY33/100)*((ROUND(Source!AF33*Source!I33, 2)+ROUND(Source!AE33*Source!I33, 2))), 2)</f>
        <v>117.67</v>
      </c>
      <c r="V61">
        <f>Source!Y33</f>
        <v>796.18</v>
      </c>
    </row>
    <row r="62" spans="1:26" x14ac:dyDescent="0.2">
      <c r="C62" s="20" t="str">
        <f>"Объем: "&amp;Source!I33&amp;"=111,1/"&amp;"100"</f>
        <v>Объем: 1,111=111,1/100</v>
      </c>
    </row>
    <row r="63" spans="1:26" ht="14.25" x14ac:dyDescent="0.2">
      <c r="A63" s="40"/>
      <c r="B63" s="41"/>
      <c r="C63" s="41" t="s">
        <v>989</v>
      </c>
      <c r="D63" s="24"/>
      <c r="E63" s="10"/>
      <c r="F63" s="25">
        <f>Source!AO33</f>
        <v>178</v>
      </c>
      <c r="G63" s="26" t="str">
        <f>Source!DG33</f>
        <v/>
      </c>
      <c r="H63" s="25">
        <f>ROUND(Source!AF33*Source!I33, 2)</f>
        <v>197.76</v>
      </c>
      <c r="I63" s="26"/>
      <c r="J63" s="26">
        <f>IF(Source!BA33&lt;&gt; 0, Source!BA33, 1)</f>
        <v>6.71</v>
      </c>
      <c r="K63" s="25">
        <f>Source!S33</f>
        <v>1326.96</v>
      </c>
      <c r="L63" s="27"/>
      <c r="R63">
        <f>H63</f>
        <v>197.76</v>
      </c>
    </row>
    <row r="64" spans="1:26" ht="14.25" x14ac:dyDescent="0.2">
      <c r="A64" s="40"/>
      <c r="B64" s="41"/>
      <c r="C64" s="41" t="s">
        <v>990</v>
      </c>
      <c r="D64" s="24" t="s">
        <v>991</v>
      </c>
      <c r="E64" s="10">
        <f>Source!BZ33</f>
        <v>110</v>
      </c>
      <c r="F64" s="50" t="str">
        <f>CONCATENATE(" )", Source!DL33, Source!FT33, "=", Source!FX33)</f>
        <v xml:space="preserve"> )*0,9=99</v>
      </c>
      <c r="G64" s="51"/>
      <c r="H64" s="25">
        <f>SUM(S61:S66)</f>
        <v>195.78</v>
      </c>
      <c r="I64" s="28"/>
      <c r="J64" s="23">
        <f>Source!AT33</f>
        <v>99</v>
      </c>
      <c r="K64" s="25">
        <f>SUM(T61:T66)</f>
        <v>1313.69</v>
      </c>
      <c r="L64" s="27"/>
    </row>
    <row r="65" spans="1:26" ht="14.25" x14ac:dyDescent="0.2">
      <c r="A65" s="40"/>
      <c r="B65" s="41"/>
      <c r="C65" s="41" t="s">
        <v>992</v>
      </c>
      <c r="D65" s="24" t="s">
        <v>991</v>
      </c>
      <c r="E65" s="10">
        <f>Source!CA33</f>
        <v>70</v>
      </c>
      <c r="F65" s="50" t="str">
        <f>CONCATENATE(" )", Source!DM33, Source!FU33, "=", Source!FY33)</f>
        <v xml:space="preserve"> )*0,85=59,5</v>
      </c>
      <c r="G65" s="51"/>
      <c r="H65" s="25">
        <f>SUM(U61:U66)</f>
        <v>117.67</v>
      </c>
      <c r="I65" s="28"/>
      <c r="J65" s="23">
        <f>Source!AU33</f>
        <v>60</v>
      </c>
      <c r="K65" s="25">
        <f>SUM(V61:V66)</f>
        <v>796.18</v>
      </c>
      <c r="L65" s="27"/>
    </row>
    <row r="66" spans="1:26" ht="14.25" x14ac:dyDescent="0.2">
      <c r="A66" s="42"/>
      <c r="B66" s="43"/>
      <c r="C66" s="43" t="s">
        <v>993</v>
      </c>
      <c r="D66" s="29" t="s">
        <v>994</v>
      </c>
      <c r="E66" s="30">
        <f>Source!AQ33</f>
        <v>22.82</v>
      </c>
      <c r="F66" s="31"/>
      <c r="G66" s="32" t="str">
        <f>Source!DI33</f>
        <v/>
      </c>
      <c r="H66" s="31"/>
      <c r="I66" s="32"/>
      <c r="J66" s="32"/>
      <c r="K66" s="31"/>
      <c r="L66" s="33">
        <f>Source!U33</f>
        <v>25.353020000000001</v>
      </c>
    </row>
    <row r="67" spans="1:26" ht="15" x14ac:dyDescent="0.25">
      <c r="G67" s="47">
        <f>H63+H64+H65</f>
        <v>511.21</v>
      </c>
      <c r="H67" s="47"/>
      <c r="J67" s="47">
        <f>K63+K64+K65</f>
        <v>3436.83</v>
      </c>
      <c r="K67" s="47"/>
      <c r="L67" s="34">
        <f>Source!U33</f>
        <v>25.353020000000001</v>
      </c>
      <c r="O67" s="21">
        <f>G67</f>
        <v>511.21</v>
      </c>
      <c r="P67" s="21">
        <f>J67</f>
        <v>3436.83</v>
      </c>
      <c r="Q67" s="21">
        <f>L67</f>
        <v>25.353020000000001</v>
      </c>
      <c r="W67">
        <f>IF(Source!BI33&lt;=1,H63+H64+H65, 0)</f>
        <v>511.21</v>
      </c>
      <c r="X67">
        <f>IF(Source!BI33=2,H63+H64+H65, 0)</f>
        <v>0</v>
      </c>
      <c r="Y67">
        <f>IF(Source!BI33=3,H63+H64+H65, 0)</f>
        <v>0</v>
      </c>
      <c r="Z67">
        <f>IF(Source!BI33=4,H63+H64+H65, 0)</f>
        <v>0</v>
      </c>
    </row>
    <row r="68" spans="1:26" ht="28.5" x14ac:dyDescent="0.2">
      <c r="A68" s="40" t="str">
        <f>Source!E34</f>
        <v>6</v>
      </c>
      <c r="B68" s="41" t="str">
        <f>Source!F34</f>
        <v>57-10-3</v>
      </c>
      <c r="C68" s="41" t="str">
        <f>Source!G34</f>
        <v>Заделка выбоин в полах цементных площадью до 1,0 м2</v>
      </c>
      <c r="D68" s="24" t="str">
        <f>Source!H34</f>
        <v>100 мест</v>
      </c>
      <c r="E68" s="10">
        <f>Source!I34</f>
        <v>0.3</v>
      </c>
      <c r="F68" s="25">
        <f>Source!AL34+Source!AM34+Source!AO34</f>
        <v>1106.8800000000001</v>
      </c>
      <c r="G68" s="26"/>
      <c r="H68" s="25"/>
      <c r="I68" s="26" t="str">
        <f>Source!BO34</f>
        <v/>
      </c>
      <c r="J68" s="26"/>
      <c r="K68" s="25"/>
      <c r="L68" s="27"/>
      <c r="S68">
        <f>ROUND((Source!FX34/100)*((ROUND(Source!AF34*Source!I34, 2)+ROUND(Source!AE34*Source!I34, 2))), 2)</f>
        <v>254.32</v>
      </c>
      <c r="T68">
        <f>Source!X34</f>
        <v>1706.51</v>
      </c>
      <c r="U68">
        <f>ROUND((Source!FY34/100)*((ROUND(Source!AF34*Source!I34, 2)+ROUND(Source!AE34*Source!I34, 2))), 2)</f>
        <v>216.17</v>
      </c>
      <c r="V68">
        <f>Source!Y34</f>
        <v>1450.54</v>
      </c>
    </row>
    <row r="69" spans="1:26" x14ac:dyDescent="0.2">
      <c r="C69" s="20" t="str">
        <f>"Объем: "&amp;Source!I34&amp;"=30/"&amp;"100"</f>
        <v>Объем: 0,3=30/100</v>
      </c>
    </row>
    <row r="70" spans="1:26" ht="14.25" x14ac:dyDescent="0.2">
      <c r="A70" s="40"/>
      <c r="B70" s="41"/>
      <c r="C70" s="41" t="s">
        <v>989</v>
      </c>
      <c r="D70" s="24"/>
      <c r="E70" s="10"/>
      <c r="F70" s="25">
        <f>Source!AO34</f>
        <v>1059.68</v>
      </c>
      <c r="G70" s="26" t="str">
        <f>Source!DG34</f>
        <v/>
      </c>
      <c r="H70" s="25">
        <f>ROUND(Source!AF34*Source!I34, 2)</f>
        <v>317.89999999999998</v>
      </c>
      <c r="I70" s="26"/>
      <c r="J70" s="26">
        <f>IF(Source!BA34&lt;&gt; 0, Source!BA34, 1)</f>
        <v>6.71</v>
      </c>
      <c r="K70" s="25">
        <f>Source!S34</f>
        <v>2133.14</v>
      </c>
      <c r="L70" s="27"/>
      <c r="R70">
        <f>H70</f>
        <v>317.89999999999998</v>
      </c>
    </row>
    <row r="71" spans="1:26" ht="14.25" x14ac:dyDescent="0.2">
      <c r="A71" s="40"/>
      <c r="B71" s="41"/>
      <c r="C71" s="41" t="s">
        <v>300</v>
      </c>
      <c r="D71" s="24"/>
      <c r="E71" s="10"/>
      <c r="F71" s="25">
        <f>Source!AM34</f>
        <v>46.96</v>
      </c>
      <c r="G71" s="26" t="str">
        <f>Source!DE34</f>
        <v/>
      </c>
      <c r="H71" s="25">
        <f>ROUND(Source!AD34*Source!I34, 2)</f>
        <v>14.09</v>
      </c>
      <c r="I71" s="26"/>
      <c r="J71" s="26">
        <f>IF(Source!BB34&lt;&gt; 0, Source!BB34, 1)</f>
        <v>6.71</v>
      </c>
      <c r="K71" s="25">
        <f>Source!Q34</f>
        <v>94.53</v>
      </c>
      <c r="L71" s="27"/>
    </row>
    <row r="72" spans="1:26" ht="14.25" x14ac:dyDescent="0.2">
      <c r="A72" s="40"/>
      <c r="B72" s="41"/>
      <c r="C72" s="41" t="s">
        <v>996</v>
      </c>
      <c r="D72" s="24"/>
      <c r="E72" s="10"/>
      <c r="F72" s="25">
        <f>Source!AL34</f>
        <v>0.24</v>
      </c>
      <c r="G72" s="26" t="str">
        <f>Source!DD34</f>
        <v/>
      </c>
      <c r="H72" s="25">
        <f>ROUND(Source!AC34*Source!I34, 2)</f>
        <v>7.0000000000000007E-2</v>
      </c>
      <c r="I72" s="26"/>
      <c r="J72" s="26">
        <f>IF(Source!BC34&lt;&gt; 0, Source!BC34, 1)</f>
        <v>6.71</v>
      </c>
      <c r="K72" s="25">
        <f>Source!P34</f>
        <v>0.48</v>
      </c>
      <c r="L72" s="27"/>
    </row>
    <row r="73" spans="1:26" ht="14.25" x14ac:dyDescent="0.2">
      <c r="A73" s="40"/>
      <c r="B73" s="41"/>
      <c r="C73" s="41" t="s">
        <v>990</v>
      </c>
      <c r="D73" s="24" t="s">
        <v>991</v>
      </c>
      <c r="E73" s="10">
        <f>Source!BZ34</f>
        <v>80</v>
      </c>
      <c r="F73" s="44"/>
      <c r="G73" s="26"/>
      <c r="H73" s="25">
        <f>SUM(S68:S77)</f>
        <v>254.32</v>
      </c>
      <c r="I73" s="28"/>
      <c r="J73" s="23">
        <f>Source!AT34</f>
        <v>80</v>
      </c>
      <c r="K73" s="25">
        <f>SUM(T68:T77)</f>
        <v>1706.51</v>
      </c>
      <c r="L73" s="27"/>
    </row>
    <row r="74" spans="1:26" ht="14.25" x14ac:dyDescent="0.2">
      <c r="A74" s="40"/>
      <c r="B74" s="41"/>
      <c r="C74" s="41" t="s">
        <v>992</v>
      </c>
      <c r="D74" s="24" t="s">
        <v>991</v>
      </c>
      <c r="E74" s="10">
        <f>Source!CA34</f>
        <v>68</v>
      </c>
      <c r="F74" s="44"/>
      <c r="G74" s="26"/>
      <c r="H74" s="25">
        <f>SUM(U68:U77)</f>
        <v>216.17</v>
      </c>
      <c r="I74" s="28"/>
      <c r="J74" s="23">
        <f>Source!AU34</f>
        <v>68</v>
      </c>
      <c r="K74" s="25">
        <f>SUM(V68:V77)</f>
        <v>1450.54</v>
      </c>
      <c r="L74" s="27"/>
    </row>
    <row r="75" spans="1:26" ht="14.25" x14ac:dyDescent="0.2">
      <c r="A75" s="40"/>
      <c r="B75" s="41"/>
      <c r="C75" s="41" t="s">
        <v>993</v>
      </c>
      <c r="D75" s="24" t="s">
        <v>994</v>
      </c>
      <c r="E75" s="10">
        <f>Source!AQ34</f>
        <v>124.23</v>
      </c>
      <c r="F75" s="25"/>
      <c r="G75" s="26" t="str">
        <f>Source!DI34</f>
        <v/>
      </c>
      <c r="H75" s="25"/>
      <c r="I75" s="26"/>
      <c r="J75" s="26"/>
      <c r="K75" s="25"/>
      <c r="L75" s="36">
        <f>Source!U34</f>
        <v>37.268999999999998</v>
      </c>
    </row>
    <row r="76" spans="1:26" ht="28.5" x14ac:dyDescent="0.2">
      <c r="A76" s="40" t="str">
        <f>Source!E35</f>
        <v>6,1</v>
      </c>
      <c r="B76" s="41" t="str">
        <f>Source!F35</f>
        <v>04.3.01.09</v>
      </c>
      <c r="C76" s="41" t="str">
        <f>Source!G35</f>
        <v>Раствор готовый кладочный тяжелый цементный</v>
      </c>
      <c r="D76" s="24" t="str">
        <f>Source!H35</f>
        <v>м3</v>
      </c>
      <c r="E76" s="10">
        <f>Source!I35</f>
        <v>0.64200000000000002</v>
      </c>
      <c r="F76" s="25">
        <f>Source!AL35+Source!AM35+Source!AO35</f>
        <v>0</v>
      </c>
      <c r="G76" s="39" t="s">
        <v>6</v>
      </c>
      <c r="H76" s="25">
        <f>ROUND(Source!AC35*Source!I35, 2)+ROUND(Source!AD35*Source!I35, 2)+ROUND(Source!AF35*Source!I35, 2)</f>
        <v>0</v>
      </c>
      <c r="I76" s="26"/>
      <c r="J76" s="26">
        <f>IF(Source!BC35&lt;&gt; 0, Source!BC35, 1)</f>
        <v>6.71</v>
      </c>
      <c r="K76" s="25">
        <f>Source!O35</f>
        <v>0</v>
      </c>
      <c r="L76" s="27"/>
      <c r="S76">
        <f>ROUND((Source!FX35/100)*((ROUND(Source!AF35*Source!I35, 2)+ROUND(Source!AE35*Source!I35, 2))), 2)</f>
        <v>0</v>
      </c>
      <c r="T76">
        <f>Source!X35</f>
        <v>0</v>
      </c>
      <c r="U76">
        <f>ROUND((Source!FY35/100)*((ROUND(Source!AF35*Source!I35, 2)+ROUND(Source!AE35*Source!I35, 2))), 2)</f>
        <v>0</v>
      </c>
      <c r="V76">
        <f>Source!Y35</f>
        <v>0</v>
      </c>
      <c r="W76">
        <f>IF(Source!BI35&lt;=1,H76, 0)</f>
        <v>0</v>
      </c>
      <c r="X76">
        <f>IF(Source!BI35=2,H76, 0)</f>
        <v>0</v>
      </c>
      <c r="Y76">
        <f>IF(Source!BI35=3,H76, 0)</f>
        <v>0</v>
      </c>
      <c r="Z76">
        <f>IF(Source!BI35=4,H76, 0)</f>
        <v>0</v>
      </c>
    </row>
    <row r="77" spans="1:26" ht="42.75" x14ac:dyDescent="0.2">
      <c r="A77" s="42" t="str">
        <f>Source!E36</f>
        <v>6,2</v>
      </c>
      <c r="B77" s="43" t="str">
        <f>Source!F36</f>
        <v>04.3.02.13-0103</v>
      </c>
      <c r="C77" s="43" t="str">
        <f>Source!G36</f>
        <v>Смесь сухая  цементно-песчаная "БИРСС 11" (марка М150), бездобавочная</v>
      </c>
      <c r="D77" s="29" t="str">
        <f>Source!H36</f>
        <v>т</v>
      </c>
      <c r="E77" s="30">
        <f>Source!I36</f>
        <v>1.392935</v>
      </c>
      <c r="F77" s="31">
        <f>Source!AL36+Source!AM36+Source!AO36</f>
        <v>728.14</v>
      </c>
      <c r="G77" s="37" t="s">
        <v>6</v>
      </c>
      <c r="H77" s="31">
        <f>ROUND(Source!AC36*Source!I36, 2)+ROUND(Source!AD36*Source!I36, 2)+ROUND(Source!AF36*Source!I36, 2)</f>
        <v>1014.25</v>
      </c>
      <c r="I77" s="32"/>
      <c r="J77" s="32">
        <f>IF(Source!BC36&lt;&gt; 0, Source!BC36, 1)</f>
        <v>6.71</v>
      </c>
      <c r="K77" s="31">
        <f>Source!O36</f>
        <v>6805.63</v>
      </c>
      <c r="L77" s="38"/>
      <c r="S77">
        <f>ROUND((Source!FX36/100)*((ROUND(Source!AF36*Source!I36, 2)+ROUND(Source!AE36*Source!I36, 2))), 2)</f>
        <v>0</v>
      </c>
      <c r="T77">
        <f>Source!X36</f>
        <v>0</v>
      </c>
      <c r="U77">
        <f>ROUND((Source!FY36/100)*((ROUND(Source!AF36*Source!I36, 2)+ROUND(Source!AE36*Source!I36, 2))), 2)</f>
        <v>0</v>
      </c>
      <c r="V77">
        <f>Source!Y36</f>
        <v>0</v>
      </c>
      <c r="W77">
        <f>IF(Source!BI36&lt;=1,H77, 0)</f>
        <v>1014.25</v>
      </c>
      <c r="X77">
        <f>IF(Source!BI36=2,H77, 0)</f>
        <v>0</v>
      </c>
      <c r="Y77">
        <f>IF(Source!BI36=3,H77, 0)</f>
        <v>0</v>
      </c>
      <c r="Z77">
        <f>IF(Source!BI36=4,H77, 0)</f>
        <v>0</v>
      </c>
    </row>
    <row r="78" spans="1:26" ht="15" x14ac:dyDescent="0.25">
      <c r="G78" s="47">
        <f>H70+H71+H72+H73+H74+SUM(H76:H77)</f>
        <v>1816.7999999999997</v>
      </c>
      <c r="H78" s="47"/>
      <c r="J78" s="47">
        <f>K70+K71+K72+K73+K74+SUM(K76:K77)</f>
        <v>12190.83</v>
      </c>
      <c r="K78" s="47"/>
      <c r="L78" s="34">
        <f>Source!U34</f>
        <v>37.268999999999998</v>
      </c>
      <c r="O78" s="21">
        <f>G78</f>
        <v>1816.7999999999997</v>
      </c>
      <c r="P78" s="21">
        <f>J78</f>
        <v>12190.83</v>
      </c>
      <c r="Q78" s="21">
        <f>L78</f>
        <v>37.268999999999998</v>
      </c>
      <c r="W78">
        <f>IF(Source!BI34&lt;=1,H70+H71+H72+H73+H74, 0)</f>
        <v>802.54999999999984</v>
      </c>
      <c r="X78">
        <f>IF(Source!BI34=2,H70+H71+H72+H73+H74, 0)</f>
        <v>0</v>
      </c>
      <c r="Y78">
        <f>IF(Source!BI34=3,H70+H71+H72+H73+H74, 0)</f>
        <v>0</v>
      </c>
      <c r="Z78">
        <f>IF(Source!BI34=4,H70+H71+H72+H73+H74, 0)</f>
        <v>0</v>
      </c>
    </row>
    <row r="79" spans="1:26" ht="42.75" x14ac:dyDescent="0.2">
      <c r="A79" s="40" t="str">
        <f>Source!E37</f>
        <v>7</v>
      </c>
      <c r="B79" s="41" t="str">
        <f>Source!F37</f>
        <v>11-01-011-08</v>
      </c>
      <c r="C79" s="41" t="str">
        <f>Source!G37</f>
        <v>Устройство стяжек из выравнивающей смеси типа "Ветонит" 5000, толщиной 5 мм</v>
      </c>
      <c r="D79" s="24" t="str">
        <f>Source!H37</f>
        <v>100 м2</v>
      </c>
      <c r="E79" s="10">
        <f>Source!I37</f>
        <v>2.0979999999999999</v>
      </c>
      <c r="F79" s="25">
        <f>Source!AL37+Source!AM37+Source!AO37</f>
        <v>11028.89</v>
      </c>
      <c r="G79" s="26"/>
      <c r="H79" s="25"/>
      <c r="I79" s="26" t="str">
        <f>Source!BO37</f>
        <v/>
      </c>
      <c r="J79" s="26"/>
      <c r="K79" s="25"/>
      <c r="L79" s="27"/>
      <c r="S79">
        <f>ROUND((Source!FX37/100)*((ROUND(Source!AF37*Source!I37, 2)+ROUND(Source!AE37*Source!I37, 2))), 2)</f>
        <v>863.94</v>
      </c>
      <c r="T79">
        <f>Source!X37</f>
        <v>5812.76</v>
      </c>
      <c r="U79">
        <f>ROUND((Source!FY37/100)*((ROUND(Source!AF37*Source!I37, 2)+ROUND(Source!AE37*Source!I37, 2))), 2)</f>
        <v>497.52</v>
      </c>
      <c r="V79">
        <f>Source!Y37</f>
        <v>3351.5</v>
      </c>
    </row>
    <row r="80" spans="1:26" x14ac:dyDescent="0.2">
      <c r="C80" s="20" t="str">
        <f>"Объем: "&amp;Source!I37&amp;"=209,8/"&amp;"100"</f>
        <v>Объем: 2,098=209,8/100</v>
      </c>
    </row>
    <row r="81" spans="1:26" ht="14.25" x14ac:dyDescent="0.2">
      <c r="A81" s="40"/>
      <c r="B81" s="41"/>
      <c r="C81" s="41" t="s">
        <v>989</v>
      </c>
      <c r="D81" s="24"/>
      <c r="E81" s="10"/>
      <c r="F81" s="25">
        <f>Source!AO37</f>
        <v>321.33</v>
      </c>
      <c r="G81" s="26" t="str">
        <f>Source!DG37</f>
        <v>)*1,15</v>
      </c>
      <c r="H81" s="25">
        <f>ROUND(Source!AF37*Source!I37, 2)</f>
        <v>775.27</v>
      </c>
      <c r="I81" s="26"/>
      <c r="J81" s="26">
        <f>IF(Source!BA37&lt;&gt; 0, Source!BA37, 1)</f>
        <v>6.71</v>
      </c>
      <c r="K81" s="25">
        <f>Source!S37</f>
        <v>5202.09</v>
      </c>
      <c r="L81" s="27"/>
      <c r="R81">
        <f>H81</f>
        <v>775.27</v>
      </c>
    </row>
    <row r="82" spans="1:26" ht="14.25" x14ac:dyDescent="0.2">
      <c r="A82" s="40"/>
      <c r="B82" s="41"/>
      <c r="C82" s="41" t="s">
        <v>300</v>
      </c>
      <c r="D82" s="24"/>
      <c r="E82" s="10"/>
      <c r="F82" s="25">
        <f>Source!AM37</f>
        <v>6.23</v>
      </c>
      <c r="G82" s="26" t="str">
        <f>Source!DE37</f>
        <v>)*1,25</v>
      </c>
      <c r="H82" s="25">
        <f>ROUND(Source!AD37*Source!I37, 2)</f>
        <v>16.34</v>
      </c>
      <c r="I82" s="26"/>
      <c r="J82" s="26">
        <f>IF(Source!BB37&lt;&gt; 0, Source!BB37, 1)</f>
        <v>6.71</v>
      </c>
      <c r="K82" s="25">
        <f>Source!Q37</f>
        <v>109.66</v>
      </c>
      <c r="L82" s="27"/>
    </row>
    <row r="83" spans="1:26" ht="14.25" x14ac:dyDescent="0.2">
      <c r="A83" s="40"/>
      <c r="B83" s="41"/>
      <c r="C83" s="41" t="s">
        <v>995</v>
      </c>
      <c r="D83" s="24"/>
      <c r="E83" s="10"/>
      <c r="F83" s="25">
        <f>Source!AN37</f>
        <v>1.97</v>
      </c>
      <c r="G83" s="26" t="str">
        <f>Source!DF37</f>
        <v>)*1,25</v>
      </c>
      <c r="H83" s="35">
        <f>ROUND(Source!AE37*Source!I37, 2)</f>
        <v>5.16</v>
      </c>
      <c r="I83" s="26"/>
      <c r="J83" s="26">
        <f>IF(Source!BS37&lt;&gt; 0, Source!BS37, 1)</f>
        <v>6.71</v>
      </c>
      <c r="K83" s="35">
        <f>Source!R37</f>
        <v>34.630000000000003</v>
      </c>
      <c r="L83" s="27"/>
      <c r="R83">
        <f>H83</f>
        <v>5.16</v>
      </c>
    </row>
    <row r="84" spans="1:26" ht="14.25" x14ac:dyDescent="0.2">
      <c r="A84" s="40"/>
      <c r="B84" s="41"/>
      <c r="C84" s="41" t="s">
        <v>996</v>
      </c>
      <c r="D84" s="24"/>
      <c r="E84" s="10"/>
      <c r="F84" s="25">
        <f>Source!AL37</f>
        <v>10701.33</v>
      </c>
      <c r="G84" s="26" t="str">
        <f>Source!DD37</f>
        <v/>
      </c>
      <c r="H84" s="25">
        <f>ROUND(Source!AC37*Source!I37, 2)</f>
        <v>22451.39</v>
      </c>
      <c r="I84" s="26"/>
      <c r="J84" s="26">
        <f>IF(Source!BC37&lt;&gt; 0, Source!BC37, 1)</f>
        <v>6.71</v>
      </c>
      <c r="K84" s="25">
        <f>Source!P37</f>
        <v>150648.82999999999</v>
      </c>
      <c r="L84" s="27"/>
    </row>
    <row r="85" spans="1:26" ht="14.25" x14ac:dyDescent="0.2">
      <c r="A85" s="40"/>
      <c r="B85" s="41"/>
      <c r="C85" s="41" t="s">
        <v>990</v>
      </c>
      <c r="D85" s="24" t="s">
        <v>991</v>
      </c>
      <c r="E85" s="10">
        <f>Source!BZ37</f>
        <v>123</v>
      </c>
      <c r="F85" s="50" t="str">
        <f>CONCATENATE(" )", Source!DL37, Source!FT37, "=", Source!FX37)</f>
        <v xml:space="preserve"> )*0,9=110,7</v>
      </c>
      <c r="G85" s="51"/>
      <c r="H85" s="25">
        <f>SUM(S79:S87)</f>
        <v>863.94</v>
      </c>
      <c r="I85" s="28"/>
      <c r="J85" s="23">
        <f>Source!AT37</f>
        <v>111</v>
      </c>
      <c r="K85" s="25">
        <f>SUM(T79:T87)</f>
        <v>5812.76</v>
      </c>
      <c r="L85" s="27"/>
    </row>
    <row r="86" spans="1:26" ht="14.25" x14ac:dyDescent="0.2">
      <c r="A86" s="40"/>
      <c r="B86" s="41"/>
      <c r="C86" s="41" t="s">
        <v>992</v>
      </c>
      <c r="D86" s="24" t="s">
        <v>991</v>
      </c>
      <c r="E86" s="10">
        <f>Source!CA37</f>
        <v>75</v>
      </c>
      <c r="F86" s="50" t="str">
        <f>CONCATENATE(" )", Source!DM37, Source!FU37, "=", Source!FY37)</f>
        <v xml:space="preserve"> )*0,85=63,75</v>
      </c>
      <c r="G86" s="51"/>
      <c r="H86" s="25">
        <f>SUM(U79:U87)</f>
        <v>497.52</v>
      </c>
      <c r="I86" s="28"/>
      <c r="J86" s="23">
        <f>Source!AU37</f>
        <v>64</v>
      </c>
      <c r="K86" s="25">
        <f>SUM(V79:V87)</f>
        <v>3351.5</v>
      </c>
      <c r="L86" s="27"/>
    </row>
    <row r="87" spans="1:26" ht="14.25" x14ac:dyDescent="0.2">
      <c r="A87" s="42"/>
      <c r="B87" s="43"/>
      <c r="C87" s="43" t="s">
        <v>993</v>
      </c>
      <c r="D87" s="29" t="s">
        <v>994</v>
      </c>
      <c r="E87" s="30">
        <f>Source!AQ37</f>
        <v>37.67</v>
      </c>
      <c r="F87" s="31"/>
      <c r="G87" s="32" t="str">
        <f>Source!DI37</f>
        <v>)*1,15</v>
      </c>
      <c r="H87" s="31"/>
      <c r="I87" s="32"/>
      <c r="J87" s="32"/>
      <c r="K87" s="31"/>
      <c r="L87" s="33">
        <f>Source!U37</f>
        <v>90.886408999999986</v>
      </c>
    </row>
    <row r="88" spans="1:26" ht="15" x14ac:dyDescent="0.25">
      <c r="G88" s="47">
        <f>H81+H82+H84+H85+H86</f>
        <v>24604.46</v>
      </c>
      <c r="H88" s="47"/>
      <c r="J88" s="47">
        <f>K81+K82+K84+K85+K86</f>
        <v>165124.84</v>
      </c>
      <c r="K88" s="47"/>
      <c r="L88" s="34">
        <f>Source!U37</f>
        <v>90.886408999999986</v>
      </c>
      <c r="O88" s="21">
        <f>G88</f>
        <v>24604.46</v>
      </c>
      <c r="P88" s="21">
        <f>J88</f>
        <v>165124.84</v>
      </c>
      <c r="Q88" s="21">
        <f>L88</f>
        <v>90.886408999999986</v>
      </c>
      <c r="W88">
        <f>IF(Source!BI37&lt;=1,H81+H82+H84+H85+H86, 0)</f>
        <v>24604.46</v>
      </c>
      <c r="X88">
        <f>IF(Source!BI37=2,H81+H82+H84+H85+H86, 0)</f>
        <v>0</v>
      </c>
      <c r="Y88">
        <f>IF(Source!BI37=3,H81+H82+H84+H85+H86, 0)</f>
        <v>0</v>
      </c>
      <c r="Z88">
        <f>IF(Source!BI37=4,H81+H82+H84+H85+H86, 0)</f>
        <v>0</v>
      </c>
    </row>
    <row r="89" spans="1:26" ht="42.75" x14ac:dyDescent="0.2">
      <c r="A89" s="40" t="str">
        <f>Source!E38</f>
        <v>8</v>
      </c>
      <c r="B89" s="41" t="str">
        <f>Source!F38</f>
        <v>11-01-011-10</v>
      </c>
      <c r="C89" s="41" t="str">
        <f>Source!G38</f>
        <v>Устройство стяжек на каждый последующий слой толщиной 1 мм добавлять к расценке 11-01-011-08</v>
      </c>
      <c r="D89" s="24" t="str">
        <f>Source!H38</f>
        <v>100 м2</v>
      </c>
      <c r="E89" s="10">
        <f>Source!I38</f>
        <v>2.0979999999999999</v>
      </c>
      <c r="F89" s="25">
        <f>Source!AL38+Source!AM38+Source!AO38</f>
        <v>2070.6</v>
      </c>
      <c r="G89" s="26"/>
      <c r="H89" s="25"/>
      <c r="I89" s="26" t="str">
        <f>Source!BO38</f>
        <v/>
      </c>
      <c r="J89" s="26"/>
      <c r="K89" s="25"/>
      <c r="L89" s="27"/>
      <c r="S89">
        <f>ROUND((Source!FX38/100)*((ROUND(Source!AF38*Source!I38, 2)+ROUND(Source!AE38*Source!I38, 2))), 2)</f>
        <v>280.70999999999998</v>
      </c>
      <c r="T89">
        <f>Source!X38</f>
        <v>1888.73</v>
      </c>
      <c r="U89">
        <f>ROUND((Source!FY38/100)*((ROUND(Source!AF38*Source!I38, 2)+ROUND(Source!AE38*Source!I38, 2))), 2)</f>
        <v>161.66</v>
      </c>
      <c r="V89">
        <f>Source!Y38</f>
        <v>1089</v>
      </c>
    </row>
    <row r="90" spans="1:26" x14ac:dyDescent="0.2">
      <c r="C90" s="20" t="str">
        <f>"Объем: "&amp;Source!I38&amp;"=209,8/"&amp;"100"</f>
        <v>Объем: 2,098=209,8/100</v>
      </c>
    </row>
    <row r="91" spans="1:26" ht="14.25" x14ac:dyDescent="0.2">
      <c r="A91" s="40"/>
      <c r="B91" s="41"/>
      <c r="C91" s="41" t="s">
        <v>989</v>
      </c>
      <c r="D91" s="24"/>
      <c r="E91" s="10"/>
      <c r="F91" s="25">
        <f>Source!AO38</f>
        <v>20.64</v>
      </c>
      <c r="G91" s="26" t="str">
        <f>Source!DG38</f>
        <v>)*1,15*5</v>
      </c>
      <c r="H91" s="25">
        <f>ROUND(Source!AF38*Source!I38, 2)</f>
        <v>248.99</v>
      </c>
      <c r="I91" s="26"/>
      <c r="J91" s="26">
        <f>IF(Source!BA38&lt;&gt; 0, Source!BA38, 1)</f>
        <v>6.71</v>
      </c>
      <c r="K91" s="25">
        <f>Source!S38</f>
        <v>1670.73</v>
      </c>
      <c r="L91" s="27"/>
      <c r="R91">
        <f>H91</f>
        <v>248.99</v>
      </c>
    </row>
    <row r="92" spans="1:26" ht="14.25" x14ac:dyDescent="0.2">
      <c r="A92" s="40"/>
      <c r="B92" s="41"/>
      <c r="C92" s="41" t="s">
        <v>300</v>
      </c>
      <c r="D92" s="24"/>
      <c r="E92" s="10"/>
      <c r="F92" s="25">
        <f>Source!AM38</f>
        <v>1.21</v>
      </c>
      <c r="G92" s="26" t="str">
        <f>Source!DE38</f>
        <v>)*1,25*5</v>
      </c>
      <c r="H92" s="25">
        <f>ROUND(Source!AD38*Source!I38, 2)</f>
        <v>15.88</v>
      </c>
      <c r="I92" s="26"/>
      <c r="J92" s="26">
        <f>IF(Source!BB38&lt;&gt; 0, Source!BB38, 1)</f>
        <v>6.71</v>
      </c>
      <c r="K92" s="25">
        <f>Source!Q38</f>
        <v>106.57</v>
      </c>
      <c r="L92" s="27"/>
    </row>
    <row r="93" spans="1:26" ht="14.25" x14ac:dyDescent="0.2">
      <c r="A93" s="40"/>
      <c r="B93" s="41"/>
      <c r="C93" s="41" t="s">
        <v>995</v>
      </c>
      <c r="D93" s="24"/>
      <c r="E93" s="10"/>
      <c r="F93" s="25">
        <f>Source!AN38</f>
        <v>0.35</v>
      </c>
      <c r="G93" s="26" t="str">
        <f>Source!DF38</f>
        <v>)*1,25*5</v>
      </c>
      <c r="H93" s="35">
        <f>ROUND(Source!AE38*Source!I38, 2)</f>
        <v>4.59</v>
      </c>
      <c r="I93" s="26"/>
      <c r="J93" s="26">
        <f>IF(Source!BS38&lt;&gt; 0, Source!BS38, 1)</f>
        <v>6.71</v>
      </c>
      <c r="K93" s="35">
        <f>Source!R38</f>
        <v>30.83</v>
      </c>
      <c r="L93" s="27"/>
      <c r="R93">
        <f>H93</f>
        <v>4.59</v>
      </c>
    </row>
    <row r="94" spans="1:26" ht="14.25" x14ac:dyDescent="0.2">
      <c r="A94" s="40"/>
      <c r="B94" s="41"/>
      <c r="C94" s="41" t="s">
        <v>996</v>
      </c>
      <c r="D94" s="24"/>
      <c r="E94" s="10"/>
      <c r="F94" s="25">
        <f>Source!AL38</f>
        <v>2048.75</v>
      </c>
      <c r="G94" s="26" t="str">
        <f>Source!DD38</f>
        <v>*5</v>
      </c>
      <c r="H94" s="25">
        <f>ROUND(Source!AC38*Source!I38, 2)</f>
        <v>21491.39</v>
      </c>
      <c r="I94" s="26"/>
      <c r="J94" s="26">
        <f>IF(Source!BC38&lt;&gt; 0, Source!BC38, 1)</f>
        <v>6.71</v>
      </c>
      <c r="K94" s="25">
        <f>Source!P38</f>
        <v>144207.21</v>
      </c>
      <c r="L94" s="27"/>
    </row>
    <row r="95" spans="1:26" ht="14.25" x14ac:dyDescent="0.2">
      <c r="A95" s="40"/>
      <c r="B95" s="41"/>
      <c r="C95" s="41" t="s">
        <v>990</v>
      </c>
      <c r="D95" s="24" t="s">
        <v>991</v>
      </c>
      <c r="E95" s="10">
        <f>Source!BZ38</f>
        <v>123</v>
      </c>
      <c r="F95" s="50" t="str">
        <f>CONCATENATE(" )", Source!DL38, Source!FT38, "=", Source!FX38)</f>
        <v xml:space="preserve"> )*0,9=110,7</v>
      </c>
      <c r="G95" s="51"/>
      <c r="H95" s="25">
        <f>SUM(S89:S97)</f>
        <v>280.70999999999998</v>
      </c>
      <c r="I95" s="28"/>
      <c r="J95" s="23">
        <f>Source!AT38</f>
        <v>111</v>
      </c>
      <c r="K95" s="25">
        <f>SUM(T89:T97)</f>
        <v>1888.73</v>
      </c>
      <c r="L95" s="27"/>
    </row>
    <row r="96" spans="1:26" ht="14.25" x14ac:dyDescent="0.2">
      <c r="A96" s="40"/>
      <c r="B96" s="41"/>
      <c r="C96" s="41" t="s">
        <v>992</v>
      </c>
      <c r="D96" s="24" t="s">
        <v>991</v>
      </c>
      <c r="E96" s="10">
        <f>Source!CA38</f>
        <v>75</v>
      </c>
      <c r="F96" s="50" t="str">
        <f>CONCATENATE(" )", Source!DM38, Source!FU38, "=", Source!FY38)</f>
        <v xml:space="preserve"> )*0,85=63,75</v>
      </c>
      <c r="G96" s="51"/>
      <c r="H96" s="25">
        <f>SUM(U89:U97)</f>
        <v>161.66</v>
      </c>
      <c r="I96" s="28"/>
      <c r="J96" s="23">
        <f>Source!AU38</f>
        <v>64</v>
      </c>
      <c r="K96" s="25">
        <f>SUM(V89:V97)</f>
        <v>1089</v>
      </c>
      <c r="L96" s="27"/>
    </row>
    <row r="97" spans="1:26" ht="14.25" x14ac:dyDescent="0.2">
      <c r="A97" s="42"/>
      <c r="B97" s="43"/>
      <c r="C97" s="43" t="s">
        <v>993</v>
      </c>
      <c r="D97" s="29" t="s">
        <v>994</v>
      </c>
      <c r="E97" s="30">
        <f>Source!AQ38</f>
        <v>2.42</v>
      </c>
      <c r="F97" s="31"/>
      <c r="G97" s="32" t="str">
        <f>Source!DI38</f>
        <v>)*1,15*5</v>
      </c>
      <c r="H97" s="31"/>
      <c r="I97" s="32"/>
      <c r="J97" s="32"/>
      <c r="K97" s="31"/>
      <c r="L97" s="33">
        <f>Source!U38</f>
        <v>29.193669999999997</v>
      </c>
    </row>
    <row r="98" spans="1:26" ht="15" x14ac:dyDescent="0.25">
      <c r="G98" s="47">
        <f>H91+H92+H94+H95+H96</f>
        <v>22198.629999999997</v>
      </c>
      <c r="H98" s="47"/>
      <c r="J98" s="47">
        <f>K91+K92+K94+K95+K96</f>
        <v>148962.23999999999</v>
      </c>
      <c r="K98" s="47"/>
      <c r="L98" s="34">
        <f>Source!U38</f>
        <v>29.193669999999997</v>
      </c>
      <c r="O98" s="21">
        <f>G98</f>
        <v>22198.629999999997</v>
      </c>
      <c r="P98" s="21">
        <f>J98</f>
        <v>148962.23999999999</v>
      </c>
      <c r="Q98" s="21">
        <f>L98</f>
        <v>29.193669999999997</v>
      </c>
      <c r="W98">
        <f>IF(Source!BI38&lt;=1,H91+H92+H94+H95+H96, 0)</f>
        <v>22198.629999999997</v>
      </c>
      <c r="X98">
        <f>IF(Source!BI38=2,H91+H92+H94+H95+H96, 0)</f>
        <v>0</v>
      </c>
      <c r="Y98">
        <f>IF(Source!BI38=3,H91+H92+H94+H95+H96, 0)</f>
        <v>0</v>
      </c>
      <c r="Z98">
        <f>IF(Source!BI38=4,H91+H92+H94+H95+H96, 0)</f>
        <v>0</v>
      </c>
    </row>
    <row r="99" spans="1:26" ht="42.75" x14ac:dyDescent="0.2">
      <c r="A99" s="40" t="str">
        <f>Source!E39</f>
        <v>9</v>
      </c>
      <c r="B99" s="41" t="str">
        <f>Source!F39</f>
        <v>15-07-003-02</v>
      </c>
      <c r="C99" s="41" t="str">
        <f>Source!G39</f>
        <v>Грунтование водно-дисперсионной грунтовкой  поверхностей пористых (камень, кирпич, бетон и т д)</v>
      </c>
      <c r="D99" s="24" t="str">
        <f>Source!H39</f>
        <v>100 м2</v>
      </c>
      <c r="E99" s="10">
        <f>Source!I39</f>
        <v>2.0979999999999999</v>
      </c>
      <c r="F99" s="25">
        <f>Source!AL39+Source!AM39+Source!AO39</f>
        <v>268.3</v>
      </c>
      <c r="G99" s="26"/>
      <c r="H99" s="25"/>
      <c r="I99" s="26" t="str">
        <f>Source!BO39</f>
        <v/>
      </c>
      <c r="J99" s="26"/>
      <c r="K99" s="25"/>
      <c r="L99" s="27"/>
      <c r="S99">
        <f>ROUND((Source!FX39/100)*((ROUND(Source!AF39*Source!I39, 2)+ROUND(Source!AE39*Source!I39, 2))), 2)</f>
        <v>78.67</v>
      </c>
      <c r="T99">
        <f>Source!X39</f>
        <v>530.66999999999996</v>
      </c>
      <c r="U99">
        <f>ROUND((Source!FY39/100)*((ROUND(Source!AF39*Source!I39, 2)+ROUND(Source!AE39*Source!I39, 2))), 2)</f>
        <v>38.92</v>
      </c>
      <c r="V99">
        <f>Source!Y39</f>
        <v>262.54000000000002</v>
      </c>
    </row>
    <row r="100" spans="1:26" x14ac:dyDescent="0.2">
      <c r="C100" s="20" t="str">
        <f>"Объем: "&amp;Source!I39&amp;"=209,8/"&amp;"100"</f>
        <v>Объем: 2,098=209,8/100</v>
      </c>
    </row>
    <row r="101" spans="1:26" ht="14.25" x14ac:dyDescent="0.2">
      <c r="A101" s="40"/>
      <c r="B101" s="41"/>
      <c r="C101" s="41" t="s">
        <v>989</v>
      </c>
      <c r="D101" s="24"/>
      <c r="E101" s="10"/>
      <c r="F101" s="25">
        <f>Source!AO39</f>
        <v>33.869999999999997</v>
      </c>
      <c r="G101" s="26" t="str">
        <f>Source!DG39</f>
        <v>)*1,15</v>
      </c>
      <c r="H101" s="25">
        <f>ROUND(Source!AF39*Source!I39, 2)</f>
        <v>81.72</v>
      </c>
      <c r="I101" s="26"/>
      <c r="J101" s="26">
        <f>IF(Source!BA39&lt;&gt; 0, Source!BA39, 1)</f>
        <v>6.71</v>
      </c>
      <c r="K101" s="25">
        <f>Source!S39</f>
        <v>548.32000000000005</v>
      </c>
      <c r="L101" s="27"/>
      <c r="R101">
        <f>H101</f>
        <v>81.72</v>
      </c>
    </row>
    <row r="102" spans="1:26" ht="14.25" x14ac:dyDescent="0.2">
      <c r="A102" s="40"/>
      <c r="B102" s="41"/>
      <c r="C102" s="41" t="s">
        <v>300</v>
      </c>
      <c r="D102" s="24"/>
      <c r="E102" s="10"/>
      <c r="F102" s="25">
        <f>Source!AM39</f>
        <v>22.14</v>
      </c>
      <c r="G102" s="26" t="str">
        <f>Source!DE39</f>
        <v>)*1,25</v>
      </c>
      <c r="H102" s="25">
        <f>ROUND(Source!AD39*Source!I39, 2)</f>
        <v>58.07</v>
      </c>
      <c r="I102" s="26"/>
      <c r="J102" s="26">
        <f>IF(Source!BB39&lt;&gt; 0, Source!BB39, 1)</f>
        <v>6.71</v>
      </c>
      <c r="K102" s="25">
        <f>Source!Q39</f>
        <v>389.67</v>
      </c>
      <c r="L102" s="27"/>
    </row>
    <row r="103" spans="1:26" ht="14.25" x14ac:dyDescent="0.2">
      <c r="A103" s="40"/>
      <c r="B103" s="41"/>
      <c r="C103" s="41" t="s">
        <v>995</v>
      </c>
      <c r="D103" s="24"/>
      <c r="E103" s="10"/>
      <c r="F103" s="25">
        <f>Source!AN39</f>
        <v>0.57999999999999996</v>
      </c>
      <c r="G103" s="26" t="str">
        <f>Source!DF39</f>
        <v>)*1,25</v>
      </c>
      <c r="H103" s="35">
        <f>ROUND(Source!AE39*Source!I39, 2)</f>
        <v>1.53</v>
      </c>
      <c r="I103" s="26"/>
      <c r="J103" s="26">
        <f>IF(Source!BS39&lt;&gt; 0, Source!BS39, 1)</f>
        <v>6.71</v>
      </c>
      <c r="K103" s="35">
        <f>Source!R39</f>
        <v>10.28</v>
      </c>
      <c r="L103" s="27"/>
      <c r="R103">
        <f>H103</f>
        <v>1.53</v>
      </c>
    </row>
    <row r="104" spans="1:26" ht="14.25" x14ac:dyDescent="0.2">
      <c r="A104" s="40"/>
      <c r="B104" s="41"/>
      <c r="C104" s="41" t="s">
        <v>996</v>
      </c>
      <c r="D104" s="24"/>
      <c r="E104" s="10"/>
      <c r="F104" s="25">
        <f>Source!AL39</f>
        <v>212.29</v>
      </c>
      <c r="G104" s="26" t="str">
        <f>Source!DD39</f>
        <v/>
      </c>
      <c r="H104" s="25">
        <f>ROUND(Source!AC39*Source!I39, 2)</f>
        <v>445.38</v>
      </c>
      <c r="I104" s="26"/>
      <c r="J104" s="26">
        <f>IF(Source!BC39&lt;&gt; 0, Source!BC39, 1)</f>
        <v>6.71</v>
      </c>
      <c r="K104" s="25">
        <f>Source!P39</f>
        <v>2988.53</v>
      </c>
      <c r="L104" s="27"/>
    </row>
    <row r="105" spans="1:26" ht="14.25" x14ac:dyDescent="0.2">
      <c r="A105" s="40"/>
      <c r="B105" s="41"/>
      <c r="C105" s="41" t="s">
        <v>990</v>
      </c>
      <c r="D105" s="24" t="s">
        <v>991</v>
      </c>
      <c r="E105" s="10">
        <f>Source!BZ39</f>
        <v>105</v>
      </c>
      <c r="F105" s="50" t="str">
        <f>CONCATENATE(" )", Source!DL39, Source!FT39, "=", Source!FX39)</f>
        <v xml:space="preserve"> )*0,9=94,5</v>
      </c>
      <c r="G105" s="51"/>
      <c r="H105" s="25">
        <f>SUM(S99:S107)</f>
        <v>78.67</v>
      </c>
      <c r="I105" s="28"/>
      <c r="J105" s="23">
        <f>Source!AT39</f>
        <v>95</v>
      </c>
      <c r="K105" s="25">
        <f>SUM(T99:T107)</f>
        <v>530.66999999999996</v>
      </c>
      <c r="L105" s="27"/>
    </row>
    <row r="106" spans="1:26" ht="14.25" x14ac:dyDescent="0.2">
      <c r="A106" s="40"/>
      <c r="B106" s="41"/>
      <c r="C106" s="41" t="s">
        <v>992</v>
      </c>
      <c r="D106" s="24" t="s">
        <v>991</v>
      </c>
      <c r="E106" s="10">
        <f>Source!CA39</f>
        <v>55</v>
      </c>
      <c r="F106" s="50" t="str">
        <f>CONCATENATE(" )", Source!DM39, Source!FU39, "=", Source!FY39)</f>
        <v xml:space="preserve"> )*0,85=46,75</v>
      </c>
      <c r="G106" s="51"/>
      <c r="H106" s="25">
        <f>SUM(U99:U107)</f>
        <v>38.92</v>
      </c>
      <c r="I106" s="28"/>
      <c r="J106" s="23">
        <f>Source!AU39</f>
        <v>47</v>
      </c>
      <c r="K106" s="25">
        <f>SUM(V99:V107)</f>
        <v>262.54000000000002</v>
      </c>
      <c r="L106" s="27"/>
    </row>
    <row r="107" spans="1:26" ht="14.25" x14ac:dyDescent="0.2">
      <c r="A107" s="42"/>
      <c r="B107" s="43"/>
      <c r="C107" s="43" t="s">
        <v>993</v>
      </c>
      <c r="D107" s="29" t="s">
        <v>994</v>
      </c>
      <c r="E107" s="30">
        <f>Source!AQ39</f>
        <v>3.69</v>
      </c>
      <c r="F107" s="31"/>
      <c r="G107" s="32" t="str">
        <f>Source!DI39</f>
        <v>)*1,15</v>
      </c>
      <c r="H107" s="31"/>
      <c r="I107" s="32"/>
      <c r="J107" s="32"/>
      <c r="K107" s="31"/>
      <c r="L107" s="33">
        <f>Source!U39</f>
        <v>8.902863</v>
      </c>
    </row>
    <row r="108" spans="1:26" ht="15" x14ac:dyDescent="0.25">
      <c r="G108" s="47">
        <f>H101+H102+H104+H105+H106</f>
        <v>702.75999999999988</v>
      </c>
      <c r="H108" s="47"/>
      <c r="J108" s="47">
        <f>K101+K102+K104+K105+K106</f>
        <v>4719.7300000000005</v>
      </c>
      <c r="K108" s="47"/>
      <c r="L108" s="34">
        <f>Source!U39</f>
        <v>8.902863</v>
      </c>
      <c r="O108" s="21">
        <f>G108</f>
        <v>702.75999999999988</v>
      </c>
      <c r="P108" s="21">
        <f>J108</f>
        <v>4719.7300000000005</v>
      </c>
      <c r="Q108" s="21">
        <f>L108</f>
        <v>8.902863</v>
      </c>
      <c r="W108">
        <f>IF(Source!BI39&lt;=1,H101+H102+H104+H105+H106, 0)</f>
        <v>702.75999999999988</v>
      </c>
      <c r="X108">
        <f>IF(Source!BI39=2,H101+H102+H104+H105+H106, 0)</f>
        <v>0</v>
      </c>
      <c r="Y108">
        <f>IF(Source!BI39=3,H101+H102+H104+H105+H106, 0)</f>
        <v>0</v>
      </c>
      <c r="Z108">
        <f>IF(Source!BI39=4,H101+H102+H104+H105+H106, 0)</f>
        <v>0</v>
      </c>
    </row>
    <row r="109" spans="1:26" ht="28.5" x14ac:dyDescent="0.2">
      <c r="A109" s="40" t="str">
        <f>Source!E40</f>
        <v>10</v>
      </c>
      <c r="B109" s="41" t="str">
        <f>Source!F40</f>
        <v>11-01-036-01</v>
      </c>
      <c r="C109" s="41" t="str">
        <f>Source!G40</f>
        <v>Устройство покрытий из линолеума на клее</v>
      </c>
      <c r="D109" s="24" t="str">
        <f>Source!H40</f>
        <v>100 м2</v>
      </c>
      <c r="E109" s="10">
        <f>Source!I40</f>
        <v>2.0979999999999999</v>
      </c>
      <c r="F109" s="25">
        <f>Source!AL40+Source!AM40+Source!AO40</f>
        <v>397.04999999999995</v>
      </c>
      <c r="G109" s="26"/>
      <c r="H109" s="25"/>
      <c r="I109" s="26" t="str">
        <f>Source!BO40</f>
        <v/>
      </c>
      <c r="J109" s="26"/>
      <c r="K109" s="25"/>
      <c r="L109" s="27"/>
      <c r="S109">
        <f>ROUND((Source!FX40/100)*((ROUND(Source!AF40*Source!I40, 2)+ROUND(Source!AE40*Source!I40, 2))), 2)</f>
        <v>842.76</v>
      </c>
      <c r="T109">
        <f>Source!X40</f>
        <v>5670.25</v>
      </c>
      <c r="U109">
        <f>ROUND((Source!FY40/100)*((ROUND(Source!AF40*Source!I40, 2)+ROUND(Source!AE40*Source!I40, 2))), 2)</f>
        <v>485.33</v>
      </c>
      <c r="V109">
        <f>Source!Y40</f>
        <v>3269.33</v>
      </c>
    </row>
    <row r="110" spans="1:26" x14ac:dyDescent="0.2">
      <c r="C110" s="20" t="str">
        <f>"Объем: "&amp;Source!I40&amp;"=209,8/"&amp;"100"</f>
        <v>Объем: 2,098=209,8/100</v>
      </c>
    </row>
    <row r="111" spans="1:26" ht="14.25" x14ac:dyDescent="0.2">
      <c r="A111" s="40"/>
      <c r="B111" s="41"/>
      <c r="C111" s="41" t="s">
        <v>989</v>
      </c>
      <c r="D111" s="24"/>
      <c r="E111" s="10"/>
      <c r="F111" s="25">
        <f>Source!AO40</f>
        <v>352.34</v>
      </c>
      <c r="G111" s="26" t="str">
        <f>Source!DG40</f>
        <v/>
      </c>
      <c r="H111" s="25">
        <f>ROUND(Source!AF40*Source!I40, 2)</f>
        <v>739.21</v>
      </c>
      <c r="I111" s="26"/>
      <c r="J111" s="26">
        <f>IF(Source!BA40&lt;&gt; 0, Source!BA40, 1)</f>
        <v>6.71</v>
      </c>
      <c r="K111" s="25">
        <f>Source!S40</f>
        <v>4960.09</v>
      </c>
      <c r="L111" s="27"/>
      <c r="R111">
        <f>H111</f>
        <v>739.21</v>
      </c>
    </row>
    <row r="112" spans="1:26" ht="14.25" x14ac:dyDescent="0.2">
      <c r="A112" s="40"/>
      <c r="B112" s="41"/>
      <c r="C112" s="41" t="s">
        <v>300</v>
      </c>
      <c r="D112" s="24"/>
      <c r="E112" s="10"/>
      <c r="F112" s="25">
        <f>Source!AM40</f>
        <v>43.8</v>
      </c>
      <c r="G112" s="26" t="str">
        <f>Source!DE40</f>
        <v/>
      </c>
      <c r="H112" s="25">
        <f>ROUND(Source!AD40*Source!I40, 2)</f>
        <v>91.89</v>
      </c>
      <c r="I112" s="26"/>
      <c r="J112" s="26">
        <f>IF(Source!BB40&lt;&gt; 0, Source!BB40, 1)</f>
        <v>6.71</v>
      </c>
      <c r="K112" s="25">
        <f>Source!Q40</f>
        <v>616.6</v>
      </c>
      <c r="L112" s="27"/>
    </row>
    <row r="113" spans="1:26" ht="14.25" x14ac:dyDescent="0.2">
      <c r="A113" s="40"/>
      <c r="B113" s="41"/>
      <c r="C113" s="41" t="s">
        <v>995</v>
      </c>
      <c r="D113" s="24"/>
      <c r="E113" s="10"/>
      <c r="F113" s="25">
        <f>Source!AN40</f>
        <v>10.53</v>
      </c>
      <c r="G113" s="26" t="str">
        <f>Source!DF40</f>
        <v/>
      </c>
      <c r="H113" s="35">
        <f>ROUND(Source!AE40*Source!I40, 2)</f>
        <v>22.09</v>
      </c>
      <c r="I113" s="26"/>
      <c r="J113" s="26">
        <f>IF(Source!BS40&lt;&gt; 0, Source!BS40, 1)</f>
        <v>6.71</v>
      </c>
      <c r="K113" s="35">
        <f>Source!R40</f>
        <v>148.24</v>
      </c>
      <c r="L113" s="27"/>
      <c r="R113">
        <f>H113</f>
        <v>22.09</v>
      </c>
    </row>
    <row r="114" spans="1:26" ht="14.25" x14ac:dyDescent="0.2">
      <c r="A114" s="40"/>
      <c r="B114" s="41"/>
      <c r="C114" s="41" t="s">
        <v>996</v>
      </c>
      <c r="D114" s="24"/>
      <c r="E114" s="10"/>
      <c r="F114" s="25">
        <f>Source!AL40</f>
        <v>0.91</v>
      </c>
      <c r="G114" s="26" t="str">
        <f>Source!DD40</f>
        <v/>
      </c>
      <c r="H114" s="25">
        <f>ROUND(Source!AC40*Source!I40, 2)</f>
        <v>1.91</v>
      </c>
      <c r="I114" s="26"/>
      <c r="J114" s="26">
        <f>IF(Source!BC40&lt;&gt; 0, Source!BC40, 1)</f>
        <v>6.71</v>
      </c>
      <c r="K114" s="25">
        <f>Source!P40</f>
        <v>12.81</v>
      </c>
      <c r="L114" s="27"/>
    </row>
    <row r="115" spans="1:26" ht="14.25" x14ac:dyDescent="0.2">
      <c r="A115" s="40"/>
      <c r="B115" s="41"/>
      <c r="C115" s="41" t="s">
        <v>990</v>
      </c>
      <c r="D115" s="24" t="s">
        <v>991</v>
      </c>
      <c r="E115" s="10">
        <f>Source!BZ40</f>
        <v>123</v>
      </c>
      <c r="F115" s="50" t="str">
        <f>CONCATENATE(" )", Source!DL40, Source!FT40, "=", Source!FX40)</f>
        <v xml:space="preserve"> )*0,9=110,7</v>
      </c>
      <c r="G115" s="51"/>
      <c r="H115" s="25">
        <f>SUM(S109:S121)</f>
        <v>842.76</v>
      </c>
      <c r="I115" s="28"/>
      <c r="J115" s="23">
        <f>Source!AT40</f>
        <v>111</v>
      </c>
      <c r="K115" s="25">
        <f>SUM(T109:T121)</f>
        <v>5670.25</v>
      </c>
      <c r="L115" s="27"/>
    </row>
    <row r="116" spans="1:26" ht="14.25" x14ac:dyDescent="0.2">
      <c r="A116" s="40"/>
      <c r="B116" s="41"/>
      <c r="C116" s="41" t="s">
        <v>992</v>
      </c>
      <c r="D116" s="24" t="s">
        <v>991</v>
      </c>
      <c r="E116" s="10">
        <f>Source!CA40</f>
        <v>75</v>
      </c>
      <c r="F116" s="50" t="str">
        <f>CONCATENATE(" )", Source!DM40, Source!FU40, "=", Source!FY40)</f>
        <v xml:space="preserve"> )*0,85=63,75</v>
      </c>
      <c r="G116" s="51"/>
      <c r="H116" s="25">
        <f>SUM(U109:U121)</f>
        <v>485.33</v>
      </c>
      <c r="I116" s="28"/>
      <c r="J116" s="23">
        <f>Source!AU40</f>
        <v>64</v>
      </c>
      <c r="K116" s="25">
        <f>SUM(V109:V121)</f>
        <v>3269.33</v>
      </c>
      <c r="L116" s="27"/>
    </row>
    <row r="117" spans="1:26" ht="14.25" x14ac:dyDescent="0.2">
      <c r="A117" s="40"/>
      <c r="B117" s="41"/>
      <c r="C117" s="41" t="s">
        <v>993</v>
      </c>
      <c r="D117" s="24" t="s">
        <v>994</v>
      </c>
      <c r="E117" s="10">
        <f>Source!AQ40</f>
        <v>42.4</v>
      </c>
      <c r="F117" s="25"/>
      <c r="G117" s="26" t="str">
        <f>Source!DI40</f>
        <v/>
      </c>
      <c r="H117" s="25"/>
      <c r="I117" s="26"/>
      <c r="J117" s="26"/>
      <c r="K117" s="25"/>
      <c r="L117" s="36">
        <f>Source!U40</f>
        <v>88.955199999999991</v>
      </c>
    </row>
    <row r="118" spans="1:26" ht="28.5" x14ac:dyDescent="0.2">
      <c r="A118" s="40" t="str">
        <f>Source!E41</f>
        <v>10,1</v>
      </c>
      <c r="B118" s="41" t="str">
        <f>Source!F41</f>
        <v>01.6.03.04</v>
      </c>
      <c r="C118" s="41" t="str">
        <f>Source!G41</f>
        <v>Линолеум на теплозвукоизолирующей подоснове</v>
      </c>
      <c r="D118" s="24" t="str">
        <f>Source!H41</f>
        <v>м2</v>
      </c>
      <c r="E118" s="10">
        <f>Source!I41</f>
        <v>213.99600000000001</v>
      </c>
      <c r="F118" s="25">
        <f>Source!AL41+Source!AM41+Source!AO41</f>
        <v>0</v>
      </c>
      <c r="G118" s="39" t="s">
        <v>6</v>
      </c>
      <c r="H118" s="25">
        <f>ROUND(Source!AC41*Source!I41, 2)+ROUND(Source!AD41*Source!I41, 2)+ROUND(Source!AF41*Source!I41, 2)</f>
        <v>0</v>
      </c>
      <c r="I118" s="26"/>
      <c r="J118" s="26">
        <f>IF(Source!BC41&lt;&gt; 0, Source!BC41, 1)</f>
        <v>6.71</v>
      </c>
      <c r="K118" s="25">
        <f>Source!O41</f>
        <v>0</v>
      </c>
      <c r="L118" s="27"/>
      <c r="S118">
        <f>ROUND((Source!FX41/100)*((ROUND(Source!AF41*Source!I41, 2)+ROUND(Source!AE41*Source!I41, 2))), 2)</f>
        <v>0</v>
      </c>
      <c r="T118">
        <f>Source!X41</f>
        <v>0</v>
      </c>
      <c r="U118">
        <f>ROUND((Source!FY41/100)*((ROUND(Source!AF41*Source!I41, 2)+ROUND(Source!AE41*Source!I41, 2))), 2)</f>
        <v>0</v>
      </c>
      <c r="V118">
        <f>Source!Y41</f>
        <v>0</v>
      </c>
      <c r="W118">
        <f>IF(Source!BI41&lt;=1,H118, 0)</f>
        <v>0</v>
      </c>
      <c r="X118">
        <f>IF(Source!BI41=2,H118, 0)</f>
        <v>0</v>
      </c>
      <c r="Y118">
        <f>IF(Source!BI41=3,H118, 0)</f>
        <v>0</v>
      </c>
      <c r="Z118">
        <f>IF(Source!BI41=4,H118, 0)</f>
        <v>0</v>
      </c>
    </row>
    <row r="119" spans="1:26" ht="71.25" x14ac:dyDescent="0.2">
      <c r="A119" s="40" t="str">
        <f>Source!E42</f>
        <v>10,2</v>
      </c>
      <c r="B119" s="41" t="str">
        <f>Source!F42</f>
        <v>01.6.03.04-0101</v>
      </c>
      <c r="C119" s="41" t="str">
        <f>Source!G42</f>
        <v>Линолеум коммерческий гетерогенный "ТАРКЕТТ TRAVERTINE" (толщина 2 мм, толщина защитного слоя 0,5 мм, класс 33/41, пож. безопасность Г1, В2, РП1, Д2, Т2)</v>
      </c>
      <c r="D119" s="24" t="str">
        <f>Source!H42</f>
        <v>м2</v>
      </c>
      <c r="E119" s="10">
        <f>Source!I42</f>
        <v>213.99600000000001</v>
      </c>
      <c r="F119" s="25">
        <f>Source!AL42+Source!AM42+Source!AO42</f>
        <v>77.5</v>
      </c>
      <c r="G119" s="39" t="s">
        <v>6</v>
      </c>
      <c r="H119" s="25">
        <f>ROUND(Source!AC42*Source!I42, 2)+ROUND(Source!AD42*Source!I42, 2)+ROUND(Source!AF42*Source!I42, 2)</f>
        <v>16584.689999999999</v>
      </c>
      <c r="I119" s="26"/>
      <c r="J119" s="26">
        <f>IF(Source!BC42&lt;&gt; 0, Source!BC42, 1)</f>
        <v>6.71</v>
      </c>
      <c r="K119" s="25">
        <f>Source!O42</f>
        <v>111283.27</v>
      </c>
      <c r="L119" s="27"/>
      <c r="S119">
        <f>ROUND((Source!FX42/100)*((ROUND(Source!AF42*Source!I42, 2)+ROUND(Source!AE42*Source!I42, 2))), 2)</f>
        <v>0</v>
      </c>
      <c r="T119">
        <f>Source!X42</f>
        <v>0</v>
      </c>
      <c r="U119">
        <f>ROUND((Source!FY42/100)*((ROUND(Source!AF42*Source!I42, 2)+ROUND(Source!AE42*Source!I42, 2))), 2)</f>
        <v>0</v>
      </c>
      <c r="V119">
        <f>Source!Y42</f>
        <v>0</v>
      </c>
      <c r="W119">
        <f>IF(Source!BI42&lt;=1,H119, 0)</f>
        <v>16584.689999999999</v>
      </c>
      <c r="X119">
        <f>IF(Source!BI42=2,H119, 0)</f>
        <v>0</v>
      </c>
      <c r="Y119">
        <f>IF(Source!BI42=3,H119, 0)</f>
        <v>0</v>
      </c>
      <c r="Z119">
        <f>IF(Source!BI42=4,H119, 0)</f>
        <v>0</v>
      </c>
    </row>
    <row r="120" spans="1:26" ht="14.25" x14ac:dyDescent="0.2">
      <c r="A120" s="40" t="str">
        <f>Source!E43</f>
        <v>10,3</v>
      </c>
      <c r="B120" s="41" t="str">
        <f>Source!F43</f>
        <v>14.1.06.05</v>
      </c>
      <c r="C120" s="41" t="str">
        <f>Source!G43</f>
        <v>Состав клеящий</v>
      </c>
      <c r="D120" s="24" t="str">
        <f>Source!H43</f>
        <v>кг</v>
      </c>
      <c r="E120" s="10">
        <f>Source!I43</f>
        <v>104.9</v>
      </c>
      <c r="F120" s="25">
        <f>Source!AL43+Source!AM43+Source!AO43</f>
        <v>0</v>
      </c>
      <c r="G120" s="39" t="s">
        <v>6</v>
      </c>
      <c r="H120" s="25">
        <f>ROUND(Source!AC43*Source!I43, 2)+ROUND(Source!AD43*Source!I43, 2)+ROUND(Source!AF43*Source!I43, 2)</f>
        <v>0</v>
      </c>
      <c r="I120" s="26"/>
      <c r="J120" s="26">
        <f>IF(Source!BC43&lt;&gt; 0, Source!BC43, 1)</f>
        <v>6.71</v>
      </c>
      <c r="K120" s="25">
        <f>Source!O43</f>
        <v>0</v>
      </c>
      <c r="L120" s="27"/>
      <c r="S120">
        <f>ROUND((Source!FX43/100)*((ROUND(Source!AF43*Source!I43, 2)+ROUND(Source!AE43*Source!I43, 2))), 2)</f>
        <v>0</v>
      </c>
      <c r="T120">
        <f>Source!X43</f>
        <v>0</v>
      </c>
      <c r="U120">
        <f>ROUND((Source!FY43/100)*((ROUND(Source!AF43*Source!I43, 2)+ROUND(Source!AE43*Source!I43, 2))), 2)</f>
        <v>0</v>
      </c>
      <c r="V120">
        <f>Source!Y43</f>
        <v>0</v>
      </c>
      <c r="W120">
        <f>IF(Source!BI43&lt;=1,H120, 0)</f>
        <v>0</v>
      </c>
      <c r="X120">
        <f>IF(Source!BI43=2,H120, 0)</f>
        <v>0</v>
      </c>
      <c r="Y120">
        <f>IF(Source!BI43=3,H120, 0)</f>
        <v>0</v>
      </c>
      <c r="Z120">
        <f>IF(Source!BI43=4,H120, 0)</f>
        <v>0</v>
      </c>
    </row>
    <row r="121" spans="1:26" ht="28.5" x14ac:dyDescent="0.2">
      <c r="A121" s="42" t="str">
        <f>Source!E44</f>
        <v>10,4</v>
      </c>
      <c r="B121" s="43" t="str">
        <f>Source!F44</f>
        <v>14.1.02.03-0002</v>
      </c>
      <c r="C121" s="43" t="str">
        <f>Source!G44</f>
        <v>Клей ПВА</v>
      </c>
      <c r="D121" s="29" t="str">
        <f>Source!H44</f>
        <v>кг</v>
      </c>
      <c r="E121" s="30">
        <f>Source!I44</f>
        <v>104.9</v>
      </c>
      <c r="F121" s="31">
        <f>Source!AL44+Source!AM44+Source!AO44</f>
        <v>15.9</v>
      </c>
      <c r="G121" s="37" t="s">
        <v>6</v>
      </c>
      <c r="H121" s="31">
        <f>ROUND(Source!AC44*Source!I44, 2)+ROUND(Source!AD44*Source!I44, 2)+ROUND(Source!AF44*Source!I44, 2)</f>
        <v>1667.91</v>
      </c>
      <c r="I121" s="32"/>
      <c r="J121" s="32">
        <f>IF(Source!BC44&lt;&gt; 0, Source!BC44, 1)</f>
        <v>6.71</v>
      </c>
      <c r="K121" s="31">
        <f>Source!O44</f>
        <v>11191.68</v>
      </c>
      <c r="L121" s="38"/>
      <c r="S121">
        <f>ROUND((Source!FX44/100)*((ROUND(Source!AF44*Source!I44, 2)+ROUND(Source!AE44*Source!I44, 2))), 2)</f>
        <v>0</v>
      </c>
      <c r="T121">
        <f>Source!X44</f>
        <v>0</v>
      </c>
      <c r="U121">
        <f>ROUND((Source!FY44/100)*((ROUND(Source!AF44*Source!I44, 2)+ROUND(Source!AE44*Source!I44, 2))), 2)</f>
        <v>0</v>
      </c>
      <c r="V121">
        <f>Source!Y44</f>
        <v>0</v>
      </c>
      <c r="W121">
        <f>IF(Source!BI44&lt;=1,H121, 0)</f>
        <v>1667.91</v>
      </c>
      <c r="X121">
        <f>IF(Source!BI44=2,H121, 0)</f>
        <v>0</v>
      </c>
      <c r="Y121">
        <f>IF(Source!BI44=3,H121, 0)</f>
        <v>0</v>
      </c>
      <c r="Z121">
        <f>IF(Source!BI44=4,H121, 0)</f>
        <v>0</v>
      </c>
    </row>
    <row r="122" spans="1:26" ht="15" x14ac:dyDescent="0.25">
      <c r="G122" s="47">
        <f>H111+H112+H114+H115+H116+SUM(H118:H121)</f>
        <v>20413.699999999997</v>
      </c>
      <c r="H122" s="47"/>
      <c r="J122" s="47">
        <f>K111+K112+K114+K115+K116+SUM(K118:K121)</f>
        <v>137004.03</v>
      </c>
      <c r="K122" s="47"/>
      <c r="L122" s="34">
        <f>Source!U40</f>
        <v>88.955199999999991</v>
      </c>
      <c r="O122" s="21">
        <f>G122</f>
        <v>20413.699999999997</v>
      </c>
      <c r="P122" s="21">
        <f>J122</f>
        <v>137004.03</v>
      </c>
      <c r="Q122" s="21">
        <f>L122</f>
        <v>88.955199999999991</v>
      </c>
      <c r="W122">
        <f>IF(Source!BI40&lt;=1,H111+H112+H114+H115+H116, 0)</f>
        <v>2161.1</v>
      </c>
      <c r="X122">
        <f>IF(Source!BI40=2,H111+H112+H114+H115+H116, 0)</f>
        <v>0</v>
      </c>
      <c r="Y122">
        <f>IF(Source!BI40=3,H111+H112+H114+H115+H116, 0)</f>
        <v>0</v>
      </c>
      <c r="Z122">
        <f>IF(Source!BI40=4,H111+H112+H114+H115+H116, 0)</f>
        <v>0</v>
      </c>
    </row>
    <row r="123" spans="1:26" ht="42.75" x14ac:dyDescent="0.2">
      <c r="A123" s="40" t="str">
        <f>Source!E45</f>
        <v>11</v>
      </c>
      <c r="B123" s="41" t="str">
        <f>Source!F45</f>
        <v>11-01-040-03</v>
      </c>
      <c r="C123" s="41" t="str">
        <f>Source!G45</f>
        <v>Устройство плинтусов поливинилхлоридных на винтах самонарезающих</v>
      </c>
      <c r="D123" s="24" t="str">
        <f>Source!H45</f>
        <v>100 м</v>
      </c>
      <c r="E123" s="10">
        <f>Source!I45</f>
        <v>1.2545999999999999</v>
      </c>
      <c r="F123" s="25">
        <f>Source!AL45+Source!AM45+Source!AO45</f>
        <v>137.09</v>
      </c>
      <c r="G123" s="26"/>
      <c r="H123" s="25"/>
      <c r="I123" s="26" t="str">
        <f>Source!BO45</f>
        <v/>
      </c>
      <c r="J123" s="26"/>
      <c r="K123" s="25"/>
      <c r="L123" s="27"/>
      <c r="S123">
        <f>ROUND((Source!FX45/100)*((ROUND(Source!AF45*Source!I45, 2)+ROUND(Source!AE45*Source!I45, 2))), 2)</f>
        <v>98.67</v>
      </c>
      <c r="T123">
        <f>Source!X45</f>
        <v>663.91</v>
      </c>
      <c r="U123">
        <f>ROUND((Source!FY45/100)*((ROUND(Source!AF45*Source!I45, 2)+ROUND(Source!AE45*Source!I45, 2))), 2)</f>
        <v>56.82</v>
      </c>
      <c r="V123">
        <f>Source!Y45</f>
        <v>382.8</v>
      </c>
    </row>
    <row r="124" spans="1:26" x14ac:dyDescent="0.2">
      <c r="C124" s="20" t="str">
        <f>"Объем: "&amp;Source!I45&amp;"=125,46/"&amp;"100"</f>
        <v>Объем: 1,2546=125,46/100</v>
      </c>
    </row>
    <row r="125" spans="1:26" ht="14.25" x14ac:dyDescent="0.2">
      <c r="A125" s="40"/>
      <c r="B125" s="41"/>
      <c r="C125" s="41" t="s">
        <v>989</v>
      </c>
      <c r="D125" s="24"/>
      <c r="E125" s="10"/>
      <c r="F125" s="25">
        <f>Source!AO45</f>
        <v>61.32</v>
      </c>
      <c r="G125" s="26" t="str">
        <f>Source!DG45</f>
        <v>)*1,15</v>
      </c>
      <c r="H125" s="25">
        <f>ROUND(Source!AF45*Source!I45, 2)</f>
        <v>88.47</v>
      </c>
      <c r="I125" s="26"/>
      <c r="J125" s="26">
        <f>IF(Source!BA45&lt;&gt; 0, Source!BA45, 1)</f>
        <v>6.71</v>
      </c>
      <c r="K125" s="25">
        <f>Source!S45</f>
        <v>593.66</v>
      </c>
      <c r="L125" s="27"/>
      <c r="R125">
        <f>H125</f>
        <v>88.47</v>
      </c>
    </row>
    <row r="126" spans="1:26" ht="14.25" x14ac:dyDescent="0.2">
      <c r="A126" s="40"/>
      <c r="B126" s="41"/>
      <c r="C126" s="41" t="s">
        <v>300</v>
      </c>
      <c r="D126" s="24"/>
      <c r="E126" s="10"/>
      <c r="F126" s="25">
        <f>Source!AM45</f>
        <v>2.13</v>
      </c>
      <c r="G126" s="26" t="str">
        <f>Source!DE45</f>
        <v>)*1,25</v>
      </c>
      <c r="H126" s="25">
        <f>ROUND(Source!AD45*Source!I45, 2)</f>
        <v>3.35</v>
      </c>
      <c r="I126" s="26"/>
      <c r="J126" s="26">
        <f>IF(Source!BB45&lt;&gt; 0, Source!BB45, 1)</f>
        <v>6.71</v>
      </c>
      <c r="K126" s="25">
        <f>Source!Q45</f>
        <v>22.48</v>
      </c>
      <c r="L126" s="27"/>
    </row>
    <row r="127" spans="1:26" ht="14.25" x14ac:dyDescent="0.2">
      <c r="A127" s="40"/>
      <c r="B127" s="41"/>
      <c r="C127" s="41" t="s">
        <v>995</v>
      </c>
      <c r="D127" s="24"/>
      <c r="E127" s="10"/>
      <c r="F127" s="25">
        <f>Source!AN45</f>
        <v>0.42</v>
      </c>
      <c r="G127" s="26" t="str">
        <f>Source!DF45</f>
        <v>)*1,25</v>
      </c>
      <c r="H127" s="35">
        <f>ROUND(Source!AE45*Source!I45, 2)</f>
        <v>0.66</v>
      </c>
      <c r="I127" s="26"/>
      <c r="J127" s="26">
        <f>IF(Source!BS45&lt;&gt; 0, Source!BS45, 1)</f>
        <v>6.71</v>
      </c>
      <c r="K127" s="35">
        <f>Source!R45</f>
        <v>4.46</v>
      </c>
      <c r="L127" s="27"/>
      <c r="R127">
        <f>H127</f>
        <v>0.66</v>
      </c>
    </row>
    <row r="128" spans="1:26" ht="14.25" x14ac:dyDescent="0.2">
      <c r="A128" s="40"/>
      <c r="B128" s="41"/>
      <c r="C128" s="41" t="s">
        <v>996</v>
      </c>
      <c r="D128" s="24"/>
      <c r="E128" s="10"/>
      <c r="F128" s="25">
        <f>Source!AL45</f>
        <v>73.64</v>
      </c>
      <c r="G128" s="26" t="str">
        <f>Source!DD45</f>
        <v/>
      </c>
      <c r="H128" s="25">
        <f>ROUND(Source!AC45*Source!I45, 2)</f>
        <v>92.39</v>
      </c>
      <c r="I128" s="26"/>
      <c r="J128" s="26">
        <f>IF(Source!BC45&lt;&gt; 0, Source!BC45, 1)</f>
        <v>6.71</v>
      </c>
      <c r="K128" s="25">
        <f>Source!P45</f>
        <v>619.92999999999995</v>
      </c>
      <c r="L128" s="27"/>
    </row>
    <row r="129" spans="1:26" ht="14.25" x14ac:dyDescent="0.2">
      <c r="A129" s="40"/>
      <c r="B129" s="41"/>
      <c r="C129" s="41" t="s">
        <v>990</v>
      </c>
      <c r="D129" s="24" t="s">
        <v>991</v>
      </c>
      <c r="E129" s="10">
        <f>Source!BZ45</f>
        <v>123</v>
      </c>
      <c r="F129" s="50" t="str">
        <f>CONCATENATE(" )", Source!DL45, Source!FT45, "=", Source!FX45)</f>
        <v xml:space="preserve"> )*0,9=110,7</v>
      </c>
      <c r="G129" s="51"/>
      <c r="H129" s="25">
        <f>SUM(S123:S143)</f>
        <v>98.67</v>
      </c>
      <c r="I129" s="28"/>
      <c r="J129" s="23">
        <f>Source!AT45</f>
        <v>111</v>
      </c>
      <c r="K129" s="25">
        <f>SUM(T123:T143)</f>
        <v>663.91</v>
      </c>
      <c r="L129" s="27"/>
    </row>
    <row r="130" spans="1:26" ht="14.25" x14ac:dyDescent="0.2">
      <c r="A130" s="40"/>
      <c r="B130" s="41"/>
      <c r="C130" s="41" t="s">
        <v>992</v>
      </c>
      <c r="D130" s="24" t="s">
        <v>991</v>
      </c>
      <c r="E130" s="10">
        <f>Source!CA45</f>
        <v>75</v>
      </c>
      <c r="F130" s="50" t="str">
        <f>CONCATENATE(" )", Source!DM45, Source!FU45, "=", Source!FY45)</f>
        <v xml:space="preserve"> )*0,85=63,75</v>
      </c>
      <c r="G130" s="51"/>
      <c r="H130" s="25">
        <f>SUM(U123:U143)</f>
        <v>56.82</v>
      </c>
      <c r="I130" s="28"/>
      <c r="J130" s="23">
        <f>Source!AU45</f>
        <v>64</v>
      </c>
      <c r="K130" s="25">
        <f>SUM(V123:V143)</f>
        <v>382.8</v>
      </c>
      <c r="L130" s="27"/>
    </row>
    <row r="131" spans="1:26" ht="14.25" x14ac:dyDescent="0.2">
      <c r="A131" s="40"/>
      <c r="B131" s="41"/>
      <c r="C131" s="41" t="s">
        <v>993</v>
      </c>
      <c r="D131" s="24" t="s">
        <v>994</v>
      </c>
      <c r="E131" s="10">
        <f>Source!AQ45</f>
        <v>6.68</v>
      </c>
      <c r="F131" s="25"/>
      <c r="G131" s="26" t="str">
        <f>Source!DI45</f>
        <v>)*1,15</v>
      </c>
      <c r="H131" s="25"/>
      <c r="I131" s="26"/>
      <c r="J131" s="26"/>
      <c r="K131" s="25"/>
      <c r="L131" s="36">
        <f>Source!U45</f>
        <v>9.6378371999999981</v>
      </c>
    </row>
    <row r="132" spans="1:26" ht="14.25" x14ac:dyDescent="0.2">
      <c r="A132" s="40" t="str">
        <f>Source!E46</f>
        <v>11,1</v>
      </c>
      <c r="B132" s="41" t="str">
        <f>Source!F46</f>
        <v>11.3.03.06</v>
      </c>
      <c r="C132" s="41" t="str">
        <f>Source!G46</f>
        <v>Плинтуса для полов пластиковые</v>
      </c>
      <c r="D132" s="24" t="str">
        <f>Source!H46</f>
        <v>м</v>
      </c>
      <c r="E132" s="10">
        <f>Source!I46</f>
        <v>126.71460000000002</v>
      </c>
      <c r="F132" s="25">
        <f>Source!AL46+Source!AM46+Source!AO46</f>
        <v>0</v>
      </c>
      <c r="G132" s="39" t="s">
        <v>6</v>
      </c>
      <c r="H132" s="25">
        <f>ROUND(Source!AC46*Source!I46, 2)+ROUND(Source!AD46*Source!I46, 2)+ROUND(Source!AF46*Source!I46, 2)</f>
        <v>0</v>
      </c>
      <c r="I132" s="26"/>
      <c r="J132" s="26">
        <f>IF(Source!BC46&lt;&gt; 0, Source!BC46, 1)</f>
        <v>6.71</v>
      </c>
      <c r="K132" s="25">
        <f>Source!O46</f>
        <v>0</v>
      </c>
      <c r="L132" s="27"/>
      <c r="S132">
        <f>ROUND((Source!FX46/100)*((ROUND(Source!AF46*Source!I46, 2)+ROUND(Source!AE46*Source!I46, 2))), 2)</f>
        <v>0</v>
      </c>
      <c r="T132">
        <f>Source!X46</f>
        <v>0</v>
      </c>
      <c r="U132">
        <f>ROUND((Source!FY46/100)*((ROUND(Source!AF46*Source!I46, 2)+ROUND(Source!AE46*Source!I46, 2))), 2)</f>
        <v>0</v>
      </c>
      <c r="V132">
        <f>Source!Y46</f>
        <v>0</v>
      </c>
      <c r="W132">
        <f>IF(Source!BI46&lt;=1,H132, 0)</f>
        <v>0</v>
      </c>
      <c r="X132">
        <f>IF(Source!BI46=2,H132, 0)</f>
        <v>0</v>
      </c>
      <c r="Y132">
        <f>IF(Source!BI46=3,H132, 0)</f>
        <v>0</v>
      </c>
      <c r="Z132">
        <f>IF(Source!BI46=4,H132, 0)</f>
        <v>0</v>
      </c>
    </row>
    <row r="133" spans="1:26" ht="28.5" x14ac:dyDescent="0.2">
      <c r="A133" s="40" t="str">
        <f>Source!E47</f>
        <v>11,2</v>
      </c>
      <c r="B133" s="41" t="str">
        <f>Source!F47</f>
        <v>11.3.03.06-0001</v>
      </c>
      <c r="C133" s="41" t="str">
        <f>Source!G47</f>
        <v>Плинтуса для полов пластиковые  KronPlast Premium, 19х48 мм прим.</v>
      </c>
      <c r="D133" s="24" t="str">
        <f>Source!H47</f>
        <v>м</v>
      </c>
      <c r="E133" s="10">
        <f>Source!I47</f>
        <v>126.71460000000002</v>
      </c>
      <c r="F133" s="25">
        <f>Source!AL47+Source!AM47+Source!AO47</f>
        <v>12.3</v>
      </c>
      <c r="G133" s="39" t="s">
        <v>6</v>
      </c>
      <c r="H133" s="25">
        <f>ROUND(Source!AC47*Source!I47, 2)+ROUND(Source!AD47*Source!I47, 2)+ROUND(Source!AF47*Source!I47, 2)</f>
        <v>1558.59</v>
      </c>
      <c r="I133" s="26"/>
      <c r="J133" s="26">
        <f>IF(Source!BC47&lt;&gt; 0, Source!BC47, 1)</f>
        <v>6.71</v>
      </c>
      <c r="K133" s="25">
        <f>Source!O47</f>
        <v>10458.14</v>
      </c>
      <c r="L133" s="27"/>
      <c r="S133">
        <f>ROUND((Source!FX47/100)*((ROUND(Source!AF47*Source!I47, 2)+ROUND(Source!AE47*Source!I47, 2))), 2)</f>
        <v>0</v>
      </c>
      <c r="T133">
        <f>Source!X47</f>
        <v>0</v>
      </c>
      <c r="U133">
        <f>ROUND((Source!FY47/100)*((ROUND(Source!AF47*Source!I47, 2)+ROUND(Source!AE47*Source!I47, 2))), 2)</f>
        <v>0</v>
      </c>
      <c r="V133">
        <f>Source!Y47</f>
        <v>0</v>
      </c>
      <c r="W133">
        <f>IF(Source!BI47&lt;=1,H133, 0)</f>
        <v>1558.59</v>
      </c>
      <c r="X133">
        <f>IF(Source!BI47=2,H133, 0)</f>
        <v>0</v>
      </c>
      <c r="Y133">
        <f>IF(Source!BI47=3,H133, 0)</f>
        <v>0</v>
      </c>
      <c r="Z133">
        <f>IF(Source!BI47=4,H133, 0)</f>
        <v>0</v>
      </c>
    </row>
    <row r="134" spans="1:26" ht="28.5" x14ac:dyDescent="0.2">
      <c r="A134" s="40" t="str">
        <f>Source!E48</f>
        <v>11,3</v>
      </c>
      <c r="B134" s="41" t="str">
        <f>Source!F48</f>
        <v>11.3.03.14</v>
      </c>
      <c r="C134" s="41" t="str">
        <f>Source!G48</f>
        <v>Уголок наружный для пластикового плинтуса</v>
      </c>
      <c r="D134" s="24" t="str">
        <f>Source!H48</f>
        <v>шт.</v>
      </c>
      <c r="E134" s="10">
        <f>Source!I48</f>
        <v>8</v>
      </c>
      <c r="F134" s="25">
        <f>Source!AL48+Source!AM48+Source!AO48</f>
        <v>0</v>
      </c>
      <c r="G134" s="39" t="s">
        <v>6</v>
      </c>
      <c r="H134" s="25">
        <f>ROUND(Source!AC48*Source!I48, 2)+ROUND(Source!AD48*Source!I48, 2)+ROUND(Source!AF48*Source!I48, 2)</f>
        <v>0</v>
      </c>
      <c r="I134" s="26"/>
      <c r="J134" s="26">
        <f>IF(Source!BC48&lt;&gt; 0, Source!BC48, 1)</f>
        <v>6.71</v>
      </c>
      <c r="K134" s="25">
        <f>Source!O48</f>
        <v>0</v>
      </c>
      <c r="L134" s="27"/>
      <c r="S134">
        <f>ROUND((Source!FX48/100)*((ROUND(Source!AF48*Source!I48, 2)+ROUND(Source!AE48*Source!I48, 2))), 2)</f>
        <v>0</v>
      </c>
      <c r="T134">
        <f>Source!X48</f>
        <v>0</v>
      </c>
      <c r="U134">
        <f>ROUND((Source!FY48/100)*((ROUND(Source!AF48*Source!I48, 2)+ROUND(Source!AE48*Source!I48, 2))), 2)</f>
        <v>0</v>
      </c>
      <c r="V134">
        <f>Source!Y48</f>
        <v>0</v>
      </c>
      <c r="W134">
        <f>IF(Source!BI48&lt;=1,H134, 0)</f>
        <v>0</v>
      </c>
      <c r="X134">
        <f>IF(Source!BI48=2,H134, 0)</f>
        <v>0</v>
      </c>
      <c r="Y134">
        <f>IF(Source!BI48=3,H134, 0)</f>
        <v>0</v>
      </c>
      <c r="Z134">
        <f>IF(Source!BI48=4,H134, 0)</f>
        <v>0</v>
      </c>
    </row>
    <row r="135" spans="1:26" ht="28.5" x14ac:dyDescent="0.2">
      <c r="A135" s="40" t="str">
        <f>Source!E49</f>
        <v>11,4</v>
      </c>
      <c r="B135" s="41" t="str">
        <f>Source!F49</f>
        <v>11.3.03.14-0011</v>
      </c>
      <c r="C135" s="41" t="str">
        <f>Source!G49</f>
        <v>Заглушки торцевая для пластикового плинтуса правая, высота 48 мм</v>
      </c>
      <c r="D135" s="24" t="str">
        <f>Source!H49</f>
        <v>100 шт.</v>
      </c>
      <c r="E135" s="10">
        <f>Source!I49</f>
        <v>0.10000000000000002</v>
      </c>
      <c r="F135" s="25">
        <f>Source!AL49+Source!AM49+Source!AO49</f>
        <v>63</v>
      </c>
      <c r="G135" s="39" t="s">
        <v>6</v>
      </c>
      <c r="H135" s="25">
        <f>ROUND(Source!AC49*Source!I49, 2)+ROUND(Source!AD49*Source!I49, 2)+ROUND(Source!AF49*Source!I49, 2)</f>
        <v>6.3</v>
      </c>
      <c r="I135" s="26"/>
      <c r="J135" s="26">
        <f>IF(Source!BC49&lt;&gt; 0, Source!BC49, 1)</f>
        <v>6.71</v>
      </c>
      <c r="K135" s="25">
        <f>Source!O49</f>
        <v>42.27</v>
      </c>
      <c r="L135" s="27"/>
      <c r="S135">
        <f>ROUND((Source!FX49/100)*((ROUND(Source!AF49*Source!I49, 2)+ROUND(Source!AE49*Source!I49, 2))), 2)</f>
        <v>0</v>
      </c>
      <c r="T135">
        <f>Source!X49</f>
        <v>0</v>
      </c>
      <c r="U135">
        <f>ROUND((Source!FY49/100)*((ROUND(Source!AF49*Source!I49, 2)+ROUND(Source!AE49*Source!I49, 2))), 2)</f>
        <v>0</v>
      </c>
      <c r="V135">
        <f>Source!Y49</f>
        <v>0</v>
      </c>
      <c r="W135">
        <f>IF(Source!BI49&lt;=1,H135, 0)</f>
        <v>6.3</v>
      </c>
      <c r="X135">
        <f>IF(Source!BI49=2,H135, 0)</f>
        <v>0</v>
      </c>
      <c r="Y135">
        <f>IF(Source!BI49=3,H135, 0)</f>
        <v>0</v>
      </c>
      <c r="Z135">
        <f>IF(Source!BI49=4,H135, 0)</f>
        <v>0</v>
      </c>
    </row>
    <row r="136" spans="1:26" ht="28.5" x14ac:dyDescent="0.2">
      <c r="A136" s="40" t="str">
        <f>Source!E50</f>
        <v>11,5</v>
      </c>
      <c r="B136" s="41" t="str">
        <f>Source!F50</f>
        <v>11.3.03.14-0001</v>
      </c>
      <c r="C136" s="41" t="str">
        <f>Source!G50</f>
        <v>Заглушка торцевая для пластикового плинтуса левая, высота 48 мм</v>
      </c>
      <c r="D136" s="24" t="str">
        <f>Source!H50</f>
        <v>100 шт.</v>
      </c>
      <c r="E136" s="10">
        <f>Source!I50</f>
        <v>0.10000000000000002</v>
      </c>
      <c r="F136" s="25">
        <f>Source!AL50+Source!AM50+Source!AO50</f>
        <v>63</v>
      </c>
      <c r="G136" s="39" t="s">
        <v>6</v>
      </c>
      <c r="H136" s="25">
        <f>ROUND(Source!AC50*Source!I50, 2)+ROUND(Source!AD50*Source!I50, 2)+ROUND(Source!AF50*Source!I50, 2)</f>
        <v>6.3</v>
      </c>
      <c r="I136" s="26"/>
      <c r="J136" s="26">
        <f>IF(Source!BC50&lt;&gt; 0, Source!BC50, 1)</f>
        <v>6.71</v>
      </c>
      <c r="K136" s="25">
        <f>Source!O50</f>
        <v>42.27</v>
      </c>
      <c r="L136" s="27"/>
      <c r="S136">
        <f>ROUND((Source!FX50/100)*((ROUND(Source!AF50*Source!I50, 2)+ROUND(Source!AE50*Source!I50, 2))), 2)</f>
        <v>0</v>
      </c>
      <c r="T136">
        <f>Source!X50</f>
        <v>0</v>
      </c>
      <c r="U136">
        <f>ROUND((Source!FY50/100)*((ROUND(Source!AF50*Source!I50, 2)+ROUND(Source!AE50*Source!I50, 2))), 2)</f>
        <v>0</v>
      </c>
      <c r="V136">
        <f>Source!Y50</f>
        <v>0</v>
      </c>
      <c r="W136">
        <f>IF(Source!BI50&lt;=1,H136, 0)</f>
        <v>6.3</v>
      </c>
      <c r="X136">
        <f>IF(Source!BI50=2,H136, 0)</f>
        <v>0</v>
      </c>
      <c r="Y136">
        <f>IF(Source!BI50=3,H136, 0)</f>
        <v>0</v>
      </c>
      <c r="Z136">
        <f>IF(Source!BI50=4,H136, 0)</f>
        <v>0</v>
      </c>
    </row>
    <row r="137" spans="1:26" ht="28.5" x14ac:dyDescent="0.2">
      <c r="A137" s="40" t="str">
        <f>Source!E51</f>
        <v>11,6</v>
      </c>
      <c r="B137" s="41" t="str">
        <f>Source!F51</f>
        <v>11.3.03.14-0021</v>
      </c>
      <c r="C137" s="41" t="str">
        <f>Source!G51</f>
        <v>Соединитель для пластикового плинтуса, высота 48 мм</v>
      </c>
      <c r="D137" s="24" t="str">
        <f>Source!H51</f>
        <v>100 шт.</v>
      </c>
      <c r="E137" s="10">
        <f>Source!I51</f>
        <v>0.5</v>
      </c>
      <c r="F137" s="25">
        <f>Source!AL51+Source!AM51+Source!AO51</f>
        <v>128</v>
      </c>
      <c r="G137" s="39" t="s">
        <v>6</v>
      </c>
      <c r="H137" s="25">
        <f>ROUND(Source!AC51*Source!I51, 2)+ROUND(Source!AD51*Source!I51, 2)+ROUND(Source!AF51*Source!I51, 2)</f>
        <v>64</v>
      </c>
      <c r="I137" s="26"/>
      <c r="J137" s="26">
        <f>IF(Source!BC51&lt;&gt; 0, Source!BC51, 1)</f>
        <v>6.71</v>
      </c>
      <c r="K137" s="25">
        <f>Source!O51</f>
        <v>429.44</v>
      </c>
      <c r="L137" s="27"/>
      <c r="S137">
        <f>ROUND((Source!FX51/100)*((ROUND(Source!AF51*Source!I51, 2)+ROUND(Source!AE51*Source!I51, 2))), 2)</f>
        <v>0</v>
      </c>
      <c r="T137">
        <f>Source!X51</f>
        <v>0</v>
      </c>
      <c r="U137">
        <f>ROUND((Source!FY51/100)*((ROUND(Source!AF51*Source!I51, 2)+ROUND(Source!AE51*Source!I51, 2))), 2)</f>
        <v>0</v>
      </c>
      <c r="V137">
        <f>Source!Y51</f>
        <v>0</v>
      </c>
      <c r="W137">
        <f>IF(Source!BI51&lt;=1,H137, 0)</f>
        <v>64</v>
      </c>
      <c r="X137">
        <f>IF(Source!BI51=2,H137, 0)</f>
        <v>0</v>
      </c>
      <c r="Y137">
        <f>IF(Source!BI51=3,H137, 0)</f>
        <v>0</v>
      </c>
      <c r="Z137">
        <f>IF(Source!BI51=4,H137, 0)</f>
        <v>0</v>
      </c>
    </row>
    <row r="138" spans="1:26" ht="28.5" x14ac:dyDescent="0.2">
      <c r="A138" s="40" t="str">
        <f>Source!E52</f>
        <v>11,7</v>
      </c>
      <c r="B138" s="41" t="str">
        <f>Source!F52</f>
        <v>11.3.03.14-0031</v>
      </c>
      <c r="C138" s="41" t="str">
        <f>Source!G52</f>
        <v>Уголок внутренний для пластикового плинтуса, высота 48 мм</v>
      </c>
      <c r="D138" s="24" t="str">
        <f>Source!H52</f>
        <v>100 шт.</v>
      </c>
      <c r="E138" s="10">
        <f>Source!I52</f>
        <v>0.08</v>
      </c>
      <c r="F138" s="25">
        <f>Source!AL52+Source!AM52+Source!AO52</f>
        <v>128</v>
      </c>
      <c r="G138" s="39" t="s">
        <v>6</v>
      </c>
      <c r="H138" s="25">
        <f>ROUND(Source!AC52*Source!I52, 2)+ROUND(Source!AD52*Source!I52, 2)+ROUND(Source!AF52*Source!I52, 2)</f>
        <v>10.24</v>
      </c>
      <c r="I138" s="26"/>
      <c r="J138" s="26">
        <f>IF(Source!BC52&lt;&gt; 0, Source!BC52, 1)</f>
        <v>6.71</v>
      </c>
      <c r="K138" s="25">
        <f>Source!O52</f>
        <v>68.709999999999994</v>
      </c>
      <c r="L138" s="27"/>
      <c r="S138">
        <f>ROUND((Source!FX52/100)*((ROUND(Source!AF52*Source!I52, 2)+ROUND(Source!AE52*Source!I52, 2))), 2)</f>
        <v>0</v>
      </c>
      <c r="T138">
        <f>Source!X52</f>
        <v>0</v>
      </c>
      <c r="U138">
        <f>ROUND((Source!FY52/100)*((ROUND(Source!AF52*Source!I52, 2)+ROUND(Source!AE52*Source!I52, 2))), 2)</f>
        <v>0</v>
      </c>
      <c r="V138">
        <f>Source!Y52</f>
        <v>0</v>
      </c>
      <c r="W138">
        <f>IF(Source!BI52&lt;=1,H138, 0)</f>
        <v>10.24</v>
      </c>
      <c r="X138">
        <f>IF(Source!BI52=2,H138, 0)</f>
        <v>0</v>
      </c>
      <c r="Y138">
        <f>IF(Source!BI52=3,H138, 0)</f>
        <v>0</v>
      </c>
      <c r="Z138">
        <f>IF(Source!BI52=4,H138, 0)</f>
        <v>0</v>
      </c>
    </row>
    <row r="139" spans="1:26" ht="28.5" x14ac:dyDescent="0.2">
      <c r="A139" s="40" t="str">
        <f>Source!E53</f>
        <v>11,8</v>
      </c>
      <c r="B139" s="41" t="str">
        <f>Source!F53</f>
        <v>11.3.03.14-0033</v>
      </c>
      <c r="C139" s="41" t="str">
        <f>Source!G53</f>
        <v>Уголок наружный для пластикового плинтуса, высота 48 мм</v>
      </c>
      <c r="D139" s="24" t="str">
        <f>Source!H53</f>
        <v>100 шт.</v>
      </c>
      <c r="E139" s="10">
        <f>Source!I53</f>
        <v>0.08</v>
      </c>
      <c r="F139" s="25">
        <f>Source!AL53+Source!AM53+Source!AO53</f>
        <v>128</v>
      </c>
      <c r="G139" s="39" t="s">
        <v>6</v>
      </c>
      <c r="H139" s="25">
        <f>ROUND(Source!AC53*Source!I53, 2)+ROUND(Source!AD53*Source!I53, 2)+ROUND(Source!AF53*Source!I53, 2)</f>
        <v>10.24</v>
      </c>
      <c r="I139" s="26"/>
      <c r="J139" s="26">
        <f>IF(Source!BC53&lt;&gt; 0, Source!BC53, 1)</f>
        <v>6.71</v>
      </c>
      <c r="K139" s="25">
        <f>Source!O53</f>
        <v>68.709999999999994</v>
      </c>
      <c r="L139" s="27"/>
      <c r="S139">
        <f>ROUND((Source!FX53/100)*((ROUND(Source!AF53*Source!I53, 2)+ROUND(Source!AE53*Source!I53, 2))), 2)</f>
        <v>0</v>
      </c>
      <c r="T139">
        <f>Source!X53</f>
        <v>0</v>
      </c>
      <c r="U139">
        <f>ROUND((Source!FY53/100)*((ROUND(Source!AF53*Source!I53, 2)+ROUND(Source!AE53*Source!I53, 2))), 2)</f>
        <v>0</v>
      </c>
      <c r="V139">
        <f>Source!Y53</f>
        <v>0</v>
      </c>
      <c r="W139">
        <f>IF(Source!BI53&lt;=1,H139, 0)</f>
        <v>10.24</v>
      </c>
      <c r="X139">
        <f>IF(Source!BI53=2,H139, 0)</f>
        <v>0</v>
      </c>
      <c r="Y139">
        <f>IF(Source!BI53=3,H139, 0)</f>
        <v>0</v>
      </c>
      <c r="Z139">
        <f>IF(Source!BI53=4,H139, 0)</f>
        <v>0</v>
      </c>
    </row>
    <row r="140" spans="1:26" ht="28.5" x14ac:dyDescent="0.2">
      <c r="A140" s="40" t="str">
        <f>Source!E54</f>
        <v>11,9</v>
      </c>
      <c r="B140" s="41" t="str">
        <f>Source!F54</f>
        <v>11.3.03.14</v>
      </c>
      <c r="C140" s="41" t="str">
        <f>Source!G54</f>
        <v>Уголок внутренний для пластикового плинтуса</v>
      </c>
      <c r="D140" s="24" t="str">
        <f>Source!H54</f>
        <v>шт.</v>
      </c>
      <c r="E140" s="10">
        <f>Source!I54</f>
        <v>8</v>
      </c>
      <c r="F140" s="25">
        <f>Source!AL54+Source!AM54+Source!AO54</f>
        <v>0</v>
      </c>
      <c r="G140" s="39" t="s">
        <v>6</v>
      </c>
      <c r="H140" s="25">
        <f>ROUND(Source!AC54*Source!I54, 2)+ROUND(Source!AD54*Source!I54, 2)+ROUND(Source!AF54*Source!I54, 2)</f>
        <v>0</v>
      </c>
      <c r="I140" s="26"/>
      <c r="J140" s="26">
        <f>IF(Source!BC54&lt;&gt; 0, Source!BC54, 1)</f>
        <v>6.71</v>
      </c>
      <c r="K140" s="25">
        <f>Source!O54</f>
        <v>0</v>
      </c>
      <c r="L140" s="27"/>
      <c r="S140">
        <f>ROUND((Source!FX54/100)*((ROUND(Source!AF54*Source!I54, 2)+ROUND(Source!AE54*Source!I54, 2))), 2)</f>
        <v>0</v>
      </c>
      <c r="T140">
        <f>Source!X54</f>
        <v>0</v>
      </c>
      <c r="U140">
        <f>ROUND((Source!FY54/100)*((ROUND(Source!AF54*Source!I54, 2)+ROUND(Source!AE54*Source!I54, 2))), 2)</f>
        <v>0</v>
      </c>
      <c r="V140">
        <f>Source!Y54</f>
        <v>0</v>
      </c>
      <c r="W140">
        <f>IF(Source!BI54&lt;=1,H140, 0)</f>
        <v>0</v>
      </c>
      <c r="X140">
        <f>IF(Source!BI54=2,H140, 0)</f>
        <v>0</v>
      </c>
      <c r="Y140">
        <f>IF(Source!BI54=3,H140, 0)</f>
        <v>0</v>
      </c>
      <c r="Z140">
        <f>IF(Source!BI54=4,H140, 0)</f>
        <v>0</v>
      </c>
    </row>
    <row r="141" spans="1:26" ht="28.5" x14ac:dyDescent="0.2">
      <c r="A141" s="40" t="str">
        <f>Source!E55</f>
        <v>11,10</v>
      </c>
      <c r="B141" s="41" t="str">
        <f>Source!F55</f>
        <v>11.3.03.14</v>
      </c>
      <c r="C141" s="41" t="str">
        <f>Source!G55</f>
        <v>Соединитель для пластикового плинтуса</v>
      </c>
      <c r="D141" s="24" t="str">
        <f>Source!H55</f>
        <v>шт.</v>
      </c>
      <c r="E141" s="10">
        <f>Source!I55</f>
        <v>50</v>
      </c>
      <c r="F141" s="25">
        <f>Source!AL55+Source!AM55+Source!AO55</f>
        <v>0</v>
      </c>
      <c r="G141" s="39" t="s">
        <v>6</v>
      </c>
      <c r="H141" s="25">
        <f>ROUND(Source!AC55*Source!I55, 2)+ROUND(Source!AD55*Source!I55, 2)+ROUND(Source!AF55*Source!I55, 2)</f>
        <v>0</v>
      </c>
      <c r="I141" s="26"/>
      <c r="J141" s="26">
        <f>IF(Source!BC55&lt;&gt; 0, Source!BC55, 1)</f>
        <v>6.71</v>
      </c>
      <c r="K141" s="25">
        <f>Source!O55</f>
        <v>0</v>
      </c>
      <c r="L141" s="27"/>
      <c r="S141">
        <f>ROUND((Source!FX55/100)*((ROUND(Source!AF55*Source!I55, 2)+ROUND(Source!AE55*Source!I55, 2))), 2)</f>
        <v>0</v>
      </c>
      <c r="T141">
        <f>Source!X55</f>
        <v>0</v>
      </c>
      <c r="U141">
        <f>ROUND((Source!FY55/100)*((ROUND(Source!AF55*Source!I55, 2)+ROUND(Source!AE55*Source!I55, 2))), 2)</f>
        <v>0</v>
      </c>
      <c r="V141">
        <f>Source!Y55</f>
        <v>0</v>
      </c>
      <c r="W141">
        <f>IF(Source!BI55&lt;=1,H141, 0)</f>
        <v>0</v>
      </c>
      <c r="X141">
        <f>IF(Source!BI55=2,H141, 0)</f>
        <v>0</v>
      </c>
      <c r="Y141">
        <f>IF(Source!BI55=3,H141, 0)</f>
        <v>0</v>
      </c>
      <c r="Z141">
        <f>IF(Source!BI55=4,H141, 0)</f>
        <v>0</v>
      </c>
    </row>
    <row r="142" spans="1:26" ht="28.5" x14ac:dyDescent="0.2">
      <c r="A142" s="40" t="str">
        <f>Source!E56</f>
        <v>11,11</v>
      </c>
      <c r="B142" s="41" t="str">
        <f>Source!F56</f>
        <v>11.3.03.14</v>
      </c>
      <c r="C142" s="41" t="str">
        <f>Source!G56</f>
        <v>Заглушка торцевая для пластикового плинтуса левая</v>
      </c>
      <c r="D142" s="24" t="str">
        <f>Source!H56</f>
        <v>шт.</v>
      </c>
      <c r="E142" s="10">
        <f>Source!I56</f>
        <v>10</v>
      </c>
      <c r="F142" s="25">
        <f>Source!AL56+Source!AM56+Source!AO56</f>
        <v>0</v>
      </c>
      <c r="G142" s="39" t="s">
        <v>6</v>
      </c>
      <c r="H142" s="25">
        <f>ROUND(Source!AC56*Source!I56, 2)+ROUND(Source!AD56*Source!I56, 2)+ROUND(Source!AF56*Source!I56, 2)</f>
        <v>0</v>
      </c>
      <c r="I142" s="26"/>
      <c r="J142" s="26">
        <f>IF(Source!BC56&lt;&gt; 0, Source!BC56, 1)</f>
        <v>6.71</v>
      </c>
      <c r="K142" s="25">
        <f>Source!O56</f>
        <v>0</v>
      </c>
      <c r="L142" s="27"/>
      <c r="S142">
        <f>ROUND((Source!FX56/100)*((ROUND(Source!AF56*Source!I56, 2)+ROUND(Source!AE56*Source!I56, 2))), 2)</f>
        <v>0</v>
      </c>
      <c r="T142">
        <f>Source!X56</f>
        <v>0</v>
      </c>
      <c r="U142">
        <f>ROUND((Source!FY56/100)*((ROUND(Source!AF56*Source!I56, 2)+ROUND(Source!AE56*Source!I56, 2))), 2)</f>
        <v>0</v>
      </c>
      <c r="V142">
        <f>Source!Y56</f>
        <v>0</v>
      </c>
      <c r="W142">
        <f>IF(Source!BI56&lt;=1,H142, 0)</f>
        <v>0</v>
      </c>
      <c r="X142">
        <f>IF(Source!BI56=2,H142, 0)</f>
        <v>0</v>
      </c>
      <c r="Y142">
        <f>IF(Source!BI56=3,H142, 0)</f>
        <v>0</v>
      </c>
      <c r="Z142">
        <f>IF(Source!BI56=4,H142, 0)</f>
        <v>0</v>
      </c>
    </row>
    <row r="143" spans="1:26" ht="28.5" x14ac:dyDescent="0.2">
      <c r="A143" s="42" t="str">
        <f>Source!E57</f>
        <v>11,12</v>
      </c>
      <c r="B143" s="43" t="str">
        <f>Source!F57</f>
        <v>11.3.03.14</v>
      </c>
      <c r="C143" s="43" t="str">
        <f>Source!G57</f>
        <v>Заглушка торцевая для пластикового плинтуса правая</v>
      </c>
      <c r="D143" s="29" t="str">
        <f>Source!H57</f>
        <v>шт.</v>
      </c>
      <c r="E143" s="30">
        <f>Source!I57</f>
        <v>10</v>
      </c>
      <c r="F143" s="31">
        <f>Source!AL57+Source!AM57+Source!AO57</f>
        <v>0</v>
      </c>
      <c r="G143" s="37" t="s">
        <v>6</v>
      </c>
      <c r="H143" s="31">
        <f>ROUND(Source!AC57*Source!I57, 2)+ROUND(Source!AD57*Source!I57, 2)+ROUND(Source!AF57*Source!I57, 2)</f>
        <v>0</v>
      </c>
      <c r="I143" s="32"/>
      <c r="J143" s="32">
        <f>IF(Source!BC57&lt;&gt; 0, Source!BC57, 1)</f>
        <v>6.71</v>
      </c>
      <c r="K143" s="31">
        <f>Source!O57</f>
        <v>0</v>
      </c>
      <c r="L143" s="38"/>
      <c r="S143">
        <f>ROUND((Source!FX57/100)*((ROUND(Source!AF57*Source!I57, 2)+ROUND(Source!AE57*Source!I57, 2))), 2)</f>
        <v>0</v>
      </c>
      <c r="T143">
        <f>Source!X57</f>
        <v>0</v>
      </c>
      <c r="U143">
        <f>ROUND((Source!FY57/100)*((ROUND(Source!AF57*Source!I57, 2)+ROUND(Source!AE57*Source!I57, 2))), 2)</f>
        <v>0</v>
      </c>
      <c r="V143">
        <f>Source!Y57</f>
        <v>0</v>
      </c>
      <c r="W143">
        <f>IF(Source!BI57&lt;=1,H143, 0)</f>
        <v>0</v>
      </c>
      <c r="X143">
        <f>IF(Source!BI57=2,H143, 0)</f>
        <v>0</v>
      </c>
      <c r="Y143">
        <f>IF(Source!BI57=3,H143, 0)</f>
        <v>0</v>
      </c>
      <c r="Z143">
        <f>IF(Source!BI57=4,H143, 0)</f>
        <v>0</v>
      </c>
    </row>
    <row r="144" spans="1:26" ht="15" x14ac:dyDescent="0.25">
      <c r="G144" s="47">
        <f>H125+H126+H128+H129+H130+SUM(H132:H143)</f>
        <v>1995.37</v>
      </c>
      <c r="H144" s="47"/>
      <c r="J144" s="47">
        <f>K125+K126+K128+K129+K130+SUM(K132:K143)</f>
        <v>13392.32</v>
      </c>
      <c r="K144" s="47"/>
      <c r="L144" s="34">
        <f>Source!U45</f>
        <v>9.6378371999999981</v>
      </c>
      <c r="O144" s="21">
        <f>G144</f>
        <v>1995.37</v>
      </c>
      <c r="P144" s="21">
        <f>J144</f>
        <v>13392.32</v>
      </c>
      <c r="Q144" s="21">
        <f>L144</f>
        <v>9.6378371999999981</v>
      </c>
      <c r="W144">
        <f>IF(Source!BI45&lt;=1,H125+H126+H128+H129+H130, 0)</f>
        <v>339.7</v>
      </c>
      <c r="X144">
        <f>IF(Source!BI45=2,H125+H126+H128+H129+H130, 0)</f>
        <v>0</v>
      </c>
      <c r="Y144">
        <f>IF(Source!BI45=3,H125+H126+H128+H129+H130, 0)</f>
        <v>0</v>
      </c>
      <c r="Z144">
        <f>IF(Source!BI45=4,H125+H126+H128+H129+H130, 0)</f>
        <v>0</v>
      </c>
    </row>
    <row r="145" spans="1:26" ht="28.5" x14ac:dyDescent="0.2">
      <c r="A145" s="40" t="str">
        <f>Source!E58</f>
        <v>12</v>
      </c>
      <c r="B145" s="41" t="str">
        <f>Source!F58</f>
        <v>11-01-049-01</v>
      </c>
      <c r="C145" s="41" t="str">
        <f>Source!G58</f>
        <v>Укладка металлического накладного профиля (порога)</v>
      </c>
      <c r="D145" s="24" t="str">
        <f>Source!H58</f>
        <v>100 м</v>
      </c>
      <c r="E145" s="10">
        <f>Source!I58</f>
        <v>2.7E-2</v>
      </c>
      <c r="F145" s="25">
        <f>Source!AL58+Source!AM58+Source!AO58</f>
        <v>225.83</v>
      </c>
      <c r="G145" s="26"/>
      <c r="H145" s="25"/>
      <c r="I145" s="26" t="str">
        <f>Source!BO58</f>
        <v/>
      </c>
      <c r="J145" s="26"/>
      <c r="K145" s="25"/>
      <c r="L145" s="27"/>
      <c r="S145">
        <f>ROUND((Source!FX58/100)*((ROUND(Source!AF58*Source!I58, 2)+ROUND(Source!AE58*Source!I58, 2))), 2)</f>
        <v>5</v>
      </c>
      <c r="T145">
        <f>Source!X58</f>
        <v>33.630000000000003</v>
      </c>
      <c r="U145">
        <f>ROUND((Source!FY58/100)*((ROUND(Source!AF58*Source!I58, 2)+ROUND(Source!AE58*Source!I58, 2))), 2)</f>
        <v>2.88</v>
      </c>
      <c r="V145">
        <f>Source!Y58</f>
        <v>19.39</v>
      </c>
    </row>
    <row r="146" spans="1:26" x14ac:dyDescent="0.2">
      <c r="C146" s="20" t="str">
        <f>"Объем: "&amp;Source!I58&amp;"=2,7/"&amp;"100"</f>
        <v>Объем: 0,027=2,7/100</v>
      </c>
    </row>
    <row r="147" spans="1:26" ht="14.25" x14ac:dyDescent="0.2">
      <c r="A147" s="40"/>
      <c r="B147" s="41"/>
      <c r="C147" s="41" t="s">
        <v>989</v>
      </c>
      <c r="D147" s="24"/>
      <c r="E147" s="10"/>
      <c r="F147" s="25">
        <f>Source!AO58</f>
        <v>145.43</v>
      </c>
      <c r="G147" s="26" t="str">
        <f>Source!DG58</f>
        <v>)*1,15</v>
      </c>
      <c r="H147" s="25">
        <f>ROUND(Source!AF58*Source!I58, 2)</f>
        <v>4.5199999999999996</v>
      </c>
      <c r="I147" s="26"/>
      <c r="J147" s="26">
        <f>IF(Source!BA58&lt;&gt; 0, Source!BA58, 1)</f>
        <v>6.71</v>
      </c>
      <c r="K147" s="25">
        <f>Source!S58</f>
        <v>30.3</v>
      </c>
      <c r="L147" s="27"/>
      <c r="R147">
        <f>H147</f>
        <v>4.5199999999999996</v>
      </c>
    </row>
    <row r="148" spans="1:26" ht="14.25" x14ac:dyDescent="0.2">
      <c r="A148" s="40"/>
      <c r="B148" s="41"/>
      <c r="C148" s="41" t="s">
        <v>996</v>
      </c>
      <c r="D148" s="24"/>
      <c r="E148" s="10"/>
      <c r="F148" s="25">
        <f>Source!AL58</f>
        <v>80.400000000000006</v>
      </c>
      <c r="G148" s="26" t="str">
        <f>Source!DD58</f>
        <v/>
      </c>
      <c r="H148" s="25">
        <f>ROUND(Source!AC58*Source!I58, 2)</f>
        <v>2.17</v>
      </c>
      <c r="I148" s="26"/>
      <c r="J148" s="26">
        <f>IF(Source!BC58&lt;&gt; 0, Source!BC58, 1)</f>
        <v>6.71</v>
      </c>
      <c r="K148" s="25">
        <f>Source!P58</f>
        <v>14.57</v>
      </c>
      <c r="L148" s="27"/>
    </row>
    <row r="149" spans="1:26" ht="14.25" x14ac:dyDescent="0.2">
      <c r="A149" s="40"/>
      <c r="B149" s="41"/>
      <c r="C149" s="41" t="s">
        <v>990</v>
      </c>
      <c r="D149" s="24" t="s">
        <v>991</v>
      </c>
      <c r="E149" s="10">
        <f>Source!BZ58</f>
        <v>123</v>
      </c>
      <c r="F149" s="50" t="str">
        <f>CONCATENATE(" )", Source!DL58, Source!FT58, "=", Source!FX58)</f>
        <v xml:space="preserve"> )*0,9=110,7</v>
      </c>
      <c r="G149" s="51"/>
      <c r="H149" s="25">
        <f>SUM(S145:S154)</f>
        <v>5</v>
      </c>
      <c r="I149" s="28"/>
      <c r="J149" s="23">
        <f>Source!AT58</f>
        <v>111</v>
      </c>
      <c r="K149" s="25">
        <f>SUM(T145:T154)</f>
        <v>33.630000000000003</v>
      </c>
      <c r="L149" s="27"/>
    </row>
    <row r="150" spans="1:26" ht="14.25" x14ac:dyDescent="0.2">
      <c r="A150" s="40"/>
      <c r="B150" s="41"/>
      <c r="C150" s="41" t="s">
        <v>992</v>
      </c>
      <c r="D150" s="24" t="s">
        <v>991</v>
      </c>
      <c r="E150" s="10">
        <f>Source!CA58</f>
        <v>75</v>
      </c>
      <c r="F150" s="50" t="str">
        <f>CONCATENATE(" )", Source!DM58, Source!FU58, "=", Source!FY58)</f>
        <v xml:space="preserve"> )*0,85=63,75</v>
      </c>
      <c r="G150" s="51"/>
      <c r="H150" s="25">
        <f>SUM(U145:U154)</f>
        <v>2.88</v>
      </c>
      <c r="I150" s="28"/>
      <c r="J150" s="23">
        <f>Source!AU58</f>
        <v>64</v>
      </c>
      <c r="K150" s="25">
        <f>SUM(V145:V154)</f>
        <v>19.39</v>
      </c>
      <c r="L150" s="27"/>
    </row>
    <row r="151" spans="1:26" ht="14.25" x14ac:dyDescent="0.2">
      <c r="A151" s="40"/>
      <c r="B151" s="41"/>
      <c r="C151" s="41" t="s">
        <v>993</v>
      </c>
      <c r="D151" s="24" t="s">
        <v>994</v>
      </c>
      <c r="E151" s="10">
        <f>Source!AQ58</f>
        <v>16.64</v>
      </c>
      <c r="F151" s="25"/>
      <c r="G151" s="26" t="str">
        <f>Source!DI58</f>
        <v>)*1,15</v>
      </c>
      <c r="H151" s="25"/>
      <c r="I151" s="26"/>
      <c r="J151" s="26"/>
      <c r="K151" s="25"/>
      <c r="L151" s="36">
        <f>Source!U58</f>
        <v>0.51667200000000002</v>
      </c>
    </row>
    <row r="152" spans="1:26" ht="71.25" x14ac:dyDescent="0.2">
      <c r="A152" s="40" t="str">
        <f>Source!E59</f>
        <v>12,1</v>
      </c>
      <c r="B152" s="41" t="str">
        <f>Source!F59</f>
        <v>09.2.03.02-0002</v>
      </c>
      <c r="C152" s="41" t="str">
        <f>Source!G59</f>
        <v>Профили стыкоперекрывающие из алюминиевых сплавов (порожки) с покрытием и антискользящей вставкой, шириной 39 мм, длиной до 1,8 м</v>
      </c>
      <c r="D152" s="24" t="str">
        <f>Source!H59</f>
        <v>шт.</v>
      </c>
      <c r="E152" s="10">
        <f>Source!I59</f>
        <v>1</v>
      </c>
      <c r="F152" s="25">
        <f>Source!AL59+Source!AM59+Source!AO59</f>
        <v>31.28</v>
      </c>
      <c r="G152" s="39" t="s">
        <v>6</v>
      </c>
      <c r="H152" s="25">
        <f>ROUND(Source!AC59*Source!I59, 2)+ROUND(Source!AD59*Source!I59, 2)+ROUND(Source!AF59*Source!I59, 2)</f>
        <v>31.28</v>
      </c>
      <c r="I152" s="26"/>
      <c r="J152" s="26">
        <f>IF(Source!BC59&lt;&gt; 0, Source!BC59, 1)</f>
        <v>6.71</v>
      </c>
      <c r="K152" s="25">
        <f>Source!O59</f>
        <v>209.89</v>
      </c>
      <c r="L152" s="27"/>
      <c r="S152">
        <f>ROUND((Source!FX59/100)*((ROUND(Source!AF59*Source!I59, 2)+ROUND(Source!AE59*Source!I59, 2))), 2)</f>
        <v>0</v>
      </c>
      <c r="T152">
        <f>Source!X59</f>
        <v>0</v>
      </c>
      <c r="U152">
        <f>ROUND((Source!FY59/100)*((ROUND(Source!AF59*Source!I59, 2)+ROUND(Source!AE59*Source!I59, 2))), 2)</f>
        <v>0</v>
      </c>
      <c r="V152">
        <f>Source!Y59</f>
        <v>0</v>
      </c>
      <c r="W152">
        <f>IF(Source!BI59&lt;=1,H152, 0)</f>
        <v>31.28</v>
      </c>
      <c r="X152">
        <f>IF(Source!BI59=2,H152, 0)</f>
        <v>0</v>
      </c>
      <c r="Y152">
        <f>IF(Source!BI59=3,H152, 0)</f>
        <v>0</v>
      </c>
      <c r="Z152">
        <f>IF(Source!BI59=4,H152, 0)</f>
        <v>0</v>
      </c>
    </row>
    <row r="153" spans="1:26" ht="57" x14ac:dyDescent="0.2">
      <c r="A153" s="40" t="str">
        <f>Source!E60</f>
        <v>12,2</v>
      </c>
      <c r="B153" s="41" t="str">
        <f>Source!F60</f>
        <v>09.2.03.02-0001</v>
      </c>
      <c r="C153" s="41" t="str">
        <f>Source!G60</f>
        <v>Профили стыкоперекрывающие из алюминиевых сплавов (порожки) с покрытием и антискользящей вставкой, шириной 39 мм, длиной 0,9 м</v>
      </c>
      <c r="D153" s="24" t="str">
        <f>Source!H60</f>
        <v>шт.</v>
      </c>
      <c r="E153" s="10">
        <f>Source!I60</f>
        <v>4</v>
      </c>
      <c r="F153" s="25">
        <f>Source!AL60+Source!AM60+Source!AO60</f>
        <v>15.07</v>
      </c>
      <c r="G153" s="39" t="s">
        <v>6</v>
      </c>
      <c r="H153" s="25">
        <f>ROUND(Source!AC60*Source!I60, 2)+ROUND(Source!AD60*Source!I60, 2)+ROUND(Source!AF60*Source!I60, 2)</f>
        <v>60.28</v>
      </c>
      <c r="I153" s="26"/>
      <c r="J153" s="26">
        <f>IF(Source!BC60&lt;&gt; 0, Source!BC60, 1)</f>
        <v>6.71</v>
      </c>
      <c r="K153" s="25">
        <f>Source!O60</f>
        <v>404.48</v>
      </c>
      <c r="L153" s="27"/>
      <c r="S153">
        <f>ROUND((Source!FX60/100)*((ROUND(Source!AF60*Source!I60, 2)+ROUND(Source!AE60*Source!I60, 2))), 2)</f>
        <v>0</v>
      </c>
      <c r="T153">
        <f>Source!X60</f>
        <v>0</v>
      </c>
      <c r="U153">
        <f>ROUND((Source!FY60/100)*((ROUND(Source!AF60*Source!I60, 2)+ROUND(Source!AE60*Source!I60, 2))), 2)</f>
        <v>0</v>
      </c>
      <c r="V153">
        <f>Source!Y60</f>
        <v>0</v>
      </c>
      <c r="W153">
        <f>IF(Source!BI60&lt;=1,H153, 0)</f>
        <v>60.28</v>
      </c>
      <c r="X153">
        <f>IF(Source!BI60=2,H153, 0)</f>
        <v>0</v>
      </c>
      <c r="Y153">
        <f>IF(Source!BI60=3,H153, 0)</f>
        <v>0</v>
      </c>
      <c r="Z153">
        <f>IF(Source!BI60=4,H153, 0)</f>
        <v>0</v>
      </c>
    </row>
    <row r="154" spans="1:26" ht="42.75" x14ac:dyDescent="0.2">
      <c r="A154" s="42" t="str">
        <f>Source!E61</f>
        <v>12,3</v>
      </c>
      <c r="B154" s="43" t="str">
        <f>Source!F61</f>
        <v>09.2.03.02</v>
      </c>
      <c r="C154" s="43" t="str">
        <f>Source!G61</f>
        <v>Профили стыкоперекрывающие из алюминиевых сплавов (порожки) с покрытием</v>
      </c>
      <c r="D154" s="29" t="str">
        <f>Source!H61</f>
        <v>м</v>
      </c>
      <c r="E154" s="30">
        <f>Source!I61</f>
        <v>2.835</v>
      </c>
      <c r="F154" s="31">
        <f>Source!AL61+Source!AM61+Source!AO61</f>
        <v>0</v>
      </c>
      <c r="G154" s="37" t="s">
        <v>6</v>
      </c>
      <c r="H154" s="31">
        <f>ROUND(Source!AC61*Source!I61, 2)+ROUND(Source!AD61*Source!I61, 2)+ROUND(Source!AF61*Source!I61, 2)</f>
        <v>0</v>
      </c>
      <c r="I154" s="32"/>
      <c r="J154" s="32">
        <f>IF(Source!BC61&lt;&gt; 0, Source!BC61, 1)</f>
        <v>6.71</v>
      </c>
      <c r="K154" s="31">
        <f>Source!O61</f>
        <v>0</v>
      </c>
      <c r="L154" s="38"/>
      <c r="S154">
        <f>ROUND((Source!FX61/100)*((ROUND(Source!AF61*Source!I61, 2)+ROUND(Source!AE61*Source!I61, 2))), 2)</f>
        <v>0</v>
      </c>
      <c r="T154">
        <f>Source!X61</f>
        <v>0</v>
      </c>
      <c r="U154">
        <f>ROUND((Source!FY61/100)*((ROUND(Source!AF61*Source!I61, 2)+ROUND(Source!AE61*Source!I61, 2))), 2)</f>
        <v>0</v>
      </c>
      <c r="V154">
        <f>Source!Y61</f>
        <v>0</v>
      </c>
      <c r="W154">
        <f>IF(Source!BI61&lt;=1,H154, 0)</f>
        <v>0</v>
      </c>
      <c r="X154">
        <f>IF(Source!BI61=2,H154, 0)</f>
        <v>0</v>
      </c>
      <c r="Y154">
        <f>IF(Source!BI61=3,H154, 0)</f>
        <v>0</v>
      </c>
      <c r="Z154">
        <f>IF(Source!BI61=4,H154, 0)</f>
        <v>0</v>
      </c>
    </row>
    <row r="155" spans="1:26" ht="15" x14ac:dyDescent="0.25">
      <c r="G155" s="47">
        <f>H147+H148+H149+H150+SUM(H152:H154)</f>
        <v>106.13</v>
      </c>
      <c r="H155" s="47"/>
      <c r="J155" s="47">
        <f>K147+K148+K149+K150+SUM(K152:K154)</f>
        <v>712.26</v>
      </c>
      <c r="K155" s="47"/>
      <c r="L155" s="34">
        <f>Source!U58</f>
        <v>0.51667200000000002</v>
      </c>
      <c r="O155" s="21">
        <f>G155</f>
        <v>106.13</v>
      </c>
      <c r="P155" s="21">
        <f>J155</f>
        <v>712.26</v>
      </c>
      <c r="Q155" s="21">
        <f>L155</f>
        <v>0.51667200000000002</v>
      </c>
      <c r="W155">
        <f>IF(Source!BI58&lt;=1,H147+H148+H149+H150, 0)</f>
        <v>14.57</v>
      </c>
      <c r="X155">
        <f>IF(Source!BI58=2,H147+H148+H149+H150, 0)</f>
        <v>0</v>
      </c>
      <c r="Y155">
        <f>IF(Source!BI58=3,H147+H148+H149+H150, 0)</f>
        <v>0</v>
      </c>
      <c r="Z155">
        <f>IF(Source!BI58=4,H147+H148+H149+H150, 0)</f>
        <v>0</v>
      </c>
    </row>
    <row r="156" spans="1:26" ht="57" x14ac:dyDescent="0.2">
      <c r="A156" s="40" t="str">
        <f>Source!E62</f>
        <v>13</v>
      </c>
      <c r="B156" s="41" t="str">
        <f>Source!F62</f>
        <v>15-02-019-03</v>
      </c>
      <c r="C156" s="41" t="str">
        <f>Source!G62</f>
        <v>Сплошное выравнивание внутренних поверхностей (однослойное оштукатуривание) из сухих растворных смесей толщиной до 10 мм стен</v>
      </c>
      <c r="D156" s="24" t="str">
        <f>Source!H62</f>
        <v>100 м2</v>
      </c>
      <c r="E156" s="10">
        <f>Source!I62</f>
        <v>1.111</v>
      </c>
      <c r="F156" s="25">
        <f>Source!AL62+Source!AM62+Source!AO62</f>
        <v>295.40999999999997</v>
      </c>
      <c r="G156" s="26"/>
      <c r="H156" s="25"/>
      <c r="I156" s="26" t="str">
        <f>Source!BO62</f>
        <v/>
      </c>
      <c r="J156" s="26"/>
      <c r="K156" s="25"/>
      <c r="L156" s="27"/>
      <c r="S156">
        <f>ROUND((Source!FX62/100)*((ROUND(Source!AF62*Source!I62, 2)+ROUND(Source!AE62*Source!I62, 2))), 2)</f>
        <v>347.85</v>
      </c>
      <c r="T156">
        <f>Source!X62</f>
        <v>2346.36</v>
      </c>
      <c r="U156">
        <f>ROUND((Source!FY62/100)*((ROUND(Source!AF62*Source!I62, 2)+ROUND(Source!AE62*Source!I62, 2))), 2)</f>
        <v>172.08</v>
      </c>
      <c r="V156">
        <f>Source!Y62</f>
        <v>1160.83</v>
      </c>
    </row>
    <row r="157" spans="1:26" x14ac:dyDescent="0.2">
      <c r="C157" s="20" t="str">
        <f>"Объем: "&amp;Source!I62&amp;"=111,1/"&amp;"100"</f>
        <v>Объем: 1,111=111,1/100</v>
      </c>
    </row>
    <row r="158" spans="1:26" ht="14.25" x14ac:dyDescent="0.2">
      <c r="A158" s="40"/>
      <c r="B158" s="41"/>
      <c r="C158" s="41" t="s">
        <v>989</v>
      </c>
      <c r="D158" s="24"/>
      <c r="E158" s="10"/>
      <c r="F158" s="25">
        <f>Source!AO62</f>
        <v>277.14</v>
      </c>
      <c r="G158" s="26" t="str">
        <f>Source!DG62</f>
        <v>)*1,15</v>
      </c>
      <c r="H158" s="25">
        <f>ROUND(Source!AF62*Source!I62, 2)</f>
        <v>354.09</v>
      </c>
      <c r="I158" s="26"/>
      <c r="J158" s="26">
        <f>IF(Source!BA62&lt;&gt; 0, Source!BA62, 1)</f>
        <v>6.71</v>
      </c>
      <c r="K158" s="25">
        <f>Source!S62</f>
        <v>2375.92</v>
      </c>
      <c r="L158" s="27"/>
      <c r="R158">
        <f>H158</f>
        <v>354.09</v>
      </c>
    </row>
    <row r="159" spans="1:26" ht="14.25" x14ac:dyDescent="0.2">
      <c r="A159" s="40"/>
      <c r="B159" s="41"/>
      <c r="C159" s="41" t="s">
        <v>300</v>
      </c>
      <c r="D159" s="24"/>
      <c r="E159" s="10"/>
      <c r="F159" s="25">
        <f>Source!AM62</f>
        <v>17.03</v>
      </c>
      <c r="G159" s="26" t="str">
        <f>Source!DE62</f>
        <v>)*1,25</v>
      </c>
      <c r="H159" s="25">
        <f>ROUND(Source!AD62*Source!I62, 2)</f>
        <v>23.65</v>
      </c>
      <c r="I159" s="26"/>
      <c r="J159" s="26">
        <f>IF(Source!BB62&lt;&gt; 0, Source!BB62, 1)</f>
        <v>6.71</v>
      </c>
      <c r="K159" s="25">
        <f>Source!Q62</f>
        <v>158.71</v>
      </c>
      <c r="L159" s="27"/>
    </row>
    <row r="160" spans="1:26" ht="14.25" x14ac:dyDescent="0.2">
      <c r="A160" s="40"/>
      <c r="B160" s="41"/>
      <c r="C160" s="41" t="s">
        <v>995</v>
      </c>
      <c r="D160" s="24"/>
      <c r="E160" s="10"/>
      <c r="F160" s="25">
        <f>Source!AN62</f>
        <v>10.08</v>
      </c>
      <c r="G160" s="26" t="str">
        <f>Source!DF62</f>
        <v>)*1,25</v>
      </c>
      <c r="H160" s="35">
        <f>ROUND(Source!AE62*Source!I62, 2)</f>
        <v>14</v>
      </c>
      <c r="I160" s="26"/>
      <c r="J160" s="26">
        <f>IF(Source!BS62&lt;&gt; 0, Source!BS62, 1)</f>
        <v>6.71</v>
      </c>
      <c r="K160" s="35">
        <f>Source!R62</f>
        <v>93.93</v>
      </c>
      <c r="L160" s="27"/>
      <c r="R160">
        <f>H160</f>
        <v>14</v>
      </c>
    </row>
    <row r="161" spans="1:26" ht="14.25" x14ac:dyDescent="0.2">
      <c r="A161" s="40"/>
      <c r="B161" s="41"/>
      <c r="C161" s="41" t="s">
        <v>996</v>
      </c>
      <c r="D161" s="24"/>
      <c r="E161" s="10"/>
      <c r="F161" s="25">
        <f>Source!AL62</f>
        <v>1.24</v>
      </c>
      <c r="G161" s="26" t="str">
        <f>Source!DD62</f>
        <v/>
      </c>
      <c r="H161" s="25">
        <f>ROUND(Source!AC62*Source!I62, 2)</f>
        <v>1.38</v>
      </c>
      <c r="I161" s="26"/>
      <c r="J161" s="26">
        <f>IF(Source!BC62&lt;&gt; 0, Source!BC62, 1)</f>
        <v>6.71</v>
      </c>
      <c r="K161" s="25">
        <f>Source!P62</f>
        <v>9.24</v>
      </c>
      <c r="L161" s="27"/>
    </row>
    <row r="162" spans="1:26" ht="14.25" x14ac:dyDescent="0.2">
      <c r="A162" s="40"/>
      <c r="B162" s="41"/>
      <c r="C162" s="41" t="s">
        <v>990</v>
      </c>
      <c r="D162" s="24" t="s">
        <v>991</v>
      </c>
      <c r="E162" s="10">
        <f>Source!BZ62</f>
        <v>105</v>
      </c>
      <c r="F162" s="50" t="str">
        <f>CONCATENATE(" )", Source!DL62, Source!FT62, "=", Source!FX62)</f>
        <v xml:space="preserve"> )*0,9=94,5</v>
      </c>
      <c r="G162" s="51"/>
      <c r="H162" s="25">
        <f>SUM(S156:S167)</f>
        <v>347.85</v>
      </c>
      <c r="I162" s="28"/>
      <c r="J162" s="23">
        <f>Source!AT62</f>
        <v>95</v>
      </c>
      <c r="K162" s="25">
        <f>SUM(T156:T167)</f>
        <v>2346.36</v>
      </c>
      <c r="L162" s="27"/>
    </row>
    <row r="163" spans="1:26" ht="14.25" x14ac:dyDescent="0.2">
      <c r="A163" s="40"/>
      <c r="B163" s="41"/>
      <c r="C163" s="41" t="s">
        <v>992</v>
      </c>
      <c r="D163" s="24" t="s">
        <v>991</v>
      </c>
      <c r="E163" s="10">
        <f>Source!CA62</f>
        <v>55</v>
      </c>
      <c r="F163" s="50" t="str">
        <f>CONCATENATE(" )", Source!DM62, Source!FU62, "=", Source!FY62)</f>
        <v xml:space="preserve"> )*0,85=46,75</v>
      </c>
      <c r="G163" s="51"/>
      <c r="H163" s="25">
        <f>SUM(U156:U167)</f>
        <v>172.08</v>
      </c>
      <c r="I163" s="28"/>
      <c r="J163" s="23">
        <f>Source!AU62</f>
        <v>47</v>
      </c>
      <c r="K163" s="25">
        <f>SUM(V156:V167)</f>
        <v>1160.83</v>
      </c>
      <c r="L163" s="27"/>
    </row>
    <row r="164" spans="1:26" ht="14.25" x14ac:dyDescent="0.2">
      <c r="A164" s="40"/>
      <c r="B164" s="41"/>
      <c r="C164" s="41" t="s">
        <v>993</v>
      </c>
      <c r="D164" s="24" t="s">
        <v>994</v>
      </c>
      <c r="E164" s="10">
        <f>Source!AQ62</f>
        <v>32.49</v>
      </c>
      <c r="F164" s="25"/>
      <c r="G164" s="26" t="str">
        <f>Source!DI62</f>
        <v>)*1,15</v>
      </c>
      <c r="H164" s="25"/>
      <c r="I164" s="26"/>
      <c r="J164" s="26"/>
      <c r="K164" s="25"/>
      <c r="L164" s="36">
        <f>Source!U62</f>
        <v>41.510848500000002</v>
      </c>
    </row>
    <row r="165" spans="1:26" ht="14.25" x14ac:dyDescent="0.2">
      <c r="A165" s="40" t="str">
        <f>Source!E63</f>
        <v>13,1</v>
      </c>
      <c r="B165" s="41" t="str">
        <f>Source!F63</f>
        <v>04.3.02.09</v>
      </c>
      <c r="C165" s="41" t="str">
        <f>Source!G63</f>
        <v>Смеси на цементной основе</v>
      </c>
      <c r="D165" s="24" t="str">
        <f>Source!H63</f>
        <v>т</v>
      </c>
      <c r="E165" s="10">
        <f>Source!I63</f>
        <v>0.94434999999999991</v>
      </c>
      <c r="F165" s="25">
        <f>Source!AL63+Source!AM63+Source!AO63</f>
        <v>0</v>
      </c>
      <c r="G165" s="39" t="s">
        <v>6</v>
      </c>
      <c r="H165" s="25">
        <f>ROUND(Source!AC63*Source!I63, 2)+ROUND(Source!AD63*Source!I63, 2)+ROUND(Source!AF63*Source!I63, 2)</f>
        <v>0</v>
      </c>
      <c r="I165" s="26"/>
      <c r="J165" s="26">
        <f>IF(Source!BC63&lt;&gt; 0, Source!BC63, 1)</f>
        <v>6.71</v>
      </c>
      <c r="K165" s="25">
        <f>Source!O63</f>
        <v>0</v>
      </c>
      <c r="L165" s="27"/>
      <c r="S165">
        <f>ROUND((Source!FX63/100)*((ROUND(Source!AF63*Source!I63, 2)+ROUND(Source!AE63*Source!I63, 2))), 2)</f>
        <v>0</v>
      </c>
      <c r="T165">
        <f>Source!X63</f>
        <v>0</v>
      </c>
      <c r="U165">
        <f>ROUND((Source!FY63/100)*((ROUND(Source!AF63*Source!I63, 2)+ROUND(Source!AE63*Source!I63, 2))), 2)</f>
        <v>0</v>
      </c>
      <c r="V165">
        <f>Source!Y63</f>
        <v>0</v>
      </c>
      <c r="W165">
        <f>IF(Source!BI63&lt;=1,H165, 0)</f>
        <v>0</v>
      </c>
      <c r="X165">
        <f>IF(Source!BI63=2,H165, 0)</f>
        <v>0</v>
      </c>
      <c r="Y165">
        <f>IF(Source!BI63=3,H165, 0)</f>
        <v>0</v>
      </c>
      <c r="Z165">
        <f>IF(Source!BI63=4,H165, 0)</f>
        <v>0</v>
      </c>
    </row>
    <row r="166" spans="1:26" ht="28.5" x14ac:dyDescent="0.2">
      <c r="A166" s="40" t="str">
        <f>Source!E64</f>
        <v>13,2</v>
      </c>
      <c r="B166" s="41" t="str">
        <f>Source!F64</f>
        <v>04.3.02.05-0002</v>
      </c>
      <c r="C166" s="41" t="str">
        <f>Source!G64</f>
        <v>Смесь штукатурная «Ротбанд», КНАУФ</v>
      </c>
      <c r="D166" s="24" t="str">
        <f>Source!H64</f>
        <v>кг</v>
      </c>
      <c r="E166" s="10">
        <f>Source!I64</f>
        <v>944.35</v>
      </c>
      <c r="F166" s="25">
        <f>Source!AL64+Source!AM64+Source!AO64</f>
        <v>2.0699999999999998</v>
      </c>
      <c r="G166" s="39" t="s">
        <v>6</v>
      </c>
      <c r="H166" s="25">
        <f>ROUND(Source!AC64*Source!I64, 2)+ROUND(Source!AD64*Source!I64, 2)+ROUND(Source!AF64*Source!I64, 2)</f>
        <v>1954.8</v>
      </c>
      <c r="I166" s="26"/>
      <c r="J166" s="26">
        <f>IF(Source!BC64&lt;&gt; 0, Source!BC64, 1)</f>
        <v>6.71</v>
      </c>
      <c r="K166" s="25">
        <f>Source!O64</f>
        <v>13116.74</v>
      </c>
      <c r="L166" s="27"/>
      <c r="S166">
        <f>ROUND((Source!FX64/100)*((ROUND(Source!AF64*Source!I64, 2)+ROUND(Source!AE64*Source!I64, 2))), 2)</f>
        <v>0</v>
      </c>
      <c r="T166">
        <f>Source!X64</f>
        <v>0</v>
      </c>
      <c r="U166">
        <f>ROUND((Source!FY64/100)*((ROUND(Source!AF64*Source!I64, 2)+ROUND(Source!AE64*Source!I64, 2))), 2)</f>
        <v>0</v>
      </c>
      <c r="V166">
        <f>Source!Y64</f>
        <v>0</v>
      </c>
      <c r="W166">
        <f>IF(Source!BI64&lt;=1,H166, 0)</f>
        <v>1954.8</v>
      </c>
      <c r="X166">
        <f>IF(Source!BI64=2,H166, 0)</f>
        <v>0</v>
      </c>
      <c r="Y166">
        <f>IF(Source!BI64=3,H166, 0)</f>
        <v>0</v>
      </c>
      <c r="Z166">
        <f>IF(Source!BI64=4,H166, 0)</f>
        <v>0</v>
      </c>
    </row>
    <row r="167" spans="1:26" ht="28.5" x14ac:dyDescent="0.2">
      <c r="A167" s="42" t="str">
        <f>Source!E65</f>
        <v>13,3</v>
      </c>
      <c r="B167" s="43" t="str">
        <f>Source!F65</f>
        <v>14.3.01.01-0001</v>
      </c>
      <c r="C167" s="43" t="str">
        <f>Source!G65</f>
        <v>Грунтовка: «Бетоконтакт», КНАУФ</v>
      </c>
      <c r="D167" s="29" t="str">
        <f>Source!H65</f>
        <v>кг</v>
      </c>
      <c r="E167" s="30">
        <f>Source!I65</f>
        <v>1.4442999999999999E-2</v>
      </c>
      <c r="F167" s="31">
        <f>Source!AL65+Source!AM65+Source!AO65</f>
        <v>15.09</v>
      </c>
      <c r="G167" s="37" t="s">
        <v>6</v>
      </c>
      <c r="H167" s="31">
        <f>ROUND(Source!AC65*Source!I65, 2)+ROUND(Source!AD65*Source!I65, 2)+ROUND(Source!AF65*Source!I65, 2)</f>
        <v>0.22</v>
      </c>
      <c r="I167" s="32"/>
      <c r="J167" s="32">
        <f>IF(Source!BC65&lt;&gt; 0, Source!BC65, 1)</f>
        <v>6.71</v>
      </c>
      <c r="K167" s="31">
        <f>Source!O65</f>
        <v>1.46</v>
      </c>
      <c r="L167" s="38"/>
      <c r="S167">
        <f>ROUND((Source!FX65/100)*((ROUND(Source!AF65*Source!I65, 2)+ROUND(Source!AE65*Source!I65, 2))), 2)</f>
        <v>0</v>
      </c>
      <c r="T167">
        <f>Source!X65</f>
        <v>0</v>
      </c>
      <c r="U167">
        <f>ROUND((Source!FY65/100)*((ROUND(Source!AF65*Source!I65, 2)+ROUND(Source!AE65*Source!I65, 2))), 2)</f>
        <v>0</v>
      </c>
      <c r="V167">
        <f>Source!Y65</f>
        <v>0</v>
      </c>
      <c r="W167">
        <f>IF(Source!BI65&lt;=1,H167, 0)</f>
        <v>0.22</v>
      </c>
      <c r="X167">
        <f>IF(Source!BI65=2,H167, 0)</f>
        <v>0</v>
      </c>
      <c r="Y167">
        <f>IF(Source!BI65=3,H167, 0)</f>
        <v>0</v>
      </c>
      <c r="Z167">
        <f>IF(Source!BI65=4,H167, 0)</f>
        <v>0</v>
      </c>
    </row>
    <row r="168" spans="1:26" ht="15" x14ac:dyDescent="0.25">
      <c r="G168" s="47">
        <f>H158+H159+H161+H162+H163+SUM(H165:H167)</f>
        <v>2854.07</v>
      </c>
      <c r="H168" s="47"/>
      <c r="J168" s="47">
        <f>K158+K159+K161+K162+K163+SUM(K165:K167)</f>
        <v>19169.259999999998</v>
      </c>
      <c r="K168" s="47"/>
      <c r="L168" s="34">
        <f>Source!U62</f>
        <v>41.510848500000002</v>
      </c>
      <c r="O168" s="21">
        <f>G168</f>
        <v>2854.07</v>
      </c>
      <c r="P168" s="21">
        <f>J168</f>
        <v>19169.259999999998</v>
      </c>
      <c r="Q168" s="21">
        <f>L168</f>
        <v>41.510848500000002</v>
      </c>
      <c r="W168">
        <f>IF(Source!BI62&lt;=1,H158+H159+H161+H162+H163, 0)</f>
        <v>899.05000000000007</v>
      </c>
      <c r="X168">
        <f>IF(Source!BI62=2,H158+H159+H161+H162+H163, 0)</f>
        <v>0</v>
      </c>
      <c r="Y168">
        <f>IF(Source!BI62=3,H158+H159+H161+H162+H163, 0)</f>
        <v>0</v>
      </c>
      <c r="Z168">
        <f>IF(Source!BI62=4,H158+H159+H161+H162+H163, 0)</f>
        <v>0</v>
      </c>
    </row>
    <row r="169" spans="1:26" ht="85.5" x14ac:dyDescent="0.2">
      <c r="A169" s="40" t="str">
        <f>Source!E66</f>
        <v>14</v>
      </c>
      <c r="B169" s="41" t="str">
        <f>Source!F66</f>
        <v>15-02-019-07</v>
      </c>
      <c r="C169" s="41" t="str">
        <f>Source!G66</f>
        <v>Сплошное выравнивание внутренних поверхностей (однослойное оштукатуривание) из сухих растворных смесей на каждый 1 мм изменения толщины слоя добавлять или исключать к расценке 15-02-019-03</v>
      </c>
      <c r="D169" s="24" t="str">
        <f>Source!H66</f>
        <v>100 м2</v>
      </c>
      <c r="E169" s="10">
        <f>Source!I66</f>
        <v>1.111</v>
      </c>
      <c r="F169" s="25">
        <f>Source!AL66+Source!AM66+Source!AO66</f>
        <v>28.240000000000002</v>
      </c>
      <c r="G169" s="26"/>
      <c r="H169" s="25"/>
      <c r="I169" s="26" t="str">
        <f>Source!BO66</f>
        <v/>
      </c>
      <c r="J169" s="26"/>
      <c r="K169" s="25"/>
      <c r="L169" s="27"/>
      <c r="S169">
        <f>ROUND((Source!FX66/100)*((ROUND(Source!AF66*Source!I66, 2)+ROUND(Source!AE66*Source!I66, 2))), 2)</f>
        <v>332.22</v>
      </c>
      <c r="T169">
        <f>Source!X66</f>
        <v>2241.0500000000002</v>
      </c>
      <c r="U169">
        <f>ROUND((Source!FY66/100)*((ROUND(Source!AF66*Source!I66, 2)+ROUND(Source!AE66*Source!I66, 2))), 2)</f>
        <v>164.35</v>
      </c>
      <c r="V169">
        <f>Source!Y66</f>
        <v>1108.73</v>
      </c>
    </row>
    <row r="170" spans="1:26" x14ac:dyDescent="0.2">
      <c r="C170" s="20" t="str">
        <f>"Объем: "&amp;Source!I66&amp;"=111,1/"&amp;"100"</f>
        <v>Объем: 1,111=111,1/100</v>
      </c>
    </row>
    <row r="171" spans="1:26" ht="14.25" x14ac:dyDescent="0.2">
      <c r="A171" s="40"/>
      <c r="B171" s="41"/>
      <c r="C171" s="41" t="s">
        <v>989</v>
      </c>
      <c r="D171" s="24"/>
      <c r="E171" s="10"/>
      <c r="F171" s="25">
        <f>Source!AO66</f>
        <v>26.44</v>
      </c>
      <c r="G171" s="26" t="str">
        <f>Source!DG66</f>
        <v>)*1,15*10</v>
      </c>
      <c r="H171" s="25">
        <f>ROUND(Source!AF66*Source!I66, 2)</f>
        <v>337.81</v>
      </c>
      <c r="I171" s="26"/>
      <c r="J171" s="26">
        <f>IF(Source!BA66&lt;&gt; 0, Source!BA66, 1)</f>
        <v>6.71</v>
      </c>
      <c r="K171" s="25">
        <f>Source!S66</f>
        <v>2266.71</v>
      </c>
      <c r="L171" s="27"/>
      <c r="R171">
        <f>H171</f>
        <v>337.81</v>
      </c>
    </row>
    <row r="172" spans="1:26" ht="14.25" x14ac:dyDescent="0.2">
      <c r="A172" s="40"/>
      <c r="B172" s="41"/>
      <c r="C172" s="41" t="s">
        <v>300</v>
      </c>
      <c r="D172" s="24"/>
      <c r="E172" s="10"/>
      <c r="F172" s="25">
        <f>Source!AM66</f>
        <v>1.68</v>
      </c>
      <c r="G172" s="26" t="str">
        <f>Source!DE66</f>
        <v>)*1,25*10</v>
      </c>
      <c r="H172" s="25">
        <f>ROUND(Source!AD66*Source!I66, 2)</f>
        <v>23.34</v>
      </c>
      <c r="I172" s="26"/>
      <c r="J172" s="26">
        <f>IF(Source!BB66&lt;&gt; 0, Source!BB66, 1)</f>
        <v>6.71</v>
      </c>
      <c r="K172" s="25">
        <f>Source!Q66</f>
        <v>156.63</v>
      </c>
      <c r="L172" s="27"/>
    </row>
    <row r="173" spans="1:26" ht="14.25" x14ac:dyDescent="0.2">
      <c r="A173" s="40"/>
      <c r="B173" s="41"/>
      <c r="C173" s="41" t="s">
        <v>995</v>
      </c>
      <c r="D173" s="24"/>
      <c r="E173" s="10"/>
      <c r="F173" s="25">
        <f>Source!AN66</f>
        <v>0.99</v>
      </c>
      <c r="G173" s="26" t="str">
        <f>Source!DF66</f>
        <v>)*1,25*10</v>
      </c>
      <c r="H173" s="35">
        <f>ROUND(Source!AE66*Source!I66, 2)</f>
        <v>13.75</v>
      </c>
      <c r="I173" s="26"/>
      <c r="J173" s="26">
        <f>IF(Source!BS66&lt;&gt; 0, Source!BS66, 1)</f>
        <v>6.71</v>
      </c>
      <c r="K173" s="35">
        <f>Source!R66</f>
        <v>92.29</v>
      </c>
      <c r="L173" s="27"/>
      <c r="R173">
        <f>H173</f>
        <v>13.75</v>
      </c>
    </row>
    <row r="174" spans="1:26" ht="14.25" x14ac:dyDescent="0.2">
      <c r="A174" s="40"/>
      <c r="B174" s="41"/>
      <c r="C174" s="41" t="s">
        <v>996</v>
      </c>
      <c r="D174" s="24"/>
      <c r="E174" s="10"/>
      <c r="F174" s="25">
        <f>Source!AL66</f>
        <v>0.12</v>
      </c>
      <c r="G174" s="26" t="str">
        <f>Source!DD66</f>
        <v>*10</v>
      </c>
      <c r="H174" s="25">
        <f>ROUND(Source!AC66*Source!I66, 2)</f>
        <v>1.33</v>
      </c>
      <c r="I174" s="26"/>
      <c r="J174" s="26">
        <f>IF(Source!BC66&lt;&gt; 0, Source!BC66, 1)</f>
        <v>6.71</v>
      </c>
      <c r="K174" s="25">
        <f>Source!P66</f>
        <v>8.9499999999999993</v>
      </c>
      <c r="L174" s="27"/>
    </row>
    <row r="175" spans="1:26" ht="14.25" x14ac:dyDescent="0.2">
      <c r="A175" s="40"/>
      <c r="B175" s="41"/>
      <c r="C175" s="41" t="s">
        <v>990</v>
      </c>
      <c r="D175" s="24" t="s">
        <v>991</v>
      </c>
      <c r="E175" s="10">
        <f>Source!BZ66</f>
        <v>105</v>
      </c>
      <c r="F175" s="50" t="str">
        <f>CONCATENATE(" )", Source!DL66, Source!FT66, "=", Source!FX66)</f>
        <v xml:space="preserve"> )*0,9=94,5</v>
      </c>
      <c r="G175" s="51"/>
      <c r="H175" s="25">
        <f>SUM(S169:S179)</f>
        <v>332.22</v>
      </c>
      <c r="I175" s="28"/>
      <c r="J175" s="23">
        <f>Source!AT66</f>
        <v>95</v>
      </c>
      <c r="K175" s="25">
        <f>SUM(T169:T179)</f>
        <v>2241.0500000000002</v>
      </c>
      <c r="L175" s="27"/>
    </row>
    <row r="176" spans="1:26" ht="14.25" x14ac:dyDescent="0.2">
      <c r="A176" s="40"/>
      <c r="B176" s="41"/>
      <c r="C176" s="41" t="s">
        <v>992</v>
      </c>
      <c r="D176" s="24" t="s">
        <v>991</v>
      </c>
      <c r="E176" s="10">
        <f>Source!CA66</f>
        <v>55</v>
      </c>
      <c r="F176" s="50" t="str">
        <f>CONCATENATE(" )", Source!DM66, Source!FU66, "=", Source!FY66)</f>
        <v xml:space="preserve"> )*0,85=46,75</v>
      </c>
      <c r="G176" s="51"/>
      <c r="H176" s="25">
        <f>SUM(U169:U179)</f>
        <v>164.35</v>
      </c>
      <c r="I176" s="28"/>
      <c r="J176" s="23">
        <f>Source!AU66</f>
        <v>47</v>
      </c>
      <c r="K176" s="25">
        <f>SUM(V169:V179)</f>
        <v>1108.73</v>
      </c>
      <c r="L176" s="27"/>
    </row>
    <row r="177" spans="1:26" ht="14.25" x14ac:dyDescent="0.2">
      <c r="A177" s="40"/>
      <c r="B177" s="41"/>
      <c r="C177" s="41" t="s">
        <v>993</v>
      </c>
      <c r="D177" s="24" t="s">
        <v>994</v>
      </c>
      <c r="E177" s="10">
        <f>Source!AQ66</f>
        <v>3.1</v>
      </c>
      <c r="F177" s="25"/>
      <c r="G177" s="26" t="str">
        <f>Source!DI66</f>
        <v>)*1,15*10</v>
      </c>
      <c r="H177" s="25"/>
      <c r="I177" s="26"/>
      <c r="J177" s="26"/>
      <c r="K177" s="25"/>
      <c r="L177" s="36">
        <f>Source!U66</f>
        <v>39.607149999999997</v>
      </c>
    </row>
    <row r="178" spans="1:26" ht="14.25" x14ac:dyDescent="0.2">
      <c r="A178" s="40" t="str">
        <f>Source!E67</f>
        <v>14,1</v>
      </c>
      <c r="B178" s="41" t="str">
        <f>Source!F67</f>
        <v>04.3.02.09</v>
      </c>
      <c r="C178" s="41" t="str">
        <f>Source!G67</f>
        <v>Смеси на цементной основе</v>
      </c>
      <c r="D178" s="24" t="str">
        <f>Source!H67</f>
        <v>т</v>
      </c>
      <c r="E178" s="10">
        <f>Source!I67</f>
        <v>0.94434999999999991</v>
      </c>
      <c r="F178" s="25">
        <f>Source!AL67+Source!AM67+Source!AO67</f>
        <v>0</v>
      </c>
      <c r="G178" s="39" t="s">
        <v>997</v>
      </c>
      <c r="H178" s="25">
        <f>ROUND(Source!AC67*Source!I67, 2)+ROUND(Source!AD67*Source!I67, 2)+ROUND(Source!AF67*Source!I67, 2)</f>
        <v>0</v>
      </c>
      <c r="I178" s="26"/>
      <c r="J178" s="26">
        <f>IF(Source!BC67&lt;&gt; 0, Source!BC67, 1)</f>
        <v>6.71</v>
      </c>
      <c r="K178" s="25">
        <f>Source!O67</f>
        <v>0</v>
      </c>
      <c r="L178" s="27"/>
      <c r="S178">
        <f>ROUND((Source!FX67/100)*((ROUND(Source!AF67*Source!I67, 2)+ROUND(Source!AE67*Source!I67, 2))), 2)</f>
        <v>0</v>
      </c>
      <c r="T178">
        <f>Source!X67</f>
        <v>0</v>
      </c>
      <c r="U178">
        <f>ROUND((Source!FY67/100)*((ROUND(Source!AF67*Source!I67, 2)+ROUND(Source!AE67*Source!I67, 2))), 2)</f>
        <v>0</v>
      </c>
      <c r="V178">
        <f>Source!Y67</f>
        <v>0</v>
      </c>
      <c r="W178">
        <f>IF(Source!BI67&lt;=1,H178, 0)</f>
        <v>0</v>
      </c>
      <c r="X178">
        <f>IF(Source!BI67=2,H178, 0)</f>
        <v>0</v>
      </c>
      <c r="Y178">
        <f>IF(Source!BI67=3,H178, 0)</f>
        <v>0</v>
      </c>
      <c r="Z178">
        <f>IF(Source!BI67=4,H178, 0)</f>
        <v>0</v>
      </c>
    </row>
    <row r="179" spans="1:26" ht="28.5" x14ac:dyDescent="0.2">
      <c r="A179" s="42" t="str">
        <f>Source!E68</f>
        <v>14,2</v>
      </c>
      <c r="B179" s="43" t="str">
        <f>Source!F68</f>
        <v>04.3.02.05-0002</v>
      </c>
      <c r="C179" s="43" t="str">
        <f>Source!G68</f>
        <v>Смесь штукатурная «Ротбанд», КНАУФ</v>
      </c>
      <c r="D179" s="29" t="str">
        <f>Source!H68</f>
        <v>кг</v>
      </c>
      <c r="E179" s="30">
        <f>Source!I68</f>
        <v>9443.5</v>
      </c>
      <c r="F179" s="31">
        <f>Source!AL68+Source!AM68+Source!AO68</f>
        <v>2.0699999999999998</v>
      </c>
      <c r="G179" s="37" t="s">
        <v>997</v>
      </c>
      <c r="H179" s="31">
        <f>ROUND(Source!AC68*Source!I68, 2)+ROUND(Source!AD68*Source!I68, 2)+ROUND(Source!AF68*Source!I68, 2)</f>
        <v>19548.05</v>
      </c>
      <c r="I179" s="32"/>
      <c r="J179" s="32">
        <f>IF(Source!BC68&lt;&gt; 0, Source!BC68, 1)</f>
        <v>6.71</v>
      </c>
      <c r="K179" s="31">
        <f>Source!O68</f>
        <v>131167.38</v>
      </c>
      <c r="L179" s="38"/>
      <c r="S179">
        <f>ROUND((Source!FX68/100)*((ROUND(Source!AF68*Source!I68, 2)+ROUND(Source!AE68*Source!I68, 2))), 2)</f>
        <v>0</v>
      </c>
      <c r="T179">
        <f>Source!X68</f>
        <v>0</v>
      </c>
      <c r="U179">
        <f>ROUND((Source!FY68/100)*((ROUND(Source!AF68*Source!I68, 2)+ROUND(Source!AE68*Source!I68, 2))), 2)</f>
        <v>0</v>
      </c>
      <c r="V179">
        <f>Source!Y68</f>
        <v>0</v>
      </c>
      <c r="W179">
        <f>IF(Source!BI68&lt;=1,H179, 0)</f>
        <v>19548.05</v>
      </c>
      <c r="X179">
        <f>IF(Source!BI68=2,H179, 0)</f>
        <v>0</v>
      </c>
      <c r="Y179">
        <f>IF(Source!BI68=3,H179, 0)</f>
        <v>0</v>
      </c>
      <c r="Z179">
        <f>IF(Source!BI68=4,H179, 0)</f>
        <v>0</v>
      </c>
    </row>
    <row r="180" spans="1:26" ht="15" x14ac:dyDescent="0.25">
      <c r="G180" s="47">
        <f>H171+H172+H174+H175+H176+SUM(H178:H179)</f>
        <v>20407.099999999999</v>
      </c>
      <c r="H180" s="47"/>
      <c r="J180" s="47">
        <f>K171+K172+K174+K175+K176+SUM(K178:K179)</f>
        <v>136949.45000000001</v>
      </c>
      <c r="K180" s="47"/>
      <c r="L180" s="34">
        <f>Source!U66</f>
        <v>39.607149999999997</v>
      </c>
      <c r="O180" s="21">
        <f>G180</f>
        <v>20407.099999999999</v>
      </c>
      <c r="P180" s="21">
        <f>J180</f>
        <v>136949.45000000001</v>
      </c>
      <c r="Q180" s="21">
        <f>L180</f>
        <v>39.607149999999997</v>
      </c>
      <c r="W180">
        <f>IF(Source!BI66&lt;=1,H171+H172+H174+H175+H176, 0)</f>
        <v>859.05000000000007</v>
      </c>
      <c r="X180">
        <f>IF(Source!BI66=2,H171+H172+H174+H175+H176, 0)</f>
        <v>0</v>
      </c>
      <c r="Y180">
        <f>IF(Source!BI66=3,H171+H172+H174+H175+H176, 0)</f>
        <v>0</v>
      </c>
      <c r="Z180">
        <f>IF(Source!BI66=4,H171+H172+H174+H175+H176, 0)</f>
        <v>0</v>
      </c>
    </row>
    <row r="181" spans="1:26" ht="42.75" x14ac:dyDescent="0.2">
      <c r="A181" s="40" t="str">
        <f>Source!E69</f>
        <v>15</v>
      </c>
      <c r="B181" s="41" t="str">
        <f>Source!F69</f>
        <v>15-01-047-15</v>
      </c>
      <c r="C181" s="41" t="str">
        <f>Source!G69</f>
        <v>Устройство подвесных потолков типа &lt;Армстронг&gt; по каркасу из оцинкованного профиля</v>
      </c>
      <c r="D181" s="24" t="str">
        <f>Source!H69</f>
        <v>100 м2</v>
      </c>
      <c r="E181" s="10">
        <f>Source!I69</f>
        <v>2.0979999999999999</v>
      </c>
      <c r="F181" s="25">
        <f>Source!AL69+Source!AM69+Source!AO69</f>
        <v>6623.23</v>
      </c>
      <c r="G181" s="26"/>
      <c r="H181" s="25"/>
      <c r="I181" s="26" t="str">
        <f>Source!BO69</f>
        <v/>
      </c>
      <c r="J181" s="26"/>
      <c r="K181" s="25"/>
      <c r="L181" s="27"/>
      <c r="S181">
        <f>ROUND((Source!FX69/100)*((ROUND(Source!AF69*Source!I69, 2)+ROUND(Source!AE69*Source!I69, 2))), 2)</f>
        <v>2353.02</v>
      </c>
      <c r="T181">
        <f>Source!X69</f>
        <v>15872.32</v>
      </c>
      <c r="U181">
        <f>ROUND((Source!FY69/100)*((ROUND(Source!AF69*Source!I69, 2)+ROUND(Source!AE69*Source!I69, 2))), 2)</f>
        <v>1164.06</v>
      </c>
      <c r="V181">
        <f>Source!Y69</f>
        <v>7852.62</v>
      </c>
    </row>
    <row r="182" spans="1:26" x14ac:dyDescent="0.2">
      <c r="C182" s="20" t="str">
        <f>"Объем: "&amp;Source!I69&amp;"=209,8/"&amp;"100"</f>
        <v>Объем: 2,098=209,8/100</v>
      </c>
    </row>
    <row r="183" spans="1:26" ht="14.25" x14ac:dyDescent="0.2">
      <c r="A183" s="40"/>
      <c r="B183" s="41"/>
      <c r="C183" s="41" t="s">
        <v>989</v>
      </c>
      <c r="D183" s="24"/>
      <c r="E183" s="10"/>
      <c r="F183" s="25">
        <f>Source!AO69</f>
        <v>963.12</v>
      </c>
      <c r="G183" s="26" t="str">
        <f>Source!DG69</f>
        <v>)*1,15</v>
      </c>
      <c r="H183" s="25">
        <f>ROUND(Source!AF69*Source!I69, 2)</f>
        <v>2323.7199999999998</v>
      </c>
      <c r="I183" s="26"/>
      <c r="J183" s="26">
        <f>IF(Source!BA69&lt;&gt; 0, Source!BA69, 1)</f>
        <v>6.71</v>
      </c>
      <c r="K183" s="25">
        <f>Source!S69</f>
        <v>15592.19</v>
      </c>
      <c r="L183" s="27"/>
      <c r="R183">
        <f>H183</f>
        <v>2323.7199999999998</v>
      </c>
    </row>
    <row r="184" spans="1:26" ht="14.25" x14ac:dyDescent="0.2">
      <c r="A184" s="40"/>
      <c r="B184" s="41"/>
      <c r="C184" s="41" t="s">
        <v>300</v>
      </c>
      <c r="D184" s="24"/>
      <c r="E184" s="10"/>
      <c r="F184" s="25">
        <f>Source!AM69</f>
        <v>324.70999999999998</v>
      </c>
      <c r="G184" s="26" t="str">
        <f>Source!DE69</f>
        <v>)*1,25</v>
      </c>
      <c r="H184" s="25">
        <f>ROUND(Source!AD69*Source!I69, 2)</f>
        <v>851.56</v>
      </c>
      <c r="I184" s="26"/>
      <c r="J184" s="26">
        <f>IF(Source!BB69&lt;&gt; 0, Source!BB69, 1)</f>
        <v>6.71</v>
      </c>
      <c r="K184" s="25">
        <f>Source!Q69</f>
        <v>5713.95</v>
      </c>
      <c r="L184" s="27"/>
    </row>
    <row r="185" spans="1:26" ht="14.25" x14ac:dyDescent="0.2">
      <c r="A185" s="40"/>
      <c r="B185" s="41"/>
      <c r="C185" s="41" t="s">
        <v>995</v>
      </c>
      <c r="D185" s="24"/>
      <c r="E185" s="10"/>
      <c r="F185" s="25">
        <f>Source!AN69</f>
        <v>63.39</v>
      </c>
      <c r="G185" s="26" t="str">
        <f>Source!DF69</f>
        <v>)*1,25</v>
      </c>
      <c r="H185" s="35">
        <f>ROUND(Source!AE69*Source!I69, 2)</f>
        <v>166.25</v>
      </c>
      <c r="I185" s="26"/>
      <c r="J185" s="26">
        <f>IF(Source!BS69&lt;&gt; 0, Source!BS69, 1)</f>
        <v>6.71</v>
      </c>
      <c r="K185" s="35">
        <f>Source!R69</f>
        <v>1115.51</v>
      </c>
      <c r="L185" s="27"/>
      <c r="R185">
        <f>H185</f>
        <v>166.25</v>
      </c>
    </row>
    <row r="186" spans="1:26" ht="14.25" x14ac:dyDescent="0.2">
      <c r="A186" s="40"/>
      <c r="B186" s="41"/>
      <c r="C186" s="41" t="s">
        <v>996</v>
      </c>
      <c r="D186" s="24"/>
      <c r="E186" s="10"/>
      <c r="F186" s="25">
        <f>Source!AL69</f>
        <v>5335.4</v>
      </c>
      <c r="G186" s="26" t="str">
        <f>Source!DD69</f>
        <v/>
      </c>
      <c r="H186" s="25">
        <f>ROUND(Source!AC69*Source!I69, 2)</f>
        <v>11193.67</v>
      </c>
      <c r="I186" s="26"/>
      <c r="J186" s="26">
        <f>IF(Source!BC69&lt;&gt; 0, Source!BC69, 1)</f>
        <v>6.71</v>
      </c>
      <c r="K186" s="25">
        <f>Source!P69</f>
        <v>75109.52</v>
      </c>
      <c r="L186" s="27"/>
    </row>
    <row r="187" spans="1:26" ht="14.25" x14ac:dyDescent="0.2">
      <c r="A187" s="40"/>
      <c r="B187" s="41"/>
      <c r="C187" s="41" t="s">
        <v>990</v>
      </c>
      <c r="D187" s="24" t="s">
        <v>991</v>
      </c>
      <c r="E187" s="10">
        <f>Source!BZ69</f>
        <v>105</v>
      </c>
      <c r="F187" s="50" t="str">
        <f>CONCATENATE(" )", Source!DL69, Source!FT69, "=", Source!FX69)</f>
        <v xml:space="preserve"> )*0,9=94,5</v>
      </c>
      <c r="G187" s="51"/>
      <c r="H187" s="25">
        <f>SUM(S181:S189)</f>
        <v>2353.02</v>
      </c>
      <c r="I187" s="28"/>
      <c r="J187" s="23">
        <f>Source!AT69</f>
        <v>95</v>
      </c>
      <c r="K187" s="25">
        <f>SUM(T181:T189)</f>
        <v>15872.32</v>
      </c>
      <c r="L187" s="27"/>
    </row>
    <row r="188" spans="1:26" ht="14.25" x14ac:dyDescent="0.2">
      <c r="A188" s="40"/>
      <c r="B188" s="41"/>
      <c r="C188" s="41" t="s">
        <v>992</v>
      </c>
      <c r="D188" s="24" t="s">
        <v>991</v>
      </c>
      <c r="E188" s="10">
        <f>Source!CA69</f>
        <v>55</v>
      </c>
      <c r="F188" s="50" t="str">
        <f>CONCATENATE(" )", Source!DM69, Source!FU69, "=", Source!FY69)</f>
        <v xml:space="preserve"> )*0,85=46,75</v>
      </c>
      <c r="G188" s="51"/>
      <c r="H188" s="25">
        <f>SUM(U181:U189)</f>
        <v>1164.06</v>
      </c>
      <c r="I188" s="28"/>
      <c r="J188" s="23">
        <f>Source!AU69</f>
        <v>47</v>
      </c>
      <c r="K188" s="25">
        <f>SUM(V181:V189)</f>
        <v>7852.62</v>
      </c>
      <c r="L188" s="27"/>
    </row>
    <row r="189" spans="1:26" ht="14.25" x14ac:dyDescent="0.2">
      <c r="A189" s="42"/>
      <c r="B189" s="43"/>
      <c r="C189" s="43" t="s">
        <v>993</v>
      </c>
      <c r="D189" s="29" t="s">
        <v>994</v>
      </c>
      <c r="E189" s="30">
        <f>Source!AQ69</f>
        <v>102.46</v>
      </c>
      <c r="F189" s="31"/>
      <c r="G189" s="32" t="str">
        <f>Source!DI69</f>
        <v>)*1,15</v>
      </c>
      <c r="H189" s="31"/>
      <c r="I189" s="32"/>
      <c r="J189" s="32"/>
      <c r="K189" s="31"/>
      <c r="L189" s="33">
        <f>Source!U69</f>
        <v>247.20524199999994</v>
      </c>
    </row>
    <row r="190" spans="1:26" ht="15" x14ac:dyDescent="0.25">
      <c r="G190" s="47">
        <f>H183+H184+H186+H187+H188</f>
        <v>17886.030000000002</v>
      </c>
      <c r="H190" s="47"/>
      <c r="J190" s="47">
        <f>K183+K184+K186+K187+K188</f>
        <v>120140.6</v>
      </c>
      <c r="K190" s="47"/>
      <c r="L190" s="34">
        <f>Source!U69</f>
        <v>247.20524199999994</v>
      </c>
      <c r="O190" s="21">
        <f>G190</f>
        <v>17886.030000000002</v>
      </c>
      <c r="P190" s="21">
        <f>J190</f>
        <v>120140.6</v>
      </c>
      <c r="Q190" s="21">
        <f>L190</f>
        <v>247.20524199999994</v>
      </c>
      <c r="W190">
        <f>IF(Source!BI69&lt;=1,H183+H184+H186+H187+H188, 0)</f>
        <v>17886.030000000002</v>
      </c>
      <c r="X190">
        <f>IF(Source!BI69=2,H183+H184+H186+H187+H188, 0)</f>
        <v>0</v>
      </c>
      <c r="Y190">
        <f>IF(Source!BI69=3,H183+H184+H186+H187+H188, 0)</f>
        <v>0</v>
      </c>
      <c r="Z190">
        <f>IF(Source!BI69=4,H183+H184+H186+H187+H188, 0)</f>
        <v>0</v>
      </c>
    </row>
    <row r="191" spans="1:26" ht="42.75" x14ac:dyDescent="0.2">
      <c r="A191" s="40" t="str">
        <f>Source!E70</f>
        <v>16</v>
      </c>
      <c r="B191" s="41" t="str">
        <f>Source!F70</f>
        <v>61-1-4</v>
      </c>
      <c r="C191" s="41" t="str">
        <f>Source!G70</f>
        <v>Сплошное выравнивание штукатурки стен полимерцементным раствором при толщине намета до 10 мм</v>
      </c>
      <c r="D191" s="24" t="str">
        <f>Source!H70</f>
        <v>100 м2</v>
      </c>
      <c r="E191" s="10">
        <f>Source!I70</f>
        <v>2.2210000000000001</v>
      </c>
      <c r="F191" s="25">
        <f>Source!AL70+Source!AM70+Source!AO70</f>
        <v>1270.4099999999999</v>
      </c>
      <c r="G191" s="26"/>
      <c r="H191" s="25"/>
      <c r="I191" s="26" t="str">
        <f>Source!BO70</f>
        <v/>
      </c>
      <c r="J191" s="26"/>
      <c r="K191" s="25"/>
      <c r="L191" s="27"/>
      <c r="S191">
        <f>ROUND((Source!FX70/100)*((ROUND(Source!AF70*Source!I70, 2)+ROUND(Source!AE70*Source!I70, 2))), 2)</f>
        <v>865.94</v>
      </c>
      <c r="T191">
        <f>Source!X70</f>
        <v>5810.47</v>
      </c>
      <c r="U191">
        <f>ROUND((Source!FY70/100)*((ROUND(Source!AF70*Source!I70, 2)+ROUND(Source!AE70*Source!I70, 2))), 2)</f>
        <v>548.07000000000005</v>
      </c>
      <c r="V191">
        <f>Source!Y70</f>
        <v>3677.52</v>
      </c>
    </row>
    <row r="192" spans="1:26" x14ac:dyDescent="0.2">
      <c r="C192" s="20" t="str">
        <f>"Объем: "&amp;Source!I70&amp;"=222,1/"&amp;"100"</f>
        <v>Объем: 2,221=222,1/100</v>
      </c>
    </row>
    <row r="193" spans="1:26" ht="14.25" x14ac:dyDescent="0.2">
      <c r="A193" s="40"/>
      <c r="B193" s="41"/>
      <c r="C193" s="41" t="s">
        <v>989</v>
      </c>
      <c r="D193" s="24"/>
      <c r="E193" s="10"/>
      <c r="F193" s="25">
        <f>Source!AO70</f>
        <v>422.35</v>
      </c>
      <c r="G193" s="26" t="str">
        <f>Source!DG70</f>
        <v>)*1,15</v>
      </c>
      <c r="H193" s="25">
        <f>ROUND(Source!AF70*Source!I70, 2)</f>
        <v>1078.74</v>
      </c>
      <c r="I193" s="26"/>
      <c r="J193" s="26">
        <f>IF(Source!BA70&lt;&gt; 0, Source!BA70, 1)</f>
        <v>6.71</v>
      </c>
      <c r="K193" s="25">
        <f>Source!S70</f>
        <v>7238.34</v>
      </c>
      <c r="L193" s="27"/>
      <c r="R193">
        <f>H193</f>
        <v>1078.74</v>
      </c>
    </row>
    <row r="194" spans="1:26" ht="14.25" x14ac:dyDescent="0.2">
      <c r="A194" s="40"/>
      <c r="B194" s="41"/>
      <c r="C194" s="41" t="s">
        <v>300</v>
      </c>
      <c r="D194" s="24"/>
      <c r="E194" s="10"/>
      <c r="F194" s="25">
        <f>Source!AM70</f>
        <v>18.13</v>
      </c>
      <c r="G194" s="26" t="str">
        <f>Source!DE70</f>
        <v/>
      </c>
      <c r="H194" s="25">
        <f>ROUND(Source!AD70*Source!I70, 2)</f>
        <v>40.270000000000003</v>
      </c>
      <c r="I194" s="26"/>
      <c r="J194" s="26">
        <f>IF(Source!BB70&lt;&gt; 0, Source!BB70, 1)</f>
        <v>6.71</v>
      </c>
      <c r="K194" s="25">
        <f>Source!Q70</f>
        <v>270.19</v>
      </c>
      <c r="L194" s="27"/>
    </row>
    <row r="195" spans="1:26" ht="14.25" x14ac:dyDescent="0.2">
      <c r="A195" s="40"/>
      <c r="B195" s="41"/>
      <c r="C195" s="41" t="s">
        <v>995</v>
      </c>
      <c r="D195" s="24"/>
      <c r="E195" s="10"/>
      <c r="F195" s="25">
        <f>Source!AN70</f>
        <v>7.83</v>
      </c>
      <c r="G195" s="26" t="str">
        <f>Source!DF70</f>
        <v/>
      </c>
      <c r="H195" s="35">
        <f>ROUND(Source!AE70*Source!I70, 2)</f>
        <v>17.39</v>
      </c>
      <c r="I195" s="26"/>
      <c r="J195" s="26">
        <f>IF(Source!BS70&lt;&gt; 0, Source!BS70, 1)</f>
        <v>6.71</v>
      </c>
      <c r="K195" s="35">
        <f>Source!R70</f>
        <v>116.69</v>
      </c>
      <c r="L195" s="27"/>
      <c r="R195">
        <f>H195</f>
        <v>17.39</v>
      </c>
    </row>
    <row r="196" spans="1:26" ht="14.25" x14ac:dyDescent="0.2">
      <c r="A196" s="40"/>
      <c r="B196" s="41"/>
      <c r="C196" s="41" t="s">
        <v>996</v>
      </c>
      <c r="D196" s="24"/>
      <c r="E196" s="10"/>
      <c r="F196" s="25">
        <f>Source!AL70</f>
        <v>829.93</v>
      </c>
      <c r="G196" s="26" t="str">
        <f>Source!DD70</f>
        <v/>
      </c>
      <c r="H196" s="25">
        <f>ROUND(Source!AC70*Source!I70, 2)</f>
        <v>1843.27</v>
      </c>
      <c r="I196" s="26"/>
      <c r="J196" s="26">
        <f>IF(Source!BC70&lt;&gt; 0, Source!BC70, 1)</f>
        <v>6.71</v>
      </c>
      <c r="K196" s="25">
        <f>Source!P70</f>
        <v>12368.37</v>
      </c>
      <c r="L196" s="27"/>
    </row>
    <row r="197" spans="1:26" ht="14.25" x14ac:dyDescent="0.2">
      <c r="A197" s="40"/>
      <c r="B197" s="41"/>
      <c r="C197" s="41" t="s">
        <v>990</v>
      </c>
      <c r="D197" s="24" t="s">
        <v>991</v>
      </c>
      <c r="E197" s="10">
        <f>Source!BZ70</f>
        <v>79</v>
      </c>
      <c r="F197" s="44"/>
      <c r="G197" s="26"/>
      <c r="H197" s="25">
        <f>SUM(S191:S200)</f>
        <v>865.94</v>
      </c>
      <c r="I197" s="28"/>
      <c r="J197" s="23">
        <f>Source!AT70</f>
        <v>79</v>
      </c>
      <c r="K197" s="25">
        <f>SUM(T191:T200)</f>
        <v>5810.47</v>
      </c>
      <c r="L197" s="27"/>
    </row>
    <row r="198" spans="1:26" ht="14.25" x14ac:dyDescent="0.2">
      <c r="A198" s="40"/>
      <c r="B198" s="41"/>
      <c r="C198" s="41" t="s">
        <v>992</v>
      </c>
      <c r="D198" s="24" t="s">
        <v>991</v>
      </c>
      <c r="E198" s="10">
        <f>Source!CA70</f>
        <v>50</v>
      </c>
      <c r="F198" s="44"/>
      <c r="G198" s="26"/>
      <c r="H198" s="25">
        <f>SUM(U191:U200)</f>
        <v>548.07000000000005</v>
      </c>
      <c r="I198" s="28"/>
      <c r="J198" s="23">
        <f>Source!AU70</f>
        <v>50</v>
      </c>
      <c r="K198" s="25">
        <f>SUM(V191:V200)</f>
        <v>3677.52</v>
      </c>
      <c r="L198" s="27"/>
    </row>
    <row r="199" spans="1:26" ht="14.25" x14ac:dyDescent="0.2">
      <c r="A199" s="40"/>
      <c r="B199" s="41"/>
      <c r="C199" s="41" t="s">
        <v>993</v>
      </c>
      <c r="D199" s="24" t="s">
        <v>994</v>
      </c>
      <c r="E199" s="10">
        <f>Source!AQ70</f>
        <v>50.4</v>
      </c>
      <c r="F199" s="25"/>
      <c r="G199" s="26" t="str">
        <f>Source!DI70</f>
        <v>)*1,15</v>
      </c>
      <c r="H199" s="25"/>
      <c r="I199" s="26"/>
      <c r="J199" s="26"/>
      <c r="K199" s="25"/>
      <c r="L199" s="36">
        <f>Source!U70</f>
        <v>128.72915999999998</v>
      </c>
    </row>
    <row r="200" spans="1:26" ht="28.5" x14ac:dyDescent="0.2">
      <c r="A200" s="42" t="str">
        <f>Source!E71</f>
        <v>16,1</v>
      </c>
      <c r="B200" s="43" t="str">
        <f>Source!F71</f>
        <v>04.3.02.05-0002</v>
      </c>
      <c r="C200" s="43" t="str">
        <f>Source!G71</f>
        <v>Смесь штукатурная «Ротбанд», КНАУФ</v>
      </c>
      <c r="D200" s="29" t="str">
        <f>Source!H71</f>
        <v>кг</v>
      </c>
      <c r="E200" s="30">
        <f>Source!I71</f>
        <v>2520.835</v>
      </c>
      <c r="F200" s="31">
        <f>Source!AL71+Source!AM71+Source!AO71</f>
        <v>2.0699999999999998</v>
      </c>
      <c r="G200" s="37" t="s">
        <v>6</v>
      </c>
      <c r="H200" s="31">
        <f>ROUND(Source!AC71*Source!I71, 2)+ROUND(Source!AD71*Source!I71, 2)+ROUND(Source!AF71*Source!I71, 2)</f>
        <v>5218.13</v>
      </c>
      <c r="I200" s="32"/>
      <c r="J200" s="32">
        <f>IF(Source!BC71&lt;&gt; 0, Source!BC71, 1)</f>
        <v>6.71</v>
      </c>
      <c r="K200" s="31">
        <f>Source!O71</f>
        <v>35013.64</v>
      </c>
      <c r="L200" s="38"/>
      <c r="S200">
        <f>ROUND((Source!FX71/100)*((ROUND(Source!AF71*Source!I71, 2)+ROUND(Source!AE71*Source!I71, 2))), 2)</f>
        <v>0</v>
      </c>
      <c r="T200">
        <f>Source!X71</f>
        <v>0</v>
      </c>
      <c r="U200">
        <f>ROUND((Source!FY71/100)*((ROUND(Source!AF71*Source!I71, 2)+ROUND(Source!AE71*Source!I71, 2))), 2)</f>
        <v>0</v>
      </c>
      <c r="V200">
        <f>Source!Y71</f>
        <v>0</v>
      </c>
      <c r="W200">
        <f>IF(Source!BI71&lt;=1,H200, 0)</f>
        <v>5218.13</v>
      </c>
      <c r="X200">
        <f>IF(Source!BI71=2,H200, 0)</f>
        <v>0</v>
      </c>
      <c r="Y200">
        <f>IF(Source!BI71=3,H200, 0)</f>
        <v>0</v>
      </c>
      <c r="Z200">
        <f>IF(Source!BI71=4,H200, 0)</f>
        <v>0</v>
      </c>
    </row>
    <row r="201" spans="1:26" ht="15" x14ac:dyDescent="0.25">
      <c r="G201" s="47">
        <f>H193+H194+H196+H197+H198+SUM(H200:H200)</f>
        <v>9594.42</v>
      </c>
      <c r="H201" s="47"/>
      <c r="J201" s="47">
        <f>K193+K194+K196+K197+K198+SUM(K200:K200)</f>
        <v>64378.53</v>
      </c>
      <c r="K201" s="47"/>
      <c r="L201" s="34">
        <f>Source!U70</f>
        <v>128.72915999999998</v>
      </c>
      <c r="O201" s="21">
        <f>G201</f>
        <v>9594.42</v>
      </c>
      <c r="P201" s="21">
        <f>J201</f>
        <v>64378.53</v>
      </c>
      <c r="Q201" s="21">
        <f>L201</f>
        <v>128.72915999999998</v>
      </c>
      <c r="W201">
        <f>IF(Source!BI70&lt;=1,H193+H194+H196+H197+H198, 0)</f>
        <v>4376.29</v>
      </c>
      <c r="X201">
        <f>IF(Source!BI70=2,H193+H194+H196+H197+H198, 0)</f>
        <v>0</v>
      </c>
      <c r="Y201">
        <f>IF(Source!BI70=3,H193+H194+H196+H197+H198, 0)</f>
        <v>0</v>
      </c>
      <c r="Z201">
        <f>IF(Source!BI70=4,H193+H194+H196+H197+H198, 0)</f>
        <v>0</v>
      </c>
    </row>
    <row r="202" spans="1:26" ht="57" x14ac:dyDescent="0.2">
      <c r="A202" s="40" t="str">
        <f>Source!E72</f>
        <v>17</v>
      </c>
      <c r="B202" s="41" t="str">
        <f>Source!F72</f>
        <v>15-04-005-03</v>
      </c>
      <c r="C202" s="41" t="str">
        <f>Source!G72</f>
        <v>Окраска поливинилацетатными водоэмульсионными составами улучшенная по штукатурке стен дверных откосов</v>
      </c>
      <c r="D202" s="24" t="str">
        <f>Source!H72</f>
        <v>100 м2</v>
      </c>
      <c r="E202" s="10">
        <f>Source!I72</f>
        <v>3.3319999999999999</v>
      </c>
      <c r="F202" s="25">
        <f>Source!AL72+Source!AM72+Source!AO72</f>
        <v>675.6</v>
      </c>
      <c r="G202" s="26"/>
      <c r="H202" s="25"/>
      <c r="I202" s="26" t="str">
        <f>Source!BO72</f>
        <v/>
      </c>
      <c r="J202" s="26"/>
      <c r="K202" s="25"/>
      <c r="L202" s="27"/>
      <c r="S202">
        <f>ROUND((Source!FX72/100)*((ROUND(Source!AF72*Source!I72, 2)+ROUND(Source!AE72*Source!I72, 2))), 2)</f>
        <v>1401.31</v>
      </c>
      <c r="T202">
        <f>Source!X72</f>
        <v>9452.58</v>
      </c>
      <c r="U202">
        <f>ROUND((Source!FY72/100)*((ROUND(Source!AF72*Source!I72, 2)+ROUND(Source!AE72*Source!I72, 2))), 2)</f>
        <v>693.24</v>
      </c>
      <c r="V202">
        <f>Source!Y72</f>
        <v>4676.54</v>
      </c>
    </row>
    <row r="203" spans="1:26" x14ac:dyDescent="0.2">
      <c r="C203" s="20" t="str">
        <f>"Объем: "&amp;Source!I72&amp;"=333,2/"&amp;"100"</f>
        <v>Объем: 3,332=333,2/100</v>
      </c>
    </row>
    <row r="204" spans="1:26" ht="14.25" x14ac:dyDescent="0.2">
      <c r="A204" s="40"/>
      <c r="B204" s="41"/>
      <c r="C204" s="41" t="s">
        <v>989</v>
      </c>
      <c r="D204" s="24"/>
      <c r="E204" s="10"/>
      <c r="F204" s="25">
        <f>Source!AO72</f>
        <v>384.81</v>
      </c>
      <c r="G204" s="26" t="str">
        <f>Source!DG72</f>
        <v>)*1,15</v>
      </c>
      <c r="H204" s="25">
        <f>ROUND(Source!AF72*Source!I72, 2)</f>
        <v>1474.51</v>
      </c>
      <c r="I204" s="26"/>
      <c r="J204" s="26">
        <f>IF(Source!BA72&lt;&gt; 0, Source!BA72, 1)</f>
        <v>6.71</v>
      </c>
      <c r="K204" s="25">
        <f>Source!S72</f>
        <v>9893.9599999999991</v>
      </c>
      <c r="L204" s="27"/>
      <c r="R204">
        <f>H204</f>
        <v>1474.51</v>
      </c>
    </row>
    <row r="205" spans="1:26" ht="14.25" x14ac:dyDescent="0.2">
      <c r="A205" s="40"/>
      <c r="B205" s="41"/>
      <c r="C205" s="41" t="s">
        <v>300</v>
      </c>
      <c r="D205" s="24"/>
      <c r="E205" s="10"/>
      <c r="F205" s="25">
        <f>Source!AM72</f>
        <v>10.49</v>
      </c>
      <c r="G205" s="26" t="str">
        <f>Source!DE72</f>
        <v>)*1,25</v>
      </c>
      <c r="H205" s="25">
        <f>ROUND(Source!AD72*Source!I72, 2)</f>
        <v>43.68</v>
      </c>
      <c r="I205" s="26"/>
      <c r="J205" s="26">
        <f>IF(Source!BB72&lt;&gt; 0, Source!BB72, 1)</f>
        <v>6.71</v>
      </c>
      <c r="K205" s="25">
        <f>Source!Q72</f>
        <v>293.11</v>
      </c>
      <c r="L205" s="27"/>
    </row>
    <row r="206" spans="1:26" ht="14.25" x14ac:dyDescent="0.2">
      <c r="A206" s="40"/>
      <c r="B206" s="41"/>
      <c r="C206" s="41" t="s">
        <v>995</v>
      </c>
      <c r="D206" s="24"/>
      <c r="E206" s="10"/>
      <c r="F206" s="25">
        <f>Source!AN72</f>
        <v>2.0099999999999998</v>
      </c>
      <c r="G206" s="26" t="str">
        <f>Source!DF72</f>
        <v>)*1,25</v>
      </c>
      <c r="H206" s="35">
        <f>ROUND(Source!AE72*Source!I72, 2)</f>
        <v>8.36</v>
      </c>
      <c r="I206" s="26"/>
      <c r="J206" s="26">
        <f>IF(Source!BS72&lt;&gt; 0, Source!BS72, 1)</f>
        <v>6.71</v>
      </c>
      <c r="K206" s="35">
        <f>Source!R72</f>
        <v>56.12</v>
      </c>
      <c r="L206" s="27"/>
      <c r="R206">
        <f>H206</f>
        <v>8.36</v>
      </c>
    </row>
    <row r="207" spans="1:26" ht="14.25" x14ac:dyDescent="0.2">
      <c r="A207" s="40"/>
      <c r="B207" s="41"/>
      <c r="C207" s="41" t="s">
        <v>996</v>
      </c>
      <c r="D207" s="24"/>
      <c r="E207" s="10"/>
      <c r="F207" s="25">
        <f>Source!AL72</f>
        <v>280.3</v>
      </c>
      <c r="G207" s="26" t="str">
        <f>Source!DD72</f>
        <v/>
      </c>
      <c r="H207" s="25">
        <f>ROUND(Source!AC72*Source!I72, 2)</f>
        <v>933.96</v>
      </c>
      <c r="I207" s="26"/>
      <c r="J207" s="26">
        <f>IF(Source!BC72&lt;&gt; 0, Source!BC72, 1)</f>
        <v>6.71</v>
      </c>
      <c r="K207" s="25">
        <f>Source!P72</f>
        <v>6266.87</v>
      </c>
      <c r="L207" s="27"/>
    </row>
    <row r="208" spans="1:26" ht="14.25" x14ac:dyDescent="0.2">
      <c r="A208" s="40"/>
      <c r="B208" s="41"/>
      <c r="C208" s="41" t="s">
        <v>990</v>
      </c>
      <c r="D208" s="24" t="s">
        <v>991</v>
      </c>
      <c r="E208" s="10">
        <f>Source!BZ72</f>
        <v>105</v>
      </c>
      <c r="F208" s="50" t="str">
        <f>CONCATENATE(" )", Source!DL72, Source!FT72, "=", Source!FX72)</f>
        <v xml:space="preserve"> )*0,9=94,5</v>
      </c>
      <c r="G208" s="51"/>
      <c r="H208" s="25">
        <f>SUM(S202:S212)</f>
        <v>1401.31</v>
      </c>
      <c r="I208" s="28"/>
      <c r="J208" s="23">
        <f>Source!AT72</f>
        <v>95</v>
      </c>
      <c r="K208" s="25">
        <f>SUM(T202:T212)</f>
        <v>9452.58</v>
      </c>
      <c r="L208" s="27"/>
    </row>
    <row r="209" spans="1:26" ht="14.25" x14ac:dyDescent="0.2">
      <c r="A209" s="40"/>
      <c r="B209" s="41"/>
      <c r="C209" s="41" t="s">
        <v>992</v>
      </c>
      <c r="D209" s="24" t="s">
        <v>991</v>
      </c>
      <c r="E209" s="10">
        <f>Source!CA72</f>
        <v>55</v>
      </c>
      <c r="F209" s="50" t="str">
        <f>CONCATENATE(" )", Source!DM72, Source!FU72, "=", Source!FY72)</f>
        <v xml:space="preserve"> )*0,85=46,75</v>
      </c>
      <c r="G209" s="51"/>
      <c r="H209" s="25">
        <f>SUM(U202:U212)</f>
        <v>693.24</v>
      </c>
      <c r="I209" s="28"/>
      <c r="J209" s="23">
        <f>Source!AU72</f>
        <v>47</v>
      </c>
      <c r="K209" s="25">
        <f>SUM(V202:V212)</f>
        <v>4676.54</v>
      </c>
      <c r="L209" s="27"/>
    </row>
    <row r="210" spans="1:26" ht="14.25" x14ac:dyDescent="0.2">
      <c r="A210" s="40"/>
      <c r="B210" s="41"/>
      <c r="C210" s="41" t="s">
        <v>993</v>
      </c>
      <c r="D210" s="24" t="s">
        <v>994</v>
      </c>
      <c r="E210" s="10">
        <f>Source!AQ72</f>
        <v>42.9</v>
      </c>
      <c r="F210" s="25"/>
      <c r="G210" s="26" t="str">
        <f>Source!DI72</f>
        <v>)*1,15</v>
      </c>
      <c r="H210" s="25"/>
      <c r="I210" s="26"/>
      <c r="J210" s="26"/>
      <c r="K210" s="25"/>
      <c r="L210" s="36">
        <f>Source!U72</f>
        <v>164.38421999999997</v>
      </c>
    </row>
    <row r="211" spans="1:26" ht="14.25" x14ac:dyDescent="0.2">
      <c r="A211" s="40" t="str">
        <f>Source!E73</f>
        <v>17,1</v>
      </c>
      <c r="B211" s="41" t="str">
        <f>Source!F73</f>
        <v>14.3.02.01</v>
      </c>
      <c r="C211" s="41" t="str">
        <f>Source!G73</f>
        <v>Краска водоэмульсионная</v>
      </c>
      <c r="D211" s="24" t="str">
        <f>Source!H73</f>
        <v>т</v>
      </c>
      <c r="E211" s="10">
        <f>Source!I73</f>
        <v>0.20991599999999999</v>
      </c>
      <c r="F211" s="25">
        <f>Source!AL73+Source!AM73+Source!AO73</f>
        <v>0</v>
      </c>
      <c r="G211" s="39" t="s">
        <v>6</v>
      </c>
      <c r="H211" s="25">
        <f>ROUND(Source!AC73*Source!I73, 2)+ROUND(Source!AD73*Source!I73, 2)+ROUND(Source!AF73*Source!I73, 2)</f>
        <v>0</v>
      </c>
      <c r="I211" s="26"/>
      <c r="J211" s="26">
        <f>IF(Source!BC73&lt;&gt; 0, Source!BC73, 1)</f>
        <v>6.71</v>
      </c>
      <c r="K211" s="25">
        <f>Source!O73</f>
        <v>0</v>
      </c>
      <c r="L211" s="27"/>
      <c r="S211">
        <f>ROUND((Source!FX73/100)*((ROUND(Source!AF73*Source!I73, 2)+ROUND(Source!AE73*Source!I73, 2))), 2)</f>
        <v>0</v>
      </c>
      <c r="T211">
        <f>Source!X73</f>
        <v>0</v>
      </c>
      <c r="U211">
        <f>ROUND((Source!FY73/100)*((ROUND(Source!AF73*Source!I73, 2)+ROUND(Source!AE73*Source!I73, 2))), 2)</f>
        <v>0</v>
      </c>
      <c r="V211">
        <f>Source!Y73</f>
        <v>0</v>
      </c>
      <c r="W211">
        <f>IF(Source!BI73&lt;=1,H211, 0)</f>
        <v>0</v>
      </c>
      <c r="X211">
        <f>IF(Source!BI73=2,H211, 0)</f>
        <v>0</v>
      </c>
      <c r="Y211">
        <f>IF(Source!BI73=3,H211, 0)</f>
        <v>0</v>
      </c>
      <c r="Z211">
        <f>IF(Source!BI73=4,H211, 0)</f>
        <v>0</v>
      </c>
    </row>
    <row r="212" spans="1:26" ht="28.5" x14ac:dyDescent="0.2">
      <c r="A212" s="42" t="str">
        <f>Source!E74</f>
        <v>17,2</v>
      </c>
      <c r="B212" s="43" t="str">
        <f>Source!F74</f>
        <v>14.3.02.01-0223</v>
      </c>
      <c r="C212" s="43" t="str">
        <f>Source!G74</f>
        <v>Краска водоэмульсионная для внутренних работ ВАК-15</v>
      </c>
      <c r="D212" s="29" t="str">
        <f>Source!H74</f>
        <v>т</v>
      </c>
      <c r="E212" s="30">
        <f>Source!I74</f>
        <v>0.20991599999999999</v>
      </c>
      <c r="F212" s="31">
        <f>Source!AL74+Source!AM74+Source!AO74</f>
        <v>19973.669999999998</v>
      </c>
      <c r="G212" s="37" t="s">
        <v>6</v>
      </c>
      <c r="H212" s="31">
        <f>ROUND(Source!AC74*Source!I74, 2)+ROUND(Source!AD74*Source!I74, 2)+ROUND(Source!AF74*Source!I74, 2)</f>
        <v>4192.79</v>
      </c>
      <c r="I212" s="32"/>
      <c r="J212" s="32">
        <f>IF(Source!BC74&lt;&gt; 0, Source!BC74, 1)</f>
        <v>6.71</v>
      </c>
      <c r="K212" s="31">
        <f>Source!O74</f>
        <v>28133.64</v>
      </c>
      <c r="L212" s="38"/>
      <c r="S212">
        <f>ROUND((Source!FX74/100)*((ROUND(Source!AF74*Source!I74, 2)+ROUND(Source!AE74*Source!I74, 2))), 2)</f>
        <v>0</v>
      </c>
      <c r="T212">
        <f>Source!X74</f>
        <v>0</v>
      </c>
      <c r="U212">
        <f>ROUND((Source!FY74/100)*((ROUND(Source!AF74*Source!I74, 2)+ROUND(Source!AE74*Source!I74, 2))), 2)</f>
        <v>0</v>
      </c>
      <c r="V212">
        <f>Source!Y74</f>
        <v>0</v>
      </c>
      <c r="W212">
        <f>IF(Source!BI74&lt;=1,H212, 0)</f>
        <v>4192.79</v>
      </c>
      <c r="X212">
        <f>IF(Source!BI74=2,H212, 0)</f>
        <v>0</v>
      </c>
      <c r="Y212">
        <f>IF(Source!BI74=3,H212, 0)</f>
        <v>0</v>
      </c>
      <c r="Z212">
        <f>IF(Source!BI74=4,H212, 0)</f>
        <v>0</v>
      </c>
    </row>
    <row r="213" spans="1:26" ht="15" x14ac:dyDescent="0.25">
      <c r="G213" s="47">
        <f>H204+H205+H207+H208+H209+SUM(H211:H212)</f>
        <v>8739.49</v>
      </c>
      <c r="H213" s="47"/>
      <c r="J213" s="47">
        <f>K204+K205+K207+K208+K209+SUM(K211:K212)</f>
        <v>58716.7</v>
      </c>
      <c r="K213" s="47"/>
      <c r="L213" s="34">
        <f>Source!U72</f>
        <v>164.38421999999997</v>
      </c>
      <c r="O213" s="21">
        <f>G213</f>
        <v>8739.49</v>
      </c>
      <c r="P213" s="21">
        <f>J213</f>
        <v>58716.7</v>
      </c>
      <c r="Q213" s="21">
        <f>L213</f>
        <v>164.38421999999997</v>
      </c>
      <c r="W213">
        <f>IF(Source!BI72&lt;=1,H204+H205+H207+H208+H209, 0)</f>
        <v>4546.7</v>
      </c>
      <c r="X213">
        <f>IF(Source!BI72=2,H204+H205+H207+H208+H209, 0)</f>
        <v>0</v>
      </c>
      <c r="Y213">
        <f>IF(Source!BI72=3,H204+H205+H207+H208+H209, 0)</f>
        <v>0</v>
      </c>
      <c r="Z213">
        <f>IF(Source!BI72=4,H204+H205+H207+H208+H209, 0)</f>
        <v>0</v>
      </c>
    </row>
    <row r="214" spans="1:26" ht="28.5" x14ac:dyDescent="0.2">
      <c r="A214" s="40" t="str">
        <f>Source!E75</f>
        <v>18</v>
      </c>
      <c r="B214" s="41" t="str">
        <f>Source!F75</f>
        <v>15-04-006-03</v>
      </c>
      <c r="C214" s="41" t="str">
        <f>Source!G75</f>
        <v>Покрытие поверхностей грунтовкой глубокого проникновения за 1 раз стен</v>
      </c>
      <c r="D214" s="24" t="str">
        <f>Source!H75</f>
        <v>100 м2</v>
      </c>
      <c r="E214" s="10">
        <f>Source!I75</f>
        <v>3.3319999999999999</v>
      </c>
      <c r="F214" s="25">
        <f>Source!AL75+Source!AM75+Source!AO75</f>
        <v>64.16</v>
      </c>
      <c r="G214" s="26"/>
      <c r="H214" s="25"/>
      <c r="I214" s="26" t="str">
        <f>Source!BO75</f>
        <v/>
      </c>
      <c r="J214" s="26"/>
      <c r="K214" s="25"/>
      <c r="L214" s="27"/>
      <c r="S214">
        <f>ROUND((Source!FX75/100)*((ROUND(Source!AF75*Source!I75, 2)+ROUND(Source!AE75*Source!I75, 2))), 2)</f>
        <v>229.2</v>
      </c>
      <c r="T214">
        <f>Source!X75</f>
        <v>1546.05</v>
      </c>
      <c r="U214">
        <f>ROUND((Source!FY75/100)*((ROUND(Source!AF75*Source!I75, 2)+ROUND(Source!AE75*Source!I75, 2))), 2)</f>
        <v>113.39</v>
      </c>
      <c r="V214">
        <f>Source!Y75</f>
        <v>764.89</v>
      </c>
    </row>
    <row r="215" spans="1:26" x14ac:dyDescent="0.2">
      <c r="C215" s="20" t="str">
        <f>"Объем: "&amp;Source!I75&amp;"=333,2/"&amp;"100"</f>
        <v>Объем: 3,332=333,2/100</v>
      </c>
    </row>
    <row r="216" spans="1:26" ht="14.25" x14ac:dyDescent="0.2">
      <c r="A216" s="40"/>
      <c r="B216" s="41"/>
      <c r="C216" s="41" t="s">
        <v>989</v>
      </c>
      <c r="D216" s="24"/>
      <c r="E216" s="10"/>
      <c r="F216" s="25">
        <f>Source!AO75</f>
        <v>63.01</v>
      </c>
      <c r="G216" s="26" t="str">
        <f>Source!DG75</f>
        <v>)*1,15</v>
      </c>
      <c r="H216" s="25">
        <f>ROUND(Source!AF75*Source!I75, 2)</f>
        <v>241.44</v>
      </c>
      <c r="I216" s="26"/>
      <c r="J216" s="26">
        <f>IF(Source!BA75&lt;&gt; 0, Source!BA75, 1)</f>
        <v>6.71</v>
      </c>
      <c r="K216" s="25">
        <f>Source!S75</f>
        <v>1620.04</v>
      </c>
      <c r="L216" s="27"/>
      <c r="R216">
        <f>H216</f>
        <v>241.44</v>
      </c>
    </row>
    <row r="217" spans="1:26" ht="14.25" x14ac:dyDescent="0.2">
      <c r="A217" s="40"/>
      <c r="B217" s="41"/>
      <c r="C217" s="41" t="s">
        <v>300</v>
      </c>
      <c r="D217" s="24"/>
      <c r="E217" s="10"/>
      <c r="F217" s="25">
        <f>Source!AM75</f>
        <v>0.97</v>
      </c>
      <c r="G217" s="26" t="str">
        <f>Source!DE75</f>
        <v>)*1,25</v>
      </c>
      <c r="H217" s="25">
        <f>ROUND(Source!AD75*Source!I75, 2)</f>
        <v>4.07</v>
      </c>
      <c r="I217" s="26"/>
      <c r="J217" s="26">
        <f>IF(Source!BB75&lt;&gt; 0, Source!BB75, 1)</f>
        <v>6.71</v>
      </c>
      <c r="K217" s="25">
        <f>Source!Q75</f>
        <v>27.28</v>
      </c>
      <c r="L217" s="27"/>
    </row>
    <row r="218" spans="1:26" ht="14.25" x14ac:dyDescent="0.2">
      <c r="A218" s="40"/>
      <c r="B218" s="41"/>
      <c r="C218" s="41" t="s">
        <v>995</v>
      </c>
      <c r="D218" s="24"/>
      <c r="E218" s="10"/>
      <c r="F218" s="25">
        <f>Source!AN75</f>
        <v>0.26</v>
      </c>
      <c r="G218" s="26" t="str">
        <f>Source!DF75</f>
        <v>)*1,25</v>
      </c>
      <c r="H218" s="35">
        <f>ROUND(Source!AE75*Source!I75, 2)</f>
        <v>1.1000000000000001</v>
      </c>
      <c r="I218" s="26"/>
      <c r="J218" s="26">
        <f>IF(Source!BS75&lt;&gt; 0, Source!BS75, 1)</f>
        <v>6.71</v>
      </c>
      <c r="K218" s="35">
        <f>Source!R75</f>
        <v>7.38</v>
      </c>
      <c r="L218" s="27"/>
      <c r="R218">
        <f>H218</f>
        <v>1.1000000000000001</v>
      </c>
    </row>
    <row r="219" spans="1:26" ht="14.25" x14ac:dyDescent="0.2">
      <c r="A219" s="40"/>
      <c r="B219" s="41"/>
      <c r="C219" s="41" t="s">
        <v>996</v>
      </c>
      <c r="D219" s="24"/>
      <c r="E219" s="10"/>
      <c r="F219" s="25">
        <f>Source!AL75</f>
        <v>0.18</v>
      </c>
      <c r="G219" s="26" t="str">
        <f>Source!DD75</f>
        <v/>
      </c>
      <c r="H219" s="25">
        <f>ROUND(Source!AC75*Source!I75, 2)</f>
        <v>0.6</v>
      </c>
      <c r="I219" s="26"/>
      <c r="J219" s="26">
        <f>IF(Source!BC75&lt;&gt; 0, Source!BC75, 1)</f>
        <v>6.71</v>
      </c>
      <c r="K219" s="25">
        <f>Source!P75</f>
        <v>4.0199999999999996</v>
      </c>
      <c r="L219" s="27"/>
    </row>
    <row r="220" spans="1:26" ht="14.25" x14ac:dyDescent="0.2">
      <c r="A220" s="40"/>
      <c r="B220" s="41"/>
      <c r="C220" s="41" t="s">
        <v>990</v>
      </c>
      <c r="D220" s="24" t="s">
        <v>991</v>
      </c>
      <c r="E220" s="10">
        <f>Source!BZ75</f>
        <v>105</v>
      </c>
      <c r="F220" s="50" t="str">
        <f>CONCATENATE(" )", Source!DL75, Source!FT75, "=", Source!FX75)</f>
        <v xml:space="preserve"> )*0,9=94,5</v>
      </c>
      <c r="G220" s="51"/>
      <c r="H220" s="25">
        <f>SUM(S214:S224)</f>
        <v>229.2</v>
      </c>
      <c r="I220" s="28"/>
      <c r="J220" s="23">
        <f>Source!AT75</f>
        <v>95</v>
      </c>
      <c r="K220" s="25">
        <f>SUM(T214:T224)</f>
        <v>1546.05</v>
      </c>
      <c r="L220" s="27"/>
    </row>
    <row r="221" spans="1:26" ht="14.25" x14ac:dyDescent="0.2">
      <c r="A221" s="40"/>
      <c r="B221" s="41"/>
      <c r="C221" s="41" t="s">
        <v>992</v>
      </c>
      <c r="D221" s="24" t="s">
        <v>991</v>
      </c>
      <c r="E221" s="10">
        <f>Source!CA75</f>
        <v>55</v>
      </c>
      <c r="F221" s="50" t="str">
        <f>CONCATENATE(" )", Source!DM75, Source!FU75, "=", Source!FY75)</f>
        <v xml:space="preserve"> )*0,85=46,75</v>
      </c>
      <c r="G221" s="51"/>
      <c r="H221" s="25">
        <f>SUM(U214:U224)</f>
        <v>113.39</v>
      </c>
      <c r="I221" s="28"/>
      <c r="J221" s="23">
        <f>Source!AU75</f>
        <v>47</v>
      </c>
      <c r="K221" s="25">
        <f>SUM(V214:V224)</f>
        <v>764.89</v>
      </c>
      <c r="L221" s="27"/>
    </row>
    <row r="222" spans="1:26" ht="14.25" x14ac:dyDescent="0.2">
      <c r="A222" s="40"/>
      <c r="B222" s="41"/>
      <c r="C222" s="41" t="s">
        <v>993</v>
      </c>
      <c r="D222" s="24" t="s">
        <v>994</v>
      </c>
      <c r="E222" s="10">
        <f>Source!AQ75</f>
        <v>6.55</v>
      </c>
      <c r="F222" s="25"/>
      <c r="G222" s="26" t="str">
        <f>Source!DI75</f>
        <v>)*1,15</v>
      </c>
      <c r="H222" s="25"/>
      <c r="I222" s="26"/>
      <c r="J222" s="26"/>
      <c r="K222" s="25"/>
      <c r="L222" s="36">
        <f>Source!U75</f>
        <v>25.098289999999995</v>
      </c>
    </row>
    <row r="223" spans="1:26" ht="14.25" x14ac:dyDescent="0.2">
      <c r="A223" s="40" t="str">
        <f>Source!E76</f>
        <v>18,1</v>
      </c>
      <c r="B223" s="41" t="str">
        <f>Source!F76</f>
        <v>14.4.01.21</v>
      </c>
      <c r="C223" s="41" t="str">
        <f>Source!G76</f>
        <v>Грунтовка</v>
      </c>
      <c r="D223" s="24" t="str">
        <f>Source!H76</f>
        <v>т</v>
      </c>
      <c r="E223" s="10">
        <f>Source!I76</f>
        <v>4.3316E-2</v>
      </c>
      <c r="F223" s="25">
        <f>Source!AL76+Source!AM76+Source!AO76</f>
        <v>0</v>
      </c>
      <c r="G223" s="39" t="s">
        <v>6</v>
      </c>
      <c r="H223" s="25">
        <f>ROUND(Source!AC76*Source!I76, 2)+ROUND(Source!AD76*Source!I76, 2)+ROUND(Source!AF76*Source!I76, 2)</f>
        <v>0</v>
      </c>
      <c r="I223" s="26"/>
      <c r="J223" s="26">
        <f>IF(Source!BC76&lt;&gt; 0, Source!BC76, 1)</f>
        <v>6.71</v>
      </c>
      <c r="K223" s="25">
        <f>Source!O76</f>
        <v>0</v>
      </c>
      <c r="L223" s="27"/>
      <c r="S223">
        <f>ROUND((Source!FX76/100)*((ROUND(Source!AF76*Source!I76, 2)+ROUND(Source!AE76*Source!I76, 2))), 2)</f>
        <v>0</v>
      </c>
      <c r="T223">
        <f>Source!X76</f>
        <v>0</v>
      </c>
      <c r="U223">
        <f>ROUND((Source!FY76/100)*((ROUND(Source!AF76*Source!I76, 2)+ROUND(Source!AE76*Source!I76, 2))), 2)</f>
        <v>0</v>
      </c>
      <c r="V223">
        <f>Source!Y76</f>
        <v>0</v>
      </c>
      <c r="W223">
        <f>IF(Source!BI76&lt;=1,H223, 0)</f>
        <v>0</v>
      </c>
      <c r="X223">
        <f>IF(Source!BI76=2,H223, 0)</f>
        <v>0</v>
      </c>
      <c r="Y223">
        <f>IF(Source!BI76=3,H223, 0)</f>
        <v>0</v>
      </c>
      <c r="Z223">
        <f>IF(Source!BI76=4,H223, 0)</f>
        <v>0</v>
      </c>
    </row>
    <row r="224" spans="1:26" ht="28.5" x14ac:dyDescent="0.2">
      <c r="A224" s="42" t="str">
        <f>Source!E77</f>
        <v>18,2</v>
      </c>
      <c r="B224" s="43" t="str">
        <f>Source!F77</f>
        <v>14.3.01.01-0001</v>
      </c>
      <c r="C224" s="43" t="str">
        <f>Source!G77</f>
        <v>Грунтовка: «Бетоконтакт», КНАУФ</v>
      </c>
      <c r="D224" s="29" t="str">
        <f>Source!H77</f>
        <v>кг</v>
      </c>
      <c r="E224" s="30">
        <f>Source!I77</f>
        <v>43.316000000000003</v>
      </c>
      <c r="F224" s="31">
        <f>Source!AL77+Source!AM77+Source!AO77</f>
        <v>15.09</v>
      </c>
      <c r="G224" s="37" t="s">
        <v>6</v>
      </c>
      <c r="H224" s="31">
        <f>ROUND(Source!AC77*Source!I77, 2)+ROUND(Source!AD77*Source!I77, 2)+ROUND(Source!AF77*Source!I77, 2)</f>
        <v>653.64</v>
      </c>
      <c r="I224" s="32"/>
      <c r="J224" s="32">
        <f>IF(Source!BC77&lt;&gt; 0, Source!BC77, 1)</f>
        <v>6.71</v>
      </c>
      <c r="K224" s="31">
        <f>Source!O77</f>
        <v>4385.91</v>
      </c>
      <c r="L224" s="38"/>
      <c r="S224">
        <f>ROUND((Source!FX77/100)*((ROUND(Source!AF77*Source!I77, 2)+ROUND(Source!AE77*Source!I77, 2))), 2)</f>
        <v>0</v>
      </c>
      <c r="T224">
        <f>Source!X77</f>
        <v>0</v>
      </c>
      <c r="U224">
        <f>ROUND((Source!FY77/100)*((ROUND(Source!AF77*Source!I77, 2)+ROUND(Source!AE77*Source!I77, 2))), 2)</f>
        <v>0</v>
      </c>
      <c r="V224">
        <f>Source!Y77</f>
        <v>0</v>
      </c>
      <c r="W224">
        <f>IF(Source!BI77&lt;=1,H224, 0)</f>
        <v>653.64</v>
      </c>
      <c r="X224">
        <f>IF(Source!BI77=2,H224, 0)</f>
        <v>0</v>
      </c>
      <c r="Y224">
        <f>IF(Source!BI77=3,H224, 0)</f>
        <v>0</v>
      </c>
      <c r="Z224">
        <f>IF(Source!BI77=4,H224, 0)</f>
        <v>0</v>
      </c>
    </row>
    <row r="225" spans="1:26" ht="15" x14ac:dyDescent="0.25">
      <c r="G225" s="47">
        <f>H216+H217+H219+H220+H221+SUM(H223:H224)</f>
        <v>1242.3399999999999</v>
      </c>
      <c r="H225" s="47"/>
      <c r="J225" s="47">
        <f>K216+K217+K219+K220+K221+SUM(K223:K224)</f>
        <v>8348.1899999999987</v>
      </c>
      <c r="K225" s="47"/>
      <c r="L225" s="34">
        <f>Source!U75</f>
        <v>25.098289999999995</v>
      </c>
      <c r="O225" s="21">
        <f>G225</f>
        <v>1242.3399999999999</v>
      </c>
      <c r="P225" s="21">
        <f>J225</f>
        <v>8348.1899999999987</v>
      </c>
      <c r="Q225" s="21">
        <f>L225</f>
        <v>25.098289999999995</v>
      </c>
      <c r="W225">
        <f>IF(Source!BI75&lt;=1,H216+H217+H219+H220+H221, 0)</f>
        <v>588.69999999999993</v>
      </c>
      <c r="X225">
        <f>IF(Source!BI75=2,H216+H217+H219+H220+H221, 0)</f>
        <v>0</v>
      </c>
      <c r="Y225">
        <f>IF(Source!BI75=3,H216+H217+H219+H220+H221, 0)</f>
        <v>0</v>
      </c>
      <c r="Z225">
        <f>IF(Source!BI75=4,H216+H217+H219+H220+H221, 0)</f>
        <v>0</v>
      </c>
    </row>
    <row r="226" spans="1:26" ht="57" x14ac:dyDescent="0.2">
      <c r="A226" s="40" t="str">
        <f>Source!E78</f>
        <v>19</v>
      </c>
      <c r="B226" s="41" t="str">
        <f>Source!F78</f>
        <v>15-01-049-04 прим</v>
      </c>
      <c r="C226" s="41" t="str">
        <f>Source!G78</f>
        <v>Демонтаж школьной доски: Облицовка стен по готовому каркасу щитами-картинами из древесностружечных плит фанерованных шпоном</v>
      </c>
      <c r="D226" s="24" t="str">
        <f>Source!H78</f>
        <v>100 м2</v>
      </c>
      <c r="E226" s="10">
        <f>Source!I78</f>
        <v>0.22500000000000001</v>
      </c>
      <c r="F226" s="25">
        <f>Source!AL78+Source!AM78+Source!AO78</f>
        <v>686.77</v>
      </c>
      <c r="G226" s="26"/>
      <c r="H226" s="25"/>
      <c r="I226" s="26" t="str">
        <f>Source!BO78</f>
        <v/>
      </c>
      <c r="J226" s="26"/>
      <c r="K226" s="25"/>
      <c r="L226" s="27"/>
      <c r="S226">
        <f>ROUND((Source!FX78/100)*((ROUND(Source!AF78*Source!I78, 2)+ROUND(Source!AE78*Source!I78, 2))), 2)</f>
        <v>84.73</v>
      </c>
      <c r="T226">
        <f>Source!X78</f>
        <v>571.53</v>
      </c>
      <c r="U226">
        <f>ROUND((Source!FY78/100)*((ROUND(Source!AF78*Source!I78, 2)+ROUND(Source!AE78*Source!I78, 2))), 2)</f>
        <v>41.92</v>
      </c>
      <c r="V226">
        <f>Source!Y78</f>
        <v>282.76</v>
      </c>
    </row>
    <row r="227" spans="1:26" x14ac:dyDescent="0.2">
      <c r="C227" s="20" t="str">
        <f>"Объем: "&amp;Source!I78&amp;"=22,5/"&amp;"100"</f>
        <v>Объем: 0,225=22,5/100</v>
      </c>
    </row>
    <row r="228" spans="1:26" ht="14.25" x14ac:dyDescent="0.2">
      <c r="A228" s="40"/>
      <c r="B228" s="41"/>
      <c r="C228" s="41" t="s">
        <v>989</v>
      </c>
      <c r="D228" s="24"/>
      <c r="E228" s="10"/>
      <c r="F228" s="25">
        <f>Source!AO78</f>
        <v>481.21</v>
      </c>
      <c r="G228" s="26" t="str">
        <f>Source!DG78</f>
        <v>)*0,8</v>
      </c>
      <c r="H228" s="25">
        <f>ROUND(Source!AF78*Source!I78, 2)</f>
        <v>86.62</v>
      </c>
      <c r="I228" s="26"/>
      <c r="J228" s="26">
        <f>IF(Source!BA78&lt;&gt; 0, Source!BA78, 1)</f>
        <v>6.71</v>
      </c>
      <c r="K228" s="25">
        <f>Source!S78</f>
        <v>581.21</v>
      </c>
      <c r="L228" s="27"/>
      <c r="R228">
        <f>H228</f>
        <v>86.62</v>
      </c>
    </row>
    <row r="229" spans="1:26" ht="14.25" x14ac:dyDescent="0.2">
      <c r="A229" s="40"/>
      <c r="B229" s="41"/>
      <c r="C229" s="41" t="s">
        <v>300</v>
      </c>
      <c r="D229" s="24"/>
      <c r="E229" s="10"/>
      <c r="F229" s="25">
        <f>Source!AM78</f>
        <v>85.73</v>
      </c>
      <c r="G229" s="26" t="str">
        <f>Source!DE78</f>
        <v>)*0,8</v>
      </c>
      <c r="H229" s="25">
        <f>ROUND(Source!AD78*Source!I78, 2)</f>
        <v>15.43</v>
      </c>
      <c r="I229" s="26"/>
      <c r="J229" s="26">
        <f>IF(Source!BB78&lt;&gt; 0, Source!BB78, 1)</f>
        <v>6.71</v>
      </c>
      <c r="K229" s="25">
        <f>Source!Q78</f>
        <v>103.54</v>
      </c>
      <c r="L229" s="27"/>
    </row>
    <row r="230" spans="1:26" ht="14.25" x14ac:dyDescent="0.2">
      <c r="A230" s="40"/>
      <c r="B230" s="41"/>
      <c r="C230" s="41" t="s">
        <v>995</v>
      </c>
      <c r="D230" s="24"/>
      <c r="E230" s="10"/>
      <c r="F230" s="25">
        <f>Source!AN78</f>
        <v>16.89</v>
      </c>
      <c r="G230" s="26" t="str">
        <f>Source!DF78</f>
        <v>)*0,8</v>
      </c>
      <c r="H230" s="35">
        <f>ROUND(Source!AE78*Source!I78, 2)</f>
        <v>3.04</v>
      </c>
      <c r="I230" s="26"/>
      <c r="J230" s="26">
        <f>IF(Source!BS78&lt;&gt; 0, Source!BS78, 1)</f>
        <v>6.71</v>
      </c>
      <c r="K230" s="35">
        <f>Source!R78</f>
        <v>20.399999999999999</v>
      </c>
      <c r="L230" s="27"/>
      <c r="R230">
        <f>H230</f>
        <v>3.04</v>
      </c>
    </row>
    <row r="231" spans="1:26" ht="14.25" x14ac:dyDescent="0.2">
      <c r="A231" s="40"/>
      <c r="B231" s="41"/>
      <c r="C231" s="41" t="s">
        <v>990</v>
      </c>
      <c r="D231" s="24" t="s">
        <v>991</v>
      </c>
      <c r="E231" s="10">
        <f>Source!BZ78</f>
        <v>105</v>
      </c>
      <c r="F231" s="50" t="str">
        <f>CONCATENATE(" )", Source!DL78, Source!FT78, "=", Source!FX78)</f>
        <v xml:space="preserve"> )*0,9=94,5</v>
      </c>
      <c r="G231" s="51"/>
      <c r="H231" s="25">
        <f>SUM(S226:S233)</f>
        <v>84.73</v>
      </c>
      <c r="I231" s="28"/>
      <c r="J231" s="23">
        <f>Source!AT78</f>
        <v>95</v>
      </c>
      <c r="K231" s="25">
        <f>SUM(T226:T233)</f>
        <v>571.53</v>
      </c>
      <c r="L231" s="27"/>
    </row>
    <row r="232" spans="1:26" ht="14.25" x14ac:dyDescent="0.2">
      <c r="A232" s="40"/>
      <c r="B232" s="41"/>
      <c r="C232" s="41" t="s">
        <v>992</v>
      </c>
      <c r="D232" s="24" t="s">
        <v>991</v>
      </c>
      <c r="E232" s="10">
        <f>Source!CA78</f>
        <v>55</v>
      </c>
      <c r="F232" s="50" t="str">
        <f>CONCATENATE(" )", Source!DM78, Source!FU78, "=", Source!FY78)</f>
        <v xml:space="preserve"> )*0,85=46,75</v>
      </c>
      <c r="G232" s="51"/>
      <c r="H232" s="25">
        <f>SUM(U226:U233)</f>
        <v>41.92</v>
      </c>
      <c r="I232" s="28"/>
      <c r="J232" s="23">
        <f>Source!AU78</f>
        <v>47</v>
      </c>
      <c r="K232" s="25">
        <f>SUM(V226:V233)</f>
        <v>282.76</v>
      </c>
      <c r="L232" s="27"/>
    </row>
    <row r="233" spans="1:26" ht="14.25" x14ac:dyDescent="0.2">
      <c r="A233" s="42"/>
      <c r="B233" s="43"/>
      <c r="C233" s="43" t="s">
        <v>993</v>
      </c>
      <c r="D233" s="29" t="s">
        <v>994</v>
      </c>
      <c r="E233" s="30">
        <f>Source!AQ78</f>
        <v>50.6</v>
      </c>
      <c r="F233" s="31"/>
      <c r="G233" s="32" t="str">
        <f>Source!DI78</f>
        <v>)*0,8</v>
      </c>
      <c r="H233" s="31"/>
      <c r="I233" s="32"/>
      <c r="J233" s="32"/>
      <c r="K233" s="31"/>
      <c r="L233" s="33">
        <f>Source!U78</f>
        <v>9.1080000000000005</v>
      </c>
    </row>
    <row r="234" spans="1:26" ht="15" x14ac:dyDescent="0.25">
      <c r="G234" s="47">
        <f>H228+H229+H231+H232</f>
        <v>228.70000000000005</v>
      </c>
      <c r="H234" s="47"/>
      <c r="J234" s="47">
        <f>K228+K229+K231+K232</f>
        <v>1539.04</v>
      </c>
      <c r="K234" s="47"/>
      <c r="L234" s="34">
        <f>Source!U78</f>
        <v>9.1080000000000005</v>
      </c>
      <c r="O234" s="21">
        <f>G234</f>
        <v>228.70000000000005</v>
      </c>
      <c r="P234" s="21">
        <f>J234</f>
        <v>1539.04</v>
      </c>
      <c r="Q234" s="21">
        <f>L234</f>
        <v>9.1080000000000005</v>
      </c>
      <c r="W234">
        <f>IF(Source!BI78&lt;=1,H228+H229+H231+H232, 0)</f>
        <v>228.70000000000005</v>
      </c>
      <c r="X234">
        <f>IF(Source!BI78=2,H228+H229+H231+H232, 0)</f>
        <v>0</v>
      </c>
      <c r="Y234">
        <f>IF(Source!BI78=3,H228+H229+H231+H232, 0)</f>
        <v>0</v>
      </c>
      <c r="Z234">
        <f>IF(Source!BI78=4,H228+H229+H231+H232, 0)</f>
        <v>0</v>
      </c>
    </row>
    <row r="235" spans="1:26" ht="85.5" x14ac:dyDescent="0.2">
      <c r="A235" s="40" t="str">
        <f>Source!E79</f>
        <v>20</v>
      </c>
      <c r="B235" s="41" t="str">
        <f>Source!F79</f>
        <v>15-01-049-04 прим</v>
      </c>
      <c r="C235" s="41" t="str">
        <f>Source!G79</f>
        <v>Установка  школьной доски: Облицовка стен по готовому каркасу щитами-картинами из древесностружечных плит фанерованных шпоном (без стоимости материала)</v>
      </c>
      <c r="D235" s="24" t="str">
        <f>Source!H79</f>
        <v>100 м2</v>
      </c>
      <c r="E235" s="10">
        <f>Source!I79</f>
        <v>0.22500000000000001</v>
      </c>
      <c r="F235" s="25">
        <f>Source!AL79+Source!AM79+Source!AO79</f>
        <v>686.77</v>
      </c>
      <c r="G235" s="26"/>
      <c r="H235" s="25"/>
      <c r="I235" s="26" t="str">
        <f>Source!BO79</f>
        <v/>
      </c>
      <c r="J235" s="26"/>
      <c r="K235" s="25"/>
      <c r="L235" s="27"/>
      <c r="S235">
        <f>ROUND((Source!FX79/100)*((ROUND(Source!AF79*Source!I79, 2)+ROUND(Source!AE79*Source!I79, 2))), 2)</f>
        <v>84.73</v>
      </c>
      <c r="T235">
        <f>Source!X79</f>
        <v>571.53</v>
      </c>
      <c r="U235">
        <f>ROUND((Source!FY79/100)*((ROUND(Source!AF79*Source!I79, 2)+ROUND(Source!AE79*Source!I79, 2))), 2)</f>
        <v>41.92</v>
      </c>
      <c r="V235">
        <f>Source!Y79</f>
        <v>282.76</v>
      </c>
    </row>
    <row r="236" spans="1:26" x14ac:dyDescent="0.2">
      <c r="C236" s="20" t="str">
        <f>"Объем: "&amp;Source!I79&amp;"=22,5/"&amp;"100"</f>
        <v>Объем: 0,225=22,5/100</v>
      </c>
    </row>
    <row r="237" spans="1:26" ht="14.25" x14ac:dyDescent="0.2">
      <c r="A237" s="40"/>
      <c r="B237" s="41"/>
      <c r="C237" s="41" t="s">
        <v>989</v>
      </c>
      <c r="D237" s="24"/>
      <c r="E237" s="10"/>
      <c r="F237" s="25">
        <f>Source!AO79</f>
        <v>481.21</v>
      </c>
      <c r="G237" s="26" t="str">
        <f>Source!DG79</f>
        <v>)*0,8</v>
      </c>
      <c r="H237" s="25">
        <f>ROUND(Source!AF79*Source!I79, 2)</f>
        <v>86.62</v>
      </c>
      <c r="I237" s="26"/>
      <c r="J237" s="26">
        <f>IF(Source!BA79&lt;&gt; 0, Source!BA79, 1)</f>
        <v>6.71</v>
      </c>
      <c r="K237" s="25">
        <f>Source!S79</f>
        <v>581.21</v>
      </c>
      <c r="L237" s="27"/>
      <c r="R237">
        <f>H237</f>
        <v>86.62</v>
      </c>
    </row>
    <row r="238" spans="1:26" ht="14.25" x14ac:dyDescent="0.2">
      <c r="A238" s="40"/>
      <c r="B238" s="41"/>
      <c r="C238" s="41" t="s">
        <v>300</v>
      </c>
      <c r="D238" s="24"/>
      <c r="E238" s="10"/>
      <c r="F238" s="25">
        <f>Source!AM79</f>
        <v>85.73</v>
      </c>
      <c r="G238" s="26" t="str">
        <f>Source!DE79</f>
        <v>)*0,8</v>
      </c>
      <c r="H238" s="25">
        <f>ROUND(Source!AD79*Source!I79, 2)</f>
        <v>15.43</v>
      </c>
      <c r="I238" s="26"/>
      <c r="J238" s="26">
        <f>IF(Source!BB79&lt;&gt; 0, Source!BB79, 1)</f>
        <v>6.71</v>
      </c>
      <c r="K238" s="25">
        <f>Source!Q79</f>
        <v>103.54</v>
      </c>
      <c r="L238" s="27"/>
    </row>
    <row r="239" spans="1:26" ht="14.25" x14ac:dyDescent="0.2">
      <c r="A239" s="40"/>
      <c r="B239" s="41"/>
      <c r="C239" s="41" t="s">
        <v>995</v>
      </c>
      <c r="D239" s="24"/>
      <c r="E239" s="10"/>
      <c r="F239" s="25">
        <f>Source!AN79</f>
        <v>16.89</v>
      </c>
      <c r="G239" s="26" t="str">
        <f>Source!DF79</f>
        <v>)*0,8</v>
      </c>
      <c r="H239" s="35">
        <f>ROUND(Source!AE79*Source!I79, 2)</f>
        <v>3.04</v>
      </c>
      <c r="I239" s="26"/>
      <c r="J239" s="26">
        <f>IF(Source!BS79&lt;&gt; 0, Source!BS79, 1)</f>
        <v>6.71</v>
      </c>
      <c r="K239" s="35">
        <f>Source!R79</f>
        <v>20.399999999999999</v>
      </c>
      <c r="L239" s="27"/>
      <c r="R239">
        <f>H239</f>
        <v>3.04</v>
      </c>
    </row>
    <row r="240" spans="1:26" ht="14.25" x14ac:dyDescent="0.2">
      <c r="A240" s="40"/>
      <c r="B240" s="41"/>
      <c r="C240" s="41" t="s">
        <v>990</v>
      </c>
      <c r="D240" s="24" t="s">
        <v>991</v>
      </c>
      <c r="E240" s="10">
        <f>Source!BZ79</f>
        <v>105</v>
      </c>
      <c r="F240" s="50" t="str">
        <f>CONCATENATE(" )", Source!DL79, Source!FT79, "=", Source!FX79)</f>
        <v xml:space="preserve"> )*0,9=94,5</v>
      </c>
      <c r="G240" s="51"/>
      <c r="H240" s="25">
        <f>SUM(S235:S242)</f>
        <v>84.73</v>
      </c>
      <c r="I240" s="28"/>
      <c r="J240" s="23">
        <f>Source!AT79</f>
        <v>95</v>
      </c>
      <c r="K240" s="25">
        <f>SUM(T235:T242)</f>
        <v>571.53</v>
      </c>
      <c r="L240" s="27"/>
    </row>
    <row r="241" spans="1:26" ht="14.25" x14ac:dyDescent="0.2">
      <c r="A241" s="40"/>
      <c r="B241" s="41"/>
      <c r="C241" s="41" t="s">
        <v>992</v>
      </c>
      <c r="D241" s="24" t="s">
        <v>991</v>
      </c>
      <c r="E241" s="10">
        <f>Source!CA79</f>
        <v>55</v>
      </c>
      <c r="F241" s="50" t="str">
        <f>CONCATENATE(" )", Source!DM79, Source!FU79, "=", Source!FY79)</f>
        <v xml:space="preserve"> )*0,85=46,75</v>
      </c>
      <c r="G241" s="51"/>
      <c r="H241" s="25">
        <f>SUM(U235:U242)</f>
        <v>41.92</v>
      </c>
      <c r="I241" s="28"/>
      <c r="J241" s="23">
        <f>Source!AU79</f>
        <v>47</v>
      </c>
      <c r="K241" s="25">
        <f>SUM(V235:V242)</f>
        <v>282.76</v>
      </c>
      <c r="L241" s="27"/>
    </row>
    <row r="242" spans="1:26" ht="14.25" x14ac:dyDescent="0.2">
      <c r="A242" s="42"/>
      <c r="B242" s="43"/>
      <c r="C242" s="43" t="s">
        <v>993</v>
      </c>
      <c r="D242" s="29" t="s">
        <v>994</v>
      </c>
      <c r="E242" s="30">
        <f>Source!AQ79</f>
        <v>50.6</v>
      </c>
      <c r="F242" s="31"/>
      <c r="G242" s="32" t="str">
        <f>Source!DI79</f>
        <v>)*0,8</v>
      </c>
      <c r="H242" s="31"/>
      <c r="I242" s="32"/>
      <c r="J242" s="32"/>
      <c r="K242" s="31"/>
      <c r="L242" s="33">
        <f>Source!U79</f>
        <v>9.1080000000000005</v>
      </c>
    </row>
    <row r="243" spans="1:26" ht="15" x14ac:dyDescent="0.25">
      <c r="G243" s="47">
        <f>H237+H238+H240+H241</f>
        <v>228.70000000000005</v>
      </c>
      <c r="H243" s="47"/>
      <c r="J243" s="47">
        <f>K237+K238+K240+K241</f>
        <v>1539.04</v>
      </c>
      <c r="K243" s="47"/>
      <c r="L243" s="34">
        <f>Source!U79</f>
        <v>9.1080000000000005</v>
      </c>
      <c r="O243" s="21">
        <f>G243</f>
        <v>228.70000000000005</v>
      </c>
      <c r="P243" s="21">
        <f>J243</f>
        <v>1539.04</v>
      </c>
      <c r="Q243" s="21">
        <f>L243</f>
        <v>9.1080000000000005</v>
      </c>
      <c r="W243">
        <f>IF(Source!BI79&lt;=1,H237+H238+H240+H241, 0)</f>
        <v>228.70000000000005</v>
      </c>
      <c r="X243">
        <f>IF(Source!BI79=2,H237+H238+H240+H241, 0)</f>
        <v>0</v>
      </c>
      <c r="Y243">
        <f>IF(Source!BI79=3,H237+H238+H240+H241, 0)</f>
        <v>0</v>
      </c>
      <c r="Z243">
        <f>IF(Source!BI79=4,H237+H238+H240+H241, 0)</f>
        <v>0</v>
      </c>
    </row>
    <row r="244" spans="1:26" ht="42.75" x14ac:dyDescent="0.2">
      <c r="A244" s="40" t="str">
        <f>Source!E80</f>
        <v>21</v>
      </c>
      <c r="B244" s="41" t="str">
        <f>Source!F80</f>
        <v>17-01-002-04 прим.</v>
      </c>
      <c r="C244" s="41" t="str">
        <f>Source!G80</f>
        <v>Демонтаж :Установка гарнитуры туалетной: вешалок, подстаканников, поручней для ванн и т.д.</v>
      </c>
      <c r="D244" s="24" t="str">
        <f>Source!H80</f>
        <v>10 ШТ</v>
      </c>
      <c r="E244" s="10">
        <f>Source!I80</f>
        <v>0.5</v>
      </c>
      <c r="F244" s="25">
        <f>Source!AL80+Source!AM80+Source!AO80</f>
        <v>27.540000000000003</v>
      </c>
      <c r="G244" s="26"/>
      <c r="H244" s="25"/>
      <c r="I244" s="26" t="str">
        <f>Source!BO80</f>
        <v/>
      </c>
      <c r="J244" s="26"/>
      <c r="K244" s="25"/>
      <c r="L244" s="27"/>
      <c r="S244">
        <f>ROUND((Source!FX80/100)*((ROUND(Source!AF80*Source!I80, 2)+ROUND(Source!AE80*Source!I80, 2))), 2)</f>
        <v>6.21</v>
      </c>
      <c r="T244">
        <f>Source!X80</f>
        <v>41.6</v>
      </c>
      <c r="U244">
        <f>ROUND((Source!FY80/100)*((ROUND(Source!AF80*Source!I80, 2)+ROUND(Source!AE80*Source!I80, 2))), 2)</f>
        <v>3.8</v>
      </c>
      <c r="V244">
        <f>Source!Y80</f>
        <v>25.68</v>
      </c>
    </row>
    <row r="245" spans="1:26" x14ac:dyDescent="0.2">
      <c r="C245" s="20" t="str">
        <f>"Объем: "&amp;Source!I80&amp;"=5/"&amp;"10"</f>
        <v>Объем: 0,5=5/10</v>
      </c>
    </row>
    <row r="246" spans="1:26" ht="14.25" x14ac:dyDescent="0.2">
      <c r="A246" s="40"/>
      <c r="B246" s="41"/>
      <c r="C246" s="41" t="s">
        <v>989</v>
      </c>
      <c r="D246" s="24"/>
      <c r="E246" s="10"/>
      <c r="F246" s="25">
        <f>Source!AO80</f>
        <v>26.94</v>
      </c>
      <c r="G246" s="26" t="str">
        <f>Source!DG80</f>
        <v>)*0,4</v>
      </c>
      <c r="H246" s="25">
        <f>ROUND(Source!AF80*Source!I80, 2)</f>
        <v>5.39</v>
      </c>
      <c r="I246" s="26"/>
      <c r="J246" s="26">
        <f>IF(Source!BA80&lt;&gt; 0, Source!BA80, 1)</f>
        <v>6.71</v>
      </c>
      <c r="K246" s="25">
        <f>Source!S80</f>
        <v>36.17</v>
      </c>
      <c r="L246" s="27"/>
      <c r="R246">
        <f>H246</f>
        <v>5.39</v>
      </c>
    </row>
    <row r="247" spans="1:26" ht="14.25" x14ac:dyDescent="0.2">
      <c r="A247" s="40"/>
      <c r="B247" s="41"/>
      <c r="C247" s="41" t="s">
        <v>990</v>
      </c>
      <c r="D247" s="24" t="s">
        <v>991</v>
      </c>
      <c r="E247" s="10">
        <f>Source!BZ80</f>
        <v>128</v>
      </c>
      <c r="F247" s="50" t="str">
        <f>CONCATENATE(" )", Source!DL80, Source!FT80, "=", Source!FX80)</f>
        <v xml:space="preserve"> )*0,9=115,2</v>
      </c>
      <c r="G247" s="51"/>
      <c r="H247" s="25">
        <f>SUM(S244:S249)</f>
        <v>6.21</v>
      </c>
      <c r="I247" s="28"/>
      <c r="J247" s="23">
        <f>Source!AT80</f>
        <v>115</v>
      </c>
      <c r="K247" s="25">
        <f>SUM(T244:T249)</f>
        <v>41.6</v>
      </c>
      <c r="L247" s="27"/>
    </row>
    <row r="248" spans="1:26" ht="14.25" x14ac:dyDescent="0.2">
      <c r="A248" s="40"/>
      <c r="B248" s="41"/>
      <c r="C248" s="41" t="s">
        <v>992</v>
      </c>
      <c r="D248" s="24" t="s">
        <v>991</v>
      </c>
      <c r="E248" s="10">
        <f>Source!CA80</f>
        <v>83</v>
      </c>
      <c r="F248" s="50" t="str">
        <f>CONCATENATE(" )", Source!DM80, Source!FU80, "=", Source!FY80)</f>
        <v xml:space="preserve"> )*0,85=70,55</v>
      </c>
      <c r="G248" s="51"/>
      <c r="H248" s="25">
        <f>SUM(U244:U249)</f>
        <v>3.8</v>
      </c>
      <c r="I248" s="28"/>
      <c r="J248" s="23">
        <f>Source!AU80</f>
        <v>71</v>
      </c>
      <c r="K248" s="25">
        <f>SUM(V244:V249)</f>
        <v>25.68</v>
      </c>
      <c r="L248" s="27"/>
    </row>
    <row r="249" spans="1:26" ht="14.25" x14ac:dyDescent="0.2">
      <c r="A249" s="42"/>
      <c r="B249" s="43"/>
      <c r="C249" s="43" t="s">
        <v>993</v>
      </c>
      <c r="D249" s="29" t="s">
        <v>994</v>
      </c>
      <c r="E249" s="30">
        <f>Source!AQ80</f>
        <v>2.8</v>
      </c>
      <c r="F249" s="31"/>
      <c r="G249" s="32" t="str">
        <f>Source!DI80</f>
        <v>)*0,4</v>
      </c>
      <c r="H249" s="31"/>
      <c r="I249" s="32"/>
      <c r="J249" s="32"/>
      <c r="K249" s="31"/>
      <c r="L249" s="33">
        <f>Source!U80</f>
        <v>0.55999999999999994</v>
      </c>
    </row>
    <row r="250" spans="1:26" ht="15" x14ac:dyDescent="0.25">
      <c r="G250" s="47">
        <f>H246+H247+H248</f>
        <v>15.399999999999999</v>
      </c>
      <c r="H250" s="47"/>
      <c r="J250" s="47">
        <f>K246+K247+K248</f>
        <v>103.45000000000002</v>
      </c>
      <c r="K250" s="47"/>
      <c r="L250" s="34">
        <f>Source!U80</f>
        <v>0.55999999999999994</v>
      </c>
      <c r="O250" s="21">
        <f>G250</f>
        <v>15.399999999999999</v>
      </c>
      <c r="P250" s="21">
        <f>J250</f>
        <v>103.45000000000002</v>
      </c>
      <c r="Q250" s="21">
        <f>L250</f>
        <v>0.55999999999999994</v>
      </c>
      <c r="W250">
        <f>IF(Source!BI80&lt;=1,H246+H247+H248, 0)</f>
        <v>15.399999999999999</v>
      </c>
      <c r="X250">
        <f>IF(Source!BI80=2,H246+H247+H248, 0)</f>
        <v>0</v>
      </c>
      <c r="Y250">
        <f>IF(Source!BI80=3,H246+H247+H248, 0)</f>
        <v>0</v>
      </c>
      <c r="Z250">
        <f>IF(Source!BI80=4,H246+H247+H248, 0)</f>
        <v>0</v>
      </c>
    </row>
    <row r="251" spans="1:26" ht="42.75" x14ac:dyDescent="0.2">
      <c r="A251" s="40" t="str">
        <f>Source!E81</f>
        <v>22</v>
      </c>
      <c r="B251" s="41" t="str">
        <f>Source!F81</f>
        <v>17-01-002-04 прим.</v>
      </c>
      <c r="C251" s="41" t="str">
        <f>Source!G81</f>
        <v>Установка гарнитуры туалетной: вешалок, подстаканников, поручней для ванн и т.д.</v>
      </c>
      <c r="D251" s="24" t="str">
        <f>Source!H81</f>
        <v>10 ШТ</v>
      </c>
      <c r="E251" s="10">
        <f>Source!I81</f>
        <v>0.5</v>
      </c>
      <c r="F251" s="25">
        <f>Source!AL81+Source!AM81+Source!AO81</f>
        <v>27.540000000000003</v>
      </c>
      <c r="G251" s="26"/>
      <c r="H251" s="25"/>
      <c r="I251" s="26" t="str">
        <f>Source!BO81</f>
        <v/>
      </c>
      <c r="J251" s="26"/>
      <c r="K251" s="25"/>
      <c r="L251" s="27"/>
      <c r="S251">
        <f>ROUND((Source!FX81/100)*((ROUND(Source!AF81*Source!I81, 2)+ROUND(Source!AE81*Source!I81, 2))), 2)</f>
        <v>15.52</v>
      </c>
      <c r="T251">
        <f>Source!X81</f>
        <v>103.94</v>
      </c>
      <c r="U251">
        <f>ROUND((Source!FY81/100)*((ROUND(Source!AF81*Source!I81, 2)+ROUND(Source!AE81*Source!I81, 2))), 2)</f>
        <v>9.5</v>
      </c>
      <c r="V251">
        <f>Source!Y81</f>
        <v>64.17</v>
      </c>
    </row>
    <row r="252" spans="1:26" x14ac:dyDescent="0.2">
      <c r="C252" s="20" t="str">
        <f>"Объем: "&amp;Source!I81&amp;"=5/"&amp;"10"</f>
        <v>Объем: 0,5=5/10</v>
      </c>
    </row>
    <row r="253" spans="1:26" ht="14.25" x14ac:dyDescent="0.2">
      <c r="A253" s="40"/>
      <c r="B253" s="41"/>
      <c r="C253" s="41" t="s">
        <v>989</v>
      </c>
      <c r="D253" s="24"/>
      <c r="E253" s="10"/>
      <c r="F253" s="25">
        <f>Source!AO81</f>
        <v>26.94</v>
      </c>
      <c r="G253" s="26" t="str">
        <f>Source!DG81</f>
        <v/>
      </c>
      <c r="H253" s="25">
        <f>ROUND(Source!AF81*Source!I81, 2)</f>
        <v>13.47</v>
      </c>
      <c r="I253" s="26"/>
      <c r="J253" s="26">
        <f>IF(Source!BA81&lt;&gt; 0, Source!BA81, 1)</f>
        <v>6.71</v>
      </c>
      <c r="K253" s="25">
        <f>Source!S81</f>
        <v>90.38</v>
      </c>
      <c r="L253" s="27"/>
      <c r="R253">
        <f>H253</f>
        <v>13.47</v>
      </c>
    </row>
    <row r="254" spans="1:26" ht="14.25" x14ac:dyDescent="0.2">
      <c r="A254" s="40"/>
      <c r="B254" s="41"/>
      <c r="C254" s="41" t="s">
        <v>996</v>
      </c>
      <c r="D254" s="24"/>
      <c r="E254" s="10"/>
      <c r="F254" s="25">
        <f>Source!AL81</f>
        <v>0.6</v>
      </c>
      <c r="G254" s="26" t="str">
        <f>Source!DD81</f>
        <v/>
      </c>
      <c r="H254" s="25">
        <f>ROUND(Source!AC81*Source!I81, 2)</f>
        <v>0.3</v>
      </c>
      <c r="I254" s="26"/>
      <c r="J254" s="26">
        <f>IF(Source!BC81&lt;&gt; 0, Source!BC81, 1)</f>
        <v>6.71</v>
      </c>
      <c r="K254" s="25">
        <f>Source!P81</f>
        <v>2.0099999999999998</v>
      </c>
      <c r="L254" s="27"/>
    </row>
    <row r="255" spans="1:26" ht="14.25" x14ac:dyDescent="0.2">
      <c r="A255" s="40"/>
      <c r="B255" s="41"/>
      <c r="C255" s="41" t="s">
        <v>990</v>
      </c>
      <c r="D255" s="24" t="s">
        <v>991</v>
      </c>
      <c r="E255" s="10">
        <f>Source!BZ81</f>
        <v>128</v>
      </c>
      <c r="F255" s="50" t="str">
        <f>CONCATENATE(" )", Source!DL81, Source!FT81, "=", Source!FX81)</f>
        <v xml:space="preserve"> )*0,9=115,2</v>
      </c>
      <c r="G255" s="51"/>
      <c r="H255" s="25">
        <f>SUM(S251:S258)</f>
        <v>15.52</v>
      </c>
      <c r="I255" s="28"/>
      <c r="J255" s="23">
        <f>Source!AT81</f>
        <v>115</v>
      </c>
      <c r="K255" s="25">
        <f>SUM(T251:T258)</f>
        <v>103.94</v>
      </c>
      <c r="L255" s="27"/>
    </row>
    <row r="256" spans="1:26" ht="14.25" x14ac:dyDescent="0.2">
      <c r="A256" s="40"/>
      <c r="B256" s="41"/>
      <c r="C256" s="41" t="s">
        <v>992</v>
      </c>
      <c r="D256" s="24" t="s">
        <v>991</v>
      </c>
      <c r="E256" s="10">
        <f>Source!CA81</f>
        <v>83</v>
      </c>
      <c r="F256" s="50" t="str">
        <f>CONCATENATE(" )", Source!DM81, Source!FU81, "=", Source!FY81)</f>
        <v xml:space="preserve"> )*0,85=70,55</v>
      </c>
      <c r="G256" s="51"/>
      <c r="H256" s="25">
        <f>SUM(U251:U258)</f>
        <v>9.5</v>
      </c>
      <c r="I256" s="28"/>
      <c r="J256" s="23">
        <f>Source!AU81</f>
        <v>71</v>
      </c>
      <c r="K256" s="25">
        <f>SUM(V251:V258)</f>
        <v>64.17</v>
      </c>
      <c r="L256" s="27"/>
    </row>
    <row r="257" spans="1:26" ht="14.25" x14ac:dyDescent="0.2">
      <c r="A257" s="40"/>
      <c r="B257" s="41"/>
      <c r="C257" s="41" t="s">
        <v>993</v>
      </c>
      <c r="D257" s="24" t="s">
        <v>994</v>
      </c>
      <c r="E257" s="10">
        <f>Source!AQ81</f>
        <v>2.8</v>
      </c>
      <c r="F257" s="25"/>
      <c r="G257" s="26" t="str">
        <f>Source!DI81</f>
        <v/>
      </c>
      <c r="H257" s="25"/>
      <c r="I257" s="26"/>
      <c r="J257" s="26"/>
      <c r="K257" s="25"/>
      <c r="L257" s="36">
        <f>Source!U81</f>
        <v>1.4</v>
      </c>
    </row>
    <row r="258" spans="1:26" ht="42.75" x14ac:dyDescent="0.2">
      <c r="A258" s="42" t="str">
        <f>Source!E82</f>
        <v>22,1</v>
      </c>
      <c r="B258" s="43" t="str">
        <f>Source!F82</f>
        <v>18.2.06.03-0001</v>
      </c>
      <c r="C258" s="43" t="str">
        <f>Source!G82</f>
        <v>Вешалки-крючки однорожковые В-К стальные с гальванопокрытием  20 крючков прим.</v>
      </c>
      <c r="D258" s="29" t="str">
        <f>Source!H82</f>
        <v>шт.</v>
      </c>
      <c r="E258" s="30">
        <f>Source!I82</f>
        <v>5</v>
      </c>
      <c r="F258" s="31">
        <f>Source!AL82+Source!AM82+Source!AO82</f>
        <v>3.74</v>
      </c>
      <c r="G258" s="37" t="s">
        <v>6</v>
      </c>
      <c r="H258" s="31">
        <f>ROUND(Source!AC82*Source!I82, 2)+ROUND(Source!AD82*Source!I82, 2)+ROUND(Source!AF82*Source!I82, 2)</f>
        <v>18.7</v>
      </c>
      <c r="I258" s="32"/>
      <c r="J258" s="32">
        <f>IF(Source!BC82&lt;&gt; 0, Source!BC82, 1)</f>
        <v>6.71</v>
      </c>
      <c r="K258" s="31">
        <f>Source!O82</f>
        <v>125.48</v>
      </c>
      <c r="L258" s="38"/>
      <c r="S258">
        <f>ROUND((Source!FX82/100)*((ROUND(Source!AF82*Source!I82, 2)+ROUND(Source!AE82*Source!I82, 2))), 2)</f>
        <v>0</v>
      </c>
      <c r="T258">
        <f>Source!X82</f>
        <v>0</v>
      </c>
      <c r="U258">
        <f>ROUND((Source!FY82/100)*((ROUND(Source!AF82*Source!I82, 2)+ROUND(Source!AE82*Source!I82, 2))), 2)</f>
        <v>0</v>
      </c>
      <c r="V258">
        <f>Source!Y82</f>
        <v>0</v>
      </c>
      <c r="W258">
        <f>IF(Source!BI82&lt;=1,H258, 0)</f>
        <v>18.7</v>
      </c>
      <c r="X258">
        <f>IF(Source!BI82=2,H258, 0)</f>
        <v>0</v>
      </c>
      <c r="Y258">
        <f>IF(Source!BI82=3,H258, 0)</f>
        <v>0</v>
      </c>
      <c r="Z258">
        <f>IF(Source!BI82=4,H258, 0)</f>
        <v>0</v>
      </c>
    </row>
    <row r="259" spans="1:26" ht="15" x14ac:dyDescent="0.25">
      <c r="G259" s="47">
        <f>H253+H254+H255+H256+SUM(H258:H258)</f>
        <v>57.489999999999995</v>
      </c>
      <c r="H259" s="47"/>
      <c r="J259" s="47">
        <f>K253+K254+K255+K256+SUM(K258:K258)</f>
        <v>385.98</v>
      </c>
      <c r="K259" s="47"/>
      <c r="L259" s="34">
        <f>Source!U81</f>
        <v>1.4</v>
      </c>
      <c r="O259" s="21">
        <f>G259</f>
        <v>57.489999999999995</v>
      </c>
      <c r="P259" s="21">
        <f>J259</f>
        <v>385.98</v>
      </c>
      <c r="Q259" s="21">
        <f>L259</f>
        <v>1.4</v>
      </c>
      <c r="W259">
        <f>IF(Source!BI81&lt;=1,H253+H254+H255+H256, 0)</f>
        <v>38.79</v>
      </c>
      <c r="X259">
        <f>IF(Source!BI81=2,H253+H254+H255+H256, 0)</f>
        <v>0</v>
      </c>
      <c r="Y259">
        <f>IF(Source!BI81=3,H253+H254+H255+H256, 0)</f>
        <v>0</v>
      </c>
      <c r="Z259">
        <f>IF(Source!BI81=4,H253+H254+H255+H256, 0)</f>
        <v>0</v>
      </c>
    </row>
    <row r="260" spans="1:26" ht="14.25" x14ac:dyDescent="0.2">
      <c r="A260" s="40" t="str">
        <f>Source!E83</f>
        <v>23</v>
      </c>
      <c r="B260" s="41" t="str">
        <f>Source!F83</f>
        <v>56-4-1</v>
      </c>
      <c r="C260" s="41" t="str">
        <f>Source!G83</f>
        <v>Ремонт оконных блоков</v>
      </c>
      <c r="D260" s="24" t="str">
        <f>Source!H83</f>
        <v>100 ШТ</v>
      </c>
      <c r="E260" s="10">
        <f>Source!I83</f>
        <v>7.0000000000000007E-2</v>
      </c>
      <c r="F260" s="25">
        <f>Source!AL83+Source!AM83+Source!AO83</f>
        <v>6411.01</v>
      </c>
      <c r="G260" s="26"/>
      <c r="H260" s="25"/>
      <c r="I260" s="26" t="str">
        <f>Source!BO83</f>
        <v/>
      </c>
      <c r="J260" s="26"/>
      <c r="K260" s="25"/>
      <c r="L260" s="27"/>
      <c r="S260">
        <f>ROUND((Source!FX83/100)*((ROUND(Source!AF83*Source!I83, 2)+ROUND(Source!AE83*Source!I83, 2))), 2)</f>
        <v>263</v>
      </c>
      <c r="T260">
        <f>Source!X83</f>
        <v>1764.72</v>
      </c>
      <c r="U260">
        <f>ROUND((Source!FY83/100)*((ROUND(Source!AF83*Source!I83, 2)+ROUND(Source!AE83*Source!I83, 2))), 2)</f>
        <v>198.85</v>
      </c>
      <c r="V260">
        <f>Source!Y83</f>
        <v>1334.3</v>
      </c>
    </row>
    <row r="261" spans="1:26" x14ac:dyDescent="0.2">
      <c r="C261" s="20" t="str">
        <f>"Объем: "&amp;Source!I83&amp;"=7/"&amp;"100"</f>
        <v>Объем: 0,07=7/100</v>
      </c>
    </row>
    <row r="262" spans="1:26" ht="14.25" x14ac:dyDescent="0.2">
      <c r="A262" s="40"/>
      <c r="B262" s="41"/>
      <c r="C262" s="41" t="s">
        <v>989</v>
      </c>
      <c r="D262" s="24"/>
      <c r="E262" s="10"/>
      <c r="F262" s="25">
        <f>Source!AO83</f>
        <v>4580.3500000000004</v>
      </c>
      <c r="G262" s="26" t="str">
        <f>Source!DG83</f>
        <v/>
      </c>
      <c r="H262" s="25">
        <f>ROUND(Source!AF83*Source!I83, 2)</f>
        <v>320.62</v>
      </c>
      <c r="I262" s="26"/>
      <c r="J262" s="26">
        <f>IF(Source!BA83&lt;&gt; 0, Source!BA83, 1)</f>
        <v>6.71</v>
      </c>
      <c r="K262" s="25">
        <f>Source!S83</f>
        <v>2151.39</v>
      </c>
      <c r="L262" s="27"/>
      <c r="R262">
        <f>H262</f>
        <v>320.62</v>
      </c>
    </row>
    <row r="263" spans="1:26" ht="14.25" x14ac:dyDescent="0.2">
      <c r="A263" s="40"/>
      <c r="B263" s="41"/>
      <c r="C263" s="41" t="s">
        <v>300</v>
      </c>
      <c r="D263" s="24"/>
      <c r="E263" s="10"/>
      <c r="F263" s="25">
        <f>Source!AM83</f>
        <v>8.5399999999999991</v>
      </c>
      <c r="G263" s="26" t="str">
        <f>Source!DE83</f>
        <v/>
      </c>
      <c r="H263" s="25">
        <f>ROUND(Source!AD83*Source!I83, 2)</f>
        <v>0.6</v>
      </c>
      <c r="I263" s="26"/>
      <c r="J263" s="26">
        <f>IF(Source!BB83&lt;&gt; 0, Source!BB83, 1)</f>
        <v>6.71</v>
      </c>
      <c r="K263" s="25">
        <f>Source!Q83</f>
        <v>4.01</v>
      </c>
      <c r="L263" s="27"/>
    </row>
    <row r="264" spans="1:26" ht="14.25" x14ac:dyDescent="0.2">
      <c r="A264" s="40"/>
      <c r="B264" s="41"/>
      <c r="C264" s="41" t="s">
        <v>995</v>
      </c>
      <c r="D264" s="24"/>
      <c r="E264" s="10"/>
      <c r="F264" s="25">
        <f>Source!AN83</f>
        <v>1.51</v>
      </c>
      <c r="G264" s="26" t="str">
        <f>Source!DF83</f>
        <v/>
      </c>
      <c r="H264" s="35">
        <f>ROUND(Source!AE83*Source!I83, 2)</f>
        <v>0.11</v>
      </c>
      <c r="I264" s="26"/>
      <c r="J264" s="26">
        <f>IF(Source!BS83&lt;&gt; 0, Source!BS83, 1)</f>
        <v>6.71</v>
      </c>
      <c r="K264" s="35">
        <f>Source!R83</f>
        <v>0.71</v>
      </c>
      <c r="L264" s="27"/>
      <c r="R264">
        <f>H264</f>
        <v>0.11</v>
      </c>
    </row>
    <row r="265" spans="1:26" ht="14.25" x14ac:dyDescent="0.2">
      <c r="A265" s="40"/>
      <c r="B265" s="41"/>
      <c r="C265" s="41" t="s">
        <v>996</v>
      </c>
      <c r="D265" s="24"/>
      <c r="E265" s="10"/>
      <c r="F265" s="25">
        <f>Source!AL83</f>
        <v>1822.12</v>
      </c>
      <c r="G265" s="26" t="str">
        <f>Source!DD83</f>
        <v/>
      </c>
      <c r="H265" s="25">
        <f>ROUND(Source!AC83*Source!I83, 2)</f>
        <v>127.55</v>
      </c>
      <c r="I265" s="26"/>
      <c r="J265" s="26">
        <f>IF(Source!BC83&lt;&gt; 0, Source!BC83, 1)</f>
        <v>6.71</v>
      </c>
      <c r="K265" s="25">
        <f>Source!P83</f>
        <v>855.85</v>
      </c>
      <c r="L265" s="27"/>
    </row>
    <row r="266" spans="1:26" ht="14.25" x14ac:dyDescent="0.2">
      <c r="A266" s="40"/>
      <c r="B266" s="41"/>
      <c r="C266" s="41" t="s">
        <v>990</v>
      </c>
      <c r="D266" s="24" t="s">
        <v>991</v>
      </c>
      <c r="E266" s="10">
        <f>Source!BZ83</f>
        <v>82</v>
      </c>
      <c r="F266" s="44"/>
      <c r="G266" s="26"/>
      <c r="H266" s="25">
        <f>SUM(S260:S269)</f>
        <v>263</v>
      </c>
      <c r="I266" s="28"/>
      <c r="J266" s="23">
        <f>Source!AT83</f>
        <v>82</v>
      </c>
      <c r="K266" s="25">
        <f>SUM(T260:T269)</f>
        <v>1764.72</v>
      </c>
      <c r="L266" s="27"/>
    </row>
    <row r="267" spans="1:26" ht="14.25" x14ac:dyDescent="0.2">
      <c r="A267" s="40"/>
      <c r="B267" s="41"/>
      <c r="C267" s="41" t="s">
        <v>992</v>
      </c>
      <c r="D267" s="24" t="s">
        <v>991</v>
      </c>
      <c r="E267" s="10">
        <f>Source!CA83</f>
        <v>62</v>
      </c>
      <c r="F267" s="44"/>
      <c r="G267" s="26"/>
      <c r="H267" s="25">
        <f>SUM(U260:U269)</f>
        <v>198.85</v>
      </c>
      <c r="I267" s="28"/>
      <c r="J267" s="23">
        <f>Source!AU83</f>
        <v>62</v>
      </c>
      <c r="K267" s="25">
        <f>SUM(V260:V269)</f>
        <v>1334.3</v>
      </c>
      <c r="L267" s="27"/>
    </row>
    <row r="268" spans="1:26" ht="14.25" x14ac:dyDescent="0.2">
      <c r="A268" s="40"/>
      <c r="B268" s="41"/>
      <c r="C268" s="41" t="s">
        <v>993</v>
      </c>
      <c r="D268" s="24" t="s">
        <v>994</v>
      </c>
      <c r="E268" s="10">
        <f>Source!AQ83</f>
        <v>505</v>
      </c>
      <c r="F268" s="25"/>
      <c r="G268" s="26" t="str">
        <f>Source!DI83</f>
        <v/>
      </c>
      <c r="H268" s="25"/>
      <c r="I268" s="26"/>
      <c r="J268" s="26"/>
      <c r="K268" s="25"/>
      <c r="L268" s="36">
        <f>Source!U83</f>
        <v>35.35</v>
      </c>
    </row>
    <row r="269" spans="1:26" ht="28.5" x14ac:dyDescent="0.2">
      <c r="A269" s="42" t="str">
        <f>Source!E84</f>
        <v>23,1</v>
      </c>
      <c r="B269" s="43" t="str">
        <f>Source!F84</f>
        <v>01.7.19.06-0005</v>
      </c>
      <c r="C269" s="43" t="str">
        <f>Source!G84</f>
        <v>Прокладки уплотнительные, Д=40 мм</v>
      </c>
      <c r="D269" s="29" t="str">
        <f>Source!H84</f>
        <v>м</v>
      </c>
      <c r="E269" s="30">
        <f>Source!I84</f>
        <v>7</v>
      </c>
      <c r="F269" s="31">
        <f>Source!AL84+Source!AM84+Source!AO84</f>
        <v>15.41</v>
      </c>
      <c r="G269" s="37" t="s">
        <v>6</v>
      </c>
      <c r="H269" s="31">
        <f>ROUND(Source!AC84*Source!I84, 2)+ROUND(Source!AD84*Source!I84, 2)+ROUND(Source!AF84*Source!I84, 2)</f>
        <v>107.87</v>
      </c>
      <c r="I269" s="32"/>
      <c r="J269" s="32">
        <f>IF(Source!BC84&lt;&gt; 0, Source!BC84, 1)</f>
        <v>6.71</v>
      </c>
      <c r="K269" s="31">
        <f>Source!O84</f>
        <v>723.81</v>
      </c>
      <c r="L269" s="38"/>
      <c r="S269">
        <f>ROUND((Source!FX84/100)*((ROUND(Source!AF84*Source!I84, 2)+ROUND(Source!AE84*Source!I84, 2))), 2)</f>
        <v>0</v>
      </c>
      <c r="T269">
        <f>Source!X84</f>
        <v>0</v>
      </c>
      <c r="U269">
        <f>ROUND((Source!FY84/100)*((ROUND(Source!AF84*Source!I84, 2)+ROUND(Source!AE84*Source!I84, 2))), 2)</f>
        <v>0</v>
      </c>
      <c r="V269">
        <f>Source!Y84</f>
        <v>0</v>
      </c>
      <c r="W269">
        <f>IF(Source!BI84&lt;=1,H269, 0)</f>
        <v>107.87</v>
      </c>
      <c r="X269">
        <f>IF(Source!BI84=2,H269, 0)</f>
        <v>0</v>
      </c>
      <c r="Y269">
        <f>IF(Source!BI84=3,H269, 0)</f>
        <v>0</v>
      </c>
      <c r="Z269">
        <f>IF(Source!BI84=4,H269, 0)</f>
        <v>0</v>
      </c>
    </row>
    <row r="270" spans="1:26" ht="15" x14ac:dyDescent="0.25">
      <c r="G270" s="47">
        <f>H262+H263+H265+H266+H267+SUM(H269:H269)</f>
        <v>1018.49</v>
      </c>
      <c r="H270" s="47"/>
      <c r="J270" s="47">
        <f>K262+K263+K265+K266+K267+SUM(K269:K269)</f>
        <v>6834.08</v>
      </c>
      <c r="K270" s="47"/>
      <c r="L270" s="34">
        <f>Source!U83</f>
        <v>35.35</v>
      </c>
      <c r="O270" s="21">
        <f>G270</f>
        <v>1018.49</v>
      </c>
      <c r="P270" s="21">
        <f>J270</f>
        <v>6834.08</v>
      </c>
      <c r="Q270" s="21">
        <f>L270</f>
        <v>35.35</v>
      </c>
      <c r="W270">
        <f>IF(Source!BI83&lt;=1,H262+H263+H265+H266+H267, 0)</f>
        <v>910.62</v>
      </c>
      <c r="X270">
        <f>IF(Source!BI83=2,H262+H263+H265+H266+H267, 0)</f>
        <v>0</v>
      </c>
      <c r="Y270">
        <f>IF(Source!BI83=3,H262+H263+H265+H266+H267, 0)</f>
        <v>0</v>
      </c>
      <c r="Z270">
        <f>IF(Source!BI83=4,H262+H263+H265+H266+H267, 0)</f>
        <v>0</v>
      </c>
    </row>
    <row r="271" spans="1:26" ht="28.5" x14ac:dyDescent="0.2">
      <c r="A271" s="40" t="str">
        <f>Source!E85</f>
        <v>24</v>
      </c>
      <c r="B271" s="41" t="str">
        <f>Source!F85</f>
        <v>69-15-1</v>
      </c>
      <c r="C271" s="41" t="str">
        <f>Source!G85</f>
        <v>Затаривание строительного мусора в мешки</v>
      </c>
      <c r="D271" s="24" t="str">
        <f>Source!H85</f>
        <v>т</v>
      </c>
      <c r="E271" s="10">
        <f>Source!I85</f>
        <v>24</v>
      </c>
      <c r="F271" s="25">
        <f>Source!AL85+Source!AM85+Source!AO85</f>
        <v>23.81</v>
      </c>
      <c r="G271" s="26"/>
      <c r="H271" s="25"/>
      <c r="I271" s="26" t="str">
        <f>Source!BO85</f>
        <v/>
      </c>
      <c r="J271" s="26"/>
      <c r="K271" s="25"/>
      <c r="L271" s="27"/>
      <c r="S271">
        <f>ROUND((Source!FX85/100)*((ROUND(Source!AF85*Source!I85, 2)+ROUND(Source!AE85*Source!I85, 2))), 2)</f>
        <v>138.72</v>
      </c>
      <c r="T271">
        <f>Source!X85</f>
        <v>930.78</v>
      </c>
      <c r="U271">
        <f>ROUND((Source!FY85/100)*((ROUND(Source!AF85*Source!I85, 2)+ROUND(Source!AE85*Source!I85, 2))), 2)</f>
        <v>88.92</v>
      </c>
      <c r="V271">
        <f>Source!Y85</f>
        <v>596.66</v>
      </c>
    </row>
    <row r="272" spans="1:26" ht="14.25" x14ac:dyDescent="0.2">
      <c r="A272" s="40"/>
      <c r="B272" s="41"/>
      <c r="C272" s="41" t="s">
        <v>989</v>
      </c>
      <c r="D272" s="24"/>
      <c r="E272" s="10"/>
      <c r="F272" s="25">
        <f>Source!AO85</f>
        <v>7.41</v>
      </c>
      <c r="G272" s="26" t="str">
        <f>Source!DG85</f>
        <v/>
      </c>
      <c r="H272" s="25">
        <f>ROUND(Source!AF85*Source!I85, 2)</f>
        <v>177.84</v>
      </c>
      <c r="I272" s="26"/>
      <c r="J272" s="26">
        <f>IF(Source!BA85&lt;&gt; 0, Source!BA85, 1)</f>
        <v>6.71</v>
      </c>
      <c r="K272" s="25">
        <f>Source!S85</f>
        <v>1193.31</v>
      </c>
      <c r="L272" s="27"/>
      <c r="R272">
        <f>H272</f>
        <v>177.84</v>
      </c>
    </row>
    <row r="273" spans="1:26" ht="14.25" x14ac:dyDescent="0.2">
      <c r="A273" s="40"/>
      <c r="B273" s="41"/>
      <c r="C273" s="41" t="s">
        <v>996</v>
      </c>
      <c r="D273" s="24"/>
      <c r="E273" s="10"/>
      <c r="F273" s="25">
        <f>Source!AL85</f>
        <v>16.399999999999999</v>
      </c>
      <c r="G273" s="26" t="str">
        <f>Source!DD85</f>
        <v/>
      </c>
      <c r="H273" s="25">
        <f>ROUND(Source!AC85*Source!I85, 2)</f>
        <v>393.6</v>
      </c>
      <c r="I273" s="26"/>
      <c r="J273" s="26">
        <f>IF(Source!BC85&lt;&gt; 0, Source!BC85, 1)</f>
        <v>6.71</v>
      </c>
      <c r="K273" s="25">
        <f>Source!P85</f>
        <v>2641.06</v>
      </c>
      <c r="L273" s="27"/>
    </row>
    <row r="274" spans="1:26" ht="14.25" x14ac:dyDescent="0.2">
      <c r="A274" s="40"/>
      <c r="B274" s="41"/>
      <c r="C274" s="41" t="s">
        <v>990</v>
      </c>
      <c r="D274" s="24" t="s">
        <v>991</v>
      </c>
      <c r="E274" s="10">
        <f>Source!BZ85</f>
        <v>78</v>
      </c>
      <c r="F274" s="44"/>
      <c r="G274" s="26"/>
      <c r="H274" s="25">
        <f>SUM(S271:S276)</f>
        <v>138.72</v>
      </c>
      <c r="I274" s="28"/>
      <c r="J274" s="23">
        <f>Source!AT85</f>
        <v>78</v>
      </c>
      <c r="K274" s="25">
        <f>SUM(T271:T276)</f>
        <v>930.78</v>
      </c>
      <c r="L274" s="27"/>
    </row>
    <row r="275" spans="1:26" ht="14.25" x14ac:dyDescent="0.2">
      <c r="A275" s="40"/>
      <c r="B275" s="41"/>
      <c r="C275" s="41" t="s">
        <v>992</v>
      </c>
      <c r="D275" s="24" t="s">
        <v>991</v>
      </c>
      <c r="E275" s="10">
        <f>Source!CA85</f>
        <v>50</v>
      </c>
      <c r="F275" s="44"/>
      <c r="G275" s="26"/>
      <c r="H275" s="25">
        <f>SUM(U271:U276)</f>
        <v>88.92</v>
      </c>
      <c r="I275" s="28"/>
      <c r="J275" s="23">
        <f>Source!AU85</f>
        <v>50</v>
      </c>
      <c r="K275" s="25">
        <f>SUM(V271:V276)</f>
        <v>596.66</v>
      </c>
      <c r="L275" s="27"/>
    </row>
    <row r="276" spans="1:26" ht="14.25" x14ac:dyDescent="0.2">
      <c r="A276" s="42"/>
      <c r="B276" s="43"/>
      <c r="C276" s="43" t="s">
        <v>993</v>
      </c>
      <c r="D276" s="29" t="s">
        <v>994</v>
      </c>
      <c r="E276" s="30">
        <f>Source!AQ85</f>
        <v>1.03</v>
      </c>
      <c r="F276" s="31"/>
      <c r="G276" s="32" t="str">
        <f>Source!DI85</f>
        <v/>
      </c>
      <c r="H276" s="31"/>
      <c r="I276" s="32"/>
      <c r="J276" s="32"/>
      <c r="K276" s="31"/>
      <c r="L276" s="33">
        <f>Source!U85</f>
        <v>24.72</v>
      </c>
    </row>
    <row r="277" spans="1:26" ht="15" x14ac:dyDescent="0.25">
      <c r="G277" s="47">
        <f>H272+H273+H274+H275</f>
        <v>799.08</v>
      </c>
      <c r="H277" s="47"/>
      <c r="J277" s="47">
        <f>K272+K273+K274+K275</f>
        <v>5361.8099999999995</v>
      </c>
      <c r="K277" s="47"/>
      <c r="L277" s="34">
        <f>Source!U85</f>
        <v>24.72</v>
      </c>
      <c r="O277" s="21">
        <f>G277</f>
        <v>799.08</v>
      </c>
      <c r="P277" s="21">
        <f>J277</f>
        <v>5361.8099999999995</v>
      </c>
      <c r="Q277" s="21">
        <f>L277</f>
        <v>24.72</v>
      </c>
      <c r="W277">
        <f>IF(Source!BI85&lt;=1,H272+H273+H274+H275, 0)</f>
        <v>799.08</v>
      </c>
      <c r="X277">
        <f>IF(Source!BI85=2,H272+H273+H274+H275, 0)</f>
        <v>0</v>
      </c>
      <c r="Y277">
        <f>IF(Source!BI85=3,H272+H273+H274+H275, 0)</f>
        <v>0</v>
      </c>
      <c r="Z277">
        <f>IF(Source!BI85=4,H272+H273+H274+H275, 0)</f>
        <v>0</v>
      </c>
    </row>
    <row r="278" spans="1:26" ht="42.75" x14ac:dyDescent="0.2">
      <c r="A278" s="42" t="str">
        <f>Source!E86</f>
        <v>25</v>
      </c>
      <c r="B278" s="43" t="str">
        <f>Source!F86</f>
        <v>т01-01-01-041</v>
      </c>
      <c r="C278" s="43" t="str">
        <f>Source!G86</f>
        <v>Погрузочные работы при автомобильных перевозках мусора строительного с погрузкой вручную</v>
      </c>
      <c r="D278" s="29" t="str">
        <f>Source!H86</f>
        <v>1 Т ГРУЗА</v>
      </c>
      <c r="E278" s="30">
        <f>Source!I86</f>
        <v>24</v>
      </c>
      <c r="F278" s="31">
        <f>Source!AK86</f>
        <v>42.98</v>
      </c>
      <c r="G278" s="32" t="str">
        <f>Source!DC86</f>
        <v/>
      </c>
      <c r="H278" s="31">
        <f>ROUND(Source!AB86*Source!I86, 2)</f>
        <v>1031.52</v>
      </c>
      <c r="I278" s="32" t="str">
        <f>Source!BO86</f>
        <v/>
      </c>
      <c r="J278" s="32">
        <f>Source!AZ86</f>
        <v>6.71</v>
      </c>
      <c r="K278" s="31">
        <f>Source!GM86</f>
        <v>6921.5</v>
      </c>
      <c r="L278" s="38"/>
      <c r="S278">
        <f>ROUND((Source!FX86/100)*((ROUND(0*Source!I86, 2)+ROUND(0*Source!I86, 2))), 2)</f>
        <v>0</v>
      </c>
      <c r="T278">
        <f>Source!X86</f>
        <v>0</v>
      </c>
      <c r="U278">
        <f>ROUND((Source!FY86/100)*((ROUND(0*Source!I86, 2)+ROUND(0*Source!I86, 2))), 2)</f>
        <v>0</v>
      </c>
      <c r="V278">
        <f>Source!Y86</f>
        <v>0</v>
      </c>
    </row>
    <row r="279" spans="1:26" ht="15" x14ac:dyDescent="0.25">
      <c r="G279" s="47">
        <f>H278</f>
        <v>1031.52</v>
      </c>
      <c r="H279" s="47"/>
      <c r="J279" s="47">
        <f>K278</f>
        <v>6921.5</v>
      </c>
      <c r="K279" s="47"/>
      <c r="L279" s="34">
        <f>Source!U86</f>
        <v>0</v>
      </c>
      <c r="O279" s="21">
        <f>G279</f>
        <v>1031.52</v>
      </c>
      <c r="P279" s="21">
        <f>J279</f>
        <v>6921.5</v>
      </c>
      <c r="Q279" s="21">
        <f>L279</f>
        <v>0</v>
      </c>
      <c r="W279">
        <f>IF(Source!BI86&lt;=1,H278, 0)</f>
        <v>1031.52</v>
      </c>
      <c r="X279">
        <f>IF(Source!BI86=2,H278, 0)</f>
        <v>0</v>
      </c>
      <c r="Y279">
        <f>IF(Source!BI86=3,H278, 0)</f>
        <v>0</v>
      </c>
      <c r="Z279">
        <f>IF(Source!BI86=4,H278, 0)</f>
        <v>0</v>
      </c>
    </row>
    <row r="280" spans="1:26" ht="57" x14ac:dyDescent="0.2">
      <c r="A280" s="42" t="str">
        <f>Source!E87</f>
        <v>26</v>
      </c>
      <c r="B280" s="43" t="str">
        <f>Source!F87</f>
        <v>т03-01-01-035</v>
      </c>
      <c r="C280" s="43" t="str">
        <f>Source!G87</f>
        <v>Перевозка грузов I класса автомобилями бортовыми грузоподъемностью до 15 т на расстояние до 35 км</v>
      </c>
      <c r="D280" s="29" t="str">
        <f>Source!H87</f>
        <v>1 Т ГРУЗА</v>
      </c>
      <c r="E280" s="30">
        <f>Source!I87</f>
        <v>24</v>
      </c>
      <c r="F280" s="31">
        <f>Source!AK87</f>
        <v>19.54</v>
      </c>
      <c r="G280" s="32" t="str">
        <f>Source!DC87</f>
        <v/>
      </c>
      <c r="H280" s="31">
        <f>ROUND(Source!AB87*Source!I87, 2)</f>
        <v>468.96</v>
      </c>
      <c r="I280" s="32" t="str">
        <f>Source!BO87</f>
        <v/>
      </c>
      <c r="J280" s="32">
        <f>Source!AZ87</f>
        <v>6.71</v>
      </c>
      <c r="K280" s="31">
        <f>Source!GM87</f>
        <v>3146.72</v>
      </c>
      <c r="L280" s="38"/>
      <c r="S280">
        <f>ROUND((Source!FX87/100)*((ROUND(0*Source!I87, 2)+ROUND(0*Source!I87, 2))), 2)</f>
        <v>0</v>
      </c>
      <c r="T280">
        <f>Source!X87</f>
        <v>0</v>
      </c>
      <c r="U280">
        <f>ROUND((Source!FY87/100)*((ROUND(0*Source!I87, 2)+ROUND(0*Source!I87, 2))), 2)</f>
        <v>0</v>
      </c>
      <c r="V280">
        <f>Source!Y87</f>
        <v>0</v>
      </c>
    </row>
    <row r="281" spans="1:26" ht="15" x14ac:dyDescent="0.25">
      <c r="G281" s="47">
        <f>H280</f>
        <v>468.96</v>
      </c>
      <c r="H281" s="47"/>
      <c r="J281" s="47">
        <f>K280</f>
        <v>3146.72</v>
      </c>
      <c r="K281" s="47"/>
      <c r="L281" s="34">
        <f>Source!U87</f>
        <v>0</v>
      </c>
      <c r="O281" s="21">
        <f>G281</f>
        <v>468.96</v>
      </c>
      <c r="P281" s="21">
        <f>J281</f>
        <v>3146.72</v>
      </c>
      <c r="Q281" s="21">
        <f>L281</f>
        <v>0</v>
      </c>
      <c r="W281">
        <f>IF(Source!BI87&lt;=1,H280, 0)</f>
        <v>468.96</v>
      </c>
      <c r="X281">
        <f>IF(Source!BI87=2,H280, 0)</f>
        <v>0</v>
      </c>
      <c r="Y281">
        <f>IF(Source!BI87=3,H280, 0)</f>
        <v>0</v>
      </c>
      <c r="Z281">
        <f>IF(Source!BI87=4,H280, 0)</f>
        <v>0</v>
      </c>
    </row>
    <row r="283" spans="1:26" ht="15" x14ac:dyDescent="0.25">
      <c r="A283" s="46" t="str">
        <f>CONCATENATE("Итого по разделу: ",IF(Source!G89&lt;&gt;"Новый раздел", Source!G89, ""))</f>
        <v>Итого по разделу: 1 Общестроительные работы</v>
      </c>
      <c r="B283" s="46"/>
      <c r="C283" s="46"/>
      <c r="D283" s="46"/>
      <c r="E283" s="46"/>
      <c r="F283" s="46"/>
      <c r="G283" s="49">
        <f>SUM(O26:O282)</f>
        <v>146360.46999999997</v>
      </c>
      <c r="H283" s="49"/>
      <c r="I283" s="22"/>
      <c r="J283" s="49">
        <f>SUM(P26:P282)</f>
        <v>982417.19</v>
      </c>
      <c r="K283" s="49"/>
      <c r="L283" s="34">
        <f>SUM(Q26:Q282)</f>
        <v>1058.9987436999997</v>
      </c>
    </row>
    <row r="284" spans="1:26" ht="16.5" x14ac:dyDescent="0.25">
      <c r="A284" s="48" t="str">
        <f>CONCATENATE("Раздел: ",IF(Source!G118&lt;&gt;"Новый раздел", Source!G118, ""))</f>
        <v>Раздел: 2 Сантехнические работы</v>
      </c>
      <c r="B284" s="48"/>
      <c r="C284" s="48"/>
      <c r="D284" s="48"/>
      <c r="E284" s="48"/>
      <c r="F284" s="48"/>
      <c r="G284" s="48"/>
      <c r="H284" s="48"/>
      <c r="I284" s="48"/>
      <c r="J284" s="48"/>
      <c r="K284" s="48"/>
      <c r="L284" s="48"/>
    </row>
    <row r="285" spans="1:26" ht="14.25" x14ac:dyDescent="0.2">
      <c r="A285" s="40" t="str">
        <f>Source!E122</f>
        <v>27</v>
      </c>
      <c r="B285" s="41" t="str">
        <f>Source!F122</f>
        <v>65-19-1</v>
      </c>
      <c r="C285" s="41" t="str">
        <f>Source!G122</f>
        <v>Демонтаж радиаторов весом до 80 кг</v>
      </c>
      <c r="D285" s="24" t="str">
        <f>Source!H122</f>
        <v>100 ШТ</v>
      </c>
      <c r="E285" s="10">
        <f>Source!I122</f>
        <v>0.16</v>
      </c>
      <c r="F285" s="25">
        <f>Source!AL122+Source!AM122+Source!AO122</f>
        <v>935.72</v>
      </c>
      <c r="G285" s="26"/>
      <c r="H285" s="25"/>
      <c r="I285" s="26" t="str">
        <f>Source!BO122</f>
        <v/>
      </c>
      <c r="J285" s="26"/>
      <c r="K285" s="25"/>
      <c r="L285" s="27"/>
      <c r="S285">
        <f>ROUND((Source!FX122/100)*((ROUND(Source!AF122*Source!I122, 2)+ROUND(Source!AE122*Source!I122, 2))), 2)</f>
        <v>106.08</v>
      </c>
      <c r="T285">
        <f>Source!X122</f>
        <v>711.8</v>
      </c>
      <c r="U285">
        <f>ROUND((Source!FY122/100)*((ROUND(Source!AF122*Source!I122, 2)+ROUND(Source!AE122*Source!I122, 2))), 2)</f>
        <v>71.680000000000007</v>
      </c>
      <c r="V285">
        <f>Source!Y122</f>
        <v>480.95</v>
      </c>
    </row>
    <row r="286" spans="1:26" x14ac:dyDescent="0.2">
      <c r="C286" s="20" t="str">
        <f>"Объем: "&amp;Source!I122&amp;"=16/"&amp;"100"</f>
        <v>Объем: 0,16=16/100</v>
      </c>
    </row>
    <row r="287" spans="1:26" ht="14.25" x14ac:dyDescent="0.2">
      <c r="A287" s="40"/>
      <c r="B287" s="41"/>
      <c r="C287" s="41" t="s">
        <v>989</v>
      </c>
      <c r="D287" s="24"/>
      <c r="E287" s="10"/>
      <c r="F287" s="25">
        <f>Source!AO122</f>
        <v>865.7</v>
      </c>
      <c r="G287" s="26" t="str">
        <f>Source!DG122</f>
        <v/>
      </c>
      <c r="H287" s="25">
        <f>ROUND(Source!AF122*Source!I122, 2)</f>
        <v>138.51</v>
      </c>
      <c r="I287" s="26"/>
      <c r="J287" s="26">
        <f>IF(Source!BA122&lt;&gt; 0, Source!BA122, 1)</f>
        <v>6.71</v>
      </c>
      <c r="K287" s="25">
        <f>Source!S122</f>
        <v>929.42</v>
      </c>
      <c r="L287" s="27"/>
      <c r="R287">
        <f>H287</f>
        <v>138.51</v>
      </c>
    </row>
    <row r="288" spans="1:26" ht="14.25" x14ac:dyDescent="0.2">
      <c r="A288" s="40"/>
      <c r="B288" s="41"/>
      <c r="C288" s="41" t="s">
        <v>300</v>
      </c>
      <c r="D288" s="24"/>
      <c r="E288" s="10"/>
      <c r="F288" s="25">
        <f>Source!AM122</f>
        <v>70.02</v>
      </c>
      <c r="G288" s="26" t="str">
        <f>Source!DE122</f>
        <v/>
      </c>
      <c r="H288" s="25">
        <f>ROUND(Source!AD122*Source!I122, 2)</f>
        <v>11.2</v>
      </c>
      <c r="I288" s="26"/>
      <c r="J288" s="26">
        <f>IF(Source!BB122&lt;&gt; 0, Source!BB122, 1)</f>
        <v>6.71</v>
      </c>
      <c r="K288" s="25">
        <f>Source!Q122</f>
        <v>75.17</v>
      </c>
      <c r="L288" s="27"/>
    </row>
    <row r="289" spans="1:26" ht="14.25" x14ac:dyDescent="0.2">
      <c r="A289" s="40"/>
      <c r="B289" s="41"/>
      <c r="C289" s="41" t="s">
        <v>995</v>
      </c>
      <c r="D289" s="24"/>
      <c r="E289" s="10"/>
      <c r="F289" s="25">
        <f>Source!AN122</f>
        <v>30.24</v>
      </c>
      <c r="G289" s="26" t="str">
        <f>Source!DF122</f>
        <v/>
      </c>
      <c r="H289" s="35">
        <f>ROUND(Source!AE122*Source!I122, 2)</f>
        <v>4.84</v>
      </c>
      <c r="I289" s="26"/>
      <c r="J289" s="26">
        <f>IF(Source!BS122&lt;&gt; 0, Source!BS122, 1)</f>
        <v>6.71</v>
      </c>
      <c r="K289" s="35">
        <f>Source!R122</f>
        <v>32.47</v>
      </c>
      <c r="L289" s="27"/>
      <c r="R289">
        <f>H289</f>
        <v>4.84</v>
      </c>
    </row>
    <row r="290" spans="1:26" ht="14.25" x14ac:dyDescent="0.2">
      <c r="A290" s="40"/>
      <c r="B290" s="41"/>
      <c r="C290" s="41" t="s">
        <v>990</v>
      </c>
      <c r="D290" s="24" t="s">
        <v>991</v>
      </c>
      <c r="E290" s="10">
        <f>Source!BZ122</f>
        <v>74</v>
      </c>
      <c r="F290" s="44"/>
      <c r="G290" s="26"/>
      <c r="H290" s="25">
        <f>SUM(S285:S292)</f>
        <v>106.08</v>
      </c>
      <c r="I290" s="28"/>
      <c r="J290" s="23">
        <f>Source!AT122</f>
        <v>74</v>
      </c>
      <c r="K290" s="25">
        <f>SUM(T285:T292)</f>
        <v>711.8</v>
      </c>
      <c r="L290" s="27"/>
    </row>
    <row r="291" spans="1:26" ht="14.25" x14ac:dyDescent="0.2">
      <c r="A291" s="40"/>
      <c r="B291" s="41"/>
      <c r="C291" s="41" t="s">
        <v>992</v>
      </c>
      <c r="D291" s="24" t="s">
        <v>991</v>
      </c>
      <c r="E291" s="10">
        <f>Source!CA122</f>
        <v>50</v>
      </c>
      <c r="F291" s="44"/>
      <c r="G291" s="26"/>
      <c r="H291" s="25">
        <f>SUM(U285:U292)</f>
        <v>71.680000000000007</v>
      </c>
      <c r="I291" s="28"/>
      <c r="J291" s="23">
        <f>Source!AU122</f>
        <v>50</v>
      </c>
      <c r="K291" s="25">
        <f>SUM(V285:V292)</f>
        <v>480.95</v>
      </c>
      <c r="L291" s="27"/>
    </row>
    <row r="292" spans="1:26" ht="14.25" x14ac:dyDescent="0.2">
      <c r="A292" s="42"/>
      <c r="B292" s="43"/>
      <c r="C292" s="43" t="s">
        <v>993</v>
      </c>
      <c r="D292" s="29" t="s">
        <v>994</v>
      </c>
      <c r="E292" s="30">
        <f>Source!AQ122</f>
        <v>110</v>
      </c>
      <c r="F292" s="31"/>
      <c r="G292" s="32" t="str">
        <f>Source!DI122</f>
        <v/>
      </c>
      <c r="H292" s="31"/>
      <c r="I292" s="32"/>
      <c r="J292" s="32"/>
      <c r="K292" s="31"/>
      <c r="L292" s="33">
        <f>Source!U122</f>
        <v>17.600000000000001</v>
      </c>
    </row>
    <row r="293" spans="1:26" ht="15" x14ac:dyDescent="0.25">
      <c r="G293" s="47">
        <f>H287+H288+H290+H291</f>
        <v>327.46999999999997</v>
      </c>
      <c r="H293" s="47"/>
      <c r="J293" s="47">
        <f>K287+K288+K290+K291</f>
        <v>2197.3399999999997</v>
      </c>
      <c r="K293" s="47"/>
      <c r="L293" s="34">
        <f>Source!U122</f>
        <v>17.600000000000001</v>
      </c>
      <c r="O293" s="21">
        <f>G293</f>
        <v>327.46999999999997</v>
      </c>
      <c r="P293" s="21">
        <f>J293</f>
        <v>2197.3399999999997</v>
      </c>
      <c r="Q293" s="21">
        <f>L293</f>
        <v>17.600000000000001</v>
      </c>
      <c r="W293">
        <f>IF(Source!BI122&lt;=1,H287+H288+H290+H291, 0)</f>
        <v>327.46999999999997</v>
      </c>
      <c r="X293">
        <f>IF(Source!BI122=2,H287+H288+H290+H291, 0)</f>
        <v>0</v>
      </c>
      <c r="Y293">
        <f>IF(Source!BI122=3,H287+H288+H290+H291, 0)</f>
        <v>0</v>
      </c>
      <c r="Z293">
        <f>IF(Source!BI122=4,H287+H288+H290+H291, 0)</f>
        <v>0</v>
      </c>
    </row>
    <row r="294" spans="1:26" ht="28.5" x14ac:dyDescent="0.2">
      <c r="A294" s="40" t="str">
        <f>Source!E123</f>
        <v>28</v>
      </c>
      <c r="B294" s="41" t="str">
        <f>Source!F123</f>
        <v>18-03-001-02</v>
      </c>
      <c r="C294" s="41" t="str">
        <f>Source!G123</f>
        <v>Установка радиаторов стальных</v>
      </c>
      <c r="D294" s="24" t="str">
        <f>Source!H123</f>
        <v>100 квт</v>
      </c>
      <c r="E294" s="10">
        <f>Source!I123</f>
        <v>0.23039999999999999</v>
      </c>
      <c r="F294" s="25">
        <f>Source!AL123+Source!AM123+Source!AO123</f>
        <v>1942.27</v>
      </c>
      <c r="G294" s="26"/>
      <c r="H294" s="25"/>
      <c r="I294" s="26" t="str">
        <f>Source!BO123</f>
        <v/>
      </c>
      <c r="J294" s="26"/>
      <c r="K294" s="25"/>
      <c r="L294" s="27"/>
      <c r="S294">
        <f>ROUND((Source!FX123/100)*((ROUND(Source!AF123*Source!I123, 2)+ROUND(Source!AE123*Source!I123, 2))), 2)</f>
        <v>166.46</v>
      </c>
      <c r="T294">
        <f>Source!X123</f>
        <v>1115.05</v>
      </c>
      <c r="U294">
        <f>ROUND((Source!FY123/100)*((ROUND(Source!AF123*Source!I123, 2)+ROUND(Source!AE123*Source!I123, 2))), 2)</f>
        <v>101.94</v>
      </c>
      <c r="V294">
        <f>Source!Y123</f>
        <v>688.42</v>
      </c>
    </row>
    <row r="295" spans="1:26" x14ac:dyDescent="0.2">
      <c r="C295" s="20" t="str">
        <f>"Объем: "&amp;Source!I123&amp;"=23,04/"&amp;"100"</f>
        <v>Объем: 0,2304=23,04/100</v>
      </c>
    </row>
    <row r="296" spans="1:26" ht="14.25" x14ac:dyDescent="0.2">
      <c r="A296" s="40"/>
      <c r="B296" s="41"/>
      <c r="C296" s="41" t="s">
        <v>989</v>
      </c>
      <c r="D296" s="24"/>
      <c r="E296" s="10"/>
      <c r="F296" s="25">
        <f>Source!AO123</f>
        <v>588.42999999999995</v>
      </c>
      <c r="G296" s="26" t="str">
        <f>Source!DG123</f>
        <v/>
      </c>
      <c r="H296" s="25">
        <f>ROUND(Source!AF123*Source!I123, 2)</f>
        <v>135.57</v>
      </c>
      <c r="I296" s="26"/>
      <c r="J296" s="26">
        <f>IF(Source!BA123&lt;&gt; 0, Source!BA123, 1)</f>
        <v>6.71</v>
      </c>
      <c r="K296" s="25">
        <f>Source!S123</f>
        <v>909.7</v>
      </c>
      <c r="L296" s="27"/>
      <c r="R296">
        <f>H296</f>
        <v>135.57</v>
      </c>
    </row>
    <row r="297" spans="1:26" ht="14.25" x14ac:dyDescent="0.2">
      <c r="A297" s="40"/>
      <c r="B297" s="41"/>
      <c r="C297" s="41" t="s">
        <v>300</v>
      </c>
      <c r="D297" s="24"/>
      <c r="E297" s="10"/>
      <c r="F297" s="25">
        <f>Source!AM123</f>
        <v>192.58</v>
      </c>
      <c r="G297" s="26" t="str">
        <f>Source!DE123</f>
        <v/>
      </c>
      <c r="H297" s="25">
        <f>ROUND(Source!AD123*Source!I123, 2)</f>
        <v>44.37</v>
      </c>
      <c r="I297" s="26"/>
      <c r="J297" s="26">
        <f>IF(Source!BB123&lt;&gt; 0, Source!BB123, 1)</f>
        <v>6.71</v>
      </c>
      <c r="K297" s="25">
        <f>Source!Q123</f>
        <v>297.73</v>
      </c>
      <c r="L297" s="27"/>
    </row>
    <row r="298" spans="1:26" ht="14.25" x14ac:dyDescent="0.2">
      <c r="A298" s="40"/>
      <c r="B298" s="41"/>
      <c r="C298" s="41" t="s">
        <v>995</v>
      </c>
      <c r="D298" s="24"/>
      <c r="E298" s="10"/>
      <c r="F298" s="25">
        <f>Source!AN123</f>
        <v>38.75</v>
      </c>
      <c r="G298" s="26" t="str">
        <f>Source!DF123</f>
        <v/>
      </c>
      <c r="H298" s="35">
        <f>ROUND(Source!AE123*Source!I123, 2)</f>
        <v>8.93</v>
      </c>
      <c r="I298" s="26"/>
      <c r="J298" s="26">
        <f>IF(Source!BS123&lt;&gt; 0, Source!BS123, 1)</f>
        <v>6.71</v>
      </c>
      <c r="K298" s="35">
        <f>Source!R123</f>
        <v>59.91</v>
      </c>
      <c r="L298" s="27"/>
      <c r="R298">
        <f>H298</f>
        <v>8.93</v>
      </c>
    </row>
    <row r="299" spans="1:26" ht="14.25" x14ac:dyDescent="0.2">
      <c r="A299" s="40"/>
      <c r="B299" s="41"/>
      <c r="C299" s="41" t="s">
        <v>996</v>
      </c>
      <c r="D299" s="24"/>
      <c r="E299" s="10"/>
      <c r="F299" s="25">
        <f>Source!AL123</f>
        <v>1161.26</v>
      </c>
      <c r="G299" s="26" t="str">
        <f>Source!DD123</f>
        <v/>
      </c>
      <c r="H299" s="25">
        <f>ROUND(Source!AC123*Source!I123, 2)</f>
        <v>267.55</v>
      </c>
      <c r="I299" s="26"/>
      <c r="J299" s="26">
        <f>IF(Source!BC123&lt;&gt; 0, Source!BC123, 1)</f>
        <v>6.71</v>
      </c>
      <c r="K299" s="25">
        <f>Source!P123</f>
        <v>1795.29</v>
      </c>
      <c r="L299" s="27"/>
    </row>
    <row r="300" spans="1:26" ht="14.25" x14ac:dyDescent="0.2">
      <c r="A300" s="40"/>
      <c r="B300" s="41"/>
      <c r="C300" s="41" t="s">
        <v>990</v>
      </c>
      <c r="D300" s="24" t="s">
        <v>991</v>
      </c>
      <c r="E300" s="10">
        <f>Source!BZ123</f>
        <v>128</v>
      </c>
      <c r="F300" s="50" t="str">
        <f>CONCATENATE(" )", Source!DL123, Source!FT123, "=", Source!FX123)</f>
        <v xml:space="preserve"> )*0,9=115,2</v>
      </c>
      <c r="G300" s="51"/>
      <c r="H300" s="25">
        <f>SUM(S294:S304)</f>
        <v>166.46</v>
      </c>
      <c r="I300" s="28"/>
      <c r="J300" s="23">
        <f>Source!AT123</f>
        <v>115</v>
      </c>
      <c r="K300" s="25">
        <f>SUM(T294:T304)</f>
        <v>1115.05</v>
      </c>
      <c r="L300" s="27"/>
    </row>
    <row r="301" spans="1:26" ht="14.25" x14ac:dyDescent="0.2">
      <c r="A301" s="40"/>
      <c r="B301" s="41"/>
      <c r="C301" s="41" t="s">
        <v>992</v>
      </c>
      <c r="D301" s="24" t="s">
        <v>991</v>
      </c>
      <c r="E301" s="10">
        <f>Source!CA123</f>
        <v>83</v>
      </c>
      <c r="F301" s="50" t="str">
        <f>CONCATENATE(" )", Source!DM123, Source!FU123, "=", Source!FY123)</f>
        <v xml:space="preserve"> )*0,85=70,55</v>
      </c>
      <c r="G301" s="51"/>
      <c r="H301" s="25">
        <f>SUM(U294:U304)</f>
        <v>101.94</v>
      </c>
      <c r="I301" s="28"/>
      <c r="J301" s="23">
        <f>Source!AU123</f>
        <v>71</v>
      </c>
      <c r="K301" s="25">
        <f>SUM(V294:V304)</f>
        <v>688.42</v>
      </c>
      <c r="L301" s="27"/>
    </row>
    <row r="302" spans="1:26" ht="14.25" x14ac:dyDescent="0.2">
      <c r="A302" s="40"/>
      <c r="B302" s="41"/>
      <c r="C302" s="41" t="s">
        <v>993</v>
      </c>
      <c r="D302" s="24" t="s">
        <v>994</v>
      </c>
      <c r="E302" s="10">
        <f>Source!AQ123</f>
        <v>65.599999999999994</v>
      </c>
      <c r="F302" s="25"/>
      <c r="G302" s="26" t="str">
        <f>Source!DI123</f>
        <v/>
      </c>
      <c r="H302" s="25"/>
      <c r="I302" s="26"/>
      <c r="J302" s="26"/>
      <c r="K302" s="25"/>
      <c r="L302" s="36">
        <f>Source!U123</f>
        <v>15.114239999999999</v>
      </c>
    </row>
    <row r="303" spans="1:26" ht="42.75" x14ac:dyDescent="0.2">
      <c r="A303" s="40" t="str">
        <f>Source!E124</f>
        <v>28,1</v>
      </c>
      <c r="B303" s="41" t="str">
        <f>Source!F124</f>
        <v>18.5.10.05-0009</v>
      </c>
      <c r="C303" s="41" t="str">
        <f>Source!G124</f>
        <v>Радиаторы биметаллические, марка «Rifar-A 500», количество секций 12, мощность 1815 Вт прим.</v>
      </c>
      <c r="D303" s="24" t="str">
        <f>Source!H124</f>
        <v>шт.</v>
      </c>
      <c r="E303" s="10">
        <f>Source!I124</f>
        <v>16</v>
      </c>
      <c r="F303" s="25">
        <f>Source!AL124+Source!AM124+Source!AO124</f>
        <v>1503.69</v>
      </c>
      <c r="G303" s="39" t="s">
        <v>6</v>
      </c>
      <c r="H303" s="25">
        <f>ROUND(Source!AC124*Source!I124, 2)+ROUND(Source!AD124*Source!I124, 2)+ROUND(Source!AF124*Source!I124, 2)</f>
        <v>24059.040000000001</v>
      </c>
      <c r="I303" s="26"/>
      <c r="J303" s="26">
        <f>IF(Source!BC124&lt;&gt; 0, Source!BC124, 1)</f>
        <v>6.71</v>
      </c>
      <c r="K303" s="25">
        <f>Source!O124</f>
        <v>161436.16</v>
      </c>
      <c r="L303" s="27"/>
      <c r="S303">
        <f>ROUND((Source!FX124/100)*((ROUND(Source!AF124*Source!I124, 2)+ROUND(Source!AE124*Source!I124, 2))), 2)</f>
        <v>0</v>
      </c>
      <c r="T303">
        <f>Source!X124</f>
        <v>0</v>
      </c>
      <c r="U303">
        <f>ROUND((Source!FY124/100)*((ROUND(Source!AF124*Source!I124, 2)+ROUND(Source!AE124*Source!I124, 2))), 2)</f>
        <v>0</v>
      </c>
      <c r="V303">
        <f>Source!Y124</f>
        <v>0</v>
      </c>
      <c r="W303">
        <f>IF(Source!BI124&lt;=1,H303, 0)</f>
        <v>24059.040000000001</v>
      </c>
      <c r="X303">
        <f>IF(Source!BI124=2,H303, 0)</f>
        <v>0</v>
      </c>
      <c r="Y303">
        <f>IF(Source!BI124=3,H303, 0)</f>
        <v>0</v>
      </c>
      <c r="Z303">
        <f>IF(Source!BI124=4,H303, 0)</f>
        <v>0</v>
      </c>
    </row>
    <row r="304" spans="1:26" ht="14.25" x14ac:dyDescent="0.2">
      <c r="A304" s="42" t="str">
        <f>Source!E125</f>
        <v>28,2</v>
      </c>
      <c r="B304" s="43" t="str">
        <f>Source!F125</f>
        <v>18.5.10.06</v>
      </c>
      <c r="C304" s="43" t="str">
        <f>Source!G125</f>
        <v>Радиаторы</v>
      </c>
      <c r="D304" s="29" t="str">
        <f>Source!H125</f>
        <v>квт</v>
      </c>
      <c r="E304" s="30">
        <f>Source!I125</f>
        <v>23.04</v>
      </c>
      <c r="F304" s="31">
        <f>Source!AL125+Source!AM125+Source!AO125</f>
        <v>0</v>
      </c>
      <c r="G304" s="37" t="s">
        <v>6</v>
      </c>
      <c r="H304" s="31">
        <f>ROUND(Source!AC125*Source!I125, 2)+ROUND(Source!AD125*Source!I125, 2)+ROUND(Source!AF125*Source!I125, 2)</f>
        <v>0</v>
      </c>
      <c r="I304" s="32"/>
      <c r="J304" s="32">
        <f>IF(Source!BC125&lt;&gt; 0, Source!BC125, 1)</f>
        <v>6.71</v>
      </c>
      <c r="K304" s="31">
        <f>Source!O125</f>
        <v>0</v>
      </c>
      <c r="L304" s="38"/>
      <c r="S304">
        <f>ROUND((Source!FX125/100)*((ROUND(Source!AF125*Source!I125, 2)+ROUND(Source!AE125*Source!I125, 2))), 2)</f>
        <v>0</v>
      </c>
      <c r="T304">
        <f>Source!X125</f>
        <v>0</v>
      </c>
      <c r="U304">
        <f>ROUND((Source!FY125/100)*((ROUND(Source!AF125*Source!I125, 2)+ROUND(Source!AE125*Source!I125, 2))), 2)</f>
        <v>0</v>
      </c>
      <c r="V304">
        <f>Source!Y125</f>
        <v>0</v>
      </c>
      <c r="W304">
        <f>IF(Source!BI125&lt;=1,H304, 0)</f>
        <v>0</v>
      </c>
      <c r="X304">
        <f>IF(Source!BI125=2,H304, 0)</f>
        <v>0</v>
      </c>
      <c r="Y304">
        <f>IF(Source!BI125=3,H304, 0)</f>
        <v>0</v>
      </c>
      <c r="Z304">
        <f>IF(Source!BI125=4,H304, 0)</f>
        <v>0</v>
      </c>
    </row>
    <row r="305" spans="1:26" ht="15" x14ac:dyDescent="0.25">
      <c r="G305" s="47">
        <f>H296+H297+H299+H300+H301+SUM(H303:H304)</f>
        <v>24774.93</v>
      </c>
      <c r="H305" s="47"/>
      <c r="J305" s="47">
        <f>K296+K297+K299+K300+K301+SUM(K303:K304)</f>
        <v>166242.35</v>
      </c>
      <c r="K305" s="47"/>
      <c r="L305" s="34">
        <f>Source!U123</f>
        <v>15.114239999999999</v>
      </c>
      <c r="O305" s="21">
        <f>G305</f>
        <v>24774.93</v>
      </c>
      <c r="P305" s="21">
        <f>J305</f>
        <v>166242.35</v>
      </c>
      <c r="Q305" s="21">
        <f>L305</f>
        <v>15.114239999999999</v>
      </c>
      <c r="W305">
        <f>IF(Source!BI123&lt;=1,H296+H297+H299+H300+H301, 0)</f>
        <v>715.8900000000001</v>
      </c>
      <c r="X305">
        <f>IF(Source!BI123=2,H296+H297+H299+H300+H301, 0)</f>
        <v>0</v>
      </c>
      <c r="Y305">
        <f>IF(Source!BI123=3,H296+H297+H299+H300+H301, 0)</f>
        <v>0</v>
      </c>
      <c r="Z305">
        <f>IF(Source!BI123=4,H296+H297+H299+H300+H301, 0)</f>
        <v>0</v>
      </c>
    </row>
    <row r="306" spans="1:26" ht="57" x14ac:dyDescent="0.2">
      <c r="A306" s="40" t="str">
        <f>Source!E126</f>
        <v>29</v>
      </c>
      <c r="B306" s="41" t="str">
        <f>Source!F126</f>
        <v>15-04-030-04</v>
      </c>
      <c r="C306" s="41" t="str">
        <f>Source!G126</f>
        <v>Масляная окраска металлических поверхностей решеток, переплетов, труб диаметром менее 50 мм и т.п., количество окрасок 2</v>
      </c>
      <c r="D306" s="24" t="str">
        <f>Source!H126</f>
        <v>100 м2</v>
      </c>
      <c r="E306" s="10">
        <f>Source!I126</f>
        <v>5.28E-2</v>
      </c>
      <c r="F306" s="25">
        <f>Source!AL126+Source!AM126+Source!AO126</f>
        <v>720.44</v>
      </c>
      <c r="G306" s="26"/>
      <c r="H306" s="25"/>
      <c r="I306" s="26" t="str">
        <f>Source!BO126</f>
        <v/>
      </c>
      <c r="J306" s="26"/>
      <c r="K306" s="25"/>
      <c r="L306" s="27"/>
      <c r="S306">
        <f>ROUND((Source!FX126/100)*((ROUND(Source!AF126*Source!I126, 2)+ROUND(Source!AE126*Source!I126, 2))), 2)</f>
        <v>31.44</v>
      </c>
      <c r="T306">
        <f>Source!X126</f>
        <v>212.07</v>
      </c>
      <c r="U306">
        <f>ROUND((Source!FY126/100)*((ROUND(Source!AF126*Source!I126, 2)+ROUND(Source!AE126*Source!I126, 2))), 2)</f>
        <v>15.55</v>
      </c>
      <c r="V306">
        <f>Source!Y126</f>
        <v>104.92</v>
      </c>
    </row>
    <row r="307" spans="1:26" x14ac:dyDescent="0.2">
      <c r="C307" s="20" t="str">
        <f>"Объем: "&amp;Source!I126&amp;"=5,28/"&amp;"100"</f>
        <v>Объем: 0,0528=5,28/100</v>
      </c>
    </row>
    <row r="308" spans="1:26" ht="14.25" x14ac:dyDescent="0.2">
      <c r="A308" s="40"/>
      <c r="B308" s="41"/>
      <c r="C308" s="41" t="s">
        <v>989</v>
      </c>
      <c r="D308" s="24"/>
      <c r="E308" s="10"/>
      <c r="F308" s="25">
        <f>Source!AO126</f>
        <v>629.59</v>
      </c>
      <c r="G308" s="26" t="str">
        <f>Source!DG126</f>
        <v/>
      </c>
      <c r="H308" s="25">
        <f>ROUND(Source!AF126*Source!I126, 2)</f>
        <v>33.24</v>
      </c>
      <c r="I308" s="26"/>
      <c r="J308" s="26">
        <f>IF(Source!BA126&lt;&gt; 0, Source!BA126, 1)</f>
        <v>6.71</v>
      </c>
      <c r="K308" s="25">
        <f>Source!S126</f>
        <v>223.06</v>
      </c>
      <c r="L308" s="27"/>
      <c r="R308">
        <f>H308</f>
        <v>33.24</v>
      </c>
    </row>
    <row r="309" spans="1:26" ht="14.25" x14ac:dyDescent="0.2">
      <c r="A309" s="40"/>
      <c r="B309" s="41"/>
      <c r="C309" s="41" t="s">
        <v>300</v>
      </c>
      <c r="D309" s="24"/>
      <c r="E309" s="10"/>
      <c r="F309" s="25">
        <f>Source!AM126</f>
        <v>2.2799999999999998</v>
      </c>
      <c r="G309" s="26" t="str">
        <f>Source!DE126</f>
        <v/>
      </c>
      <c r="H309" s="25">
        <f>ROUND(Source!AD126*Source!I126, 2)</f>
        <v>0.12</v>
      </c>
      <c r="I309" s="26"/>
      <c r="J309" s="26">
        <f>IF(Source!BB126&lt;&gt; 0, Source!BB126, 1)</f>
        <v>6.71</v>
      </c>
      <c r="K309" s="25">
        <f>Source!Q126</f>
        <v>0.81</v>
      </c>
      <c r="L309" s="27"/>
    </row>
    <row r="310" spans="1:26" ht="14.25" x14ac:dyDescent="0.2">
      <c r="A310" s="40"/>
      <c r="B310" s="41"/>
      <c r="C310" s="41" t="s">
        <v>995</v>
      </c>
      <c r="D310" s="24"/>
      <c r="E310" s="10"/>
      <c r="F310" s="25">
        <f>Source!AN126</f>
        <v>0.49</v>
      </c>
      <c r="G310" s="26" t="str">
        <f>Source!DF126</f>
        <v/>
      </c>
      <c r="H310" s="35">
        <f>ROUND(Source!AE126*Source!I126, 2)</f>
        <v>0.03</v>
      </c>
      <c r="I310" s="26"/>
      <c r="J310" s="26">
        <f>IF(Source!BS126&lt;&gt; 0, Source!BS126, 1)</f>
        <v>6.71</v>
      </c>
      <c r="K310" s="35">
        <f>Source!R126</f>
        <v>0.17</v>
      </c>
      <c r="L310" s="27"/>
      <c r="R310">
        <f>H310</f>
        <v>0.03</v>
      </c>
    </row>
    <row r="311" spans="1:26" ht="14.25" x14ac:dyDescent="0.2">
      <c r="A311" s="40"/>
      <c r="B311" s="41"/>
      <c r="C311" s="41" t="s">
        <v>996</v>
      </c>
      <c r="D311" s="24"/>
      <c r="E311" s="10"/>
      <c r="F311" s="25">
        <f>Source!AL126</f>
        <v>88.57</v>
      </c>
      <c r="G311" s="26" t="str">
        <f>Source!DD126</f>
        <v/>
      </c>
      <c r="H311" s="25">
        <f>ROUND(Source!AC126*Source!I126, 2)</f>
        <v>4.68</v>
      </c>
      <c r="I311" s="26"/>
      <c r="J311" s="26">
        <f>IF(Source!BC126&lt;&gt; 0, Source!BC126, 1)</f>
        <v>6.71</v>
      </c>
      <c r="K311" s="25">
        <f>Source!P126</f>
        <v>31.38</v>
      </c>
      <c r="L311" s="27"/>
    </row>
    <row r="312" spans="1:26" ht="14.25" x14ac:dyDescent="0.2">
      <c r="A312" s="40"/>
      <c r="B312" s="41"/>
      <c r="C312" s="41" t="s">
        <v>990</v>
      </c>
      <c r="D312" s="24" t="s">
        <v>991</v>
      </c>
      <c r="E312" s="10">
        <f>Source!BZ126</f>
        <v>105</v>
      </c>
      <c r="F312" s="50" t="str">
        <f>CONCATENATE(" )", Source!DL126, Source!FT126, "=", Source!FX126)</f>
        <v xml:space="preserve"> )*0,9=94,5</v>
      </c>
      <c r="G312" s="51"/>
      <c r="H312" s="25">
        <f>SUM(S306:S316)</f>
        <v>31.44</v>
      </c>
      <c r="I312" s="28"/>
      <c r="J312" s="23">
        <f>Source!AT126</f>
        <v>95</v>
      </c>
      <c r="K312" s="25">
        <f>SUM(T306:T316)</f>
        <v>212.07</v>
      </c>
      <c r="L312" s="27"/>
    </row>
    <row r="313" spans="1:26" ht="14.25" x14ac:dyDescent="0.2">
      <c r="A313" s="40"/>
      <c r="B313" s="41"/>
      <c r="C313" s="41" t="s">
        <v>992</v>
      </c>
      <c r="D313" s="24" t="s">
        <v>991</v>
      </c>
      <c r="E313" s="10">
        <f>Source!CA126</f>
        <v>55</v>
      </c>
      <c r="F313" s="50" t="str">
        <f>CONCATENATE(" )", Source!DM126, Source!FU126, "=", Source!FY126)</f>
        <v xml:space="preserve"> )*0,85=46,75</v>
      </c>
      <c r="G313" s="51"/>
      <c r="H313" s="25">
        <f>SUM(U306:U316)</f>
        <v>15.55</v>
      </c>
      <c r="I313" s="28"/>
      <c r="J313" s="23">
        <f>Source!AU126</f>
        <v>47</v>
      </c>
      <c r="K313" s="25">
        <f>SUM(V306:V316)</f>
        <v>104.92</v>
      </c>
      <c r="L313" s="27"/>
    </row>
    <row r="314" spans="1:26" ht="14.25" x14ac:dyDescent="0.2">
      <c r="A314" s="40"/>
      <c r="B314" s="41"/>
      <c r="C314" s="41" t="s">
        <v>993</v>
      </c>
      <c r="D314" s="24" t="s">
        <v>994</v>
      </c>
      <c r="E314" s="10">
        <f>Source!AQ126</f>
        <v>71.06</v>
      </c>
      <c r="F314" s="25"/>
      <c r="G314" s="26" t="str">
        <f>Source!DI126</f>
        <v/>
      </c>
      <c r="H314" s="25"/>
      <c r="I314" s="26"/>
      <c r="J314" s="26"/>
      <c r="K314" s="25"/>
      <c r="L314" s="36">
        <f>Source!U126</f>
        <v>3.7519680000000002</v>
      </c>
    </row>
    <row r="315" spans="1:26" ht="28.5" x14ac:dyDescent="0.2">
      <c r="A315" s="40" t="str">
        <f>Source!E127</f>
        <v>29,1</v>
      </c>
      <c r="B315" s="41" t="str">
        <f>Source!F127</f>
        <v>14.4.02.04</v>
      </c>
      <c r="C315" s="41" t="str">
        <f>Source!G127</f>
        <v>Краски для внутренних работ масляные готовые к применению</v>
      </c>
      <c r="D315" s="24" t="str">
        <f>Source!H127</f>
        <v>т</v>
      </c>
      <c r="E315" s="10">
        <f>Source!I127</f>
        <v>1.299E-3</v>
      </c>
      <c r="F315" s="25">
        <f>Source!AL127+Source!AM127+Source!AO127</f>
        <v>0</v>
      </c>
      <c r="G315" s="39" t="s">
        <v>6</v>
      </c>
      <c r="H315" s="25">
        <f>ROUND(Source!AC127*Source!I127, 2)+ROUND(Source!AD127*Source!I127, 2)+ROUND(Source!AF127*Source!I127, 2)</f>
        <v>0</v>
      </c>
      <c r="I315" s="26"/>
      <c r="J315" s="26">
        <f>IF(Source!BC127&lt;&gt; 0, Source!BC127, 1)</f>
        <v>6.71</v>
      </c>
      <c r="K315" s="25">
        <f>Source!O127</f>
        <v>0</v>
      </c>
      <c r="L315" s="27"/>
      <c r="S315">
        <f>ROUND((Source!FX127/100)*((ROUND(Source!AF127*Source!I127, 2)+ROUND(Source!AE127*Source!I127, 2))), 2)</f>
        <v>0</v>
      </c>
      <c r="T315">
        <f>Source!X127</f>
        <v>0</v>
      </c>
      <c r="U315">
        <f>ROUND((Source!FY127/100)*((ROUND(Source!AF127*Source!I127, 2)+ROUND(Source!AE127*Source!I127, 2))), 2)</f>
        <v>0</v>
      </c>
      <c r="V315">
        <f>Source!Y127</f>
        <v>0</v>
      </c>
      <c r="W315">
        <f>IF(Source!BI127&lt;=1,H315, 0)</f>
        <v>0</v>
      </c>
      <c r="X315">
        <f>IF(Source!BI127=2,H315, 0)</f>
        <v>0</v>
      </c>
      <c r="Y315">
        <f>IF(Source!BI127=3,H315, 0)</f>
        <v>0</v>
      </c>
      <c r="Z315">
        <f>IF(Source!BI127=4,H315, 0)</f>
        <v>0</v>
      </c>
    </row>
    <row r="316" spans="1:26" ht="42.75" x14ac:dyDescent="0.2">
      <c r="A316" s="42" t="str">
        <f>Source!E128</f>
        <v>29,2</v>
      </c>
      <c r="B316" s="43" t="str">
        <f>Source!F128</f>
        <v>14.4.02.04-0101</v>
      </c>
      <c r="C316" s="43" t="str">
        <f>Source!G128</f>
        <v>Краски для внутренних работ масляные готовые к применению МА-15 БИО</v>
      </c>
      <c r="D316" s="29" t="str">
        <f>Source!H128</f>
        <v>т</v>
      </c>
      <c r="E316" s="30">
        <f>Source!I128</f>
        <v>1.299E-3</v>
      </c>
      <c r="F316" s="31">
        <f>Source!AL128+Source!AM128+Source!AO128</f>
        <v>42508.19</v>
      </c>
      <c r="G316" s="37" t="s">
        <v>6</v>
      </c>
      <c r="H316" s="31">
        <f>ROUND(Source!AC128*Source!I128, 2)+ROUND(Source!AD128*Source!I128, 2)+ROUND(Source!AF128*Source!I128, 2)</f>
        <v>55.22</v>
      </c>
      <c r="I316" s="32"/>
      <c r="J316" s="32">
        <f>IF(Source!BC128&lt;&gt; 0, Source!BC128, 1)</f>
        <v>6.71</v>
      </c>
      <c r="K316" s="31">
        <f>Source!O128</f>
        <v>370.51</v>
      </c>
      <c r="L316" s="38"/>
      <c r="S316">
        <f>ROUND((Source!FX128/100)*((ROUND(Source!AF128*Source!I128, 2)+ROUND(Source!AE128*Source!I128, 2))), 2)</f>
        <v>0</v>
      </c>
      <c r="T316">
        <f>Source!X128</f>
        <v>0</v>
      </c>
      <c r="U316">
        <f>ROUND((Source!FY128/100)*((ROUND(Source!AF128*Source!I128, 2)+ROUND(Source!AE128*Source!I128, 2))), 2)</f>
        <v>0</v>
      </c>
      <c r="V316">
        <f>Source!Y128</f>
        <v>0</v>
      </c>
      <c r="W316">
        <f>IF(Source!BI128&lt;=1,H316, 0)</f>
        <v>55.22</v>
      </c>
      <c r="X316">
        <f>IF(Source!BI128=2,H316, 0)</f>
        <v>0</v>
      </c>
      <c r="Y316">
        <f>IF(Source!BI128=3,H316, 0)</f>
        <v>0</v>
      </c>
      <c r="Z316">
        <f>IF(Source!BI128=4,H316, 0)</f>
        <v>0</v>
      </c>
    </row>
    <row r="317" spans="1:26" ht="15" x14ac:dyDescent="0.25">
      <c r="G317" s="47">
        <f>H308+H309+H311+H312+H313+SUM(H315:H316)</f>
        <v>140.25</v>
      </c>
      <c r="H317" s="47"/>
      <c r="J317" s="47">
        <f>K308+K309+K311+K312+K313+SUM(K315:K316)</f>
        <v>942.75</v>
      </c>
      <c r="K317" s="47"/>
      <c r="L317" s="34">
        <f>Source!U126</f>
        <v>3.7519680000000002</v>
      </c>
      <c r="O317" s="21">
        <f>G317</f>
        <v>140.25</v>
      </c>
      <c r="P317" s="21">
        <f>J317</f>
        <v>942.75</v>
      </c>
      <c r="Q317" s="21">
        <f>L317</f>
        <v>3.7519680000000002</v>
      </c>
      <c r="W317">
        <f>IF(Source!BI126&lt;=1,H308+H309+H311+H312+H313, 0)</f>
        <v>85.03</v>
      </c>
      <c r="X317">
        <f>IF(Source!BI126=2,H308+H309+H311+H312+H313, 0)</f>
        <v>0</v>
      </c>
      <c r="Y317">
        <f>IF(Source!BI126=3,H308+H309+H311+H312+H313, 0)</f>
        <v>0</v>
      </c>
      <c r="Z317">
        <f>IF(Source!BI126=4,H308+H309+H311+H312+H313, 0)</f>
        <v>0</v>
      </c>
    </row>
    <row r="318" spans="1:26" ht="57" x14ac:dyDescent="0.2">
      <c r="A318" s="40" t="str">
        <f>Source!E129</f>
        <v>30</v>
      </c>
      <c r="B318" s="41" t="str">
        <f>Source!F129</f>
        <v>16-05-001-01</v>
      </c>
      <c r="C318" s="41" t="str">
        <f>Source!G129</f>
        <v>Установка вентилей, задвижек, затворов, клапанов обратных, кранов проходных на трубопроводах из стальных труб диаметром до 25 мм</v>
      </c>
      <c r="D318" s="24" t="str">
        <f>Source!H129</f>
        <v>ШТ</v>
      </c>
      <c r="E318" s="10">
        <f>Source!I129</f>
        <v>32</v>
      </c>
      <c r="F318" s="25">
        <f>Source!AL129+Source!AM129+Source!AO129</f>
        <v>42.04</v>
      </c>
      <c r="G318" s="26"/>
      <c r="H318" s="25"/>
      <c r="I318" s="26" t="str">
        <f>Source!BO129</f>
        <v/>
      </c>
      <c r="J318" s="26"/>
      <c r="K318" s="25"/>
      <c r="L318" s="27"/>
      <c r="S318">
        <f>ROUND((Source!FX129/100)*((ROUND(Source!AF129*Source!I129, 2)+ROUND(Source!AE129*Source!I129, 2))), 2)</f>
        <v>495.82</v>
      </c>
      <c r="T318">
        <f>Source!X129</f>
        <v>3321.19</v>
      </c>
      <c r="U318">
        <f>ROUND((Source!FY129/100)*((ROUND(Source!AF129*Source!I129, 2)+ROUND(Source!AE129*Source!I129, 2))), 2)</f>
        <v>303.64999999999998</v>
      </c>
      <c r="V318">
        <f>Source!Y129</f>
        <v>2050.4699999999998</v>
      </c>
    </row>
    <row r="319" spans="1:26" ht="14.25" x14ac:dyDescent="0.2">
      <c r="A319" s="40"/>
      <c r="B319" s="41"/>
      <c r="C319" s="41" t="s">
        <v>989</v>
      </c>
      <c r="D319" s="24"/>
      <c r="E319" s="10"/>
      <c r="F319" s="25">
        <f>Source!AO129</f>
        <v>13.33</v>
      </c>
      <c r="G319" s="26" t="str">
        <f>Source!DG129</f>
        <v/>
      </c>
      <c r="H319" s="25">
        <f>ROUND(Source!AF129*Source!I129, 2)</f>
        <v>426.56</v>
      </c>
      <c r="I319" s="26"/>
      <c r="J319" s="26">
        <f>IF(Source!BA129&lt;&gt; 0, Source!BA129, 1)</f>
        <v>6.71</v>
      </c>
      <c r="K319" s="25">
        <f>Source!S129</f>
        <v>2862.22</v>
      </c>
      <c r="L319" s="27"/>
      <c r="R319">
        <f>H319</f>
        <v>426.56</v>
      </c>
    </row>
    <row r="320" spans="1:26" ht="14.25" x14ac:dyDescent="0.2">
      <c r="A320" s="40"/>
      <c r="B320" s="41"/>
      <c r="C320" s="41" t="s">
        <v>300</v>
      </c>
      <c r="D320" s="24"/>
      <c r="E320" s="10"/>
      <c r="F320" s="25">
        <f>Source!AM129</f>
        <v>3.5</v>
      </c>
      <c r="G320" s="26" t="str">
        <f>Source!DE129</f>
        <v/>
      </c>
      <c r="H320" s="25">
        <f>ROUND(Source!AD129*Source!I129, 2)</f>
        <v>112</v>
      </c>
      <c r="I320" s="26"/>
      <c r="J320" s="26">
        <f>IF(Source!BB129&lt;&gt; 0, Source!BB129, 1)</f>
        <v>6.71</v>
      </c>
      <c r="K320" s="25">
        <f>Source!Q129</f>
        <v>751.52</v>
      </c>
      <c r="L320" s="27"/>
    </row>
    <row r="321" spans="1:26" ht="14.25" x14ac:dyDescent="0.2">
      <c r="A321" s="40"/>
      <c r="B321" s="41"/>
      <c r="C321" s="41" t="s">
        <v>995</v>
      </c>
      <c r="D321" s="24"/>
      <c r="E321" s="10"/>
      <c r="F321" s="25">
        <f>Source!AN129</f>
        <v>0.12</v>
      </c>
      <c r="G321" s="26" t="str">
        <f>Source!DF129</f>
        <v/>
      </c>
      <c r="H321" s="35">
        <f>ROUND(Source!AE129*Source!I129, 2)</f>
        <v>3.84</v>
      </c>
      <c r="I321" s="26"/>
      <c r="J321" s="26">
        <f>IF(Source!BS129&lt;&gt; 0, Source!BS129, 1)</f>
        <v>6.71</v>
      </c>
      <c r="K321" s="35">
        <f>Source!R129</f>
        <v>25.77</v>
      </c>
      <c r="L321" s="27"/>
      <c r="R321">
        <f>H321</f>
        <v>3.84</v>
      </c>
    </row>
    <row r="322" spans="1:26" ht="14.25" x14ac:dyDescent="0.2">
      <c r="A322" s="40"/>
      <c r="B322" s="41"/>
      <c r="C322" s="41" t="s">
        <v>996</v>
      </c>
      <c r="D322" s="24"/>
      <c r="E322" s="10"/>
      <c r="F322" s="25">
        <f>Source!AL129</f>
        <v>25.21</v>
      </c>
      <c r="G322" s="26" t="str">
        <f>Source!DD129</f>
        <v/>
      </c>
      <c r="H322" s="25">
        <f>ROUND(Source!AC129*Source!I129, 2)</f>
        <v>806.72</v>
      </c>
      <c r="I322" s="26"/>
      <c r="J322" s="26">
        <f>IF(Source!BC129&lt;&gt; 0, Source!BC129, 1)</f>
        <v>6.71</v>
      </c>
      <c r="K322" s="25">
        <f>Source!P129</f>
        <v>5413.09</v>
      </c>
      <c r="L322" s="27"/>
    </row>
    <row r="323" spans="1:26" ht="14.25" x14ac:dyDescent="0.2">
      <c r="A323" s="40"/>
      <c r="B323" s="41"/>
      <c r="C323" s="41" t="s">
        <v>990</v>
      </c>
      <c r="D323" s="24" t="s">
        <v>991</v>
      </c>
      <c r="E323" s="10">
        <f>Source!BZ129</f>
        <v>128</v>
      </c>
      <c r="F323" s="50" t="str">
        <f>CONCATENATE(" )", Source!DL129, Source!FT129, "=", Source!FX129)</f>
        <v xml:space="preserve"> )*0,9=115,2</v>
      </c>
      <c r="G323" s="51"/>
      <c r="H323" s="25">
        <f>SUM(S318:S326)</f>
        <v>495.82</v>
      </c>
      <c r="I323" s="28"/>
      <c r="J323" s="23">
        <f>Source!AT129</f>
        <v>115</v>
      </c>
      <c r="K323" s="25">
        <f>SUM(T318:T326)</f>
        <v>3321.19</v>
      </c>
      <c r="L323" s="27"/>
    </row>
    <row r="324" spans="1:26" ht="14.25" x14ac:dyDescent="0.2">
      <c r="A324" s="40"/>
      <c r="B324" s="41"/>
      <c r="C324" s="41" t="s">
        <v>992</v>
      </c>
      <c r="D324" s="24" t="s">
        <v>991</v>
      </c>
      <c r="E324" s="10">
        <f>Source!CA129</f>
        <v>83</v>
      </c>
      <c r="F324" s="50" t="str">
        <f>CONCATENATE(" )", Source!DM129, Source!FU129, "=", Source!FY129)</f>
        <v xml:space="preserve"> )*0,85=70,55</v>
      </c>
      <c r="G324" s="51"/>
      <c r="H324" s="25">
        <f>SUM(U318:U326)</f>
        <v>303.64999999999998</v>
      </c>
      <c r="I324" s="28"/>
      <c r="J324" s="23">
        <f>Source!AU129</f>
        <v>71</v>
      </c>
      <c r="K324" s="25">
        <f>SUM(V318:V326)</f>
        <v>2050.4699999999998</v>
      </c>
      <c r="L324" s="27"/>
    </row>
    <row r="325" spans="1:26" ht="14.25" x14ac:dyDescent="0.2">
      <c r="A325" s="40"/>
      <c r="B325" s="41"/>
      <c r="C325" s="41" t="s">
        <v>993</v>
      </c>
      <c r="D325" s="24" t="s">
        <v>994</v>
      </c>
      <c r="E325" s="10">
        <f>Source!AQ129</f>
        <v>1.47</v>
      </c>
      <c r="F325" s="25"/>
      <c r="G325" s="26" t="str">
        <f>Source!DI129</f>
        <v/>
      </c>
      <c r="H325" s="25"/>
      <c r="I325" s="26"/>
      <c r="J325" s="26"/>
      <c r="K325" s="25"/>
      <c r="L325" s="36">
        <f>Source!U129</f>
        <v>47.04</v>
      </c>
    </row>
    <row r="326" spans="1:26" ht="28.5" x14ac:dyDescent="0.2">
      <c r="A326" s="42" t="str">
        <f>Source!E130</f>
        <v>30,1</v>
      </c>
      <c r="B326" s="43" t="str">
        <f>Source!F130</f>
        <v>18.1.09.06-0067</v>
      </c>
      <c r="C326" s="43" t="str">
        <f>Source!G130</f>
        <v>Кран шаровый муфтовый Valtec для воды диаметром 20 мм со сгоном</v>
      </c>
      <c r="D326" s="29" t="str">
        <f>Source!H130</f>
        <v>шт.</v>
      </c>
      <c r="E326" s="30">
        <f>Source!I130</f>
        <v>32</v>
      </c>
      <c r="F326" s="31">
        <f>Source!AL130+Source!AM130+Source!AO130</f>
        <v>54.73</v>
      </c>
      <c r="G326" s="37" t="s">
        <v>6</v>
      </c>
      <c r="H326" s="31">
        <f>ROUND(Source!AC130*Source!I130, 2)+ROUND(Source!AD130*Source!I130, 2)+ROUND(Source!AF130*Source!I130, 2)</f>
        <v>1751.36</v>
      </c>
      <c r="I326" s="32"/>
      <c r="J326" s="32">
        <f>IF(Source!BC130&lt;&gt; 0, Source!BC130, 1)</f>
        <v>6.71</v>
      </c>
      <c r="K326" s="31">
        <f>Source!O130</f>
        <v>11751.63</v>
      </c>
      <c r="L326" s="38"/>
      <c r="S326">
        <f>ROUND((Source!FX130/100)*((ROUND(Source!AF130*Source!I130, 2)+ROUND(Source!AE130*Source!I130, 2))), 2)</f>
        <v>0</v>
      </c>
      <c r="T326">
        <f>Source!X130</f>
        <v>0</v>
      </c>
      <c r="U326">
        <f>ROUND((Source!FY130/100)*((ROUND(Source!AF130*Source!I130, 2)+ROUND(Source!AE130*Source!I130, 2))), 2)</f>
        <v>0</v>
      </c>
      <c r="V326">
        <f>Source!Y130</f>
        <v>0</v>
      </c>
      <c r="W326">
        <f>IF(Source!BI130&lt;=1,H326, 0)</f>
        <v>1751.36</v>
      </c>
      <c r="X326">
        <f>IF(Source!BI130=2,H326, 0)</f>
        <v>0</v>
      </c>
      <c r="Y326">
        <f>IF(Source!BI130=3,H326, 0)</f>
        <v>0</v>
      </c>
      <c r="Z326">
        <f>IF(Source!BI130=4,H326, 0)</f>
        <v>0</v>
      </c>
    </row>
    <row r="327" spans="1:26" ht="15" x14ac:dyDescent="0.25">
      <c r="G327" s="47">
        <f>H319+H320+H322+H323+H324+SUM(H326:H326)</f>
        <v>3896.1099999999997</v>
      </c>
      <c r="H327" s="47"/>
      <c r="J327" s="47">
        <f>K319+K320+K322+K323+K324+SUM(K326:K326)</f>
        <v>26150.12</v>
      </c>
      <c r="K327" s="47"/>
      <c r="L327" s="34">
        <f>Source!U129</f>
        <v>47.04</v>
      </c>
      <c r="O327" s="21">
        <f>G327</f>
        <v>3896.1099999999997</v>
      </c>
      <c r="P327" s="21">
        <f>J327</f>
        <v>26150.12</v>
      </c>
      <c r="Q327" s="21">
        <f>L327</f>
        <v>47.04</v>
      </c>
      <c r="W327">
        <f>IF(Source!BI129&lt;=1,H319+H320+H322+H323+H324, 0)</f>
        <v>2144.75</v>
      </c>
      <c r="X327">
        <f>IF(Source!BI129=2,H319+H320+H322+H323+H324, 0)</f>
        <v>0</v>
      </c>
      <c r="Y327">
        <f>IF(Source!BI129=3,H319+H320+H322+H323+H324, 0)</f>
        <v>0</v>
      </c>
      <c r="Z327">
        <f>IF(Source!BI129=4,H319+H320+H322+H323+H324, 0)</f>
        <v>0</v>
      </c>
    </row>
    <row r="328" spans="1:26" ht="28.5" x14ac:dyDescent="0.2">
      <c r="A328" s="40" t="str">
        <f>Source!E131</f>
        <v>31</v>
      </c>
      <c r="B328" s="41" t="str">
        <f>Source!F131</f>
        <v>65-24-1</v>
      </c>
      <c r="C328" s="41" t="str">
        <f>Source!G131</f>
        <v>Проверка на прогрев отопительных приборов с регулировкой</v>
      </c>
      <c r="D328" s="24" t="str">
        <f>Source!H131</f>
        <v>100 ШТ</v>
      </c>
      <c r="E328" s="10">
        <f>Source!I131</f>
        <v>0.16</v>
      </c>
      <c r="F328" s="25">
        <f>Source!AL131+Source!AM131+Source!AO131</f>
        <v>134.18</v>
      </c>
      <c r="G328" s="26"/>
      <c r="H328" s="25"/>
      <c r="I328" s="26" t="str">
        <f>Source!BO131</f>
        <v/>
      </c>
      <c r="J328" s="26"/>
      <c r="K328" s="25"/>
      <c r="L328" s="27"/>
      <c r="S328">
        <f>ROUND((Source!FX131/100)*((ROUND(Source!AF131*Source!I131, 2)+ROUND(Source!AE131*Source!I131, 2))), 2)</f>
        <v>15.89</v>
      </c>
      <c r="T328">
        <f>Source!X131</f>
        <v>106.6</v>
      </c>
      <c r="U328">
        <f>ROUND((Source!FY131/100)*((ROUND(Source!AF131*Source!I131, 2)+ROUND(Source!AE131*Source!I131, 2))), 2)</f>
        <v>10.74</v>
      </c>
      <c r="V328">
        <f>Source!Y131</f>
        <v>72.03</v>
      </c>
    </row>
    <row r="329" spans="1:26" x14ac:dyDescent="0.2">
      <c r="C329" s="20" t="str">
        <f>"Объем: "&amp;Source!I131&amp;"=16/"&amp;"100"</f>
        <v>Объем: 0,16=16/100</v>
      </c>
    </row>
    <row r="330" spans="1:26" ht="14.25" x14ac:dyDescent="0.2">
      <c r="A330" s="40"/>
      <c r="B330" s="41"/>
      <c r="C330" s="41" t="s">
        <v>989</v>
      </c>
      <c r="D330" s="24"/>
      <c r="E330" s="10"/>
      <c r="F330" s="25">
        <f>Source!AO131</f>
        <v>134.18</v>
      </c>
      <c r="G330" s="26" t="str">
        <f>Source!DG131</f>
        <v/>
      </c>
      <c r="H330" s="25">
        <f>ROUND(Source!AF131*Source!I131, 2)</f>
        <v>21.47</v>
      </c>
      <c r="I330" s="26"/>
      <c r="J330" s="26">
        <f>IF(Source!BA131&lt;&gt; 0, Source!BA131, 1)</f>
        <v>6.71</v>
      </c>
      <c r="K330" s="25">
        <f>Source!S131</f>
        <v>144.06</v>
      </c>
      <c r="L330" s="27"/>
      <c r="R330">
        <f>H330</f>
        <v>21.47</v>
      </c>
    </row>
    <row r="331" spans="1:26" ht="14.25" x14ac:dyDescent="0.2">
      <c r="A331" s="40"/>
      <c r="B331" s="41"/>
      <c r="C331" s="41" t="s">
        <v>990</v>
      </c>
      <c r="D331" s="24" t="s">
        <v>991</v>
      </c>
      <c r="E331" s="10">
        <f>Source!BZ131</f>
        <v>74</v>
      </c>
      <c r="F331" s="44"/>
      <c r="G331" s="26"/>
      <c r="H331" s="25">
        <f>SUM(S328:S333)</f>
        <v>15.89</v>
      </c>
      <c r="I331" s="28"/>
      <c r="J331" s="23">
        <f>Source!AT131</f>
        <v>74</v>
      </c>
      <c r="K331" s="25">
        <f>SUM(T328:T333)</f>
        <v>106.6</v>
      </c>
      <c r="L331" s="27"/>
    </row>
    <row r="332" spans="1:26" ht="14.25" x14ac:dyDescent="0.2">
      <c r="A332" s="40"/>
      <c r="B332" s="41"/>
      <c r="C332" s="41" t="s">
        <v>992</v>
      </c>
      <c r="D332" s="24" t="s">
        <v>991</v>
      </c>
      <c r="E332" s="10">
        <f>Source!CA131</f>
        <v>50</v>
      </c>
      <c r="F332" s="44"/>
      <c r="G332" s="26"/>
      <c r="H332" s="25">
        <f>SUM(U328:U333)</f>
        <v>10.74</v>
      </c>
      <c r="I332" s="28"/>
      <c r="J332" s="23">
        <f>Source!AU131</f>
        <v>50</v>
      </c>
      <c r="K332" s="25">
        <f>SUM(V328:V333)</f>
        <v>72.03</v>
      </c>
      <c r="L332" s="27"/>
    </row>
    <row r="333" spans="1:26" ht="14.25" x14ac:dyDescent="0.2">
      <c r="A333" s="42"/>
      <c r="B333" s="43"/>
      <c r="C333" s="43" t="s">
        <v>993</v>
      </c>
      <c r="D333" s="29" t="s">
        <v>994</v>
      </c>
      <c r="E333" s="30">
        <f>Source!AQ131</f>
        <v>15.73</v>
      </c>
      <c r="F333" s="31"/>
      <c r="G333" s="32" t="str">
        <f>Source!DI131</f>
        <v/>
      </c>
      <c r="H333" s="31"/>
      <c r="I333" s="32"/>
      <c r="J333" s="32"/>
      <c r="K333" s="31"/>
      <c r="L333" s="33">
        <f>Source!U131</f>
        <v>2.5167999999999999</v>
      </c>
    </row>
    <row r="334" spans="1:26" ht="15" x14ac:dyDescent="0.25">
      <c r="G334" s="47">
        <f>H330+H331+H332</f>
        <v>48.1</v>
      </c>
      <c r="H334" s="47"/>
      <c r="J334" s="47">
        <f>K330+K331+K332</f>
        <v>322.69</v>
      </c>
      <c r="K334" s="47"/>
      <c r="L334" s="34">
        <f>Source!U131</f>
        <v>2.5167999999999999</v>
      </c>
      <c r="O334" s="21">
        <f>G334</f>
        <v>48.1</v>
      </c>
      <c r="P334" s="21">
        <f>J334</f>
        <v>322.69</v>
      </c>
      <c r="Q334" s="21">
        <f>L334</f>
        <v>2.5167999999999999</v>
      </c>
      <c r="W334">
        <f>IF(Source!BI131&lt;=1,H330+H331+H332, 0)</f>
        <v>48.1</v>
      </c>
      <c r="X334">
        <f>IF(Source!BI131=2,H330+H331+H332, 0)</f>
        <v>0</v>
      </c>
      <c r="Y334">
        <f>IF(Source!BI131=3,H330+H331+H332, 0)</f>
        <v>0</v>
      </c>
      <c r="Z334">
        <f>IF(Source!BI131=4,H330+H331+H332, 0)</f>
        <v>0</v>
      </c>
    </row>
    <row r="336" spans="1:26" ht="15" x14ac:dyDescent="0.25">
      <c r="A336" s="46" t="str">
        <f>CONCATENATE("Итого по разделу: ",IF(Source!G133&lt;&gt;"Новый раздел", Source!G133, ""))</f>
        <v>Итого по разделу: 2 Сантехнические работы</v>
      </c>
      <c r="B336" s="46"/>
      <c r="C336" s="46"/>
      <c r="D336" s="46"/>
      <c r="E336" s="46"/>
      <c r="F336" s="46"/>
      <c r="G336" s="49">
        <f>SUM(O284:O335)</f>
        <v>29186.86</v>
      </c>
      <c r="H336" s="49"/>
      <c r="I336" s="22"/>
      <c r="J336" s="49">
        <f>SUM(P284:P335)</f>
        <v>195855.25</v>
      </c>
      <c r="K336" s="49"/>
      <c r="L336" s="34">
        <f>SUM(Q284:Q335)</f>
        <v>86.023008000000004</v>
      </c>
    </row>
    <row r="337" spans="1:26" ht="16.5" x14ac:dyDescent="0.25">
      <c r="A337" s="48" t="str">
        <f>CONCATENATE("Раздел: ",IF(Source!G162&lt;&gt;"Новый раздел", Source!G162, ""))</f>
        <v>Раздел: 3 Электромонтажные работы</v>
      </c>
      <c r="B337" s="48"/>
      <c r="C337" s="48"/>
      <c r="D337" s="48"/>
      <c r="E337" s="48"/>
      <c r="F337" s="48"/>
      <c r="G337" s="48"/>
      <c r="H337" s="48"/>
      <c r="I337" s="48"/>
      <c r="J337" s="48"/>
      <c r="K337" s="48"/>
      <c r="L337" s="48"/>
    </row>
    <row r="338" spans="1:26" ht="14.25" x14ac:dyDescent="0.2">
      <c r="A338" s="40" t="str">
        <f>Source!E166</f>
        <v>32</v>
      </c>
      <c r="B338" s="41" t="str">
        <f>Source!F166</f>
        <v>67-3-1</v>
      </c>
      <c r="C338" s="41" t="str">
        <f>Source!G166</f>
        <v>Демонтаж кабеля</v>
      </c>
      <c r="D338" s="24" t="str">
        <f>Source!H166</f>
        <v>100 м</v>
      </c>
      <c r="E338" s="10">
        <f>Source!I166</f>
        <v>0.16</v>
      </c>
      <c r="F338" s="25">
        <f>Source!AL166+Source!AM166+Source!AO166</f>
        <v>75.5</v>
      </c>
      <c r="G338" s="26"/>
      <c r="H338" s="25"/>
      <c r="I338" s="26" t="str">
        <f>Source!BO166</f>
        <v/>
      </c>
      <c r="J338" s="26"/>
      <c r="K338" s="25"/>
      <c r="L338" s="27"/>
      <c r="S338">
        <f>ROUND((Source!FX166/100)*((ROUND(Source!AF166*Source!I166, 2)+ROUND(Source!AE166*Source!I166, 2))), 2)</f>
        <v>10.24</v>
      </c>
      <c r="T338">
        <f>Source!X166</f>
        <v>68.739999999999995</v>
      </c>
      <c r="U338">
        <f>ROUND((Source!FY166/100)*((ROUND(Source!AF166*Source!I166, 2)+ROUND(Source!AE166*Source!I166, 2))), 2)</f>
        <v>7.83</v>
      </c>
      <c r="V338">
        <f>Source!Y166</f>
        <v>52.57</v>
      </c>
    </row>
    <row r="339" spans="1:26" ht="14.25" x14ac:dyDescent="0.2">
      <c r="A339" s="40"/>
      <c r="B339" s="41"/>
      <c r="C339" s="41" t="s">
        <v>989</v>
      </c>
      <c r="D339" s="24"/>
      <c r="E339" s="10"/>
      <c r="F339" s="25">
        <f>Source!AO166</f>
        <v>75.19</v>
      </c>
      <c r="G339" s="26" t="str">
        <f>Source!DG166</f>
        <v/>
      </c>
      <c r="H339" s="25">
        <f>ROUND(Source!AF166*Source!I166, 2)</f>
        <v>12.03</v>
      </c>
      <c r="I339" s="26"/>
      <c r="J339" s="26">
        <f>IF(Source!BA166&lt;&gt; 0, Source!BA166, 1)</f>
        <v>6.71</v>
      </c>
      <c r="K339" s="25">
        <f>Source!S166</f>
        <v>80.72</v>
      </c>
      <c r="L339" s="27"/>
      <c r="R339">
        <f>H339</f>
        <v>12.03</v>
      </c>
    </row>
    <row r="340" spans="1:26" ht="14.25" x14ac:dyDescent="0.2">
      <c r="A340" s="40"/>
      <c r="B340" s="41"/>
      <c r="C340" s="41" t="s">
        <v>300</v>
      </c>
      <c r="D340" s="24"/>
      <c r="E340" s="10"/>
      <c r="F340" s="25">
        <f>Source!AM166</f>
        <v>0.31</v>
      </c>
      <c r="G340" s="26" t="str">
        <f>Source!DE166</f>
        <v/>
      </c>
      <c r="H340" s="25">
        <f>ROUND(Source!AD166*Source!I166, 2)</f>
        <v>0.05</v>
      </c>
      <c r="I340" s="26"/>
      <c r="J340" s="26">
        <f>IF(Source!BB166&lt;&gt; 0, Source!BB166, 1)</f>
        <v>6.71</v>
      </c>
      <c r="K340" s="25">
        <f>Source!Q166</f>
        <v>0.33</v>
      </c>
      <c r="L340" s="27"/>
    </row>
    <row r="341" spans="1:26" ht="14.25" x14ac:dyDescent="0.2">
      <c r="A341" s="40"/>
      <c r="B341" s="41"/>
      <c r="C341" s="41" t="s">
        <v>995</v>
      </c>
      <c r="D341" s="24"/>
      <c r="E341" s="10"/>
      <c r="F341" s="25">
        <f>Source!AN166</f>
        <v>0.14000000000000001</v>
      </c>
      <c r="G341" s="26" t="str">
        <f>Source!DF166</f>
        <v/>
      </c>
      <c r="H341" s="35">
        <f>ROUND(Source!AE166*Source!I166, 2)</f>
        <v>0.02</v>
      </c>
      <c r="I341" s="26"/>
      <c r="J341" s="26">
        <f>IF(Source!BS166&lt;&gt; 0, Source!BS166, 1)</f>
        <v>6.71</v>
      </c>
      <c r="K341" s="35">
        <f>Source!R166</f>
        <v>0.15</v>
      </c>
      <c r="L341" s="27"/>
      <c r="R341">
        <f>H341</f>
        <v>0.02</v>
      </c>
    </row>
    <row r="342" spans="1:26" ht="14.25" x14ac:dyDescent="0.2">
      <c r="A342" s="40"/>
      <c r="B342" s="41"/>
      <c r="C342" s="41" t="s">
        <v>990</v>
      </c>
      <c r="D342" s="24" t="s">
        <v>991</v>
      </c>
      <c r="E342" s="10">
        <f>Source!BZ166</f>
        <v>85</v>
      </c>
      <c r="F342" s="44"/>
      <c r="G342" s="26"/>
      <c r="H342" s="25">
        <f>SUM(S338:S344)</f>
        <v>10.24</v>
      </c>
      <c r="I342" s="28"/>
      <c r="J342" s="23">
        <f>Source!AT166</f>
        <v>85</v>
      </c>
      <c r="K342" s="25">
        <f>SUM(T338:T344)</f>
        <v>68.739999999999995</v>
      </c>
      <c r="L342" s="27"/>
    </row>
    <row r="343" spans="1:26" ht="14.25" x14ac:dyDescent="0.2">
      <c r="A343" s="40"/>
      <c r="B343" s="41"/>
      <c r="C343" s="41" t="s">
        <v>992</v>
      </c>
      <c r="D343" s="24" t="s">
        <v>991</v>
      </c>
      <c r="E343" s="10">
        <f>Source!CA166</f>
        <v>65</v>
      </c>
      <c r="F343" s="44"/>
      <c r="G343" s="26"/>
      <c r="H343" s="25">
        <f>SUM(U338:U344)</f>
        <v>7.83</v>
      </c>
      <c r="I343" s="28"/>
      <c r="J343" s="23">
        <f>Source!AU166</f>
        <v>65</v>
      </c>
      <c r="K343" s="25">
        <f>SUM(V338:V344)</f>
        <v>52.57</v>
      </c>
      <c r="L343" s="27"/>
    </row>
    <row r="344" spans="1:26" ht="14.25" x14ac:dyDescent="0.2">
      <c r="A344" s="42"/>
      <c r="B344" s="43"/>
      <c r="C344" s="43" t="s">
        <v>993</v>
      </c>
      <c r="D344" s="29" t="s">
        <v>994</v>
      </c>
      <c r="E344" s="30">
        <f>Source!AQ166</f>
        <v>9.64</v>
      </c>
      <c r="F344" s="31"/>
      <c r="G344" s="32" t="str">
        <f>Source!DI166</f>
        <v/>
      </c>
      <c r="H344" s="31"/>
      <c r="I344" s="32"/>
      <c r="J344" s="32"/>
      <c r="K344" s="31"/>
      <c r="L344" s="33">
        <f>Source!U166</f>
        <v>1.5424000000000002</v>
      </c>
    </row>
    <row r="345" spans="1:26" ht="15" x14ac:dyDescent="0.25">
      <c r="G345" s="47">
        <f>H339+H340+H342+H343</f>
        <v>30.15</v>
      </c>
      <c r="H345" s="47"/>
      <c r="J345" s="47">
        <f>K339+K340+K342+K343</f>
        <v>202.35999999999999</v>
      </c>
      <c r="K345" s="47"/>
      <c r="L345" s="34">
        <f>Source!U166</f>
        <v>1.5424000000000002</v>
      </c>
      <c r="O345" s="21">
        <f>G345</f>
        <v>30.15</v>
      </c>
      <c r="P345" s="21">
        <f>J345</f>
        <v>202.35999999999999</v>
      </c>
      <c r="Q345" s="21">
        <f>L345</f>
        <v>1.5424000000000002</v>
      </c>
      <c r="W345">
        <f>IF(Source!BI166&lt;=1,H339+H340+H342+H343, 0)</f>
        <v>30.15</v>
      </c>
      <c r="X345">
        <f>IF(Source!BI166=2,H339+H340+H342+H343, 0)</f>
        <v>0</v>
      </c>
      <c r="Y345">
        <f>IF(Source!BI166=3,H339+H340+H342+H343, 0)</f>
        <v>0</v>
      </c>
      <c r="Z345">
        <f>IF(Source!BI166=4,H339+H340+H342+H343, 0)</f>
        <v>0</v>
      </c>
    </row>
    <row r="346" spans="1:26" ht="28.5" x14ac:dyDescent="0.2">
      <c r="A346" s="40" t="str">
        <f>Source!E167</f>
        <v>33</v>
      </c>
      <c r="B346" s="41" t="str">
        <f>Source!F167</f>
        <v>м08-02-390-01</v>
      </c>
      <c r="C346" s="41" t="str">
        <f>Source!G167</f>
        <v>Демонтаж короба пластмассового  шириной до 40 мм (кабель-канал)</v>
      </c>
      <c r="D346" s="24" t="str">
        <f>Source!H167</f>
        <v>100 м</v>
      </c>
      <c r="E346" s="10">
        <f>Source!I167</f>
        <v>0.14000000000000001</v>
      </c>
      <c r="F346" s="25">
        <f>Source!AL167+Source!AM167+Source!AO167</f>
        <v>206.76</v>
      </c>
      <c r="G346" s="26"/>
      <c r="H346" s="25"/>
      <c r="I346" s="26" t="str">
        <f>Source!BO167</f>
        <v/>
      </c>
      <c r="J346" s="26"/>
      <c r="K346" s="25"/>
      <c r="L346" s="27"/>
      <c r="S346">
        <f>ROUND((Source!FX167/100)*((ROUND(Source!AF167*Source!I167, 2)+ROUND(Source!AE167*Source!I167, 2))), 2)</f>
        <v>6.19</v>
      </c>
      <c r="T346">
        <f>Source!X167</f>
        <v>41.52</v>
      </c>
      <c r="U346">
        <f>ROUND((Source!FY167/100)*((ROUND(Source!AF167*Source!I167, 2)+ROUND(Source!AE167*Source!I167, 2))), 2)</f>
        <v>4.24</v>
      </c>
      <c r="V346">
        <f>Source!Y167</f>
        <v>28.41</v>
      </c>
    </row>
    <row r="347" spans="1:26" ht="14.25" x14ac:dyDescent="0.2">
      <c r="A347" s="40"/>
      <c r="B347" s="41"/>
      <c r="C347" s="41" t="s">
        <v>989</v>
      </c>
      <c r="D347" s="24"/>
      <c r="E347" s="10"/>
      <c r="F347" s="25">
        <f>Source!AO167</f>
        <v>154.91999999999999</v>
      </c>
      <c r="G347" s="26" t="str">
        <f>Source!DG167</f>
        <v>)*0,3</v>
      </c>
      <c r="H347" s="25">
        <f>ROUND(Source!AF167*Source!I167, 2)</f>
        <v>6.51</v>
      </c>
      <c r="I347" s="26"/>
      <c r="J347" s="26">
        <f>IF(Source!BA167&lt;&gt; 0, Source!BA167, 1)</f>
        <v>6.71</v>
      </c>
      <c r="K347" s="25">
        <f>Source!S167</f>
        <v>43.66</v>
      </c>
      <c r="L347" s="27"/>
      <c r="R347">
        <f>H347</f>
        <v>6.51</v>
      </c>
    </row>
    <row r="348" spans="1:26" ht="14.25" x14ac:dyDescent="0.2">
      <c r="A348" s="40"/>
      <c r="B348" s="41"/>
      <c r="C348" s="41" t="s">
        <v>300</v>
      </c>
      <c r="D348" s="24"/>
      <c r="E348" s="10"/>
      <c r="F348" s="25">
        <f>Source!AM167</f>
        <v>0.31</v>
      </c>
      <c r="G348" s="26" t="str">
        <f>Source!DE167</f>
        <v>)*0,3</v>
      </c>
      <c r="H348" s="25">
        <f>ROUND(Source!AD167*Source!I167, 2)</f>
        <v>0.01</v>
      </c>
      <c r="I348" s="26"/>
      <c r="J348" s="26">
        <f>IF(Source!BB167&lt;&gt; 0, Source!BB167, 1)</f>
        <v>6.71</v>
      </c>
      <c r="K348" s="25">
        <f>Source!Q167</f>
        <v>0.08</v>
      </c>
      <c r="L348" s="27"/>
    </row>
    <row r="349" spans="1:26" ht="14.25" x14ac:dyDescent="0.2">
      <c r="A349" s="40"/>
      <c r="B349" s="41"/>
      <c r="C349" s="41" t="s">
        <v>995</v>
      </c>
      <c r="D349" s="24"/>
      <c r="E349" s="10"/>
      <c r="F349" s="25">
        <f>Source!AN167</f>
        <v>0.14000000000000001</v>
      </c>
      <c r="G349" s="26" t="str">
        <f>Source!DF167</f>
        <v>)*0,3</v>
      </c>
      <c r="H349" s="35">
        <f>ROUND(Source!AE167*Source!I167, 2)</f>
        <v>0.01</v>
      </c>
      <c r="I349" s="26"/>
      <c r="J349" s="26">
        <f>IF(Source!BS167&lt;&gt; 0, Source!BS167, 1)</f>
        <v>6.71</v>
      </c>
      <c r="K349" s="35">
        <f>Source!R167</f>
        <v>0.04</v>
      </c>
      <c r="L349" s="27"/>
      <c r="R349">
        <f>H349</f>
        <v>0.01</v>
      </c>
    </row>
    <row r="350" spans="1:26" ht="14.25" x14ac:dyDescent="0.2">
      <c r="A350" s="40"/>
      <c r="B350" s="41"/>
      <c r="C350" s="41" t="s">
        <v>990</v>
      </c>
      <c r="D350" s="24" t="s">
        <v>991</v>
      </c>
      <c r="E350" s="10">
        <f>Source!BZ167</f>
        <v>95</v>
      </c>
      <c r="F350" s="44"/>
      <c r="G350" s="26"/>
      <c r="H350" s="25">
        <f>SUM(S346:S352)</f>
        <v>6.19</v>
      </c>
      <c r="I350" s="28"/>
      <c r="J350" s="23">
        <f>Source!AT167</f>
        <v>95</v>
      </c>
      <c r="K350" s="25">
        <f>SUM(T346:T352)</f>
        <v>41.52</v>
      </c>
      <c r="L350" s="27"/>
    </row>
    <row r="351" spans="1:26" ht="14.25" x14ac:dyDescent="0.2">
      <c r="A351" s="40"/>
      <c r="B351" s="41"/>
      <c r="C351" s="41" t="s">
        <v>992</v>
      </c>
      <c r="D351" s="24" t="s">
        <v>991</v>
      </c>
      <c r="E351" s="10">
        <f>Source!CA167</f>
        <v>65</v>
      </c>
      <c r="F351" s="44"/>
      <c r="G351" s="26"/>
      <c r="H351" s="25">
        <f>SUM(U346:U352)</f>
        <v>4.24</v>
      </c>
      <c r="I351" s="28"/>
      <c r="J351" s="23">
        <f>Source!AU167</f>
        <v>65</v>
      </c>
      <c r="K351" s="25">
        <f>SUM(V346:V352)</f>
        <v>28.41</v>
      </c>
      <c r="L351" s="27"/>
    </row>
    <row r="352" spans="1:26" ht="14.25" x14ac:dyDescent="0.2">
      <c r="A352" s="42"/>
      <c r="B352" s="43"/>
      <c r="C352" s="43" t="s">
        <v>993</v>
      </c>
      <c r="D352" s="29" t="s">
        <v>994</v>
      </c>
      <c r="E352" s="30">
        <f>Source!AQ167</f>
        <v>16.29</v>
      </c>
      <c r="F352" s="31"/>
      <c r="G352" s="32" t="str">
        <f>Source!DI167</f>
        <v>)*0,3</v>
      </c>
      <c r="H352" s="31"/>
      <c r="I352" s="32"/>
      <c r="J352" s="32"/>
      <c r="K352" s="31"/>
      <c r="L352" s="33">
        <f>Source!U167</f>
        <v>0.68418000000000001</v>
      </c>
    </row>
    <row r="353" spans="1:26" ht="15" x14ac:dyDescent="0.25">
      <c r="G353" s="47">
        <f>H347+H348+H350+H351</f>
        <v>16.950000000000003</v>
      </c>
      <c r="H353" s="47"/>
      <c r="J353" s="47">
        <f>K347+K348+K350+K351</f>
        <v>113.66999999999999</v>
      </c>
      <c r="K353" s="47"/>
      <c r="L353" s="34">
        <f>Source!U167</f>
        <v>0.68418000000000001</v>
      </c>
      <c r="O353" s="21">
        <f>G353</f>
        <v>16.950000000000003</v>
      </c>
      <c r="P353" s="21">
        <f>J353</f>
        <v>113.66999999999999</v>
      </c>
      <c r="Q353" s="21">
        <f>L353</f>
        <v>0.68418000000000001</v>
      </c>
      <c r="W353">
        <f>IF(Source!BI167&lt;=1,H347+H348+H350+H351, 0)</f>
        <v>0</v>
      </c>
      <c r="X353">
        <f>IF(Source!BI167=2,H347+H348+H350+H351, 0)</f>
        <v>16.950000000000003</v>
      </c>
      <c r="Y353">
        <f>IF(Source!BI167=3,H347+H348+H350+H351, 0)</f>
        <v>0</v>
      </c>
      <c r="Z353">
        <f>IF(Source!BI167=4,H347+H348+H350+H351, 0)</f>
        <v>0</v>
      </c>
    </row>
    <row r="354" spans="1:26" ht="42.75" x14ac:dyDescent="0.2">
      <c r="A354" s="40" t="str">
        <f>Source!E168</f>
        <v>34</v>
      </c>
      <c r="B354" s="41" t="str">
        <f>Source!F168</f>
        <v>м08-03-594-08</v>
      </c>
      <c r="C354" s="41" t="str">
        <f>Source!G168</f>
        <v>Демонтаж светильников со светодиодными лампами (на склад для хранения)</v>
      </c>
      <c r="D354" s="24" t="str">
        <f>Source!H168</f>
        <v>100 ШТ</v>
      </c>
      <c r="E354" s="10">
        <f>Source!I168</f>
        <v>0.76</v>
      </c>
      <c r="F354" s="25">
        <f>Source!AL168+Source!AM168+Source!AO168</f>
        <v>1663.44</v>
      </c>
      <c r="G354" s="26"/>
      <c r="H354" s="25"/>
      <c r="I354" s="26" t="str">
        <f>Source!BO168</f>
        <v/>
      </c>
      <c r="J354" s="26"/>
      <c r="K354" s="25"/>
      <c r="L354" s="27"/>
      <c r="S354">
        <f>ROUND((Source!FX168/100)*((ROUND(Source!AF168*Source!I168, 2)+ROUND(Source!AE168*Source!I168, 2))), 2)</f>
        <v>745.82</v>
      </c>
      <c r="T354">
        <f>Source!X168</f>
        <v>5004.3900000000003</v>
      </c>
      <c r="U354">
        <f>ROUND((Source!FY168/100)*((ROUND(Source!AF168*Source!I168, 2)+ROUND(Source!AE168*Source!I168, 2))), 2)</f>
        <v>510.3</v>
      </c>
      <c r="V354">
        <f>Source!Y168</f>
        <v>3424.06</v>
      </c>
    </row>
    <row r="355" spans="1:26" x14ac:dyDescent="0.2">
      <c r="C355" s="20" t="str">
        <f>"Объем: "&amp;Source!I168&amp;"=76/"&amp;"100"</f>
        <v>Объем: 0,76=76/100</v>
      </c>
    </row>
    <row r="356" spans="1:26" ht="14.25" x14ac:dyDescent="0.2">
      <c r="A356" s="40"/>
      <c r="B356" s="41"/>
      <c r="C356" s="41" t="s">
        <v>989</v>
      </c>
      <c r="D356" s="24"/>
      <c r="E356" s="10"/>
      <c r="F356" s="25">
        <f>Source!AO168</f>
        <v>1468.16</v>
      </c>
      <c r="G356" s="26" t="str">
        <f>Source!DG168</f>
        <v>)*0,7</v>
      </c>
      <c r="H356" s="25">
        <f>ROUND(Source!AF168*Source!I168, 2)</f>
        <v>781.06</v>
      </c>
      <c r="I356" s="26"/>
      <c r="J356" s="26">
        <f>IF(Source!BA168&lt;&gt; 0, Source!BA168, 1)</f>
        <v>6.71</v>
      </c>
      <c r="K356" s="25">
        <f>Source!S168</f>
        <v>5240.91</v>
      </c>
      <c r="L356" s="27"/>
      <c r="R356">
        <f>H356</f>
        <v>781.06</v>
      </c>
    </row>
    <row r="357" spans="1:26" ht="14.25" x14ac:dyDescent="0.2">
      <c r="A357" s="40"/>
      <c r="B357" s="41"/>
      <c r="C357" s="41" t="s">
        <v>300</v>
      </c>
      <c r="D357" s="24"/>
      <c r="E357" s="10"/>
      <c r="F357" s="25">
        <f>Source!AM168</f>
        <v>53.31</v>
      </c>
      <c r="G357" s="26" t="str">
        <f>Source!DE168</f>
        <v>)*0,7</v>
      </c>
      <c r="H357" s="25">
        <f>ROUND(Source!AD168*Source!I168, 2)</f>
        <v>28.36</v>
      </c>
      <c r="I357" s="26"/>
      <c r="J357" s="26">
        <f>IF(Source!BB168&lt;&gt; 0, Source!BB168, 1)</f>
        <v>6.71</v>
      </c>
      <c r="K357" s="25">
        <f>Source!Q168</f>
        <v>190.32</v>
      </c>
      <c r="L357" s="27"/>
    </row>
    <row r="358" spans="1:26" ht="14.25" x14ac:dyDescent="0.2">
      <c r="A358" s="40"/>
      <c r="B358" s="41"/>
      <c r="C358" s="41" t="s">
        <v>995</v>
      </c>
      <c r="D358" s="24"/>
      <c r="E358" s="10"/>
      <c r="F358" s="25">
        <f>Source!AN168</f>
        <v>7.53</v>
      </c>
      <c r="G358" s="26" t="str">
        <f>Source!DF168</f>
        <v>)*0,7</v>
      </c>
      <c r="H358" s="35">
        <f>ROUND(Source!AE168*Source!I168, 2)</f>
        <v>4.01</v>
      </c>
      <c r="I358" s="26"/>
      <c r="J358" s="26">
        <f>IF(Source!BS168&lt;&gt; 0, Source!BS168, 1)</f>
        <v>6.71</v>
      </c>
      <c r="K358" s="35">
        <f>Source!R168</f>
        <v>26.87</v>
      </c>
      <c r="L358" s="27"/>
      <c r="R358">
        <f>H358</f>
        <v>4.01</v>
      </c>
    </row>
    <row r="359" spans="1:26" ht="14.25" x14ac:dyDescent="0.2">
      <c r="A359" s="40"/>
      <c r="B359" s="41"/>
      <c r="C359" s="41" t="s">
        <v>990</v>
      </c>
      <c r="D359" s="24" t="s">
        <v>991</v>
      </c>
      <c r="E359" s="10">
        <f>Source!BZ168</f>
        <v>95</v>
      </c>
      <c r="F359" s="44"/>
      <c r="G359" s="26"/>
      <c r="H359" s="25">
        <f>SUM(S354:S361)</f>
        <v>745.82</v>
      </c>
      <c r="I359" s="28"/>
      <c r="J359" s="23">
        <f>Source!AT168</f>
        <v>95</v>
      </c>
      <c r="K359" s="25">
        <f>SUM(T354:T361)</f>
        <v>5004.3900000000003</v>
      </c>
      <c r="L359" s="27"/>
    </row>
    <row r="360" spans="1:26" ht="14.25" x14ac:dyDescent="0.2">
      <c r="A360" s="40"/>
      <c r="B360" s="41"/>
      <c r="C360" s="41" t="s">
        <v>992</v>
      </c>
      <c r="D360" s="24" t="s">
        <v>991</v>
      </c>
      <c r="E360" s="10">
        <f>Source!CA168</f>
        <v>65</v>
      </c>
      <c r="F360" s="44"/>
      <c r="G360" s="26"/>
      <c r="H360" s="25">
        <f>SUM(U354:U361)</f>
        <v>510.3</v>
      </c>
      <c r="I360" s="28"/>
      <c r="J360" s="23">
        <f>Source!AU168</f>
        <v>65</v>
      </c>
      <c r="K360" s="25">
        <f>SUM(V354:V361)</f>
        <v>3424.06</v>
      </c>
      <c r="L360" s="27"/>
    </row>
    <row r="361" spans="1:26" ht="14.25" x14ac:dyDescent="0.2">
      <c r="A361" s="42"/>
      <c r="B361" s="43"/>
      <c r="C361" s="43" t="s">
        <v>993</v>
      </c>
      <c r="D361" s="29" t="s">
        <v>994</v>
      </c>
      <c r="E361" s="30">
        <f>Source!AQ168</f>
        <v>148</v>
      </c>
      <c r="F361" s="31"/>
      <c r="G361" s="32" t="str">
        <f>Source!DI168</f>
        <v>)*0,7</v>
      </c>
      <c r="H361" s="31"/>
      <c r="I361" s="32"/>
      <c r="J361" s="32"/>
      <c r="K361" s="31"/>
      <c r="L361" s="33">
        <f>Source!U168</f>
        <v>78.73599999999999</v>
      </c>
    </row>
    <row r="362" spans="1:26" ht="15" x14ac:dyDescent="0.25">
      <c r="G362" s="47">
        <f>H356+H357+H359+H360</f>
        <v>2065.54</v>
      </c>
      <c r="H362" s="47"/>
      <c r="J362" s="47">
        <f>K356+K357+K359+K360</f>
        <v>13859.679999999998</v>
      </c>
      <c r="K362" s="47"/>
      <c r="L362" s="34">
        <f>Source!U168</f>
        <v>78.73599999999999</v>
      </c>
      <c r="O362" s="21">
        <f>G362</f>
        <v>2065.54</v>
      </c>
      <c r="P362" s="21">
        <f>J362</f>
        <v>13859.679999999998</v>
      </c>
      <c r="Q362" s="21">
        <f>L362</f>
        <v>78.73599999999999</v>
      </c>
      <c r="W362">
        <f>IF(Source!BI168&lt;=1,H356+H357+H359+H360, 0)</f>
        <v>0</v>
      </c>
      <c r="X362">
        <f>IF(Source!BI168=2,H356+H357+H359+H360, 0)</f>
        <v>2065.54</v>
      </c>
      <c r="Y362">
        <f>IF(Source!BI168=3,H356+H357+H359+H360, 0)</f>
        <v>0</v>
      </c>
      <c r="Z362">
        <f>IF(Source!BI168=4,H356+H357+H359+H360, 0)</f>
        <v>0</v>
      </c>
    </row>
    <row r="363" spans="1:26" ht="85.5" x14ac:dyDescent="0.2">
      <c r="A363" s="40" t="str">
        <f>Source!E169</f>
        <v>35</v>
      </c>
      <c r="B363" s="41" t="str">
        <f>Source!F169</f>
        <v>м08-03-525-09 прим.</v>
      </c>
      <c r="C363" s="41" t="str">
        <f>Source!G169</f>
        <v>Демонтаж проектора и проекторной доски :Аппарат штепсельный общего назначения, устанавливаемый на конструкции на стене или колонне, с контактами силовых цепей на ток до 63 А</v>
      </c>
      <c r="D363" s="24" t="str">
        <f>Source!H169</f>
        <v>КОМПЛ</v>
      </c>
      <c r="E363" s="10">
        <f>Source!I169</f>
        <v>1</v>
      </c>
      <c r="F363" s="25">
        <f>Source!AL169+Source!AM169+Source!AO169</f>
        <v>65.78</v>
      </c>
      <c r="G363" s="26"/>
      <c r="H363" s="25"/>
      <c r="I363" s="26" t="str">
        <f>Source!BO169</f>
        <v/>
      </c>
      <c r="J363" s="26"/>
      <c r="K363" s="25"/>
      <c r="L363" s="27"/>
      <c r="S363">
        <f>ROUND((Source!FX169/100)*((ROUND(Source!AF169*Source!I169, 2)+ROUND(Source!AE169*Source!I169, 2))), 2)</f>
        <v>12.33</v>
      </c>
      <c r="T363">
        <f>Source!X169</f>
        <v>82.75</v>
      </c>
      <c r="U363">
        <f>ROUND((Source!FY169/100)*((ROUND(Source!AF169*Source!I169, 2)+ROUND(Source!AE169*Source!I169, 2))), 2)</f>
        <v>8.44</v>
      </c>
      <c r="V363">
        <f>Source!Y169</f>
        <v>56.62</v>
      </c>
    </row>
    <row r="364" spans="1:26" ht="14.25" x14ac:dyDescent="0.2">
      <c r="A364" s="40"/>
      <c r="B364" s="41"/>
      <c r="C364" s="41" t="s">
        <v>989</v>
      </c>
      <c r="D364" s="24"/>
      <c r="E364" s="10"/>
      <c r="F364" s="25">
        <f>Source!AO169</f>
        <v>21.63</v>
      </c>
      <c r="G364" s="26" t="str">
        <f>Source!DG169</f>
        <v>)*0,6</v>
      </c>
      <c r="H364" s="25">
        <f>ROUND(Source!AF169*Source!I169, 2)</f>
        <v>12.98</v>
      </c>
      <c r="I364" s="26"/>
      <c r="J364" s="26">
        <f>IF(Source!BA169&lt;&gt; 0, Source!BA169, 1)</f>
        <v>6.71</v>
      </c>
      <c r="K364" s="25">
        <f>Source!S169</f>
        <v>87.1</v>
      </c>
      <c r="L364" s="27"/>
      <c r="R364">
        <f>H364</f>
        <v>12.98</v>
      </c>
    </row>
    <row r="365" spans="1:26" ht="14.25" x14ac:dyDescent="0.2">
      <c r="A365" s="40"/>
      <c r="B365" s="41"/>
      <c r="C365" s="41" t="s">
        <v>300</v>
      </c>
      <c r="D365" s="24"/>
      <c r="E365" s="10"/>
      <c r="F365" s="25">
        <f>Source!AM169</f>
        <v>0.59</v>
      </c>
      <c r="G365" s="26" t="str">
        <f>Source!DE169</f>
        <v>)*0,6</v>
      </c>
      <c r="H365" s="25">
        <f>ROUND(Source!AD169*Source!I169, 2)</f>
        <v>0.35</v>
      </c>
      <c r="I365" s="26"/>
      <c r="J365" s="26">
        <f>IF(Source!BB169&lt;&gt; 0, Source!BB169, 1)</f>
        <v>6.71</v>
      </c>
      <c r="K365" s="25">
        <f>Source!Q169</f>
        <v>2.35</v>
      </c>
      <c r="L365" s="27"/>
    </row>
    <row r="366" spans="1:26" ht="14.25" x14ac:dyDescent="0.2">
      <c r="A366" s="40"/>
      <c r="B366" s="41"/>
      <c r="C366" s="41" t="s">
        <v>990</v>
      </c>
      <c r="D366" s="24" t="s">
        <v>991</v>
      </c>
      <c r="E366" s="10">
        <f>Source!BZ169</f>
        <v>95</v>
      </c>
      <c r="F366" s="44"/>
      <c r="G366" s="26"/>
      <c r="H366" s="25">
        <f>SUM(S363:S368)</f>
        <v>12.33</v>
      </c>
      <c r="I366" s="28"/>
      <c r="J366" s="23">
        <f>Source!AT169</f>
        <v>95</v>
      </c>
      <c r="K366" s="25">
        <f>SUM(T363:T368)</f>
        <v>82.75</v>
      </c>
      <c r="L366" s="27"/>
    </row>
    <row r="367" spans="1:26" ht="14.25" x14ac:dyDescent="0.2">
      <c r="A367" s="40"/>
      <c r="B367" s="41"/>
      <c r="C367" s="41" t="s">
        <v>992</v>
      </c>
      <c r="D367" s="24" t="s">
        <v>991</v>
      </c>
      <c r="E367" s="10">
        <f>Source!CA169</f>
        <v>65</v>
      </c>
      <c r="F367" s="44"/>
      <c r="G367" s="26"/>
      <c r="H367" s="25">
        <f>SUM(U363:U368)</f>
        <v>8.44</v>
      </c>
      <c r="I367" s="28"/>
      <c r="J367" s="23">
        <f>Source!AU169</f>
        <v>65</v>
      </c>
      <c r="K367" s="25">
        <f>SUM(V363:V368)</f>
        <v>56.62</v>
      </c>
      <c r="L367" s="27"/>
    </row>
    <row r="368" spans="1:26" ht="14.25" x14ac:dyDescent="0.2">
      <c r="A368" s="42"/>
      <c r="B368" s="43"/>
      <c r="C368" s="43" t="s">
        <v>993</v>
      </c>
      <c r="D368" s="29" t="s">
        <v>994</v>
      </c>
      <c r="E368" s="30">
        <f>Source!AQ169</f>
        <v>2.09</v>
      </c>
      <c r="F368" s="31"/>
      <c r="G368" s="32" t="str">
        <f>Source!DI169</f>
        <v>)*0,6</v>
      </c>
      <c r="H368" s="31"/>
      <c r="I368" s="32"/>
      <c r="J368" s="32"/>
      <c r="K368" s="31"/>
      <c r="L368" s="33">
        <f>Source!U169</f>
        <v>1.2539999999999998</v>
      </c>
    </row>
    <row r="369" spans="1:26" ht="15" x14ac:dyDescent="0.25">
      <c r="G369" s="47">
        <f>H364+H365+H366+H367</f>
        <v>34.1</v>
      </c>
      <c r="H369" s="47"/>
      <c r="J369" s="47">
        <f>K364+K365+K366+K367</f>
        <v>228.82</v>
      </c>
      <c r="K369" s="47"/>
      <c r="L369" s="34">
        <f>Source!U169</f>
        <v>1.2539999999999998</v>
      </c>
      <c r="O369" s="21">
        <f>G369</f>
        <v>34.1</v>
      </c>
      <c r="P369" s="21">
        <f>J369</f>
        <v>228.82</v>
      </c>
      <c r="Q369" s="21">
        <f>L369</f>
        <v>1.2539999999999998</v>
      </c>
      <c r="W369">
        <f>IF(Source!BI169&lt;=1,H364+H365+H366+H367, 0)</f>
        <v>0</v>
      </c>
      <c r="X369">
        <f>IF(Source!BI169=2,H364+H365+H366+H367, 0)</f>
        <v>34.1</v>
      </c>
      <c r="Y369">
        <f>IF(Source!BI169=3,H364+H365+H366+H367, 0)</f>
        <v>0</v>
      </c>
      <c r="Z369">
        <f>IF(Source!BI169=4,H364+H365+H366+H367, 0)</f>
        <v>0</v>
      </c>
    </row>
    <row r="370" spans="1:26" ht="85.5" x14ac:dyDescent="0.2">
      <c r="A370" s="40" t="str">
        <f>Source!E170</f>
        <v>36</v>
      </c>
      <c r="B370" s="41" t="str">
        <f>Source!F170</f>
        <v>м08-03-525-09 прим.</v>
      </c>
      <c r="C370" s="41" t="str">
        <f>Source!G170</f>
        <v>Аппарат штепсельный общего назначения, устанавливаемый на конструкции на стене или колонне, с контактами силовых цепей на ток до 63 А (проектор и проекторная доска без материалов)</v>
      </c>
      <c r="D370" s="24" t="str">
        <f>Source!H170</f>
        <v>КОМПЛ</v>
      </c>
      <c r="E370" s="10">
        <f>Source!I170</f>
        <v>1</v>
      </c>
      <c r="F370" s="25">
        <f>Source!AL170+Source!AM170+Source!AO170</f>
        <v>65.78</v>
      </c>
      <c r="G370" s="26"/>
      <c r="H370" s="25"/>
      <c r="I370" s="26" t="str">
        <f>Source!BO170</f>
        <v/>
      </c>
      <c r="J370" s="26"/>
      <c r="K370" s="25"/>
      <c r="L370" s="27"/>
      <c r="S370">
        <f>ROUND((Source!FX170/100)*((ROUND(Source!AF170*Source!I170, 2)+ROUND(Source!AE170*Source!I170, 2))), 2)</f>
        <v>20.55</v>
      </c>
      <c r="T370">
        <f>Source!X170</f>
        <v>137.88</v>
      </c>
      <c r="U370">
        <f>ROUND((Source!FY170/100)*((ROUND(Source!AF170*Source!I170, 2)+ROUND(Source!AE170*Source!I170, 2))), 2)</f>
        <v>14.06</v>
      </c>
      <c r="V370">
        <f>Source!Y170</f>
        <v>94.34</v>
      </c>
    </row>
    <row r="371" spans="1:26" ht="14.25" x14ac:dyDescent="0.2">
      <c r="A371" s="40"/>
      <c r="B371" s="41"/>
      <c r="C371" s="41" t="s">
        <v>989</v>
      </c>
      <c r="D371" s="24"/>
      <c r="E371" s="10"/>
      <c r="F371" s="25">
        <f>Source!AO170</f>
        <v>21.63</v>
      </c>
      <c r="G371" s="26" t="str">
        <f>Source!DG170</f>
        <v/>
      </c>
      <c r="H371" s="25">
        <f>ROUND(Source!AF170*Source!I170, 2)</f>
        <v>21.63</v>
      </c>
      <c r="I371" s="26"/>
      <c r="J371" s="26">
        <f>IF(Source!BA170&lt;&gt; 0, Source!BA170, 1)</f>
        <v>6.71</v>
      </c>
      <c r="K371" s="25">
        <f>Source!S170</f>
        <v>145.13999999999999</v>
      </c>
      <c r="L371" s="27"/>
      <c r="R371">
        <f>H371</f>
        <v>21.63</v>
      </c>
    </row>
    <row r="372" spans="1:26" ht="14.25" x14ac:dyDescent="0.2">
      <c r="A372" s="40"/>
      <c r="B372" s="41"/>
      <c r="C372" s="41" t="s">
        <v>300</v>
      </c>
      <c r="D372" s="24"/>
      <c r="E372" s="10"/>
      <c r="F372" s="25">
        <f>Source!AM170</f>
        <v>0.59</v>
      </c>
      <c r="G372" s="26" t="str">
        <f>Source!DE170</f>
        <v/>
      </c>
      <c r="H372" s="25">
        <f>ROUND(Source!AD170*Source!I170, 2)</f>
        <v>0.59</v>
      </c>
      <c r="I372" s="26"/>
      <c r="J372" s="26">
        <f>IF(Source!BB170&lt;&gt; 0, Source!BB170, 1)</f>
        <v>6.71</v>
      </c>
      <c r="K372" s="25">
        <f>Source!Q170</f>
        <v>3.96</v>
      </c>
      <c r="L372" s="27"/>
    </row>
    <row r="373" spans="1:26" ht="14.25" x14ac:dyDescent="0.2">
      <c r="A373" s="40"/>
      <c r="B373" s="41"/>
      <c r="C373" s="41" t="s">
        <v>996</v>
      </c>
      <c r="D373" s="24"/>
      <c r="E373" s="10"/>
      <c r="F373" s="25">
        <f>Source!AL170</f>
        <v>43.56</v>
      </c>
      <c r="G373" s="26" t="str">
        <f>Source!DD170</f>
        <v/>
      </c>
      <c r="H373" s="25">
        <f>ROUND(Source!AC170*Source!I170, 2)</f>
        <v>43.56</v>
      </c>
      <c r="I373" s="26"/>
      <c r="J373" s="26">
        <f>IF(Source!BC170&lt;&gt; 0, Source!BC170, 1)</f>
        <v>6.71</v>
      </c>
      <c r="K373" s="25">
        <f>Source!P170</f>
        <v>292.29000000000002</v>
      </c>
      <c r="L373" s="27"/>
    </row>
    <row r="374" spans="1:26" ht="14.25" x14ac:dyDescent="0.2">
      <c r="A374" s="40"/>
      <c r="B374" s="41"/>
      <c r="C374" s="41" t="s">
        <v>990</v>
      </c>
      <c r="D374" s="24" t="s">
        <v>991</v>
      </c>
      <c r="E374" s="10">
        <f>Source!BZ170</f>
        <v>95</v>
      </c>
      <c r="F374" s="44"/>
      <c r="G374" s="26"/>
      <c r="H374" s="25">
        <f>SUM(S370:S376)</f>
        <v>20.55</v>
      </c>
      <c r="I374" s="28"/>
      <c r="J374" s="23">
        <f>Source!AT170</f>
        <v>95</v>
      </c>
      <c r="K374" s="25">
        <f>SUM(T370:T376)</f>
        <v>137.88</v>
      </c>
      <c r="L374" s="27"/>
    </row>
    <row r="375" spans="1:26" ht="14.25" x14ac:dyDescent="0.2">
      <c r="A375" s="40"/>
      <c r="B375" s="41"/>
      <c r="C375" s="41" t="s">
        <v>992</v>
      </c>
      <c r="D375" s="24" t="s">
        <v>991</v>
      </c>
      <c r="E375" s="10">
        <f>Source!CA170</f>
        <v>65</v>
      </c>
      <c r="F375" s="44"/>
      <c r="G375" s="26"/>
      <c r="H375" s="25">
        <f>SUM(U370:U376)</f>
        <v>14.06</v>
      </c>
      <c r="I375" s="28"/>
      <c r="J375" s="23">
        <f>Source!AU170</f>
        <v>65</v>
      </c>
      <c r="K375" s="25">
        <f>SUM(V370:V376)</f>
        <v>94.34</v>
      </c>
      <c r="L375" s="27"/>
    </row>
    <row r="376" spans="1:26" ht="14.25" x14ac:dyDescent="0.2">
      <c r="A376" s="42"/>
      <c r="B376" s="43"/>
      <c r="C376" s="43" t="s">
        <v>993</v>
      </c>
      <c r="D376" s="29" t="s">
        <v>994</v>
      </c>
      <c r="E376" s="30">
        <f>Source!AQ170</f>
        <v>2.09</v>
      </c>
      <c r="F376" s="31"/>
      <c r="G376" s="32" t="str">
        <f>Source!DI170</f>
        <v/>
      </c>
      <c r="H376" s="31"/>
      <c r="I376" s="32"/>
      <c r="J376" s="32"/>
      <c r="K376" s="31"/>
      <c r="L376" s="33">
        <f>Source!U170</f>
        <v>2.09</v>
      </c>
    </row>
    <row r="377" spans="1:26" ht="15" x14ac:dyDescent="0.25">
      <c r="G377" s="47">
        <f>H371+H372+H373+H374+H375</f>
        <v>100.39</v>
      </c>
      <c r="H377" s="47"/>
      <c r="J377" s="47">
        <f>K371+K372+K373+K374+K375</f>
        <v>673.61</v>
      </c>
      <c r="K377" s="47"/>
      <c r="L377" s="34">
        <f>Source!U170</f>
        <v>2.09</v>
      </c>
      <c r="O377" s="21">
        <f>G377</f>
        <v>100.39</v>
      </c>
      <c r="P377" s="21">
        <f>J377</f>
        <v>673.61</v>
      </c>
      <c r="Q377" s="21">
        <f>L377</f>
        <v>2.09</v>
      </c>
      <c r="W377">
        <f>IF(Source!BI170&lt;=1,H371+H372+H373+H374+H375, 0)</f>
        <v>0</v>
      </c>
      <c r="X377">
        <f>IF(Source!BI170=2,H371+H372+H373+H374+H375, 0)</f>
        <v>100.39</v>
      </c>
      <c r="Y377">
        <f>IF(Source!BI170=3,H371+H372+H373+H374+H375, 0)</f>
        <v>0</v>
      </c>
      <c r="Z377">
        <f>IF(Source!BI170=4,H371+H372+H373+H374+H375, 0)</f>
        <v>0</v>
      </c>
    </row>
    <row r="378" spans="1:26" ht="14.25" x14ac:dyDescent="0.2">
      <c r="A378" s="40" t="str">
        <f>Source!E171</f>
        <v>37</v>
      </c>
      <c r="B378" s="41" t="str">
        <f>Source!F171</f>
        <v>67-4-1</v>
      </c>
      <c r="C378" s="41" t="str">
        <f>Source!G171</f>
        <v>Демонтаж выключателей, розеток</v>
      </c>
      <c r="D378" s="24" t="str">
        <f>Source!H171</f>
        <v>100 ШТ</v>
      </c>
      <c r="E378" s="10">
        <f>Source!I171</f>
        <v>0.22</v>
      </c>
      <c r="F378" s="25">
        <f>Source!AL171+Source!AM171+Source!AO171</f>
        <v>45.55</v>
      </c>
      <c r="G378" s="26"/>
      <c r="H378" s="25"/>
      <c r="I378" s="26" t="str">
        <f>Source!BO171</f>
        <v/>
      </c>
      <c r="J378" s="26"/>
      <c r="K378" s="25"/>
      <c r="L378" s="27"/>
      <c r="S378">
        <f>ROUND((Source!FX171/100)*((ROUND(Source!AF171*Source!I171, 2)+ROUND(Source!AE171*Source!I171, 2))), 2)</f>
        <v>8.52</v>
      </c>
      <c r="T378">
        <f>Source!X171</f>
        <v>57.15</v>
      </c>
      <c r="U378">
        <f>ROUND((Source!FY171/100)*((ROUND(Source!AF171*Source!I171, 2)+ROUND(Source!AE171*Source!I171, 2))), 2)</f>
        <v>6.51</v>
      </c>
      <c r="V378">
        <f>Source!Y171</f>
        <v>43.71</v>
      </c>
    </row>
    <row r="379" spans="1:26" x14ac:dyDescent="0.2">
      <c r="C379" s="20" t="str">
        <f>"Объем: "&amp;Source!I171&amp;"=22/"&amp;"100"</f>
        <v>Объем: 0,22=22/100</v>
      </c>
    </row>
    <row r="380" spans="1:26" ht="14.25" x14ac:dyDescent="0.2">
      <c r="A380" s="40"/>
      <c r="B380" s="41"/>
      <c r="C380" s="41" t="s">
        <v>989</v>
      </c>
      <c r="D380" s="24"/>
      <c r="E380" s="10"/>
      <c r="F380" s="25">
        <f>Source!AO171</f>
        <v>45.55</v>
      </c>
      <c r="G380" s="26" t="str">
        <f>Source!DG171</f>
        <v/>
      </c>
      <c r="H380" s="25">
        <f>ROUND(Source!AF171*Source!I171, 2)</f>
        <v>10.02</v>
      </c>
      <c r="I380" s="26"/>
      <c r="J380" s="26">
        <f>IF(Source!BA171&lt;&gt; 0, Source!BA171, 1)</f>
        <v>6.71</v>
      </c>
      <c r="K380" s="25">
        <f>Source!S171</f>
        <v>67.239999999999995</v>
      </c>
      <c r="L380" s="27"/>
      <c r="R380">
        <f>H380</f>
        <v>10.02</v>
      </c>
    </row>
    <row r="381" spans="1:26" ht="14.25" x14ac:dyDescent="0.2">
      <c r="A381" s="40"/>
      <c r="B381" s="41"/>
      <c r="C381" s="41" t="s">
        <v>990</v>
      </c>
      <c r="D381" s="24" t="s">
        <v>991</v>
      </c>
      <c r="E381" s="10">
        <f>Source!BZ171</f>
        <v>85</v>
      </c>
      <c r="F381" s="44"/>
      <c r="G381" s="26"/>
      <c r="H381" s="25">
        <f>SUM(S378:S383)</f>
        <v>8.52</v>
      </c>
      <c r="I381" s="28"/>
      <c r="J381" s="23">
        <f>Source!AT171</f>
        <v>85</v>
      </c>
      <c r="K381" s="25">
        <f>SUM(T378:T383)</f>
        <v>57.15</v>
      </c>
      <c r="L381" s="27"/>
    </row>
    <row r="382" spans="1:26" ht="14.25" x14ac:dyDescent="0.2">
      <c r="A382" s="40"/>
      <c r="B382" s="41"/>
      <c r="C382" s="41" t="s">
        <v>992</v>
      </c>
      <c r="D382" s="24" t="s">
        <v>991</v>
      </c>
      <c r="E382" s="10">
        <f>Source!CA171</f>
        <v>65</v>
      </c>
      <c r="F382" s="44"/>
      <c r="G382" s="26"/>
      <c r="H382" s="25">
        <f>SUM(U378:U383)</f>
        <v>6.51</v>
      </c>
      <c r="I382" s="28"/>
      <c r="J382" s="23">
        <f>Source!AU171</f>
        <v>65</v>
      </c>
      <c r="K382" s="25">
        <f>SUM(V378:V383)</f>
        <v>43.71</v>
      </c>
      <c r="L382" s="27"/>
    </row>
    <row r="383" spans="1:26" ht="14.25" x14ac:dyDescent="0.2">
      <c r="A383" s="42"/>
      <c r="B383" s="43"/>
      <c r="C383" s="43" t="s">
        <v>993</v>
      </c>
      <c r="D383" s="29" t="s">
        <v>994</v>
      </c>
      <c r="E383" s="30">
        <f>Source!AQ171</f>
        <v>5.84</v>
      </c>
      <c r="F383" s="31"/>
      <c r="G383" s="32" t="str">
        <f>Source!DI171</f>
        <v/>
      </c>
      <c r="H383" s="31"/>
      <c r="I383" s="32"/>
      <c r="J383" s="32"/>
      <c r="K383" s="31"/>
      <c r="L383" s="33">
        <f>Source!U171</f>
        <v>1.2847999999999999</v>
      </c>
    </row>
    <row r="384" spans="1:26" ht="15" x14ac:dyDescent="0.25">
      <c r="G384" s="47">
        <f>H380+H381+H382</f>
        <v>25.049999999999997</v>
      </c>
      <c r="H384" s="47"/>
      <c r="J384" s="47">
        <f>K380+K381+K382</f>
        <v>168.1</v>
      </c>
      <c r="K384" s="47"/>
      <c r="L384" s="34">
        <f>Source!U171</f>
        <v>1.2847999999999999</v>
      </c>
      <c r="O384" s="21">
        <f>G384</f>
        <v>25.049999999999997</v>
      </c>
      <c r="P384" s="21">
        <f>J384</f>
        <v>168.1</v>
      </c>
      <c r="Q384" s="21">
        <f>L384</f>
        <v>1.2847999999999999</v>
      </c>
      <c r="W384">
        <f>IF(Source!BI171&lt;=1,H380+H381+H382, 0)</f>
        <v>25.049999999999997</v>
      </c>
      <c r="X384">
        <f>IF(Source!BI171=2,H380+H381+H382, 0)</f>
        <v>0</v>
      </c>
      <c r="Y384">
        <f>IF(Source!BI171=3,H380+H381+H382, 0)</f>
        <v>0</v>
      </c>
      <c r="Z384">
        <f>IF(Source!BI171=4,H380+H381+H382, 0)</f>
        <v>0</v>
      </c>
    </row>
    <row r="385" spans="1:26" ht="42.75" x14ac:dyDescent="0.2">
      <c r="A385" s="40" t="str">
        <f>Source!E172</f>
        <v>38</v>
      </c>
      <c r="B385" s="41" t="str">
        <f>Source!F172</f>
        <v>69-1-2</v>
      </c>
      <c r="C385" s="41" t="str">
        <f>Source!G172</f>
        <v>Пробивка отверстий в кирпичных стенах для  вручную при толщине стен в 1 кирпич</v>
      </c>
      <c r="D385" s="24" t="str">
        <f>Source!H172</f>
        <v>100 ШТ</v>
      </c>
      <c r="E385" s="10">
        <f>Source!I172</f>
        <v>0.1</v>
      </c>
      <c r="F385" s="25">
        <f>Source!AL172+Source!AM172+Source!AO172</f>
        <v>666.9</v>
      </c>
      <c r="G385" s="26"/>
      <c r="H385" s="25"/>
      <c r="I385" s="26" t="str">
        <f>Source!BO172</f>
        <v/>
      </c>
      <c r="J385" s="26"/>
      <c r="K385" s="25"/>
      <c r="L385" s="27"/>
      <c r="S385">
        <f>ROUND((Source!FX172/100)*((ROUND(Source!AF172*Source!I172, 2)+ROUND(Source!AE172*Source!I172, 2))), 2)</f>
        <v>52.02</v>
      </c>
      <c r="T385">
        <f>Source!X172</f>
        <v>349.04</v>
      </c>
      <c r="U385">
        <f>ROUND((Source!FY172/100)*((ROUND(Source!AF172*Source!I172, 2)+ROUND(Source!AE172*Source!I172, 2))), 2)</f>
        <v>33.35</v>
      </c>
      <c r="V385">
        <f>Source!Y172</f>
        <v>223.75</v>
      </c>
    </row>
    <row r="386" spans="1:26" x14ac:dyDescent="0.2">
      <c r="C386" s="20" t="str">
        <f>"Объем: "&amp;Source!I172&amp;"=10/"&amp;"100"</f>
        <v>Объем: 0,1=10/100</v>
      </c>
    </row>
    <row r="387" spans="1:26" ht="14.25" x14ac:dyDescent="0.2">
      <c r="A387" s="40"/>
      <c r="B387" s="41"/>
      <c r="C387" s="41" t="s">
        <v>989</v>
      </c>
      <c r="D387" s="24"/>
      <c r="E387" s="10"/>
      <c r="F387" s="25">
        <f>Source!AO172</f>
        <v>666.9</v>
      </c>
      <c r="G387" s="26" t="str">
        <f>Source!DG172</f>
        <v/>
      </c>
      <c r="H387" s="25">
        <f>ROUND(Source!AF172*Source!I172, 2)</f>
        <v>66.69</v>
      </c>
      <c r="I387" s="26"/>
      <c r="J387" s="26">
        <f>IF(Source!BA172&lt;&gt; 0, Source!BA172, 1)</f>
        <v>6.71</v>
      </c>
      <c r="K387" s="25">
        <f>Source!S172</f>
        <v>447.49</v>
      </c>
      <c r="L387" s="27"/>
      <c r="R387">
        <f>H387</f>
        <v>66.69</v>
      </c>
    </row>
    <row r="388" spans="1:26" ht="14.25" x14ac:dyDescent="0.2">
      <c r="A388" s="40"/>
      <c r="B388" s="41"/>
      <c r="C388" s="41" t="s">
        <v>990</v>
      </c>
      <c r="D388" s="24" t="s">
        <v>991</v>
      </c>
      <c r="E388" s="10">
        <f>Source!BZ172</f>
        <v>78</v>
      </c>
      <c r="F388" s="44"/>
      <c r="G388" s="26"/>
      <c r="H388" s="25">
        <f>SUM(S385:S390)</f>
        <v>52.02</v>
      </c>
      <c r="I388" s="28"/>
      <c r="J388" s="23">
        <f>Source!AT172</f>
        <v>78</v>
      </c>
      <c r="K388" s="25">
        <f>SUM(T385:T390)</f>
        <v>349.04</v>
      </c>
      <c r="L388" s="27"/>
    </row>
    <row r="389" spans="1:26" ht="14.25" x14ac:dyDescent="0.2">
      <c r="A389" s="40"/>
      <c r="B389" s="41"/>
      <c r="C389" s="41" t="s">
        <v>992</v>
      </c>
      <c r="D389" s="24" t="s">
        <v>991</v>
      </c>
      <c r="E389" s="10">
        <f>Source!CA172</f>
        <v>50</v>
      </c>
      <c r="F389" s="44"/>
      <c r="G389" s="26"/>
      <c r="H389" s="25">
        <f>SUM(U385:U390)</f>
        <v>33.35</v>
      </c>
      <c r="I389" s="28"/>
      <c r="J389" s="23">
        <f>Source!AU172</f>
        <v>50</v>
      </c>
      <c r="K389" s="25">
        <f>SUM(V385:V390)</f>
        <v>223.75</v>
      </c>
      <c r="L389" s="27"/>
    </row>
    <row r="390" spans="1:26" ht="14.25" x14ac:dyDescent="0.2">
      <c r="A390" s="42"/>
      <c r="B390" s="43"/>
      <c r="C390" s="43" t="s">
        <v>993</v>
      </c>
      <c r="D390" s="29" t="s">
        <v>994</v>
      </c>
      <c r="E390" s="30">
        <f>Source!AQ172</f>
        <v>85.5</v>
      </c>
      <c r="F390" s="31"/>
      <c r="G390" s="32" t="str">
        <f>Source!DI172</f>
        <v/>
      </c>
      <c r="H390" s="31"/>
      <c r="I390" s="32"/>
      <c r="J390" s="32"/>
      <c r="K390" s="31"/>
      <c r="L390" s="33">
        <f>Source!U172</f>
        <v>8.5500000000000007</v>
      </c>
    </row>
    <row r="391" spans="1:26" ht="15" x14ac:dyDescent="0.25">
      <c r="G391" s="47">
        <f>H387+H388+H389</f>
        <v>152.06</v>
      </c>
      <c r="H391" s="47"/>
      <c r="J391" s="47">
        <f>K387+K388+K389</f>
        <v>1020.28</v>
      </c>
      <c r="K391" s="47"/>
      <c r="L391" s="34">
        <f>Source!U172</f>
        <v>8.5500000000000007</v>
      </c>
      <c r="O391" s="21">
        <f>G391</f>
        <v>152.06</v>
      </c>
      <c r="P391" s="21">
        <f>J391</f>
        <v>1020.28</v>
      </c>
      <c r="Q391" s="21">
        <f>L391</f>
        <v>8.5500000000000007</v>
      </c>
      <c r="W391">
        <f>IF(Source!BI172&lt;=1,H387+H388+H389, 0)</f>
        <v>152.06</v>
      </c>
      <c r="X391">
        <f>IF(Source!BI172=2,H387+H388+H389, 0)</f>
        <v>0</v>
      </c>
      <c r="Y391">
        <f>IF(Source!BI172=3,H387+H388+H389, 0)</f>
        <v>0</v>
      </c>
      <c r="Z391">
        <f>IF(Source!BI172=4,H387+H388+H389, 0)</f>
        <v>0</v>
      </c>
    </row>
    <row r="392" spans="1:26" ht="42.75" x14ac:dyDescent="0.2">
      <c r="A392" s="40" t="str">
        <f>Source!E173</f>
        <v>39</v>
      </c>
      <c r="B392" s="41" t="str">
        <f>Source!F173</f>
        <v>м08-02-410-02 прим.</v>
      </c>
      <c r="C392" s="41" t="str">
        <f>Source!G173</f>
        <v>Труба полиэтиленовая по основанию пола, диаметр до 50 мм (гильзы)</v>
      </c>
      <c r="D392" s="24" t="str">
        <f>Source!H173</f>
        <v>100 м</v>
      </c>
      <c r="E392" s="10">
        <f>Source!I173</f>
        <v>7.0000000000000007E-2</v>
      </c>
      <c r="F392" s="25">
        <f>Source!AL173+Source!AM173+Source!AO173</f>
        <v>250.92</v>
      </c>
      <c r="G392" s="26"/>
      <c r="H392" s="25"/>
      <c r="I392" s="26" t="str">
        <f>Source!BO173</f>
        <v/>
      </c>
      <c r="J392" s="26"/>
      <c r="K392" s="25"/>
      <c r="L392" s="27"/>
      <c r="S392">
        <f>ROUND((Source!FX173/100)*((ROUND(Source!AF173*Source!I173, 2)+ROUND(Source!AE173*Source!I173, 2))), 2)</f>
        <v>9.73</v>
      </c>
      <c r="T392">
        <f>Source!X173</f>
        <v>65.319999999999993</v>
      </c>
      <c r="U392">
        <f>ROUND((Source!FY173/100)*((ROUND(Source!AF173*Source!I173, 2)+ROUND(Source!AE173*Source!I173, 2))), 2)</f>
        <v>6.66</v>
      </c>
      <c r="V392">
        <f>Source!Y173</f>
        <v>44.69</v>
      </c>
    </row>
    <row r="393" spans="1:26" x14ac:dyDescent="0.2">
      <c r="C393" s="20" t="str">
        <f>"Объем: "&amp;Source!I173&amp;"=7/"&amp;"100"</f>
        <v>Объем: 0,07=7/100</v>
      </c>
    </row>
    <row r="394" spans="1:26" ht="14.25" x14ac:dyDescent="0.2">
      <c r="A394" s="40"/>
      <c r="B394" s="41"/>
      <c r="C394" s="41" t="s">
        <v>989</v>
      </c>
      <c r="D394" s="24"/>
      <c r="E394" s="10"/>
      <c r="F394" s="25">
        <f>Source!AO173</f>
        <v>143.63</v>
      </c>
      <c r="G394" s="26" t="str">
        <f>Source!DG173</f>
        <v/>
      </c>
      <c r="H394" s="25">
        <f>ROUND(Source!AF173*Source!I173, 2)</f>
        <v>10.050000000000001</v>
      </c>
      <c r="I394" s="26"/>
      <c r="J394" s="26">
        <f>IF(Source!BA173&lt;&gt; 0, Source!BA173, 1)</f>
        <v>6.71</v>
      </c>
      <c r="K394" s="25">
        <f>Source!S173</f>
        <v>67.459999999999994</v>
      </c>
      <c r="L394" s="27"/>
      <c r="R394">
        <f>H394</f>
        <v>10.050000000000001</v>
      </c>
    </row>
    <row r="395" spans="1:26" ht="14.25" x14ac:dyDescent="0.2">
      <c r="A395" s="40"/>
      <c r="B395" s="41"/>
      <c r="C395" s="41" t="s">
        <v>300</v>
      </c>
      <c r="D395" s="24"/>
      <c r="E395" s="10"/>
      <c r="F395" s="25">
        <f>Source!AM173</f>
        <v>19.55</v>
      </c>
      <c r="G395" s="26" t="str">
        <f>Source!DE173</f>
        <v/>
      </c>
      <c r="H395" s="25">
        <f>ROUND(Source!AD173*Source!I173, 2)</f>
        <v>1.37</v>
      </c>
      <c r="I395" s="26"/>
      <c r="J395" s="26">
        <f>IF(Source!BB173&lt;&gt; 0, Source!BB173, 1)</f>
        <v>6.71</v>
      </c>
      <c r="K395" s="25">
        <f>Source!Q173</f>
        <v>9.18</v>
      </c>
      <c r="L395" s="27"/>
    </row>
    <row r="396" spans="1:26" ht="14.25" x14ac:dyDescent="0.2">
      <c r="A396" s="40"/>
      <c r="B396" s="41"/>
      <c r="C396" s="41" t="s">
        <v>995</v>
      </c>
      <c r="D396" s="24"/>
      <c r="E396" s="10"/>
      <c r="F396" s="25">
        <f>Source!AN173</f>
        <v>2.77</v>
      </c>
      <c r="G396" s="26" t="str">
        <f>Source!DF173</f>
        <v/>
      </c>
      <c r="H396" s="35">
        <f>ROUND(Source!AE173*Source!I173, 2)</f>
        <v>0.19</v>
      </c>
      <c r="I396" s="26"/>
      <c r="J396" s="26">
        <f>IF(Source!BS173&lt;&gt; 0, Source!BS173, 1)</f>
        <v>6.71</v>
      </c>
      <c r="K396" s="35">
        <f>Source!R173</f>
        <v>1.3</v>
      </c>
      <c r="L396" s="27"/>
      <c r="R396">
        <f>H396</f>
        <v>0.19</v>
      </c>
    </row>
    <row r="397" spans="1:26" ht="14.25" x14ac:dyDescent="0.2">
      <c r="A397" s="40"/>
      <c r="B397" s="41"/>
      <c r="C397" s="41" t="s">
        <v>996</v>
      </c>
      <c r="D397" s="24"/>
      <c r="E397" s="10"/>
      <c r="F397" s="25">
        <f>Source!AL173</f>
        <v>87.74</v>
      </c>
      <c r="G397" s="26" t="str">
        <f>Source!DD173</f>
        <v/>
      </c>
      <c r="H397" s="25">
        <f>ROUND(Source!AC173*Source!I173, 2)</f>
        <v>6.14</v>
      </c>
      <c r="I397" s="26"/>
      <c r="J397" s="26">
        <f>IF(Source!BC173&lt;&gt; 0, Source!BC173, 1)</f>
        <v>6.71</v>
      </c>
      <c r="K397" s="25">
        <f>Source!P173</f>
        <v>41.21</v>
      </c>
      <c r="L397" s="27"/>
    </row>
    <row r="398" spans="1:26" ht="14.25" x14ac:dyDescent="0.2">
      <c r="A398" s="40"/>
      <c r="B398" s="41"/>
      <c r="C398" s="41" t="s">
        <v>990</v>
      </c>
      <c r="D398" s="24" t="s">
        <v>991</v>
      </c>
      <c r="E398" s="10">
        <f>Source!BZ173</f>
        <v>95</v>
      </c>
      <c r="F398" s="44"/>
      <c r="G398" s="26"/>
      <c r="H398" s="25">
        <f>SUM(S392:S401)</f>
        <v>9.73</v>
      </c>
      <c r="I398" s="28"/>
      <c r="J398" s="23">
        <f>Source!AT173</f>
        <v>95</v>
      </c>
      <c r="K398" s="25">
        <f>SUM(T392:T401)</f>
        <v>65.319999999999993</v>
      </c>
      <c r="L398" s="27"/>
    </row>
    <row r="399" spans="1:26" ht="14.25" x14ac:dyDescent="0.2">
      <c r="A399" s="40"/>
      <c r="B399" s="41"/>
      <c r="C399" s="41" t="s">
        <v>992</v>
      </c>
      <c r="D399" s="24" t="s">
        <v>991</v>
      </c>
      <c r="E399" s="10">
        <f>Source!CA173</f>
        <v>65</v>
      </c>
      <c r="F399" s="44"/>
      <c r="G399" s="26"/>
      <c r="H399" s="25">
        <f>SUM(U392:U401)</f>
        <v>6.66</v>
      </c>
      <c r="I399" s="28"/>
      <c r="J399" s="23">
        <f>Source!AU173</f>
        <v>65</v>
      </c>
      <c r="K399" s="25">
        <f>SUM(V392:V401)</f>
        <v>44.69</v>
      </c>
      <c r="L399" s="27"/>
    </row>
    <row r="400" spans="1:26" ht="14.25" x14ac:dyDescent="0.2">
      <c r="A400" s="40"/>
      <c r="B400" s="41"/>
      <c r="C400" s="41" t="s">
        <v>993</v>
      </c>
      <c r="D400" s="24" t="s">
        <v>994</v>
      </c>
      <c r="E400" s="10">
        <f>Source!AQ173</f>
        <v>15.28</v>
      </c>
      <c r="F400" s="25"/>
      <c r="G400" s="26" t="str">
        <f>Source!DI173</f>
        <v/>
      </c>
      <c r="H400" s="25"/>
      <c r="I400" s="26"/>
      <c r="J400" s="26"/>
      <c r="K400" s="25"/>
      <c r="L400" s="36">
        <f>Source!U173</f>
        <v>1.0696000000000001</v>
      </c>
    </row>
    <row r="401" spans="1:26" ht="28.5" x14ac:dyDescent="0.2">
      <c r="A401" s="42" t="str">
        <f>Source!E174</f>
        <v>39,1</v>
      </c>
      <c r="B401" s="43" t="str">
        <f>Source!F174</f>
        <v>24.3.03.13-0304</v>
      </c>
      <c r="C401" s="43" t="str">
        <f>Source!G174</f>
        <v>Трубы гладкие одностенные легкие из ПНД, диаметром 32 мм</v>
      </c>
      <c r="D401" s="29" t="str">
        <f>Source!H174</f>
        <v>10 м</v>
      </c>
      <c r="E401" s="30">
        <f>Source!I174</f>
        <v>0.7</v>
      </c>
      <c r="F401" s="31">
        <f>Source!AL174+Source!AM174+Source!AO174</f>
        <v>99.42</v>
      </c>
      <c r="G401" s="37" t="s">
        <v>6</v>
      </c>
      <c r="H401" s="31">
        <f>ROUND(Source!AC174*Source!I174, 2)+ROUND(Source!AD174*Source!I174, 2)+ROUND(Source!AF174*Source!I174, 2)</f>
        <v>69.59</v>
      </c>
      <c r="I401" s="32"/>
      <c r="J401" s="32">
        <f>IF(Source!BC174&lt;&gt; 0, Source!BC174, 1)</f>
        <v>6.71</v>
      </c>
      <c r="K401" s="31">
        <f>Source!O174</f>
        <v>466.98</v>
      </c>
      <c r="L401" s="38"/>
      <c r="S401">
        <f>ROUND((Source!FX174/100)*((ROUND(Source!AF174*Source!I174, 2)+ROUND(Source!AE174*Source!I174, 2))), 2)</f>
        <v>0</v>
      </c>
      <c r="T401">
        <f>Source!X174</f>
        <v>0</v>
      </c>
      <c r="U401">
        <f>ROUND((Source!FY174/100)*((ROUND(Source!AF174*Source!I174, 2)+ROUND(Source!AE174*Source!I174, 2))), 2)</f>
        <v>0</v>
      </c>
      <c r="V401">
        <f>Source!Y174</f>
        <v>0</v>
      </c>
      <c r="W401">
        <f>IF(Source!BI174&lt;=1,H401, 0)</f>
        <v>0</v>
      </c>
      <c r="X401">
        <f>IF(Source!BI174=2,H401, 0)</f>
        <v>69.59</v>
      </c>
      <c r="Y401">
        <f>IF(Source!BI174=3,H401, 0)</f>
        <v>0</v>
      </c>
      <c r="Z401">
        <f>IF(Source!BI174=4,H401, 0)</f>
        <v>0</v>
      </c>
    </row>
    <row r="402" spans="1:26" ht="15" x14ac:dyDescent="0.25">
      <c r="G402" s="47">
        <f>H394+H395+H397+H398+H399+SUM(H401:H401)</f>
        <v>103.54</v>
      </c>
      <c r="H402" s="47"/>
      <c r="J402" s="47">
        <f>K394+K395+K397+K398+K399+SUM(K401:K401)</f>
        <v>694.84</v>
      </c>
      <c r="K402" s="47"/>
      <c r="L402" s="34">
        <f>Source!U173</f>
        <v>1.0696000000000001</v>
      </c>
      <c r="O402" s="21">
        <f>G402</f>
        <v>103.54</v>
      </c>
      <c r="P402" s="21">
        <f>J402</f>
        <v>694.84</v>
      </c>
      <c r="Q402" s="21">
        <f>L402</f>
        <v>1.0696000000000001</v>
      </c>
      <c r="W402">
        <f>IF(Source!BI173&lt;=1,H394+H395+H397+H398+H399, 0)</f>
        <v>0</v>
      </c>
      <c r="X402">
        <f>IF(Source!BI173=2,H394+H395+H397+H398+H399, 0)</f>
        <v>33.950000000000003</v>
      </c>
      <c r="Y402">
        <f>IF(Source!BI173=3,H394+H395+H397+H398+H399, 0)</f>
        <v>0</v>
      </c>
      <c r="Z402">
        <f>IF(Source!BI173=4,H394+H395+H397+H398+H399, 0)</f>
        <v>0</v>
      </c>
    </row>
    <row r="403" spans="1:26" ht="28.5" x14ac:dyDescent="0.2">
      <c r="A403" s="40" t="str">
        <f>Source!E175</f>
        <v>40</v>
      </c>
      <c r="B403" s="41" t="str">
        <f>Source!F175</f>
        <v>м10-08-019-01</v>
      </c>
      <c r="C403" s="41" t="str">
        <f>Source!G175</f>
        <v>Коробка ответвительная на стене</v>
      </c>
      <c r="D403" s="24" t="str">
        <f>Source!H175</f>
        <v>ШТ</v>
      </c>
      <c r="E403" s="10">
        <f>Source!I175</f>
        <v>87</v>
      </c>
      <c r="F403" s="25">
        <f>Source!AL175+Source!AM175+Source!AO175</f>
        <v>5.29</v>
      </c>
      <c r="G403" s="26"/>
      <c r="H403" s="25"/>
      <c r="I403" s="26" t="str">
        <f>Source!BO175</f>
        <v/>
      </c>
      <c r="J403" s="26"/>
      <c r="K403" s="25"/>
      <c r="L403" s="27"/>
      <c r="S403">
        <f>ROUND((Source!FX175/100)*((ROUND(Source!AF175*Source!I175, 2)+ROUND(Source!AE175*Source!I175, 2))), 2)</f>
        <v>339.65</v>
      </c>
      <c r="T403">
        <f>Source!X175</f>
        <v>2279.04</v>
      </c>
      <c r="U403">
        <f>ROUND((Source!FY175/100)*((ROUND(Source!AF175*Source!I175, 2)+ROUND(Source!AE175*Source!I175, 2))), 2)</f>
        <v>254.74</v>
      </c>
      <c r="V403">
        <f>Source!Y175</f>
        <v>1709.28</v>
      </c>
    </row>
    <row r="404" spans="1:26" ht="14.25" x14ac:dyDescent="0.2">
      <c r="A404" s="40"/>
      <c r="B404" s="41"/>
      <c r="C404" s="41" t="s">
        <v>989</v>
      </c>
      <c r="D404" s="24"/>
      <c r="E404" s="10"/>
      <c r="F404" s="25">
        <f>Source!AO175</f>
        <v>4.88</v>
      </c>
      <c r="G404" s="26" t="str">
        <f>Source!DG175</f>
        <v/>
      </c>
      <c r="H404" s="25">
        <f>ROUND(Source!AF175*Source!I175, 2)</f>
        <v>424.56</v>
      </c>
      <c r="I404" s="26"/>
      <c r="J404" s="26">
        <f>IF(Source!BA175&lt;&gt; 0, Source!BA175, 1)</f>
        <v>6.71</v>
      </c>
      <c r="K404" s="25">
        <f>Source!S175</f>
        <v>2848.8</v>
      </c>
      <c r="L404" s="27"/>
      <c r="R404">
        <f>H404</f>
        <v>424.56</v>
      </c>
    </row>
    <row r="405" spans="1:26" ht="14.25" x14ac:dyDescent="0.2">
      <c r="A405" s="40"/>
      <c r="B405" s="41"/>
      <c r="C405" s="41" t="s">
        <v>996</v>
      </c>
      <c r="D405" s="24"/>
      <c r="E405" s="10"/>
      <c r="F405" s="25">
        <f>Source!AL175</f>
        <v>0.41</v>
      </c>
      <c r="G405" s="26" t="str">
        <f>Source!DD175</f>
        <v/>
      </c>
      <c r="H405" s="25">
        <f>ROUND(Source!AC175*Source!I175, 2)</f>
        <v>35.67</v>
      </c>
      <c r="I405" s="26"/>
      <c r="J405" s="26">
        <f>IF(Source!BC175&lt;&gt; 0, Source!BC175, 1)</f>
        <v>6.71</v>
      </c>
      <c r="K405" s="25">
        <f>Source!P175</f>
        <v>239.35</v>
      </c>
      <c r="L405" s="27"/>
    </row>
    <row r="406" spans="1:26" ht="14.25" x14ac:dyDescent="0.2">
      <c r="A406" s="40"/>
      <c r="B406" s="41"/>
      <c r="C406" s="41" t="s">
        <v>990</v>
      </c>
      <c r="D406" s="24" t="s">
        <v>991</v>
      </c>
      <c r="E406" s="10">
        <f>Source!BZ175</f>
        <v>80</v>
      </c>
      <c r="F406" s="44"/>
      <c r="G406" s="26"/>
      <c r="H406" s="25">
        <f>SUM(S403:S409)</f>
        <v>339.65</v>
      </c>
      <c r="I406" s="28"/>
      <c r="J406" s="23">
        <f>Source!AT175</f>
        <v>80</v>
      </c>
      <c r="K406" s="25">
        <f>SUM(T403:T409)</f>
        <v>2279.04</v>
      </c>
      <c r="L406" s="27"/>
    </row>
    <row r="407" spans="1:26" ht="14.25" x14ac:dyDescent="0.2">
      <c r="A407" s="40"/>
      <c r="B407" s="41"/>
      <c r="C407" s="41" t="s">
        <v>992</v>
      </c>
      <c r="D407" s="24" t="s">
        <v>991</v>
      </c>
      <c r="E407" s="10">
        <f>Source!CA175</f>
        <v>60</v>
      </c>
      <c r="F407" s="44"/>
      <c r="G407" s="26"/>
      <c r="H407" s="25">
        <f>SUM(U403:U409)</f>
        <v>254.74</v>
      </c>
      <c r="I407" s="28"/>
      <c r="J407" s="23">
        <f>Source!AU175</f>
        <v>60</v>
      </c>
      <c r="K407" s="25">
        <f>SUM(V403:V409)</f>
        <v>1709.28</v>
      </c>
      <c r="L407" s="27"/>
    </row>
    <row r="408" spans="1:26" ht="14.25" x14ac:dyDescent="0.2">
      <c r="A408" s="40"/>
      <c r="B408" s="41"/>
      <c r="C408" s="41" t="s">
        <v>993</v>
      </c>
      <c r="D408" s="24" t="s">
        <v>994</v>
      </c>
      <c r="E408" s="10">
        <f>Source!AQ175</f>
        <v>0.5</v>
      </c>
      <c r="F408" s="25"/>
      <c r="G408" s="26" t="str">
        <f>Source!DI175</f>
        <v/>
      </c>
      <c r="H408" s="25"/>
      <c r="I408" s="26"/>
      <c r="J408" s="26"/>
      <c r="K408" s="25"/>
      <c r="L408" s="36">
        <f>Source!U175</f>
        <v>43.5</v>
      </c>
    </row>
    <row r="409" spans="1:26" ht="28.5" x14ac:dyDescent="0.2">
      <c r="A409" s="42" t="str">
        <f>Source!E176</f>
        <v>40,1</v>
      </c>
      <c r="B409" s="43" t="str">
        <f>Source!F176</f>
        <v>20.5.02.04-0004</v>
      </c>
      <c r="C409" s="43" t="str">
        <f>Source!G176</f>
        <v>Коробка ответвительная SchneiderElectrik 100x100x50мм прим.</v>
      </c>
      <c r="D409" s="29" t="str">
        <f>Source!H176</f>
        <v>10 шт.</v>
      </c>
      <c r="E409" s="30">
        <f>Source!I176</f>
        <v>8.6999999999999993</v>
      </c>
      <c r="F409" s="31">
        <f>Source!AL176+Source!AM176+Source!AO176</f>
        <v>62.4</v>
      </c>
      <c r="G409" s="37" t="s">
        <v>6</v>
      </c>
      <c r="H409" s="31">
        <f>ROUND(Source!AC176*Source!I176, 2)+ROUND(Source!AD176*Source!I176, 2)+ROUND(Source!AF176*Source!I176, 2)</f>
        <v>542.88</v>
      </c>
      <c r="I409" s="32"/>
      <c r="J409" s="32">
        <f>IF(Source!BC176&lt;&gt; 0, Source!BC176, 1)</f>
        <v>6.71</v>
      </c>
      <c r="K409" s="31">
        <f>Source!O176</f>
        <v>3642.72</v>
      </c>
      <c r="L409" s="38"/>
      <c r="S409">
        <f>ROUND((Source!FX176/100)*((ROUND(Source!AF176*Source!I176, 2)+ROUND(Source!AE176*Source!I176, 2))), 2)</f>
        <v>0</v>
      </c>
      <c r="T409">
        <f>Source!X176</f>
        <v>0</v>
      </c>
      <c r="U409">
        <f>ROUND((Source!FY176/100)*((ROUND(Source!AF176*Source!I176, 2)+ROUND(Source!AE176*Source!I176, 2))), 2)</f>
        <v>0</v>
      </c>
      <c r="V409">
        <f>Source!Y176</f>
        <v>0</v>
      </c>
      <c r="W409">
        <f>IF(Source!BI176&lt;=1,H409, 0)</f>
        <v>0</v>
      </c>
      <c r="X409">
        <f>IF(Source!BI176=2,H409, 0)</f>
        <v>542.88</v>
      </c>
      <c r="Y409">
        <f>IF(Source!BI176=3,H409, 0)</f>
        <v>0</v>
      </c>
      <c r="Z409">
        <f>IF(Source!BI176=4,H409, 0)</f>
        <v>0</v>
      </c>
    </row>
    <row r="410" spans="1:26" ht="15" x14ac:dyDescent="0.25">
      <c r="G410" s="47">
        <f>H404+H405+H406+H407+SUM(H409:H409)</f>
        <v>1597.5</v>
      </c>
      <c r="H410" s="47"/>
      <c r="J410" s="47">
        <f>K404+K405+K406+K407+SUM(K409:K409)</f>
        <v>10719.19</v>
      </c>
      <c r="K410" s="47"/>
      <c r="L410" s="34">
        <f>Source!U175</f>
        <v>43.5</v>
      </c>
      <c r="O410" s="21">
        <f>G410</f>
        <v>1597.5</v>
      </c>
      <c r="P410" s="21">
        <f>J410</f>
        <v>10719.19</v>
      </c>
      <c r="Q410" s="21">
        <f>L410</f>
        <v>43.5</v>
      </c>
      <c r="W410">
        <f>IF(Source!BI175&lt;=1,H404+H405+H406+H407, 0)</f>
        <v>0</v>
      </c>
      <c r="X410">
        <f>IF(Source!BI175=2,H404+H405+H406+H407, 0)</f>
        <v>1054.6199999999999</v>
      </c>
      <c r="Y410">
        <f>IF(Source!BI175=3,H404+H405+H406+H407, 0)</f>
        <v>0</v>
      </c>
      <c r="Z410">
        <f>IF(Source!BI175=4,H404+H405+H406+H407, 0)</f>
        <v>0</v>
      </c>
    </row>
    <row r="411" spans="1:26" ht="28.5" x14ac:dyDescent="0.2">
      <c r="A411" s="40" t="str">
        <f>Source!E177</f>
        <v>41</v>
      </c>
      <c r="B411" s="41" t="str">
        <f>Source!F177</f>
        <v>м08-02-390-03</v>
      </c>
      <c r="C411" s="41" t="str">
        <f>Source!G177</f>
        <v>Прокладка короба пластмассового  шириной до 120 мм</v>
      </c>
      <c r="D411" s="24" t="str">
        <f>Source!H177</f>
        <v>100 м</v>
      </c>
      <c r="E411" s="10">
        <f>Source!I177</f>
        <v>0.42499999999999999</v>
      </c>
      <c r="F411" s="25">
        <f>Source!AL177+Source!AM177+Source!AO177</f>
        <v>286.92</v>
      </c>
      <c r="G411" s="26"/>
      <c r="H411" s="25"/>
      <c r="I411" s="26" t="str">
        <f>Source!BO177</f>
        <v/>
      </c>
      <c r="J411" s="26"/>
      <c r="K411" s="25"/>
      <c r="L411" s="27"/>
      <c r="S411">
        <f>ROUND((Source!FX177/100)*((ROUND(Source!AF177*Source!I177, 2)+ROUND(Source!AE177*Source!I177, 2))), 2)</f>
        <v>78.12</v>
      </c>
      <c r="T411">
        <f>Source!X177</f>
        <v>524.16999999999996</v>
      </c>
      <c r="U411">
        <f>ROUND((Source!FY177/100)*((ROUND(Source!AF177*Source!I177, 2)+ROUND(Source!AE177*Source!I177, 2))), 2)</f>
        <v>53.45</v>
      </c>
      <c r="V411">
        <f>Source!Y177</f>
        <v>358.64</v>
      </c>
    </row>
    <row r="412" spans="1:26" x14ac:dyDescent="0.2">
      <c r="C412" s="20" t="str">
        <f>"Объем: "&amp;Source!I177&amp;"=42,5/"&amp;"100"</f>
        <v>Объем: 0,425=42,5/100</v>
      </c>
    </row>
    <row r="413" spans="1:26" ht="14.25" x14ac:dyDescent="0.2">
      <c r="A413" s="40"/>
      <c r="B413" s="41"/>
      <c r="C413" s="41" t="s">
        <v>989</v>
      </c>
      <c r="D413" s="24"/>
      <c r="E413" s="10"/>
      <c r="F413" s="25">
        <f>Source!AO177</f>
        <v>193.34</v>
      </c>
      <c r="G413" s="26" t="str">
        <f>Source!DG177</f>
        <v/>
      </c>
      <c r="H413" s="25">
        <f>ROUND(Source!AF177*Source!I177, 2)</f>
        <v>82.17</v>
      </c>
      <c r="I413" s="26"/>
      <c r="J413" s="26">
        <f>IF(Source!BA177&lt;&gt; 0, Source!BA177, 1)</f>
        <v>6.71</v>
      </c>
      <c r="K413" s="25">
        <f>Source!S177</f>
        <v>551.36</v>
      </c>
      <c r="L413" s="27"/>
      <c r="R413">
        <f>H413</f>
        <v>82.17</v>
      </c>
    </row>
    <row r="414" spans="1:26" ht="14.25" x14ac:dyDescent="0.2">
      <c r="A414" s="40"/>
      <c r="B414" s="41"/>
      <c r="C414" s="41" t="s">
        <v>300</v>
      </c>
      <c r="D414" s="24"/>
      <c r="E414" s="10"/>
      <c r="F414" s="25">
        <f>Source!AM177</f>
        <v>0.31</v>
      </c>
      <c r="G414" s="26" t="str">
        <f>Source!DE177</f>
        <v/>
      </c>
      <c r="H414" s="25">
        <f>ROUND(Source!AD177*Source!I177, 2)</f>
        <v>0.13</v>
      </c>
      <c r="I414" s="26"/>
      <c r="J414" s="26">
        <f>IF(Source!BB177&lt;&gt; 0, Source!BB177, 1)</f>
        <v>6.71</v>
      </c>
      <c r="K414" s="25">
        <f>Source!Q177</f>
        <v>0.88</v>
      </c>
      <c r="L414" s="27"/>
    </row>
    <row r="415" spans="1:26" ht="14.25" x14ac:dyDescent="0.2">
      <c r="A415" s="40"/>
      <c r="B415" s="41"/>
      <c r="C415" s="41" t="s">
        <v>995</v>
      </c>
      <c r="D415" s="24"/>
      <c r="E415" s="10"/>
      <c r="F415" s="25">
        <f>Source!AN177</f>
        <v>0.14000000000000001</v>
      </c>
      <c r="G415" s="26" t="str">
        <f>Source!DF177</f>
        <v/>
      </c>
      <c r="H415" s="35">
        <f>ROUND(Source!AE177*Source!I177, 2)</f>
        <v>0.06</v>
      </c>
      <c r="I415" s="26"/>
      <c r="J415" s="26">
        <f>IF(Source!BS177&lt;&gt; 0, Source!BS177, 1)</f>
        <v>6.71</v>
      </c>
      <c r="K415" s="35">
        <f>Source!R177</f>
        <v>0.4</v>
      </c>
      <c r="L415" s="27"/>
      <c r="R415">
        <f>H415</f>
        <v>0.06</v>
      </c>
    </row>
    <row r="416" spans="1:26" ht="14.25" x14ac:dyDescent="0.2">
      <c r="A416" s="40"/>
      <c r="B416" s="41"/>
      <c r="C416" s="41" t="s">
        <v>996</v>
      </c>
      <c r="D416" s="24"/>
      <c r="E416" s="10"/>
      <c r="F416" s="25">
        <f>Source!AL177</f>
        <v>93.27</v>
      </c>
      <c r="G416" s="26" t="str">
        <f>Source!DD177</f>
        <v/>
      </c>
      <c r="H416" s="25">
        <f>ROUND(Source!AC177*Source!I177, 2)</f>
        <v>39.64</v>
      </c>
      <c r="I416" s="26"/>
      <c r="J416" s="26">
        <f>IF(Source!BC177&lt;&gt; 0, Source!BC177, 1)</f>
        <v>6.71</v>
      </c>
      <c r="K416" s="25">
        <f>Source!P177</f>
        <v>265.98</v>
      </c>
      <c r="L416" s="27"/>
    </row>
    <row r="417" spans="1:26" ht="14.25" x14ac:dyDescent="0.2">
      <c r="A417" s="40"/>
      <c r="B417" s="41"/>
      <c r="C417" s="41" t="s">
        <v>990</v>
      </c>
      <c r="D417" s="24" t="s">
        <v>991</v>
      </c>
      <c r="E417" s="10">
        <f>Source!BZ177</f>
        <v>95</v>
      </c>
      <c r="F417" s="44"/>
      <c r="G417" s="26"/>
      <c r="H417" s="25">
        <f>SUM(S411:S420)</f>
        <v>78.12</v>
      </c>
      <c r="I417" s="28"/>
      <c r="J417" s="23">
        <f>Source!AT177</f>
        <v>95</v>
      </c>
      <c r="K417" s="25">
        <f>SUM(T411:T420)</f>
        <v>524.16999999999996</v>
      </c>
      <c r="L417" s="27"/>
    </row>
    <row r="418" spans="1:26" ht="14.25" x14ac:dyDescent="0.2">
      <c r="A418" s="40"/>
      <c r="B418" s="41"/>
      <c r="C418" s="41" t="s">
        <v>992</v>
      </c>
      <c r="D418" s="24" t="s">
        <v>991</v>
      </c>
      <c r="E418" s="10">
        <f>Source!CA177</f>
        <v>65</v>
      </c>
      <c r="F418" s="44"/>
      <c r="G418" s="26"/>
      <c r="H418" s="25">
        <f>SUM(U411:U420)</f>
        <v>53.45</v>
      </c>
      <c r="I418" s="28"/>
      <c r="J418" s="23">
        <f>Source!AU177</f>
        <v>65</v>
      </c>
      <c r="K418" s="25">
        <f>SUM(V411:V420)</f>
        <v>358.64</v>
      </c>
      <c r="L418" s="27"/>
    </row>
    <row r="419" spans="1:26" ht="14.25" x14ac:dyDescent="0.2">
      <c r="A419" s="40"/>
      <c r="B419" s="41"/>
      <c r="C419" s="41" t="s">
        <v>993</v>
      </c>
      <c r="D419" s="24" t="s">
        <v>994</v>
      </c>
      <c r="E419" s="10">
        <f>Source!AQ177</f>
        <v>20.329999999999998</v>
      </c>
      <c r="F419" s="25"/>
      <c r="G419" s="26" t="str">
        <f>Source!DI177</f>
        <v/>
      </c>
      <c r="H419" s="25"/>
      <c r="I419" s="26"/>
      <c r="J419" s="26"/>
      <c r="K419" s="25"/>
      <c r="L419" s="36">
        <f>Source!U177</f>
        <v>8.6402499999999982</v>
      </c>
    </row>
    <row r="420" spans="1:26" ht="28.5" x14ac:dyDescent="0.2">
      <c r="A420" s="42" t="str">
        <f>Source!E178</f>
        <v>41,1</v>
      </c>
      <c r="B420" s="43" t="str">
        <f>Source!F178</f>
        <v>20.2.05.04-0034</v>
      </c>
      <c r="C420" s="43" t="str">
        <f>Source!G178</f>
        <v>Кабель-канал (короб) "Efapel" 100x50 мм</v>
      </c>
      <c r="D420" s="29" t="str">
        <f>Source!H178</f>
        <v>100 м</v>
      </c>
      <c r="E420" s="30">
        <f>Source!I178</f>
        <v>0.42499999999999999</v>
      </c>
      <c r="F420" s="31">
        <f>Source!AL178+Source!AM178+Source!AO178</f>
        <v>1360</v>
      </c>
      <c r="G420" s="37" t="s">
        <v>6</v>
      </c>
      <c r="H420" s="31">
        <f>ROUND(Source!AC178*Source!I178, 2)+ROUND(Source!AD178*Source!I178, 2)+ROUND(Source!AF178*Source!I178, 2)</f>
        <v>578</v>
      </c>
      <c r="I420" s="32"/>
      <c r="J420" s="32">
        <f>IF(Source!BC178&lt;&gt; 0, Source!BC178, 1)</f>
        <v>6.71</v>
      </c>
      <c r="K420" s="31">
        <f>Source!O178</f>
        <v>3878.38</v>
      </c>
      <c r="L420" s="38"/>
      <c r="S420">
        <f>ROUND((Source!FX178/100)*((ROUND(Source!AF178*Source!I178, 2)+ROUND(Source!AE178*Source!I178, 2))), 2)</f>
        <v>0</v>
      </c>
      <c r="T420">
        <f>Source!X178</f>
        <v>0</v>
      </c>
      <c r="U420">
        <f>ROUND((Source!FY178/100)*((ROUND(Source!AF178*Source!I178, 2)+ROUND(Source!AE178*Source!I178, 2))), 2)</f>
        <v>0</v>
      </c>
      <c r="V420">
        <f>Source!Y178</f>
        <v>0</v>
      </c>
      <c r="W420">
        <f>IF(Source!BI178&lt;=1,H420, 0)</f>
        <v>0</v>
      </c>
      <c r="X420">
        <f>IF(Source!BI178=2,H420, 0)</f>
        <v>578</v>
      </c>
      <c r="Y420">
        <f>IF(Source!BI178=3,H420, 0)</f>
        <v>0</v>
      </c>
      <c r="Z420">
        <f>IF(Source!BI178=4,H420, 0)</f>
        <v>0</v>
      </c>
    </row>
    <row r="421" spans="1:26" ht="15" x14ac:dyDescent="0.25">
      <c r="G421" s="47">
        <f>H413+H414+H416+H417+H418+SUM(H420:H420)</f>
        <v>831.51</v>
      </c>
      <c r="H421" s="47"/>
      <c r="J421" s="47">
        <f>K413+K414+K416+K417+K418+SUM(K420:K420)</f>
        <v>5579.41</v>
      </c>
      <c r="K421" s="47"/>
      <c r="L421" s="34">
        <f>Source!U177</f>
        <v>8.6402499999999982</v>
      </c>
      <c r="O421" s="21">
        <f>G421</f>
        <v>831.51</v>
      </c>
      <c r="P421" s="21">
        <f>J421</f>
        <v>5579.41</v>
      </c>
      <c r="Q421" s="21">
        <f>L421</f>
        <v>8.6402499999999982</v>
      </c>
      <c r="W421">
        <f>IF(Source!BI177&lt;=1,H413+H414+H416+H417+H418, 0)</f>
        <v>0</v>
      </c>
      <c r="X421">
        <f>IF(Source!BI177=2,H413+H414+H416+H417+H418, 0)</f>
        <v>253.51</v>
      </c>
      <c r="Y421">
        <f>IF(Source!BI177=3,H413+H414+H416+H417+H418, 0)</f>
        <v>0</v>
      </c>
      <c r="Z421">
        <f>IF(Source!BI177=4,H413+H414+H416+H417+H418, 0)</f>
        <v>0</v>
      </c>
    </row>
    <row r="422" spans="1:26" ht="28.5" x14ac:dyDescent="0.2">
      <c r="A422" s="40" t="str">
        <f>Source!E179</f>
        <v>42</v>
      </c>
      <c r="B422" s="41" t="str">
        <f>Source!F179</f>
        <v>м08-10-010-01</v>
      </c>
      <c r="C422" s="41" t="str">
        <f>Source!G179</f>
        <v>Прокладка труб гофрированных ПВХ для защиты проводов и кабелей</v>
      </c>
      <c r="D422" s="24" t="str">
        <f>Source!H179</f>
        <v>100 м</v>
      </c>
      <c r="E422" s="10">
        <f>Source!I179</f>
        <v>2.72</v>
      </c>
      <c r="F422" s="25">
        <f>Source!AL179+Source!AM179+Source!AO179</f>
        <v>156.32999999999998</v>
      </c>
      <c r="G422" s="26"/>
      <c r="H422" s="25"/>
      <c r="I422" s="26" t="str">
        <f>Source!BO179</f>
        <v/>
      </c>
      <c r="J422" s="26"/>
      <c r="K422" s="25"/>
      <c r="L422" s="27"/>
      <c r="S422">
        <f>ROUND((Source!FX179/100)*((ROUND(Source!AF179*Source!I179, 2)+ROUND(Source!AE179*Source!I179, 2))), 2)</f>
        <v>360.57</v>
      </c>
      <c r="T422">
        <f>Source!X179</f>
        <v>2419.4299999999998</v>
      </c>
      <c r="U422">
        <f>ROUND((Source!FY179/100)*((ROUND(Source!AF179*Source!I179, 2)+ROUND(Source!AE179*Source!I179, 2))), 2)</f>
        <v>246.71</v>
      </c>
      <c r="V422">
        <f>Source!Y179</f>
        <v>1655.4</v>
      </c>
    </row>
    <row r="423" spans="1:26" x14ac:dyDescent="0.2">
      <c r="C423" s="20" t="str">
        <f>"Объем: "&amp;Source!I179&amp;"=272/"&amp;"100"</f>
        <v>Объем: 2,72=272/100</v>
      </c>
    </row>
    <row r="424" spans="1:26" ht="14.25" x14ac:dyDescent="0.2">
      <c r="A424" s="40"/>
      <c r="B424" s="41"/>
      <c r="C424" s="41" t="s">
        <v>989</v>
      </c>
      <c r="D424" s="24"/>
      <c r="E424" s="10"/>
      <c r="F424" s="25">
        <f>Source!AO179</f>
        <v>139.54</v>
      </c>
      <c r="G424" s="26" t="str">
        <f>Source!DG179</f>
        <v/>
      </c>
      <c r="H424" s="25">
        <f>ROUND(Source!AF179*Source!I179, 2)</f>
        <v>379.55</v>
      </c>
      <c r="I424" s="26"/>
      <c r="J424" s="26">
        <f>IF(Source!BA179&lt;&gt; 0, Source!BA179, 1)</f>
        <v>6.71</v>
      </c>
      <c r="K424" s="25">
        <f>Source!S179</f>
        <v>2546.77</v>
      </c>
      <c r="L424" s="27"/>
      <c r="R424">
        <f>H424</f>
        <v>379.55</v>
      </c>
    </row>
    <row r="425" spans="1:26" ht="14.25" x14ac:dyDescent="0.2">
      <c r="A425" s="40"/>
      <c r="B425" s="41"/>
      <c r="C425" s="41" t="s">
        <v>996</v>
      </c>
      <c r="D425" s="24"/>
      <c r="E425" s="10"/>
      <c r="F425" s="25">
        <f>Source!AL179</f>
        <v>16.79</v>
      </c>
      <c r="G425" s="26" t="str">
        <f>Source!DD179</f>
        <v/>
      </c>
      <c r="H425" s="25">
        <f>ROUND(Source!AC179*Source!I179, 2)</f>
        <v>45.67</v>
      </c>
      <c r="I425" s="26"/>
      <c r="J425" s="26">
        <f>IF(Source!BC179&lt;&gt; 0, Source!BC179, 1)</f>
        <v>6.71</v>
      </c>
      <c r="K425" s="25">
        <f>Source!P179</f>
        <v>306.44</v>
      </c>
      <c r="L425" s="27"/>
    </row>
    <row r="426" spans="1:26" ht="14.25" x14ac:dyDescent="0.2">
      <c r="A426" s="40"/>
      <c r="B426" s="41"/>
      <c r="C426" s="41" t="s">
        <v>990</v>
      </c>
      <c r="D426" s="24" t="s">
        <v>991</v>
      </c>
      <c r="E426" s="10">
        <f>Source!BZ179</f>
        <v>95</v>
      </c>
      <c r="F426" s="44"/>
      <c r="G426" s="26"/>
      <c r="H426" s="25">
        <f>SUM(S422:S429)</f>
        <v>360.57</v>
      </c>
      <c r="I426" s="28"/>
      <c r="J426" s="23">
        <f>Source!AT179</f>
        <v>95</v>
      </c>
      <c r="K426" s="25">
        <f>SUM(T422:T429)</f>
        <v>2419.4299999999998</v>
      </c>
      <c r="L426" s="27"/>
    </row>
    <row r="427" spans="1:26" ht="14.25" x14ac:dyDescent="0.2">
      <c r="A427" s="40"/>
      <c r="B427" s="41"/>
      <c r="C427" s="41" t="s">
        <v>992</v>
      </c>
      <c r="D427" s="24" t="s">
        <v>991</v>
      </c>
      <c r="E427" s="10">
        <f>Source!CA179</f>
        <v>65</v>
      </c>
      <c r="F427" s="44"/>
      <c r="G427" s="26"/>
      <c r="H427" s="25">
        <f>SUM(U422:U429)</f>
        <v>246.71</v>
      </c>
      <c r="I427" s="28"/>
      <c r="J427" s="23">
        <f>Source!AU179</f>
        <v>65</v>
      </c>
      <c r="K427" s="25">
        <f>SUM(V422:V429)</f>
        <v>1655.4</v>
      </c>
      <c r="L427" s="27"/>
    </row>
    <row r="428" spans="1:26" ht="14.25" x14ac:dyDescent="0.2">
      <c r="A428" s="40"/>
      <c r="B428" s="41"/>
      <c r="C428" s="41" t="s">
        <v>993</v>
      </c>
      <c r="D428" s="24" t="s">
        <v>994</v>
      </c>
      <c r="E428" s="10">
        <f>Source!AQ179</f>
        <v>15.2</v>
      </c>
      <c r="F428" s="25"/>
      <c r="G428" s="26" t="str">
        <f>Source!DI179</f>
        <v/>
      </c>
      <c r="H428" s="25"/>
      <c r="I428" s="26"/>
      <c r="J428" s="26"/>
      <c r="K428" s="25"/>
      <c r="L428" s="36">
        <f>Source!U179</f>
        <v>41.344000000000001</v>
      </c>
    </row>
    <row r="429" spans="1:26" ht="42.75" x14ac:dyDescent="0.2">
      <c r="A429" s="42" t="str">
        <f>Source!E180</f>
        <v>42,1</v>
      </c>
      <c r="B429" s="43" t="str">
        <f>Source!F180</f>
        <v>24.3.03.05-0012</v>
      </c>
      <c r="C429" s="43" t="str">
        <f>Source!G180</f>
        <v>Трубы гибкие гофрированные легкие из ПНД, серии BL, с зондом, диаметром 20 мм</v>
      </c>
      <c r="D429" s="29" t="str">
        <f>Source!H180</f>
        <v>10 м</v>
      </c>
      <c r="E429" s="30">
        <f>Source!I180</f>
        <v>27.199999999999996</v>
      </c>
      <c r="F429" s="31">
        <f>Source!AL180+Source!AM180+Source!AO180</f>
        <v>31.6</v>
      </c>
      <c r="G429" s="37" t="s">
        <v>6</v>
      </c>
      <c r="H429" s="31">
        <f>ROUND(Source!AC180*Source!I180, 2)+ROUND(Source!AD180*Source!I180, 2)+ROUND(Source!AF180*Source!I180, 2)</f>
        <v>859.52</v>
      </c>
      <c r="I429" s="32"/>
      <c r="J429" s="32">
        <f>IF(Source!BC180&lt;&gt; 0, Source!BC180, 1)</f>
        <v>6.71</v>
      </c>
      <c r="K429" s="31">
        <f>Source!O180</f>
        <v>5767.38</v>
      </c>
      <c r="L429" s="38"/>
      <c r="S429">
        <f>ROUND((Source!FX180/100)*((ROUND(Source!AF180*Source!I180, 2)+ROUND(Source!AE180*Source!I180, 2))), 2)</f>
        <v>0</v>
      </c>
      <c r="T429">
        <f>Source!X180</f>
        <v>0</v>
      </c>
      <c r="U429">
        <f>ROUND((Source!FY180/100)*((ROUND(Source!AF180*Source!I180, 2)+ROUND(Source!AE180*Source!I180, 2))), 2)</f>
        <v>0</v>
      </c>
      <c r="V429">
        <f>Source!Y180</f>
        <v>0</v>
      </c>
      <c r="W429">
        <f>IF(Source!BI180&lt;=1,H429, 0)</f>
        <v>0</v>
      </c>
      <c r="X429">
        <f>IF(Source!BI180=2,H429, 0)</f>
        <v>859.52</v>
      </c>
      <c r="Y429">
        <f>IF(Source!BI180=3,H429, 0)</f>
        <v>0</v>
      </c>
      <c r="Z429">
        <f>IF(Source!BI180=4,H429, 0)</f>
        <v>0</v>
      </c>
    </row>
    <row r="430" spans="1:26" ht="15" x14ac:dyDescent="0.25">
      <c r="G430" s="47">
        <f>H424+H425+H426+H427+SUM(H429:H429)</f>
        <v>1892.02</v>
      </c>
      <c r="H430" s="47"/>
      <c r="J430" s="47">
        <f>K424+K425+K426+K427+SUM(K429:K429)</f>
        <v>12695.419999999998</v>
      </c>
      <c r="K430" s="47"/>
      <c r="L430" s="34">
        <f>Source!U179</f>
        <v>41.344000000000001</v>
      </c>
      <c r="O430" s="21">
        <f>G430</f>
        <v>1892.02</v>
      </c>
      <c r="P430" s="21">
        <f>J430</f>
        <v>12695.419999999998</v>
      </c>
      <c r="Q430" s="21">
        <f>L430</f>
        <v>41.344000000000001</v>
      </c>
      <c r="W430">
        <f>IF(Source!BI179&lt;=1,H424+H425+H426+H427, 0)</f>
        <v>0</v>
      </c>
      <c r="X430">
        <f>IF(Source!BI179=2,H424+H425+H426+H427, 0)</f>
        <v>1032.5</v>
      </c>
      <c r="Y430">
        <f>IF(Source!BI179=3,H424+H425+H426+H427, 0)</f>
        <v>0</v>
      </c>
      <c r="Z430">
        <f>IF(Source!BI179=4,H424+H425+H426+H427, 0)</f>
        <v>0</v>
      </c>
    </row>
    <row r="431" spans="1:26" ht="28.5" x14ac:dyDescent="0.2">
      <c r="A431" s="40" t="str">
        <f>Source!E181</f>
        <v>43</v>
      </c>
      <c r="B431" s="41" t="str">
        <f>Source!F181</f>
        <v>м08-02-399-02</v>
      </c>
      <c r="C431" s="41" t="str">
        <f>Source!G181</f>
        <v>Прокладка кабеля  в коробах, сечением до 35 мм2</v>
      </c>
      <c r="D431" s="24" t="str">
        <f>Source!H181</f>
        <v>100 м</v>
      </c>
      <c r="E431" s="10">
        <f>Source!I181</f>
        <v>0.6</v>
      </c>
      <c r="F431" s="25">
        <f>Source!AL181+Source!AM181+Source!AO181</f>
        <v>50.72</v>
      </c>
      <c r="G431" s="26"/>
      <c r="H431" s="25"/>
      <c r="I431" s="26" t="str">
        <f>Source!BO181</f>
        <v/>
      </c>
      <c r="J431" s="26"/>
      <c r="K431" s="25"/>
      <c r="L431" s="27"/>
      <c r="S431">
        <f>ROUND((Source!FX181/100)*((ROUND(Source!AF181*Source!I181, 2)+ROUND(Source!AE181*Source!I181, 2))), 2)</f>
        <v>20.29</v>
      </c>
      <c r="T431">
        <f>Source!X181</f>
        <v>136.16</v>
      </c>
      <c r="U431">
        <f>ROUND((Source!FY181/100)*((ROUND(Source!AF181*Source!I181, 2)+ROUND(Source!AE181*Source!I181, 2))), 2)</f>
        <v>13.88</v>
      </c>
      <c r="V431">
        <f>Source!Y181</f>
        <v>93.16</v>
      </c>
    </row>
    <row r="432" spans="1:26" x14ac:dyDescent="0.2">
      <c r="C432" s="20" t="str">
        <f>"Объем: "&amp;Source!I181&amp;"=60/"&amp;"100"</f>
        <v>Объем: 0,6=60/100</v>
      </c>
    </row>
    <row r="433" spans="1:26" ht="14.25" x14ac:dyDescent="0.2">
      <c r="A433" s="40"/>
      <c r="B433" s="41"/>
      <c r="C433" s="41" t="s">
        <v>989</v>
      </c>
      <c r="D433" s="24"/>
      <c r="E433" s="10"/>
      <c r="F433" s="25">
        <f>Source!AO181</f>
        <v>35.340000000000003</v>
      </c>
      <c r="G433" s="26" t="str">
        <f>Source!DG181</f>
        <v/>
      </c>
      <c r="H433" s="25">
        <f>ROUND(Source!AF181*Source!I181, 2)</f>
        <v>21.2</v>
      </c>
      <c r="I433" s="26"/>
      <c r="J433" s="26">
        <f>IF(Source!BA181&lt;&gt; 0, Source!BA181, 1)</f>
        <v>6.71</v>
      </c>
      <c r="K433" s="25">
        <f>Source!S181</f>
        <v>142.28</v>
      </c>
      <c r="L433" s="27"/>
      <c r="R433">
        <f>H433</f>
        <v>21.2</v>
      </c>
    </row>
    <row r="434" spans="1:26" ht="14.25" x14ac:dyDescent="0.2">
      <c r="A434" s="40"/>
      <c r="B434" s="41"/>
      <c r="C434" s="41" t="s">
        <v>300</v>
      </c>
      <c r="D434" s="24"/>
      <c r="E434" s="10"/>
      <c r="F434" s="25">
        <f>Source!AM181</f>
        <v>1.78</v>
      </c>
      <c r="G434" s="26" t="str">
        <f>Source!DE181</f>
        <v/>
      </c>
      <c r="H434" s="25">
        <f>ROUND(Source!AD181*Source!I181, 2)</f>
        <v>1.07</v>
      </c>
      <c r="I434" s="26"/>
      <c r="J434" s="26">
        <f>IF(Source!BB181&lt;&gt; 0, Source!BB181, 1)</f>
        <v>6.71</v>
      </c>
      <c r="K434" s="25">
        <f>Source!Q181</f>
        <v>7.17</v>
      </c>
      <c r="L434" s="27"/>
    </row>
    <row r="435" spans="1:26" ht="14.25" x14ac:dyDescent="0.2">
      <c r="A435" s="40"/>
      <c r="B435" s="41"/>
      <c r="C435" s="41" t="s">
        <v>995</v>
      </c>
      <c r="D435" s="24"/>
      <c r="E435" s="10"/>
      <c r="F435" s="25">
        <f>Source!AN181</f>
        <v>0.26</v>
      </c>
      <c r="G435" s="26" t="str">
        <f>Source!DF181</f>
        <v/>
      </c>
      <c r="H435" s="35">
        <f>ROUND(Source!AE181*Source!I181, 2)</f>
        <v>0.16</v>
      </c>
      <c r="I435" s="26"/>
      <c r="J435" s="26">
        <f>IF(Source!BS181&lt;&gt; 0, Source!BS181, 1)</f>
        <v>6.71</v>
      </c>
      <c r="K435" s="35">
        <f>Source!R181</f>
        <v>1.05</v>
      </c>
      <c r="L435" s="27"/>
      <c r="R435">
        <f>H435</f>
        <v>0.16</v>
      </c>
    </row>
    <row r="436" spans="1:26" ht="14.25" x14ac:dyDescent="0.2">
      <c r="A436" s="40"/>
      <c r="B436" s="41"/>
      <c r="C436" s="41" t="s">
        <v>996</v>
      </c>
      <c r="D436" s="24"/>
      <c r="E436" s="10"/>
      <c r="F436" s="25">
        <f>Source!AL181</f>
        <v>13.6</v>
      </c>
      <c r="G436" s="26" t="str">
        <f>Source!DD181</f>
        <v/>
      </c>
      <c r="H436" s="25">
        <f>ROUND(Source!AC181*Source!I181, 2)</f>
        <v>8.16</v>
      </c>
      <c r="I436" s="26"/>
      <c r="J436" s="26">
        <f>IF(Source!BC181&lt;&gt; 0, Source!BC181, 1)</f>
        <v>6.71</v>
      </c>
      <c r="K436" s="25">
        <f>Source!P181</f>
        <v>54.75</v>
      </c>
      <c r="L436" s="27"/>
    </row>
    <row r="437" spans="1:26" ht="14.25" x14ac:dyDescent="0.2">
      <c r="A437" s="40"/>
      <c r="B437" s="41"/>
      <c r="C437" s="41" t="s">
        <v>990</v>
      </c>
      <c r="D437" s="24" t="s">
        <v>991</v>
      </c>
      <c r="E437" s="10">
        <f>Source!BZ181</f>
        <v>95</v>
      </c>
      <c r="F437" s="44"/>
      <c r="G437" s="26"/>
      <c r="H437" s="25">
        <f>SUM(S431:S440)</f>
        <v>20.29</v>
      </c>
      <c r="I437" s="28"/>
      <c r="J437" s="23">
        <f>Source!AT181</f>
        <v>95</v>
      </c>
      <c r="K437" s="25">
        <f>SUM(T431:T440)</f>
        <v>136.16</v>
      </c>
      <c r="L437" s="27"/>
    </row>
    <row r="438" spans="1:26" ht="14.25" x14ac:dyDescent="0.2">
      <c r="A438" s="40"/>
      <c r="B438" s="41"/>
      <c r="C438" s="41" t="s">
        <v>992</v>
      </c>
      <c r="D438" s="24" t="s">
        <v>991</v>
      </c>
      <c r="E438" s="10">
        <f>Source!CA181</f>
        <v>65</v>
      </c>
      <c r="F438" s="44"/>
      <c r="G438" s="26"/>
      <c r="H438" s="25">
        <f>SUM(U431:U440)</f>
        <v>13.88</v>
      </c>
      <c r="I438" s="28"/>
      <c r="J438" s="23">
        <f>Source!AU181</f>
        <v>65</v>
      </c>
      <c r="K438" s="25">
        <f>SUM(V431:V440)</f>
        <v>93.16</v>
      </c>
      <c r="L438" s="27"/>
    </row>
    <row r="439" spans="1:26" ht="14.25" x14ac:dyDescent="0.2">
      <c r="A439" s="40"/>
      <c r="B439" s="41"/>
      <c r="C439" s="41" t="s">
        <v>993</v>
      </c>
      <c r="D439" s="24" t="s">
        <v>994</v>
      </c>
      <c r="E439" s="10">
        <f>Source!AQ181</f>
        <v>3.76</v>
      </c>
      <c r="F439" s="25"/>
      <c r="G439" s="26" t="str">
        <f>Source!DI181</f>
        <v/>
      </c>
      <c r="H439" s="25"/>
      <c r="I439" s="26"/>
      <c r="J439" s="26"/>
      <c r="K439" s="25"/>
      <c r="L439" s="36">
        <f>Source!U181</f>
        <v>2.2559999999999998</v>
      </c>
    </row>
    <row r="440" spans="1:26" ht="85.5" x14ac:dyDescent="0.2">
      <c r="A440" s="42" t="str">
        <f>Source!E182</f>
        <v>43,1</v>
      </c>
      <c r="B440" s="43" t="str">
        <f>Source!F182</f>
        <v>21.1.06.09-0152</v>
      </c>
      <c r="C440" s="43" t="str">
        <f>Source!G182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v>
      </c>
      <c r="D440" s="29" t="str">
        <f>Source!H182</f>
        <v>1000 м</v>
      </c>
      <c r="E440" s="30">
        <f>Source!I182</f>
        <v>0.06</v>
      </c>
      <c r="F440" s="31">
        <f>Source!AL182+Source!AM182+Source!AO182</f>
        <v>6920.41</v>
      </c>
      <c r="G440" s="37" t="s">
        <v>6</v>
      </c>
      <c r="H440" s="31">
        <f>ROUND(Source!AC182*Source!I182, 2)+ROUND(Source!AD182*Source!I182, 2)+ROUND(Source!AF182*Source!I182, 2)</f>
        <v>415.22</v>
      </c>
      <c r="I440" s="32"/>
      <c r="J440" s="32">
        <f>IF(Source!BC182&lt;&gt; 0, Source!BC182, 1)</f>
        <v>6.71</v>
      </c>
      <c r="K440" s="31">
        <f>Source!O182</f>
        <v>2786.16</v>
      </c>
      <c r="L440" s="38"/>
      <c r="S440">
        <f>ROUND((Source!FX182/100)*((ROUND(Source!AF182*Source!I182, 2)+ROUND(Source!AE182*Source!I182, 2))), 2)</f>
        <v>0</v>
      </c>
      <c r="T440">
        <f>Source!X182</f>
        <v>0</v>
      </c>
      <c r="U440">
        <f>ROUND((Source!FY182/100)*((ROUND(Source!AF182*Source!I182, 2)+ROUND(Source!AE182*Source!I182, 2))), 2)</f>
        <v>0</v>
      </c>
      <c r="V440">
        <f>Source!Y182</f>
        <v>0</v>
      </c>
      <c r="W440">
        <f>IF(Source!BI182&lt;=1,H440, 0)</f>
        <v>0</v>
      </c>
      <c r="X440">
        <f>IF(Source!BI182=2,H440, 0)</f>
        <v>415.22</v>
      </c>
      <c r="Y440">
        <f>IF(Source!BI182=3,H440, 0)</f>
        <v>0</v>
      </c>
      <c r="Z440">
        <f>IF(Source!BI182=4,H440, 0)</f>
        <v>0</v>
      </c>
    </row>
    <row r="441" spans="1:26" ht="15" x14ac:dyDescent="0.25">
      <c r="G441" s="47">
        <f>H433+H434+H436+H437+H438+SUM(H440:H440)</f>
        <v>479.82000000000005</v>
      </c>
      <c r="H441" s="47"/>
      <c r="J441" s="47">
        <f>K433+K434+K436+K437+K438+SUM(K440:K440)</f>
        <v>3219.68</v>
      </c>
      <c r="K441" s="47"/>
      <c r="L441" s="34">
        <f>Source!U181</f>
        <v>2.2559999999999998</v>
      </c>
      <c r="O441" s="21">
        <f>G441</f>
        <v>479.82000000000005</v>
      </c>
      <c r="P441" s="21">
        <f>J441</f>
        <v>3219.68</v>
      </c>
      <c r="Q441" s="21">
        <f>L441</f>
        <v>2.2559999999999998</v>
      </c>
      <c r="W441">
        <f>IF(Source!BI181&lt;=1,H433+H434+H436+H437+H438, 0)</f>
        <v>0</v>
      </c>
      <c r="X441">
        <f>IF(Source!BI181=2,H433+H434+H436+H437+H438, 0)</f>
        <v>64.599999999999994</v>
      </c>
      <c r="Y441">
        <f>IF(Source!BI181=3,H433+H434+H436+H437+H438, 0)</f>
        <v>0</v>
      </c>
      <c r="Z441">
        <f>IF(Source!BI181=4,H433+H434+H436+H437+H438, 0)</f>
        <v>0</v>
      </c>
    </row>
    <row r="442" spans="1:26" ht="71.25" x14ac:dyDescent="0.2">
      <c r="A442" s="40" t="str">
        <f>Source!E183</f>
        <v>44</v>
      </c>
      <c r="B442" s="41" t="str">
        <f>Source!F183</f>
        <v>м08-02-412-03</v>
      </c>
      <c r="C442" s="41" t="str">
        <f>Source!G183</f>
        <v>Затягивание провода в проложенные трубы и металлические рукава первого одножильного или многожильного в общей оплетке, суммарное сечение до 16 мм2</v>
      </c>
      <c r="D442" s="24" t="str">
        <f>Source!H183</f>
        <v>100 м</v>
      </c>
      <c r="E442" s="10">
        <f>Source!I183</f>
        <v>5.32</v>
      </c>
      <c r="F442" s="25">
        <f>Source!AL183+Source!AM183+Source!AO183</f>
        <v>87.15</v>
      </c>
      <c r="G442" s="26"/>
      <c r="H442" s="25"/>
      <c r="I442" s="26" t="str">
        <f>Source!BO183</f>
        <v/>
      </c>
      <c r="J442" s="26"/>
      <c r="K442" s="25"/>
      <c r="L442" s="27"/>
      <c r="S442">
        <f>ROUND((Source!FX183/100)*((ROUND(Source!AF183*Source!I183, 2)+ROUND(Source!AE183*Source!I183, 2))), 2)</f>
        <v>302.68</v>
      </c>
      <c r="T442">
        <f>Source!X183</f>
        <v>2031.01</v>
      </c>
      <c r="U442">
        <f>ROUND((Source!FY183/100)*((ROUND(Source!AF183*Source!I183, 2)+ROUND(Source!AE183*Source!I183, 2))), 2)</f>
        <v>207.1</v>
      </c>
      <c r="V442">
        <f>Source!Y183</f>
        <v>1389.64</v>
      </c>
    </row>
    <row r="443" spans="1:26" x14ac:dyDescent="0.2">
      <c r="C443" s="20" t="str">
        <f>"Объем: "&amp;Source!I183&amp;"=532/"&amp;"100"</f>
        <v>Объем: 5,32=532/100</v>
      </c>
    </row>
    <row r="444" spans="1:26" ht="14.25" x14ac:dyDescent="0.2">
      <c r="A444" s="40"/>
      <c r="B444" s="41"/>
      <c r="C444" s="41" t="s">
        <v>989</v>
      </c>
      <c r="D444" s="24"/>
      <c r="E444" s="10"/>
      <c r="F444" s="25">
        <f>Source!AO183</f>
        <v>59.13</v>
      </c>
      <c r="G444" s="26" t="str">
        <f>Source!DG183</f>
        <v/>
      </c>
      <c r="H444" s="25">
        <f>ROUND(Source!AF183*Source!I183, 2)</f>
        <v>314.57</v>
      </c>
      <c r="I444" s="26"/>
      <c r="J444" s="26">
        <f>IF(Source!BA183&lt;&gt; 0, Source!BA183, 1)</f>
        <v>6.71</v>
      </c>
      <c r="K444" s="25">
        <f>Source!S183</f>
        <v>2110.7800000000002</v>
      </c>
      <c r="L444" s="27"/>
      <c r="R444">
        <f>H444</f>
        <v>314.57</v>
      </c>
    </row>
    <row r="445" spans="1:26" ht="14.25" x14ac:dyDescent="0.2">
      <c r="A445" s="40"/>
      <c r="B445" s="41"/>
      <c r="C445" s="41" t="s">
        <v>300</v>
      </c>
      <c r="D445" s="24"/>
      <c r="E445" s="10"/>
      <c r="F445" s="25">
        <f>Source!AM183</f>
        <v>5.33</v>
      </c>
      <c r="G445" s="26" t="str">
        <f>Source!DE183</f>
        <v/>
      </c>
      <c r="H445" s="25">
        <f>ROUND(Source!AD183*Source!I183, 2)</f>
        <v>28.36</v>
      </c>
      <c r="I445" s="26"/>
      <c r="J445" s="26">
        <f>IF(Source!BB183&lt;&gt; 0, Source!BB183, 1)</f>
        <v>6.71</v>
      </c>
      <c r="K445" s="25">
        <f>Source!Q183</f>
        <v>190.27</v>
      </c>
      <c r="L445" s="27"/>
    </row>
    <row r="446" spans="1:26" ht="14.25" x14ac:dyDescent="0.2">
      <c r="A446" s="40"/>
      <c r="B446" s="41"/>
      <c r="C446" s="41" t="s">
        <v>995</v>
      </c>
      <c r="D446" s="24"/>
      <c r="E446" s="10"/>
      <c r="F446" s="25">
        <f>Source!AN183</f>
        <v>0.76</v>
      </c>
      <c r="G446" s="26" t="str">
        <f>Source!DF183</f>
        <v/>
      </c>
      <c r="H446" s="35">
        <f>ROUND(Source!AE183*Source!I183, 2)</f>
        <v>4.04</v>
      </c>
      <c r="I446" s="26"/>
      <c r="J446" s="26">
        <f>IF(Source!BS183&lt;&gt; 0, Source!BS183, 1)</f>
        <v>6.71</v>
      </c>
      <c r="K446" s="35">
        <f>Source!R183</f>
        <v>27.13</v>
      </c>
      <c r="L446" s="27"/>
      <c r="R446">
        <f>H446</f>
        <v>4.04</v>
      </c>
    </row>
    <row r="447" spans="1:26" ht="14.25" x14ac:dyDescent="0.2">
      <c r="A447" s="40"/>
      <c r="B447" s="41"/>
      <c r="C447" s="41" t="s">
        <v>996</v>
      </c>
      <c r="D447" s="24"/>
      <c r="E447" s="10"/>
      <c r="F447" s="25">
        <f>Source!AL183</f>
        <v>22.69</v>
      </c>
      <c r="G447" s="26" t="str">
        <f>Source!DD183</f>
        <v/>
      </c>
      <c r="H447" s="25">
        <f>ROUND(Source!AC183*Source!I183, 2)</f>
        <v>120.71</v>
      </c>
      <c r="I447" s="26"/>
      <c r="J447" s="26">
        <f>IF(Source!BC183&lt;&gt; 0, Source!BC183, 1)</f>
        <v>6.71</v>
      </c>
      <c r="K447" s="25">
        <f>Source!P183</f>
        <v>809.97</v>
      </c>
      <c r="L447" s="27"/>
    </row>
    <row r="448" spans="1:26" ht="14.25" x14ac:dyDescent="0.2">
      <c r="A448" s="40"/>
      <c r="B448" s="41"/>
      <c r="C448" s="41" t="s">
        <v>990</v>
      </c>
      <c r="D448" s="24" t="s">
        <v>991</v>
      </c>
      <c r="E448" s="10">
        <f>Source!BZ183</f>
        <v>95</v>
      </c>
      <c r="F448" s="44"/>
      <c r="G448" s="26"/>
      <c r="H448" s="25">
        <f>SUM(S442:S451)</f>
        <v>302.68</v>
      </c>
      <c r="I448" s="28"/>
      <c r="J448" s="23">
        <f>Source!AT183</f>
        <v>95</v>
      </c>
      <c r="K448" s="25">
        <f>SUM(T442:T451)</f>
        <v>2031.01</v>
      </c>
      <c r="L448" s="27"/>
    </row>
    <row r="449" spans="1:26" ht="14.25" x14ac:dyDescent="0.2">
      <c r="A449" s="40"/>
      <c r="B449" s="41"/>
      <c r="C449" s="41" t="s">
        <v>992</v>
      </c>
      <c r="D449" s="24" t="s">
        <v>991</v>
      </c>
      <c r="E449" s="10">
        <f>Source!CA183</f>
        <v>65</v>
      </c>
      <c r="F449" s="44"/>
      <c r="G449" s="26"/>
      <c r="H449" s="25">
        <f>SUM(U442:U451)</f>
        <v>207.1</v>
      </c>
      <c r="I449" s="28"/>
      <c r="J449" s="23">
        <f>Source!AU183</f>
        <v>65</v>
      </c>
      <c r="K449" s="25">
        <f>SUM(V442:V451)</f>
        <v>1389.64</v>
      </c>
      <c r="L449" s="27"/>
    </row>
    <row r="450" spans="1:26" ht="14.25" x14ac:dyDescent="0.2">
      <c r="A450" s="40"/>
      <c r="B450" s="41"/>
      <c r="C450" s="41" t="s">
        <v>993</v>
      </c>
      <c r="D450" s="24" t="s">
        <v>994</v>
      </c>
      <c r="E450" s="10">
        <f>Source!AQ183</f>
        <v>6.29</v>
      </c>
      <c r="F450" s="25"/>
      <c r="G450" s="26" t="str">
        <f>Source!DI183</f>
        <v/>
      </c>
      <c r="H450" s="25"/>
      <c r="I450" s="26"/>
      <c r="J450" s="26"/>
      <c r="K450" s="25"/>
      <c r="L450" s="36">
        <f>Source!U183</f>
        <v>33.462800000000001</v>
      </c>
    </row>
    <row r="451" spans="1:26" ht="85.5" x14ac:dyDescent="0.2">
      <c r="A451" s="42" t="str">
        <f>Source!E184</f>
        <v>44,1</v>
      </c>
      <c r="B451" s="43" t="str">
        <f>Source!F184</f>
        <v>21.1.06.09-0152</v>
      </c>
      <c r="C451" s="43" t="str">
        <f>Source!G184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v>
      </c>
      <c r="D451" s="29" t="str">
        <f>Source!H184</f>
        <v>1000 м</v>
      </c>
      <c r="E451" s="30">
        <f>Source!I184</f>
        <v>0.53200000000000003</v>
      </c>
      <c r="F451" s="31">
        <f>Source!AL184+Source!AM184+Source!AO184</f>
        <v>6920.41</v>
      </c>
      <c r="G451" s="37" t="s">
        <v>6</v>
      </c>
      <c r="H451" s="31">
        <f>ROUND(Source!AC184*Source!I184, 2)+ROUND(Source!AD184*Source!I184, 2)+ROUND(Source!AF184*Source!I184, 2)</f>
        <v>3681.66</v>
      </c>
      <c r="I451" s="32"/>
      <c r="J451" s="32">
        <f>IF(Source!BC184&lt;&gt; 0, Source!BC184, 1)</f>
        <v>6.71</v>
      </c>
      <c r="K451" s="31">
        <f>Source!O184</f>
        <v>24703.93</v>
      </c>
      <c r="L451" s="38"/>
      <c r="S451">
        <f>ROUND((Source!FX184/100)*((ROUND(Source!AF184*Source!I184, 2)+ROUND(Source!AE184*Source!I184, 2))), 2)</f>
        <v>0</v>
      </c>
      <c r="T451">
        <f>Source!X184</f>
        <v>0</v>
      </c>
      <c r="U451">
        <f>ROUND((Source!FY184/100)*((ROUND(Source!AF184*Source!I184, 2)+ROUND(Source!AE184*Source!I184, 2))), 2)</f>
        <v>0</v>
      </c>
      <c r="V451">
        <f>Source!Y184</f>
        <v>0</v>
      </c>
      <c r="W451">
        <f>IF(Source!BI184&lt;=1,H451, 0)</f>
        <v>0</v>
      </c>
      <c r="X451">
        <f>IF(Source!BI184=2,H451, 0)</f>
        <v>3681.66</v>
      </c>
      <c r="Y451">
        <f>IF(Source!BI184=3,H451, 0)</f>
        <v>0</v>
      </c>
      <c r="Z451">
        <f>IF(Source!BI184=4,H451, 0)</f>
        <v>0</v>
      </c>
    </row>
    <row r="452" spans="1:26" ht="15" x14ac:dyDescent="0.25">
      <c r="G452" s="47">
        <f>H444+H445+H447+H448+H449+SUM(H451:H451)</f>
        <v>4655.08</v>
      </c>
      <c r="H452" s="47"/>
      <c r="J452" s="47">
        <f>K444+K445+K447+K448+K449+SUM(K451:K451)</f>
        <v>31235.600000000002</v>
      </c>
      <c r="K452" s="47"/>
      <c r="L452" s="34">
        <f>Source!U183</f>
        <v>33.462800000000001</v>
      </c>
      <c r="O452" s="21">
        <f>G452</f>
        <v>4655.08</v>
      </c>
      <c r="P452" s="21">
        <f>J452</f>
        <v>31235.600000000002</v>
      </c>
      <c r="Q452" s="21">
        <f>L452</f>
        <v>33.462800000000001</v>
      </c>
      <c r="W452">
        <f>IF(Source!BI183&lt;=1,H444+H445+H447+H448+H449, 0)</f>
        <v>0</v>
      </c>
      <c r="X452">
        <f>IF(Source!BI183=2,H444+H445+H447+H448+H449, 0)</f>
        <v>973.42</v>
      </c>
      <c r="Y452">
        <f>IF(Source!BI183=3,H444+H445+H447+H448+H449, 0)</f>
        <v>0</v>
      </c>
      <c r="Z452">
        <f>IF(Source!BI183=4,H444+H445+H447+H448+H449, 0)</f>
        <v>0</v>
      </c>
    </row>
    <row r="453" spans="1:26" ht="42.75" x14ac:dyDescent="0.2">
      <c r="A453" s="40" t="str">
        <f>Source!E185</f>
        <v>45</v>
      </c>
      <c r="B453" s="41" t="str">
        <f>Source!F185</f>
        <v>м08-03-591-04</v>
      </c>
      <c r="C453" s="41" t="str">
        <f>Source!G185</f>
        <v>Выключатель двухклавишный неутопленного типа при открытой проводке</v>
      </c>
      <c r="D453" s="24" t="str">
        <f>Source!H185</f>
        <v>100 ШТ</v>
      </c>
      <c r="E453" s="10">
        <f>Source!I185</f>
        <v>0.05</v>
      </c>
      <c r="F453" s="25">
        <f>Source!AL185+Source!AM185+Source!AO185</f>
        <v>456.35</v>
      </c>
      <c r="G453" s="26"/>
      <c r="H453" s="25"/>
      <c r="I453" s="26" t="str">
        <f>Source!BO185</f>
        <v/>
      </c>
      <c r="J453" s="26"/>
      <c r="K453" s="25"/>
      <c r="L453" s="27"/>
      <c r="S453">
        <f>ROUND((Source!FX185/100)*((ROUND(Source!AF185*Source!I185, 2)+ROUND(Source!AE185*Source!I185, 2))), 2)</f>
        <v>16.579999999999998</v>
      </c>
      <c r="T453">
        <f>Source!X185</f>
        <v>111.27</v>
      </c>
      <c r="U453">
        <f>ROUND((Source!FY185/100)*((ROUND(Source!AF185*Source!I185, 2)+ROUND(Source!AE185*Source!I185, 2))), 2)</f>
        <v>11.34</v>
      </c>
      <c r="V453">
        <f>Source!Y185</f>
        <v>76.13</v>
      </c>
    </row>
    <row r="454" spans="1:26" x14ac:dyDescent="0.2">
      <c r="C454" s="20" t="str">
        <f>"Объем: "&amp;Source!I185&amp;"=5/"&amp;"100"</f>
        <v>Объем: 0,05=5/100</v>
      </c>
    </row>
    <row r="455" spans="1:26" ht="14.25" x14ac:dyDescent="0.2">
      <c r="A455" s="40"/>
      <c r="B455" s="41"/>
      <c r="C455" s="41" t="s">
        <v>989</v>
      </c>
      <c r="D455" s="24"/>
      <c r="E455" s="10"/>
      <c r="F455" s="25">
        <f>Source!AO185</f>
        <v>348.49</v>
      </c>
      <c r="G455" s="26" t="str">
        <f>Source!DG185</f>
        <v/>
      </c>
      <c r="H455" s="25">
        <f>ROUND(Source!AF185*Source!I185, 2)</f>
        <v>17.420000000000002</v>
      </c>
      <c r="I455" s="26"/>
      <c r="J455" s="26">
        <f>IF(Source!BA185&lt;&gt; 0, Source!BA185, 1)</f>
        <v>6.71</v>
      </c>
      <c r="K455" s="25">
        <f>Source!S185</f>
        <v>116.92</v>
      </c>
      <c r="L455" s="27"/>
      <c r="R455">
        <f>H455</f>
        <v>17.420000000000002</v>
      </c>
    </row>
    <row r="456" spans="1:26" ht="14.25" x14ac:dyDescent="0.2">
      <c r="A456" s="40"/>
      <c r="B456" s="41"/>
      <c r="C456" s="41" t="s">
        <v>300</v>
      </c>
      <c r="D456" s="24"/>
      <c r="E456" s="10"/>
      <c r="F456" s="25">
        <f>Source!AM185</f>
        <v>4.67</v>
      </c>
      <c r="G456" s="26" t="str">
        <f>Source!DE185</f>
        <v/>
      </c>
      <c r="H456" s="25">
        <f>ROUND(Source!AD185*Source!I185, 2)</f>
        <v>0.23</v>
      </c>
      <c r="I456" s="26"/>
      <c r="J456" s="26">
        <f>IF(Source!BB185&lt;&gt; 0, Source!BB185, 1)</f>
        <v>6.71</v>
      </c>
      <c r="K456" s="25">
        <f>Source!Q185</f>
        <v>1.57</v>
      </c>
      <c r="L456" s="27"/>
    </row>
    <row r="457" spans="1:26" ht="14.25" x14ac:dyDescent="0.2">
      <c r="A457" s="40"/>
      <c r="B457" s="41"/>
      <c r="C457" s="41" t="s">
        <v>995</v>
      </c>
      <c r="D457" s="24"/>
      <c r="E457" s="10"/>
      <c r="F457" s="25">
        <f>Source!AN185</f>
        <v>0.64</v>
      </c>
      <c r="G457" s="26" t="str">
        <f>Source!DF185</f>
        <v/>
      </c>
      <c r="H457" s="35">
        <f>ROUND(Source!AE185*Source!I185, 2)</f>
        <v>0.03</v>
      </c>
      <c r="I457" s="26"/>
      <c r="J457" s="26">
        <f>IF(Source!BS185&lt;&gt; 0, Source!BS185, 1)</f>
        <v>6.71</v>
      </c>
      <c r="K457" s="35">
        <f>Source!R185</f>
        <v>0.21</v>
      </c>
      <c r="L457" s="27"/>
      <c r="R457">
        <f>H457</f>
        <v>0.03</v>
      </c>
    </row>
    <row r="458" spans="1:26" ht="14.25" x14ac:dyDescent="0.2">
      <c r="A458" s="40"/>
      <c r="B458" s="41"/>
      <c r="C458" s="41" t="s">
        <v>996</v>
      </c>
      <c r="D458" s="24"/>
      <c r="E458" s="10"/>
      <c r="F458" s="25">
        <f>Source!AL185</f>
        <v>103.19</v>
      </c>
      <c r="G458" s="26" t="str">
        <f>Source!DD185</f>
        <v/>
      </c>
      <c r="H458" s="25">
        <f>ROUND(Source!AC185*Source!I185, 2)</f>
        <v>5.16</v>
      </c>
      <c r="I458" s="26"/>
      <c r="J458" s="26">
        <f>IF(Source!BC185&lt;&gt; 0, Source!BC185, 1)</f>
        <v>6.71</v>
      </c>
      <c r="K458" s="25">
        <f>Source!P185</f>
        <v>34.619999999999997</v>
      </c>
      <c r="L458" s="27"/>
    </row>
    <row r="459" spans="1:26" ht="14.25" x14ac:dyDescent="0.2">
      <c r="A459" s="40"/>
      <c r="B459" s="41"/>
      <c r="C459" s="41" t="s">
        <v>990</v>
      </c>
      <c r="D459" s="24" t="s">
        <v>991</v>
      </c>
      <c r="E459" s="10">
        <f>Source!BZ185</f>
        <v>95</v>
      </c>
      <c r="F459" s="44"/>
      <c r="G459" s="26"/>
      <c r="H459" s="25">
        <f>SUM(S453:S462)</f>
        <v>16.579999999999998</v>
      </c>
      <c r="I459" s="28"/>
      <c r="J459" s="23">
        <f>Source!AT185</f>
        <v>95</v>
      </c>
      <c r="K459" s="25">
        <f>SUM(T453:T462)</f>
        <v>111.27</v>
      </c>
      <c r="L459" s="27"/>
    </row>
    <row r="460" spans="1:26" ht="14.25" x14ac:dyDescent="0.2">
      <c r="A460" s="40"/>
      <c r="B460" s="41"/>
      <c r="C460" s="41" t="s">
        <v>992</v>
      </c>
      <c r="D460" s="24" t="s">
        <v>991</v>
      </c>
      <c r="E460" s="10">
        <f>Source!CA185</f>
        <v>65</v>
      </c>
      <c r="F460" s="44"/>
      <c r="G460" s="26"/>
      <c r="H460" s="25">
        <f>SUM(U453:U462)</f>
        <v>11.34</v>
      </c>
      <c r="I460" s="28"/>
      <c r="J460" s="23">
        <f>Source!AU185</f>
        <v>65</v>
      </c>
      <c r="K460" s="25">
        <f>SUM(V453:V462)</f>
        <v>76.13</v>
      </c>
      <c r="L460" s="27"/>
    </row>
    <row r="461" spans="1:26" ht="14.25" x14ac:dyDescent="0.2">
      <c r="A461" s="40"/>
      <c r="B461" s="41"/>
      <c r="C461" s="41" t="s">
        <v>993</v>
      </c>
      <c r="D461" s="24" t="s">
        <v>994</v>
      </c>
      <c r="E461" s="10">
        <f>Source!AQ185</f>
        <v>35.130000000000003</v>
      </c>
      <c r="F461" s="25"/>
      <c r="G461" s="26" t="str">
        <f>Source!DI185</f>
        <v/>
      </c>
      <c r="H461" s="25"/>
      <c r="I461" s="26"/>
      <c r="J461" s="26"/>
      <c r="K461" s="25"/>
      <c r="L461" s="36">
        <f>Source!U185</f>
        <v>1.7565000000000002</v>
      </c>
    </row>
    <row r="462" spans="1:26" ht="57" x14ac:dyDescent="0.2">
      <c r="A462" s="42" t="str">
        <f>Source!E186</f>
        <v>45,1</v>
      </c>
      <c r="B462" s="43" t="str">
        <f>Source!F186</f>
        <v>20.4.01.01-0011</v>
      </c>
      <c r="C462" s="43" t="str">
        <f>Source!G186</f>
        <v>Выключатель двухклавишный для открытой проводки серии "EFAPEL" SBR(45х45 мм), белый, с супортами, прим.</v>
      </c>
      <c r="D462" s="29" t="str">
        <f>Source!H186</f>
        <v>10 шт.</v>
      </c>
      <c r="E462" s="30">
        <f>Source!I186</f>
        <v>0.5</v>
      </c>
      <c r="F462" s="31">
        <f>Source!AL186+Source!AM186+Source!AO186</f>
        <v>85.6</v>
      </c>
      <c r="G462" s="37" t="s">
        <v>6</v>
      </c>
      <c r="H462" s="31">
        <f>ROUND(Source!AC186*Source!I186, 2)+ROUND(Source!AD186*Source!I186, 2)+ROUND(Source!AF186*Source!I186, 2)</f>
        <v>42.8</v>
      </c>
      <c r="I462" s="32"/>
      <c r="J462" s="32">
        <f>IF(Source!BC186&lt;&gt; 0, Source!BC186, 1)</f>
        <v>6.71</v>
      </c>
      <c r="K462" s="31">
        <f>Source!O186</f>
        <v>287.19</v>
      </c>
      <c r="L462" s="38"/>
      <c r="S462">
        <f>ROUND((Source!FX186/100)*((ROUND(Source!AF186*Source!I186, 2)+ROUND(Source!AE186*Source!I186, 2))), 2)</f>
        <v>0</v>
      </c>
      <c r="T462">
        <f>Source!X186</f>
        <v>0</v>
      </c>
      <c r="U462">
        <f>ROUND((Source!FY186/100)*((ROUND(Source!AF186*Source!I186, 2)+ROUND(Source!AE186*Source!I186, 2))), 2)</f>
        <v>0</v>
      </c>
      <c r="V462">
        <f>Source!Y186</f>
        <v>0</v>
      </c>
      <c r="W462">
        <f>IF(Source!BI186&lt;=1,H462, 0)</f>
        <v>0</v>
      </c>
      <c r="X462">
        <f>IF(Source!BI186=2,H462, 0)</f>
        <v>42.8</v>
      </c>
      <c r="Y462">
        <f>IF(Source!BI186=3,H462, 0)</f>
        <v>0</v>
      </c>
      <c r="Z462">
        <f>IF(Source!BI186=4,H462, 0)</f>
        <v>0</v>
      </c>
    </row>
    <row r="463" spans="1:26" ht="15" x14ac:dyDescent="0.25">
      <c r="G463" s="47">
        <f>H455+H456+H458+H459+H460+SUM(H462:H462)</f>
        <v>93.53</v>
      </c>
      <c r="H463" s="47"/>
      <c r="J463" s="47">
        <f>K455+K456+K458+K459+K460+SUM(K462:K462)</f>
        <v>627.70000000000005</v>
      </c>
      <c r="K463" s="47"/>
      <c r="L463" s="34">
        <f>Source!U185</f>
        <v>1.7565000000000002</v>
      </c>
      <c r="O463" s="21">
        <f>G463</f>
        <v>93.53</v>
      </c>
      <c r="P463" s="21">
        <f>J463</f>
        <v>627.70000000000005</v>
      </c>
      <c r="Q463" s="21">
        <f>L463</f>
        <v>1.7565000000000002</v>
      </c>
      <c r="W463">
        <f>IF(Source!BI185&lt;=1,H455+H456+H458+H459+H460, 0)</f>
        <v>0</v>
      </c>
      <c r="X463">
        <f>IF(Source!BI185=2,H455+H456+H458+H459+H460, 0)</f>
        <v>50.730000000000004</v>
      </c>
      <c r="Y463">
        <f>IF(Source!BI185=3,H455+H456+H458+H459+H460, 0)</f>
        <v>0</v>
      </c>
      <c r="Z463">
        <f>IF(Source!BI185=4,H455+H456+H458+H459+H460, 0)</f>
        <v>0</v>
      </c>
    </row>
    <row r="464" spans="1:26" ht="28.5" x14ac:dyDescent="0.2">
      <c r="A464" s="40" t="str">
        <f>Source!E187</f>
        <v>46</v>
      </c>
      <c r="B464" s="41" t="str">
        <f>Source!F187</f>
        <v>м08-03-591-08</v>
      </c>
      <c r="C464" s="41" t="str">
        <f>Source!G187</f>
        <v>Розетка штепсельная неутопленного типа при открытой проводке</v>
      </c>
      <c r="D464" s="24" t="str">
        <f>Source!H187</f>
        <v>100 ШТ</v>
      </c>
      <c r="E464" s="10">
        <f>Source!I187</f>
        <v>0.28999999999999998</v>
      </c>
      <c r="F464" s="25">
        <f>Source!AL187+Source!AM187+Source!AO187</f>
        <v>453.92999999999995</v>
      </c>
      <c r="G464" s="26"/>
      <c r="H464" s="25"/>
      <c r="I464" s="26" t="str">
        <f>Source!BO187</f>
        <v/>
      </c>
      <c r="J464" s="26"/>
      <c r="K464" s="25"/>
      <c r="L464" s="27"/>
      <c r="S464">
        <f>ROUND((Source!FX187/100)*((ROUND(Source!AF187*Source!I187, 2)+ROUND(Source!AE187*Source!I187, 2))), 2)</f>
        <v>94.63</v>
      </c>
      <c r="T464">
        <f>Source!X187</f>
        <v>634.96</v>
      </c>
      <c r="U464">
        <f>ROUND((Source!FY187/100)*((ROUND(Source!AF187*Source!I187, 2)+ROUND(Source!AE187*Source!I187, 2))), 2)</f>
        <v>64.75</v>
      </c>
      <c r="V464">
        <f>Source!Y187</f>
        <v>434.45</v>
      </c>
    </row>
    <row r="465" spans="1:26" x14ac:dyDescent="0.2">
      <c r="C465" s="20" t="str">
        <f>"Объем: "&amp;Source!I187&amp;"=29/"&amp;"100"</f>
        <v>Объем: 0,29=29/100</v>
      </c>
    </row>
    <row r="466" spans="1:26" ht="14.25" x14ac:dyDescent="0.2">
      <c r="A466" s="40"/>
      <c r="B466" s="41"/>
      <c r="C466" s="41" t="s">
        <v>989</v>
      </c>
      <c r="D466" s="24"/>
      <c r="E466" s="10"/>
      <c r="F466" s="25">
        <f>Source!AO187</f>
        <v>342.84</v>
      </c>
      <c r="G466" s="26" t="str">
        <f>Source!DG187</f>
        <v/>
      </c>
      <c r="H466" s="25">
        <f>ROUND(Source!AF187*Source!I187, 2)</f>
        <v>99.42</v>
      </c>
      <c r="I466" s="26"/>
      <c r="J466" s="26">
        <f>IF(Source!BA187&lt;&gt; 0, Source!BA187, 1)</f>
        <v>6.71</v>
      </c>
      <c r="K466" s="25">
        <f>Source!S187</f>
        <v>667.13</v>
      </c>
      <c r="L466" s="27"/>
      <c r="R466">
        <f>H466</f>
        <v>99.42</v>
      </c>
    </row>
    <row r="467" spans="1:26" ht="14.25" x14ac:dyDescent="0.2">
      <c r="A467" s="40"/>
      <c r="B467" s="41"/>
      <c r="C467" s="41" t="s">
        <v>300</v>
      </c>
      <c r="D467" s="24"/>
      <c r="E467" s="10"/>
      <c r="F467" s="25">
        <f>Source!AM187</f>
        <v>4.67</v>
      </c>
      <c r="G467" s="26" t="str">
        <f>Source!DE187</f>
        <v/>
      </c>
      <c r="H467" s="25">
        <f>ROUND(Source!AD187*Source!I187, 2)</f>
        <v>1.35</v>
      </c>
      <c r="I467" s="26"/>
      <c r="J467" s="26">
        <f>IF(Source!BB187&lt;&gt; 0, Source!BB187, 1)</f>
        <v>6.71</v>
      </c>
      <c r="K467" s="25">
        <f>Source!Q187</f>
        <v>9.09</v>
      </c>
      <c r="L467" s="27"/>
    </row>
    <row r="468" spans="1:26" ht="14.25" x14ac:dyDescent="0.2">
      <c r="A468" s="40"/>
      <c r="B468" s="41"/>
      <c r="C468" s="41" t="s">
        <v>995</v>
      </c>
      <c r="D468" s="24"/>
      <c r="E468" s="10"/>
      <c r="F468" s="25">
        <f>Source!AN187</f>
        <v>0.64</v>
      </c>
      <c r="G468" s="26" t="str">
        <f>Source!DF187</f>
        <v/>
      </c>
      <c r="H468" s="35">
        <f>ROUND(Source!AE187*Source!I187, 2)</f>
        <v>0.19</v>
      </c>
      <c r="I468" s="26"/>
      <c r="J468" s="26">
        <f>IF(Source!BS187&lt;&gt; 0, Source!BS187, 1)</f>
        <v>6.71</v>
      </c>
      <c r="K468" s="35">
        <f>Source!R187</f>
        <v>1.25</v>
      </c>
      <c r="L468" s="27"/>
      <c r="R468">
        <f>H468</f>
        <v>0.19</v>
      </c>
    </row>
    <row r="469" spans="1:26" ht="14.25" x14ac:dyDescent="0.2">
      <c r="A469" s="40"/>
      <c r="B469" s="41"/>
      <c r="C469" s="41" t="s">
        <v>996</v>
      </c>
      <c r="D469" s="24"/>
      <c r="E469" s="10"/>
      <c r="F469" s="25">
        <f>Source!AL187</f>
        <v>106.42</v>
      </c>
      <c r="G469" s="26" t="str">
        <f>Source!DD187</f>
        <v/>
      </c>
      <c r="H469" s="25">
        <f>ROUND(Source!AC187*Source!I187, 2)</f>
        <v>30.86</v>
      </c>
      <c r="I469" s="26"/>
      <c r="J469" s="26">
        <f>IF(Source!BC187&lt;&gt; 0, Source!BC187, 1)</f>
        <v>6.71</v>
      </c>
      <c r="K469" s="25">
        <f>Source!P187</f>
        <v>207.08</v>
      </c>
      <c r="L469" s="27"/>
    </row>
    <row r="470" spans="1:26" ht="14.25" x14ac:dyDescent="0.2">
      <c r="A470" s="40"/>
      <c r="B470" s="41"/>
      <c r="C470" s="41" t="s">
        <v>990</v>
      </c>
      <c r="D470" s="24" t="s">
        <v>991</v>
      </c>
      <c r="E470" s="10">
        <f>Source!BZ187</f>
        <v>95</v>
      </c>
      <c r="F470" s="44"/>
      <c r="G470" s="26"/>
      <c r="H470" s="25">
        <f>SUM(S464:S474)</f>
        <v>94.63</v>
      </c>
      <c r="I470" s="28"/>
      <c r="J470" s="23">
        <f>Source!AT187</f>
        <v>95</v>
      </c>
      <c r="K470" s="25">
        <f>SUM(T464:T474)</f>
        <v>634.96</v>
      </c>
      <c r="L470" s="27"/>
    </row>
    <row r="471" spans="1:26" ht="14.25" x14ac:dyDescent="0.2">
      <c r="A471" s="40"/>
      <c r="B471" s="41"/>
      <c r="C471" s="41" t="s">
        <v>992</v>
      </c>
      <c r="D471" s="24" t="s">
        <v>991</v>
      </c>
      <c r="E471" s="10">
        <f>Source!CA187</f>
        <v>65</v>
      </c>
      <c r="F471" s="44"/>
      <c r="G471" s="26"/>
      <c r="H471" s="25">
        <f>SUM(U464:U474)</f>
        <v>64.75</v>
      </c>
      <c r="I471" s="28"/>
      <c r="J471" s="23">
        <f>Source!AU187</f>
        <v>65</v>
      </c>
      <c r="K471" s="25">
        <f>SUM(V464:V474)</f>
        <v>434.45</v>
      </c>
      <c r="L471" s="27"/>
    </row>
    <row r="472" spans="1:26" ht="14.25" x14ac:dyDescent="0.2">
      <c r="A472" s="40"/>
      <c r="B472" s="41"/>
      <c r="C472" s="41" t="s">
        <v>993</v>
      </c>
      <c r="D472" s="24" t="s">
        <v>994</v>
      </c>
      <c r="E472" s="10">
        <f>Source!AQ187</f>
        <v>34.56</v>
      </c>
      <c r="F472" s="25"/>
      <c r="G472" s="26" t="str">
        <f>Source!DI187</f>
        <v/>
      </c>
      <c r="H472" s="25"/>
      <c r="I472" s="26"/>
      <c r="J472" s="26"/>
      <c r="K472" s="25"/>
      <c r="L472" s="36">
        <f>Source!U187</f>
        <v>10.022399999999999</v>
      </c>
    </row>
    <row r="473" spans="1:26" ht="42.75" x14ac:dyDescent="0.2">
      <c r="A473" s="40" t="str">
        <f>Source!E188</f>
        <v>46,1</v>
      </c>
      <c r="B473" s="41" t="str">
        <f>Source!F188</f>
        <v>20.4.03.05-0004</v>
      </c>
      <c r="C473" s="41" t="str">
        <f>Source!G188</f>
        <v>Розетка открытой проводки "EFAPEL" 220В2к+з,(45х45мм),белые с супортами в кабель-канал прим.</v>
      </c>
      <c r="D473" s="24" t="str">
        <f>Source!H188</f>
        <v>100 шт.</v>
      </c>
      <c r="E473" s="10">
        <f>Source!I188</f>
        <v>0.24</v>
      </c>
      <c r="F473" s="25">
        <f>Source!AL188+Source!AM188+Source!AO188</f>
        <v>899</v>
      </c>
      <c r="G473" s="39" t="s">
        <v>6</v>
      </c>
      <c r="H473" s="25">
        <f>ROUND(Source!AC188*Source!I188, 2)+ROUND(Source!AD188*Source!I188, 2)+ROUND(Source!AF188*Source!I188, 2)</f>
        <v>215.76</v>
      </c>
      <c r="I473" s="26"/>
      <c r="J473" s="26">
        <f>IF(Source!BC188&lt;&gt; 0, Source!BC188, 1)</f>
        <v>6.71</v>
      </c>
      <c r="K473" s="25">
        <f>Source!O188</f>
        <v>1447.75</v>
      </c>
      <c r="L473" s="27"/>
      <c r="S473">
        <f>ROUND((Source!FX188/100)*((ROUND(Source!AF188*Source!I188, 2)+ROUND(Source!AE188*Source!I188, 2))), 2)</f>
        <v>0</v>
      </c>
      <c r="T473">
        <f>Source!X188</f>
        <v>0</v>
      </c>
      <c r="U473">
        <f>ROUND((Source!FY188/100)*((ROUND(Source!AF188*Source!I188, 2)+ROUND(Source!AE188*Source!I188, 2))), 2)</f>
        <v>0</v>
      </c>
      <c r="V473">
        <f>Source!Y188</f>
        <v>0</v>
      </c>
      <c r="W473">
        <f>IF(Source!BI188&lt;=1,H473, 0)</f>
        <v>0</v>
      </c>
      <c r="X473">
        <f>IF(Source!BI188=2,H473, 0)</f>
        <v>215.76</v>
      </c>
      <c r="Y473">
        <f>IF(Source!BI188=3,H473, 0)</f>
        <v>0</v>
      </c>
      <c r="Z473">
        <f>IF(Source!BI188=4,H473, 0)</f>
        <v>0</v>
      </c>
    </row>
    <row r="474" spans="1:26" ht="28.5" x14ac:dyDescent="0.2">
      <c r="A474" s="42" t="str">
        <f>Source!E189</f>
        <v>46,2</v>
      </c>
      <c r="B474" s="43" t="str">
        <f>Source!F189</f>
        <v>20.4.03.05-0005</v>
      </c>
      <c r="C474" s="43" t="str">
        <f>Source!G189</f>
        <v>Розетка  для открытой проводки (согласно тех.задания)</v>
      </c>
      <c r="D474" s="29" t="str">
        <f>Source!H189</f>
        <v>100 шт.</v>
      </c>
      <c r="E474" s="30">
        <f>Source!I189</f>
        <v>0.05</v>
      </c>
      <c r="F474" s="31">
        <f>Source!AL189+Source!AM189+Source!AO189</f>
        <v>734</v>
      </c>
      <c r="G474" s="37" t="s">
        <v>6</v>
      </c>
      <c r="H474" s="31">
        <f>ROUND(Source!AC189*Source!I189, 2)+ROUND(Source!AD189*Source!I189, 2)+ROUND(Source!AF189*Source!I189, 2)</f>
        <v>36.700000000000003</v>
      </c>
      <c r="I474" s="32"/>
      <c r="J474" s="32">
        <f>IF(Source!BC189&lt;&gt; 0, Source!BC189, 1)</f>
        <v>6.71</v>
      </c>
      <c r="K474" s="31">
        <f>Source!O189</f>
        <v>246.26</v>
      </c>
      <c r="L474" s="38"/>
      <c r="S474">
        <f>ROUND((Source!FX189/100)*((ROUND(Source!AF189*Source!I189, 2)+ROUND(Source!AE189*Source!I189, 2))), 2)</f>
        <v>0</v>
      </c>
      <c r="T474">
        <f>Source!X189</f>
        <v>0</v>
      </c>
      <c r="U474">
        <f>ROUND((Source!FY189/100)*((ROUND(Source!AF189*Source!I189, 2)+ROUND(Source!AE189*Source!I189, 2))), 2)</f>
        <v>0</v>
      </c>
      <c r="V474">
        <f>Source!Y189</f>
        <v>0</v>
      </c>
      <c r="W474">
        <f>IF(Source!BI189&lt;=1,H474, 0)</f>
        <v>0</v>
      </c>
      <c r="X474">
        <f>IF(Source!BI189=2,H474, 0)</f>
        <v>36.700000000000003</v>
      </c>
      <c r="Y474">
        <f>IF(Source!BI189=3,H474, 0)</f>
        <v>0</v>
      </c>
      <c r="Z474">
        <f>IF(Source!BI189=4,H474, 0)</f>
        <v>0</v>
      </c>
    </row>
    <row r="475" spans="1:26" ht="15" x14ac:dyDescent="0.25">
      <c r="G475" s="47">
        <f>H466+H467+H469+H470+H471+SUM(H473:H474)</f>
        <v>543.47</v>
      </c>
      <c r="H475" s="47"/>
      <c r="J475" s="47">
        <f>K466+K467+K469+K470+K471+SUM(K473:K474)</f>
        <v>3646.7200000000003</v>
      </c>
      <c r="K475" s="47"/>
      <c r="L475" s="34">
        <f>Source!U187</f>
        <v>10.022399999999999</v>
      </c>
      <c r="O475" s="21">
        <f>G475</f>
        <v>543.47</v>
      </c>
      <c r="P475" s="21">
        <f>J475</f>
        <v>3646.7200000000003</v>
      </c>
      <c r="Q475" s="21">
        <f>L475</f>
        <v>10.022399999999999</v>
      </c>
      <c r="W475">
        <f>IF(Source!BI187&lt;=1,H466+H467+H469+H470+H471, 0)</f>
        <v>0</v>
      </c>
      <c r="X475">
        <f>IF(Source!BI187=2,H466+H467+H469+H470+H471, 0)</f>
        <v>291.01</v>
      </c>
      <c r="Y475">
        <f>IF(Source!BI187=3,H466+H467+H469+H470+H471, 0)</f>
        <v>0</v>
      </c>
      <c r="Z475">
        <f>IF(Source!BI187=4,H466+H467+H469+H470+H471, 0)</f>
        <v>0</v>
      </c>
    </row>
    <row r="476" spans="1:26" ht="28.5" x14ac:dyDescent="0.2">
      <c r="A476" s="40" t="str">
        <f>Source!E190</f>
        <v>47</v>
      </c>
      <c r="B476" s="41" t="str">
        <f>Source!F190</f>
        <v>м08-02-370-02</v>
      </c>
      <c r="C476" s="41" t="str">
        <f>Source!G190</f>
        <v>Щиток до трех групп, устанавливаемый в нише цоколя</v>
      </c>
      <c r="D476" s="24" t="str">
        <f>Source!H190</f>
        <v>ШТ</v>
      </c>
      <c r="E476" s="10">
        <f>Source!I190</f>
        <v>5</v>
      </c>
      <c r="F476" s="25">
        <f>Source!AL190+Source!AM190+Source!AO190</f>
        <v>33.42</v>
      </c>
      <c r="G476" s="26"/>
      <c r="H476" s="25"/>
      <c r="I476" s="26" t="str">
        <f>Source!BO190</f>
        <v/>
      </c>
      <c r="J476" s="26"/>
      <c r="K476" s="25"/>
      <c r="L476" s="27"/>
      <c r="S476">
        <f>ROUND((Source!FX190/100)*((ROUND(Source!AF190*Source!I190, 2)+ROUND(Source!AE190*Source!I190, 2))), 2)</f>
        <v>56.81</v>
      </c>
      <c r="T476">
        <f>Source!X190</f>
        <v>381.2</v>
      </c>
      <c r="U476">
        <f>ROUND((Source!FY190/100)*((ROUND(Source!AF190*Source!I190, 2)+ROUND(Source!AE190*Source!I190, 2))), 2)</f>
        <v>38.869999999999997</v>
      </c>
      <c r="V476">
        <f>Source!Y190</f>
        <v>260.82</v>
      </c>
    </row>
    <row r="477" spans="1:26" ht="14.25" x14ac:dyDescent="0.2">
      <c r="A477" s="40"/>
      <c r="B477" s="41"/>
      <c r="C477" s="41" t="s">
        <v>989</v>
      </c>
      <c r="D477" s="24"/>
      <c r="E477" s="10"/>
      <c r="F477" s="25">
        <f>Source!AO190</f>
        <v>9.4499999999999993</v>
      </c>
      <c r="G477" s="26" t="str">
        <f>Source!DG190</f>
        <v/>
      </c>
      <c r="H477" s="25">
        <f>ROUND(Source!AF190*Source!I190, 2)</f>
        <v>47.25</v>
      </c>
      <c r="I477" s="26"/>
      <c r="J477" s="26">
        <f>IF(Source!BA190&lt;&gt; 0, Source!BA190, 1)</f>
        <v>6.71</v>
      </c>
      <c r="K477" s="25">
        <f>Source!S190</f>
        <v>317.05</v>
      </c>
      <c r="L477" s="27"/>
      <c r="R477">
        <f>H477</f>
        <v>47.25</v>
      </c>
    </row>
    <row r="478" spans="1:26" ht="14.25" x14ac:dyDescent="0.2">
      <c r="A478" s="40"/>
      <c r="B478" s="41"/>
      <c r="C478" s="41" t="s">
        <v>300</v>
      </c>
      <c r="D478" s="24"/>
      <c r="E478" s="10"/>
      <c r="F478" s="25">
        <f>Source!AM190</f>
        <v>17.77</v>
      </c>
      <c r="G478" s="26" t="str">
        <f>Source!DE190</f>
        <v/>
      </c>
      <c r="H478" s="25">
        <f>ROUND(Source!AD190*Source!I190, 2)</f>
        <v>88.85</v>
      </c>
      <c r="I478" s="26"/>
      <c r="J478" s="26">
        <f>IF(Source!BB190&lt;&gt; 0, Source!BB190, 1)</f>
        <v>6.71</v>
      </c>
      <c r="K478" s="25">
        <f>Source!Q190</f>
        <v>596.17999999999995</v>
      </c>
      <c r="L478" s="27"/>
    </row>
    <row r="479" spans="1:26" ht="14.25" x14ac:dyDescent="0.2">
      <c r="A479" s="40"/>
      <c r="B479" s="41"/>
      <c r="C479" s="41" t="s">
        <v>995</v>
      </c>
      <c r="D479" s="24"/>
      <c r="E479" s="10"/>
      <c r="F479" s="25">
        <f>Source!AN190</f>
        <v>2.5099999999999998</v>
      </c>
      <c r="G479" s="26" t="str">
        <f>Source!DF190</f>
        <v/>
      </c>
      <c r="H479" s="35">
        <f>ROUND(Source!AE190*Source!I190, 2)</f>
        <v>12.55</v>
      </c>
      <c r="I479" s="26"/>
      <c r="J479" s="26">
        <f>IF(Source!BS190&lt;&gt; 0, Source!BS190, 1)</f>
        <v>6.71</v>
      </c>
      <c r="K479" s="35">
        <f>Source!R190</f>
        <v>84.21</v>
      </c>
      <c r="L479" s="27"/>
      <c r="R479">
        <f>H479</f>
        <v>12.55</v>
      </c>
    </row>
    <row r="480" spans="1:26" ht="14.25" x14ac:dyDescent="0.2">
      <c r="A480" s="40"/>
      <c r="B480" s="41"/>
      <c r="C480" s="41" t="s">
        <v>996</v>
      </c>
      <c r="D480" s="24"/>
      <c r="E480" s="10"/>
      <c r="F480" s="25">
        <f>Source!AL190</f>
        <v>6.2</v>
      </c>
      <c r="G480" s="26" t="str">
        <f>Source!DD190</f>
        <v/>
      </c>
      <c r="H480" s="25">
        <f>ROUND(Source!AC190*Source!I190, 2)</f>
        <v>31</v>
      </c>
      <c r="I480" s="26"/>
      <c r="J480" s="26">
        <f>IF(Source!BC190&lt;&gt; 0, Source!BC190, 1)</f>
        <v>6.71</v>
      </c>
      <c r="K480" s="25">
        <f>Source!P190</f>
        <v>208.01</v>
      </c>
      <c r="L480" s="27"/>
    </row>
    <row r="481" spans="1:26" ht="14.25" x14ac:dyDescent="0.2">
      <c r="A481" s="40"/>
      <c r="B481" s="41"/>
      <c r="C481" s="41" t="s">
        <v>990</v>
      </c>
      <c r="D481" s="24" t="s">
        <v>991</v>
      </c>
      <c r="E481" s="10">
        <f>Source!BZ190</f>
        <v>95</v>
      </c>
      <c r="F481" s="44"/>
      <c r="G481" s="26"/>
      <c r="H481" s="25">
        <f>SUM(S476:S484)</f>
        <v>56.81</v>
      </c>
      <c r="I481" s="28"/>
      <c r="J481" s="23">
        <f>Source!AT190</f>
        <v>95</v>
      </c>
      <c r="K481" s="25">
        <f>SUM(T476:T484)</f>
        <v>381.2</v>
      </c>
      <c r="L481" s="27"/>
    </row>
    <row r="482" spans="1:26" ht="14.25" x14ac:dyDescent="0.2">
      <c r="A482" s="40"/>
      <c r="B482" s="41"/>
      <c r="C482" s="41" t="s">
        <v>992</v>
      </c>
      <c r="D482" s="24" t="s">
        <v>991</v>
      </c>
      <c r="E482" s="10">
        <f>Source!CA190</f>
        <v>65</v>
      </c>
      <c r="F482" s="44"/>
      <c r="G482" s="26"/>
      <c r="H482" s="25">
        <f>SUM(U476:U484)</f>
        <v>38.869999999999997</v>
      </c>
      <c r="I482" s="28"/>
      <c r="J482" s="23">
        <f>Source!AU190</f>
        <v>65</v>
      </c>
      <c r="K482" s="25">
        <f>SUM(V476:V484)</f>
        <v>260.82</v>
      </c>
      <c r="L482" s="27"/>
    </row>
    <row r="483" spans="1:26" ht="14.25" x14ac:dyDescent="0.2">
      <c r="A483" s="40"/>
      <c r="B483" s="41"/>
      <c r="C483" s="41" t="s">
        <v>993</v>
      </c>
      <c r="D483" s="24" t="s">
        <v>994</v>
      </c>
      <c r="E483" s="10">
        <f>Source!AQ190</f>
        <v>0.9</v>
      </c>
      <c r="F483" s="25"/>
      <c r="G483" s="26" t="str">
        <f>Source!DI190</f>
        <v/>
      </c>
      <c r="H483" s="25"/>
      <c r="I483" s="26"/>
      <c r="J483" s="26"/>
      <c r="K483" s="25"/>
      <c r="L483" s="36">
        <f>Source!U190</f>
        <v>4.5</v>
      </c>
    </row>
    <row r="484" spans="1:26" ht="57" x14ac:dyDescent="0.2">
      <c r="A484" s="42" t="str">
        <f>Source!E191</f>
        <v>47,1</v>
      </c>
      <c r="B484" s="43" t="str">
        <f>Source!F191</f>
        <v>62.1.02.03-0003</v>
      </c>
      <c r="C484" s="43" t="str">
        <f>Source!G191</f>
        <v>Щит навесной IEK ШРН-18э1 38,18 модулей ,IP31 с клемником(АВВ) с замком,материал корпуса металл прим.</v>
      </c>
      <c r="D484" s="29" t="str">
        <f>Source!H191</f>
        <v>10 шт.</v>
      </c>
      <c r="E484" s="30">
        <f>Source!I191</f>
        <v>0.5</v>
      </c>
      <c r="F484" s="31">
        <f>Source!AL191+Source!AM191+Source!AO191</f>
        <v>188.5</v>
      </c>
      <c r="G484" s="37" t="s">
        <v>6</v>
      </c>
      <c r="H484" s="31">
        <f>ROUND(Source!AC191*Source!I191, 2)+ROUND(Source!AD191*Source!I191, 2)+ROUND(Source!AF191*Source!I191, 2)</f>
        <v>94.25</v>
      </c>
      <c r="I484" s="32"/>
      <c r="J484" s="32">
        <f>IF(Source!BC191&lt;&gt; 0, Source!BC191, 1)</f>
        <v>6.71</v>
      </c>
      <c r="K484" s="31">
        <f>Source!O191</f>
        <v>632.41999999999996</v>
      </c>
      <c r="L484" s="38"/>
      <c r="S484">
        <f>ROUND((Source!FX191/100)*((ROUND(Source!AF191*Source!I191, 2)+ROUND(Source!AE191*Source!I191, 2))), 2)</f>
        <v>0</v>
      </c>
      <c r="T484">
        <f>Source!X191</f>
        <v>0</v>
      </c>
      <c r="U484">
        <f>ROUND((Source!FY191/100)*((ROUND(Source!AF191*Source!I191, 2)+ROUND(Source!AE191*Source!I191, 2))), 2)</f>
        <v>0</v>
      </c>
      <c r="V484">
        <f>Source!Y191</f>
        <v>0</v>
      </c>
      <c r="W484">
        <f>IF(Source!BI191&lt;=1,H484, 0)</f>
        <v>0</v>
      </c>
      <c r="X484">
        <f>IF(Source!BI191=2,H484, 0)</f>
        <v>94.25</v>
      </c>
      <c r="Y484">
        <f>IF(Source!BI191=3,H484, 0)</f>
        <v>0</v>
      </c>
      <c r="Z484">
        <f>IF(Source!BI191=4,H484, 0)</f>
        <v>0</v>
      </c>
    </row>
    <row r="485" spans="1:26" ht="15" x14ac:dyDescent="0.25">
      <c r="G485" s="47">
        <f>H477+H478+H480+H481+H482+SUM(H484:H484)</f>
        <v>357.03</v>
      </c>
      <c r="H485" s="47"/>
      <c r="J485" s="47">
        <f>K477+K478+K480+K481+K482+SUM(K484:K484)</f>
        <v>2395.6799999999998</v>
      </c>
      <c r="K485" s="47"/>
      <c r="L485" s="34">
        <f>Source!U190</f>
        <v>4.5</v>
      </c>
      <c r="O485" s="21">
        <f>G485</f>
        <v>357.03</v>
      </c>
      <c r="P485" s="21">
        <f>J485</f>
        <v>2395.6799999999998</v>
      </c>
      <c r="Q485" s="21">
        <f>L485</f>
        <v>4.5</v>
      </c>
      <c r="W485">
        <f>IF(Source!BI190&lt;=1,H477+H478+H480+H481+H482, 0)</f>
        <v>0</v>
      </c>
      <c r="X485">
        <f>IF(Source!BI190=2,H477+H478+H480+H481+H482, 0)</f>
        <v>262.77999999999997</v>
      </c>
      <c r="Y485">
        <f>IF(Source!BI190=3,H477+H478+H480+H481+H482, 0)</f>
        <v>0</v>
      </c>
      <c r="Z485">
        <f>IF(Source!BI190=4,H477+H478+H480+H481+H482, 0)</f>
        <v>0</v>
      </c>
    </row>
    <row r="486" spans="1:26" ht="57" x14ac:dyDescent="0.2">
      <c r="A486" s="40" t="str">
        <f>Source!E192</f>
        <v>48</v>
      </c>
      <c r="B486" s="41" t="str">
        <f>Source!F192</f>
        <v>м08-03-526-01</v>
      </c>
      <c r="C486" s="41" t="str">
        <f>Source!G192</f>
        <v>Установка автомата  одно-, двух-, трехполюсного , устанавливаемого  на конструкции на стене или колонне, на ток до 25 А</v>
      </c>
      <c r="D486" s="24" t="str">
        <f>Source!H192</f>
        <v>ШТ</v>
      </c>
      <c r="E486" s="10">
        <f>Source!I192</f>
        <v>32</v>
      </c>
      <c r="F486" s="25">
        <f>Source!AL192+Source!AM192+Source!AO192</f>
        <v>35.980000000000004</v>
      </c>
      <c r="G486" s="26"/>
      <c r="H486" s="25"/>
      <c r="I486" s="26" t="str">
        <f>Source!BO192</f>
        <v/>
      </c>
      <c r="J486" s="26"/>
      <c r="K486" s="25"/>
      <c r="L486" s="27"/>
      <c r="S486">
        <f>ROUND((Source!FX192/100)*((ROUND(Source!AF192*Source!I192, 2)+ROUND(Source!AE192*Source!I192, 2))), 2)</f>
        <v>451.14</v>
      </c>
      <c r="T486">
        <f>Source!X192</f>
        <v>3027.12</v>
      </c>
      <c r="U486">
        <f>ROUND((Source!FY192/100)*((ROUND(Source!AF192*Source!I192, 2)+ROUND(Source!AE192*Source!I192, 2))), 2)</f>
        <v>308.67</v>
      </c>
      <c r="V486">
        <f>Source!Y192</f>
        <v>2071.19</v>
      </c>
    </row>
    <row r="487" spans="1:26" ht="14.25" x14ac:dyDescent="0.2">
      <c r="A487" s="40"/>
      <c r="B487" s="41"/>
      <c r="C487" s="41" t="s">
        <v>989</v>
      </c>
      <c r="D487" s="24"/>
      <c r="E487" s="10"/>
      <c r="F487" s="25">
        <f>Source!AO192</f>
        <v>14.84</v>
      </c>
      <c r="G487" s="26" t="str">
        <f>Source!DG192</f>
        <v/>
      </c>
      <c r="H487" s="25">
        <f>ROUND(Source!AF192*Source!I192, 2)</f>
        <v>474.88</v>
      </c>
      <c r="I487" s="26"/>
      <c r="J487" s="26">
        <f>IF(Source!BA192&lt;&gt; 0, Source!BA192, 1)</f>
        <v>6.71</v>
      </c>
      <c r="K487" s="25">
        <f>Source!S192</f>
        <v>3186.44</v>
      </c>
      <c r="L487" s="27"/>
      <c r="R487">
        <f>H487</f>
        <v>474.88</v>
      </c>
    </row>
    <row r="488" spans="1:26" ht="14.25" x14ac:dyDescent="0.2">
      <c r="A488" s="40"/>
      <c r="B488" s="41"/>
      <c r="C488" s="41" t="s">
        <v>300</v>
      </c>
      <c r="D488" s="24"/>
      <c r="E488" s="10"/>
      <c r="F488" s="25">
        <f>Source!AM192</f>
        <v>1.05</v>
      </c>
      <c r="G488" s="26" t="str">
        <f>Source!DE192</f>
        <v/>
      </c>
      <c r="H488" s="25">
        <f>ROUND(Source!AD192*Source!I192, 2)</f>
        <v>33.6</v>
      </c>
      <c r="I488" s="26"/>
      <c r="J488" s="26">
        <f>IF(Source!BB192&lt;&gt; 0, Source!BB192, 1)</f>
        <v>6.71</v>
      </c>
      <c r="K488" s="25">
        <f>Source!Q192</f>
        <v>225.46</v>
      </c>
      <c r="L488" s="27"/>
    </row>
    <row r="489" spans="1:26" ht="14.25" x14ac:dyDescent="0.2">
      <c r="A489" s="40"/>
      <c r="B489" s="41"/>
      <c r="C489" s="41" t="s">
        <v>996</v>
      </c>
      <c r="D489" s="24"/>
      <c r="E489" s="10"/>
      <c r="F489" s="25">
        <f>Source!AL192</f>
        <v>20.09</v>
      </c>
      <c r="G489" s="26" t="str">
        <f>Source!DD192</f>
        <v/>
      </c>
      <c r="H489" s="25">
        <f>ROUND(Source!AC192*Source!I192, 2)</f>
        <v>642.88</v>
      </c>
      <c r="I489" s="26"/>
      <c r="J489" s="26">
        <f>IF(Source!BC192&lt;&gt; 0, Source!BC192, 1)</f>
        <v>6.71</v>
      </c>
      <c r="K489" s="25">
        <f>Source!P192</f>
        <v>4313.72</v>
      </c>
      <c r="L489" s="27"/>
    </row>
    <row r="490" spans="1:26" ht="14.25" x14ac:dyDescent="0.2">
      <c r="A490" s="40"/>
      <c r="B490" s="41"/>
      <c r="C490" s="41" t="s">
        <v>990</v>
      </c>
      <c r="D490" s="24" t="s">
        <v>991</v>
      </c>
      <c r="E490" s="10">
        <f>Source!BZ192</f>
        <v>95</v>
      </c>
      <c r="F490" s="44"/>
      <c r="G490" s="26"/>
      <c r="H490" s="25">
        <f>SUM(S486:S497)</f>
        <v>451.14</v>
      </c>
      <c r="I490" s="28"/>
      <c r="J490" s="23">
        <f>Source!AT192</f>
        <v>95</v>
      </c>
      <c r="K490" s="25">
        <f>SUM(T486:T497)</f>
        <v>3027.12</v>
      </c>
      <c r="L490" s="27"/>
    </row>
    <row r="491" spans="1:26" ht="14.25" x14ac:dyDescent="0.2">
      <c r="A491" s="40"/>
      <c r="B491" s="41"/>
      <c r="C491" s="41" t="s">
        <v>992</v>
      </c>
      <c r="D491" s="24" t="s">
        <v>991</v>
      </c>
      <c r="E491" s="10">
        <f>Source!CA192</f>
        <v>65</v>
      </c>
      <c r="F491" s="44"/>
      <c r="G491" s="26"/>
      <c r="H491" s="25">
        <f>SUM(U486:U497)</f>
        <v>308.67</v>
      </c>
      <c r="I491" s="28"/>
      <c r="J491" s="23">
        <f>Source!AU192</f>
        <v>65</v>
      </c>
      <c r="K491" s="25">
        <f>SUM(V486:V497)</f>
        <v>2071.19</v>
      </c>
      <c r="L491" s="27"/>
    </row>
    <row r="492" spans="1:26" ht="14.25" x14ac:dyDescent="0.2">
      <c r="A492" s="40"/>
      <c r="B492" s="41"/>
      <c r="C492" s="41" t="s">
        <v>993</v>
      </c>
      <c r="D492" s="24" t="s">
        <v>994</v>
      </c>
      <c r="E492" s="10">
        <f>Source!AQ192</f>
        <v>1.56</v>
      </c>
      <c r="F492" s="25"/>
      <c r="G492" s="26" t="str">
        <f>Source!DI192</f>
        <v/>
      </c>
      <c r="H492" s="25"/>
      <c r="I492" s="26"/>
      <c r="J492" s="26"/>
      <c r="K492" s="25"/>
      <c r="L492" s="36">
        <f>Source!U192</f>
        <v>49.92</v>
      </c>
    </row>
    <row r="493" spans="1:26" ht="28.5" x14ac:dyDescent="0.2">
      <c r="A493" s="40" t="str">
        <f>Source!E193</f>
        <v>48,1</v>
      </c>
      <c r="B493" s="41" t="str">
        <f>Source!F193</f>
        <v>62.1.01.09-0050</v>
      </c>
      <c r="C493" s="41" t="str">
        <f>Source!G193</f>
        <v>Выключатели автоматические АВВ 1Р 16А прим.</v>
      </c>
      <c r="D493" s="24" t="str">
        <f>Source!H193</f>
        <v>шт.</v>
      </c>
      <c r="E493" s="10">
        <f>Source!I193</f>
        <v>12</v>
      </c>
      <c r="F493" s="25">
        <f>Source!AL193+Source!AM193+Source!AO193</f>
        <v>66.48</v>
      </c>
      <c r="G493" s="39" t="s">
        <v>6</v>
      </c>
      <c r="H493" s="25">
        <f>ROUND(Source!AC193*Source!I193, 2)+ROUND(Source!AD193*Source!I193, 2)+ROUND(Source!AF193*Source!I193, 2)</f>
        <v>797.76</v>
      </c>
      <c r="I493" s="26"/>
      <c r="J493" s="26">
        <f>IF(Source!BC193&lt;&gt; 0, Source!BC193, 1)</f>
        <v>6.71</v>
      </c>
      <c r="K493" s="25">
        <f>Source!O193</f>
        <v>5352.97</v>
      </c>
      <c r="L493" s="27"/>
      <c r="S493">
        <f>ROUND((Source!FX193/100)*((ROUND(Source!AF193*Source!I193, 2)+ROUND(Source!AE193*Source!I193, 2))), 2)</f>
        <v>0</v>
      </c>
      <c r="T493">
        <f>Source!X193</f>
        <v>0</v>
      </c>
      <c r="U493">
        <f>ROUND((Source!FY193/100)*((ROUND(Source!AF193*Source!I193, 2)+ROUND(Source!AE193*Source!I193, 2))), 2)</f>
        <v>0</v>
      </c>
      <c r="V493">
        <f>Source!Y193</f>
        <v>0</v>
      </c>
      <c r="W493">
        <f>IF(Source!BI193&lt;=1,H493, 0)</f>
        <v>0</v>
      </c>
      <c r="X493">
        <f>IF(Source!BI193=2,H493, 0)</f>
        <v>797.76</v>
      </c>
      <c r="Y493">
        <f>IF(Source!BI193=3,H493, 0)</f>
        <v>0</v>
      </c>
      <c r="Z493">
        <f>IF(Source!BI193=4,H493, 0)</f>
        <v>0</v>
      </c>
    </row>
    <row r="494" spans="1:26" ht="28.5" x14ac:dyDescent="0.2">
      <c r="A494" s="40" t="str">
        <f>Source!E194</f>
        <v>48,2</v>
      </c>
      <c r="B494" s="41" t="str">
        <f>Source!F194</f>
        <v>62.1.01.09-0049</v>
      </c>
      <c r="C494" s="41" t="str">
        <f>Source!G194</f>
        <v>Выключатели автоматические «АВВ" 1Р 10А прим.</v>
      </c>
      <c r="D494" s="24" t="str">
        <f>Source!H194</f>
        <v>шт.</v>
      </c>
      <c r="E494" s="10">
        <f>Source!I194</f>
        <v>5</v>
      </c>
      <c r="F494" s="25">
        <f>Source!AL194+Source!AM194+Source!AO194</f>
        <v>73.63</v>
      </c>
      <c r="G494" s="39" t="s">
        <v>6</v>
      </c>
      <c r="H494" s="25">
        <f>ROUND(Source!AC194*Source!I194, 2)+ROUND(Source!AD194*Source!I194, 2)+ROUND(Source!AF194*Source!I194, 2)</f>
        <v>368.15</v>
      </c>
      <c r="I494" s="26"/>
      <c r="J494" s="26">
        <f>IF(Source!BC194&lt;&gt; 0, Source!BC194, 1)</f>
        <v>6.71</v>
      </c>
      <c r="K494" s="25">
        <f>Source!O194</f>
        <v>2470.29</v>
      </c>
      <c r="L494" s="27"/>
      <c r="S494">
        <f>ROUND((Source!FX194/100)*((ROUND(Source!AF194*Source!I194, 2)+ROUND(Source!AE194*Source!I194, 2))), 2)</f>
        <v>0</v>
      </c>
      <c r="T494">
        <f>Source!X194</f>
        <v>0</v>
      </c>
      <c r="U494">
        <f>ROUND((Source!FY194/100)*((ROUND(Source!AF194*Source!I194, 2)+ROUND(Source!AE194*Source!I194, 2))), 2)</f>
        <v>0</v>
      </c>
      <c r="V494">
        <f>Source!Y194</f>
        <v>0</v>
      </c>
      <c r="W494">
        <f>IF(Source!BI194&lt;=1,H494, 0)</f>
        <v>0</v>
      </c>
      <c r="X494">
        <f>IF(Source!BI194=2,H494, 0)</f>
        <v>368.15</v>
      </c>
      <c r="Y494">
        <f>IF(Source!BI194=3,H494, 0)</f>
        <v>0</v>
      </c>
      <c r="Z494">
        <f>IF(Source!BI194=4,H494, 0)</f>
        <v>0</v>
      </c>
    </row>
    <row r="495" spans="1:26" ht="28.5" x14ac:dyDescent="0.2">
      <c r="A495" s="40" t="str">
        <f>Source!E195</f>
        <v>48,3</v>
      </c>
      <c r="B495" s="41" t="str">
        <f>Source!F195</f>
        <v>62.1.01.09-0065</v>
      </c>
      <c r="C495" s="41" t="str">
        <f>Source!G195</f>
        <v>Выключатели автоматические «АВВ" 3Р 10А прим.</v>
      </c>
      <c r="D495" s="24" t="str">
        <f>Source!H195</f>
        <v>шт.</v>
      </c>
      <c r="E495" s="10">
        <f>Source!I195</f>
        <v>5</v>
      </c>
      <c r="F495" s="25">
        <f>Source!AL195+Source!AM195+Source!AO195</f>
        <v>231.3</v>
      </c>
      <c r="G495" s="39" t="s">
        <v>6</v>
      </c>
      <c r="H495" s="25">
        <f>ROUND(Source!AC195*Source!I195, 2)+ROUND(Source!AD195*Source!I195, 2)+ROUND(Source!AF195*Source!I195, 2)</f>
        <v>1156.5</v>
      </c>
      <c r="I495" s="26"/>
      <c r="J495" s="26">
        <f>IF(Source!BC195&lt;&gt; 0, Source!BC195, 1)</f>
        <v>6.71</v>
      </c>
      <c r="K495" s="25">
        <f>Source!O195</f>
        <v>7760.12</v>
      </c>
      <c r="L495" s="27"/>
      <c r="S495">
        <f>ROUND((Source!FX195/100)*((ROUND(Source!AF195*Source!I195, 2)+ROUND(Source!AE195*Source!I195, 2))), 2)</f>
        <v>0</v>
      </c>
      <c r="T495">
        <f>Source!X195</f>
        <v>0</v>
      </c>
      <c r="U495">
        <f>ROUND((Source!FY195/100)*((ROUND(Source!AF195*Source!I195, 2)+ROUND(Source!AE195*Source!I195, 2))), 2)</f>
        <v>0</v>
      </c>
      <c r="V495">
        <f>Source!Y195</f>
        <v>0</v>
      </c>
      <c r="W495">
        <f>IF(Source!BI195&lt;=1,H495, 0)</f>
        <v>0</v>
      </c>
      <c r="X495">
        <f>IF(Source!BI195=2,H495, 0)</f>
        <v>1156.5</v>
      </c>
      <c r="Y495">
        <f>IF(Source!BI195=3,H495, 0)</f>
        <v>0</v>
      </c>
      <c r="Z495">
        <f>IF(Source!BI195=4,H495, 0)</f>
        <v>0</v>
      </c>
    </row>
    <row r="496" spans="1:26" ht="28.5" x14ac:dyDescent="0.2">
      <c r="A496" s="40" t="str">
        <f>Source!E196</f>
        <v>48,4</v>
      </c>
      <c r="B496" s="41" t="str">
        <f>Source!F196</f>
        <v>62.1.01.09-0067</v>
      </c>
      <c r="C496" s="41" t="str">
        <f>Source!G196</f>
        <v>Выключатели автоматические  3Р 25А прим.</v>
      </c>
      <c r="D496" s="24" t="str">
        <f>Source!H196</f>
        <v>шт.</v>
      </c>
      <c r="E496" s="10">
        <f>Source!I196</f>
        <v>5</v>
      </c>
      <c r="F496" s="25">
        <f>Source!AL196+Source!AM196+Source!AO196</f>
        <v>302.16000000000003</v>
      </c>
      <c r="G496" s="39" t="s">
        <v>6</v>
      </c>
      <c r="H496" s="25">
        <f>ROUND(Source!AC196*Source!I196, 2)+ROUND(Source!AD196*Source!I196, 2)+ROUND(Source!AF196*Source!I196, 2)</f>
        <v>1510.8</v>
      </c>
      <c r="I496" s="26"/>
      <c r="J496" s="26">
        <f>IF(Source!BC196&lt;&gt; 0, Source!BC196, 1)</f>
        <v>6.71</v>
      </c>
      <c r="K496" s="25">
        <f>Source!O196</f>
        <v>10137.469999999999</v>
      </c>
      <c r="L496" s="27"/>
      <c r="S496">
        <f>ROUND((Source!FX196/100)*((ROUND(Source!AF196*Source!I196, 2)+ROUND(Source!AE196*Source!I196, 2))), 2)</f>
        <v>0</v>
      </c>
      <c r="T496">
        <f>Source!X196</f>
        <v>0</v>
      </c>
      <c r="U496">
        <f>ROUND((Source!FY196/100)*((ROUND(Source!AF196*Source!I196, 2)+ROUND(Source!AE196*Source!I196, 2))), 2)</f>
        <v>0</v>
      </c>
      <c r="V496">
        <f>Source!Y196</f>
        <v>0</v>
      </c>
      <c r="W496">
        <f>IF(Source!BI196&lt;=1,H496, 0)</f>
        <v>0</v>
      </c>
      <c r="X496">
        <f>IF(Source!BI196=2,H496, 0)</f>
        <v>1510.8</v>
      </c>
      <c r="Y496">
        <f>IF(Source!BI196=3,H496, 0)</f>
        <v>0</v>
      </c>
      <c r="Z496">
        <f>IF(Source!BI196=4,H496, 0)</f>
        <v>0</v>
      </c>
    </row>
    <row r="497" spans="1:26" ht="28.5" x14ac:dyDescent="0.2">
      <c r="A497" s="42" t="str">
        <f>Source!E197</f>
        <v>48,5</v>
      </c>
      <c r="B497" s="43" t="str">
        <f>Source!F197</f>
        <v>62.1.01.09-0051</v>
      </c>
      <c r="C497" s="43" t="str">
        <f>Source!G197</f>
        <v>Выключатели автоматические «АВВ" 1Р 20А прим.</v>
      </c>
      <c r="D497" s="29" t="str">
        <f>Source!H197</f>
        <v>шт.</v>
      </c>
      <c r="E497" s="30">
        <f>Source!I197</f>
        <v>5</v>
      </c>
      <c r="F497" s="31">
        <f>Source!AL197+Source!AM197+Source!AO197</f>
        <v>73.290000000000006</v>
      </c>
      <c r="G497" s="37" t="s">
        <v>6</v>
      </c>
      <c r="H497" s="31">
        <f>ROUND(Source!AC197*Source!I197, 2)+ROUND(Source!AD197*Source!I197, 2)+ROUND(Source!AF197*Source!I197, 2)</f>
        <v>366.45</v>
      </c>
      <c r="I497" s="32"/>
      <c r="J497" s="32">
        <f>IF(Source!BC197&lt;&gt; 0, Source!BC197, 1)</f>
        <v>6.71</v>
      </c>
      <c r="K497" s="31">
        <f>Source!O197</f>
        <v>2458.88</v>
      </c>
      <c r="L497" s="38"/>
      <c r="S497">
        <f>ROUND((Source!FX197/100)*((ROUND(Source!AF197*Source!I197, 2)+ROUND(Source!AE197*Source!I197, 2))), 2)</f>
        <v>0</v>
      </c>
      <c r="T497">
        <f>Source!X197</f>
        <v>0</v>
      </c>
      <c r="U497">
        <f>ROUND((Source!FY197/100)*((ROUND(Source!AF197*Source!I197, 2)+ROUND(Source!AE197*Source!I197, 2))), 2)</f>
        <v>0</v>
      </c>
      <c r="V497">
        <f>Source!Y197</f>
        <v>0</v>
      </c>
      <c r="W497">
        <f>IF(Source!BI197&lt;=1,H497, 0)</f>
        <v>0</v>
      </c>
      <c r="X497">
        <f>IF(Source!BI197=2,H497, 0)</f>
        <v>366.45</v>
      </c>
      <c r="Y497">
        <f>IF(Source!BI197=3,H497, 0)</f>
        <v>0</v>
      </c>
      <c r="Z497">
        <f>IF(Source!BI197=4,H497, 0)</f>
        <v>0</v>
      </c>
    </row>
    <row r="498" spans="1:26" ht="15" x14ac:dyDescent="0.25">
      <c r="G498" s="47">
        <f>H487+H488+H489+H490+H491+SUM(H493:H497)</f>
        <v>6110.83</v>
      </c>
      <c r="H498" s="47"/>
      <c r="J498" s="47">
        <f>K487+K488+K489+K490+K491+SUM(K493:K497)</f>
        <v>41003.660000000003</v>
      </c>
      <c r="K498" s="47"/>
      <c r="L498" s="34">
        <f>Source!U192</f>
        <v>49.92</v>
      </c>
      <c r="O498" s="21">
        <f>G498</f>
        <v>6110.83</v>
      </c>
      <c r="P498" s="21">
        <f>J498</f>
        <v>41003.660000000003</v>
      </c>
      <c r="Q498" s="21">
        <f>L498</f>
        <v>49.92</v>
      </c>
      <c r="W498">
        <f>IF(Source!BI192&lt;=1,H487+H488+H489+H490+H491, 0)</f>
        <v>0</v>
      </c>
      <c r="X498">
        <f>IF(Source!BI192=2,H487+H488+H489+H490+H491, 0)</f>
        <v>1911.17</v>
      </c>
      <c r="Y498">
        <f>IF(Source!BI192=3,H487+H488+H489+H490+H491, 0)</f>
        <v>0</v>
      </c>
      <c r="Z498">
        <f>IF(Source!BI192=4,H487+H488+H489+H490+H491, 0)</f>
        <v>0</v>
      </c>
    </row>
    <row r="499" spans="1:26" ht="57" x14ac:dyDescent="0.2">
      <c r="A499" s="40" t="str">
        <f>Source!E198</f>
        <v>49</v>
      </c>
      <c r="B499" s="41" t="str">
        <f>Source!F198</f>
        <v>м08-03-594-14</v>
      </c>
      <c r="C499" s="41" t="str">
        <f>Source!G198</f>
        <v>Установка светильников  в подвесных потолках, устанавливаемый на профиле, количество ламп в светильнике до 4</v>
      </c>
      <c r="D499" s="24" t="str">
        <f>Source!H198</f>
        <v>100 ШТ</v>
      </c>
      <c r="E499" s="10">
        <f>Source!I198</f>
        <v>0.72</v>
      </c>
      <c r="F499" s="25">
        <f>Source!AL198+Source!AM198+Source!AO198</f>
        <v>3323.2299999999996</v>
      </c>
      <c r="G499" s="26"/>
      <c r="H499" s="25"/>
      <c r="I499" s="26" t="str">
        <f>Source!BO198</f>
        <v/>
      </c>
      <c r="J499" s="26"/>
      <c r="K499" s="25"/>
      <c r="L499" s="27"/>
      <c r="S499">
        <f>ROUND((Source!FX198/100)*((ROUND(Source!AF198*Source!I198, 2)+ROUND(Source!AE198*Source!I198, 2))), 2)</f>
        <v>1466.33</v>
      </c>
      <c r="T499">
        <f>Source!X198</f>
        <v>9839.09</v>
      </c>
      <c r="U499">
        <f>ROUND((Source!FY198/100)*((ROUND(Source!AF198*Source!I198, 2)+ROUND(Source!AE198*Source!I198, 2))), 2)</f>
        <v>1003.28</v>
      </c>
      <c r="V499">
        <f>Source!Y198</f>
        <v>6732.01</v>
      </c>
    </row>
    <row r="500" spans="1:26" x14ac:dyDescent="0.2">
      <c r="C500" s="20" t="str">
        <f>"Объем: "&amp;Source!I198&amp;"=72/"&amp;"100"</f>
        <v>Объем: 0,72=72/100</v>
      </c>
    </row>
    <row r="501" spans="1:26" ht="14.25" x14ac:dyDescent="0.2">
      <c r="A501" s="40"/>
      <c r="B501" s="41"/>
      <c r="C501" s="41" t="s">
        <v>989</v>
      </c>
      <c r="D501" s="24"/>
      <c r="E501" s="10"/>
      <c r="F501" s="25">
        <f>Source!AO198</f>
        <v>2118.91</v>
      </c>
      <c r="G501" s="26" t="str">
        <f>Source!DG198</f>
        <v/>
      </c>
      <c r="H501" s="25">
        <f>ROUND(Source!AF198*Source!I198, 2)</f>
        <v>1525.62</v>
      </c>
      <c r="I501" s="26"/>
      <c r="J501" s="26">
        <f>IF(Source!BA198&lt;&gt; 0, Source!BA198, 1)</f>
        <v>6.71</v>
      </c>
      <c r="K501" s="25">
        <f>Source!S198</f>
        <v>10236.879999999999</v>
      </c>
      <c r="L501" s="27"/>
      <c r="R501">
        <f>H501</f>
        <v>1525.62</v>
      </c>
    </row>
    <row r="502" spans="1:26" ht="14.25" x14ac:dyDescent="0.2">
      <c r="A502" s="40"/>
      <c r="B502" s="41"/>
      <c r="C502" s="41" t="s">
        <v>300</v>
      </c>
      <c r="D502" s="24"/>
      <c r="E502" s="10"/>
      <c r="F502" s="25">
        <f>Source!AM198</f>
        <v>185.15</v>
      </c>
      <c r="G502" s="26" t="str">
        <f>Source!DE198</f>
        <v/>
      </c>
      <c r="H502" s="25">
        <f>ROUND(Source!AD198*Source!I198, 2)</f>
        <v>133.31</v>
      </c>
      <c r="I502" s="26"/>
      <c r="J502" s="26">
        <f>IF(Source!BB198&lt;&gt; 0, Source!BB198, 1)</f>
        <v>6.71</v>
      </c>
      <c r="K502" s="25">
        <f>Source!Q198</f>
        <v>894.5</v>
      </c>
      <c r="L502" s="27"/>
    </row>
    <row r="503" spans="1:26" ht="14.25" x14ac:dyDescent="0.2">
      <c r="A503" s="40"/>
      <c r="B503" s="41"/>
      <c r="C503" s="41" t="s">
        <v>995</v>
      </c>
      <c r="D503" s="24"/>
      <c r="E503" s="10"/>
      <c r="F503" s="25">
        <f>Source!AN198</f>
        <v>24.85</v>
      </c>
      <c r="G503" s="26" t="str">
        <f>Source!DF198</f>
        <v/>
      </c>
      <c r="H503" s="35">
        <f>ROUND(Source!AE198*Source!I198, 2)</f>
        <v>17.89</v>
      </c>
      <c r="I503" s="26"/>
      <c r="J503" s="26">
        <f>IF(Source!BS198&lt;&gt; 0, Source!BS198, 1)</f>
        <v>6.71</v>
      </c>
      <c r="K503" s="35">
        <f>Source!R198</f>
        <v>120.06</v>
      </c>
      <c r="L503" s="27"/>
      <c r="R503">
        <f>H503</f>
        <v>17.89</v>
      </c>
    </row>
    <row r="504" spans="1:26" ht="14.25" x14ac:dyDescent="0.2">
      <c r="A504" s="40"/>
      <c r="B504" s="41"/>
      <c r="C504" s="41" t="s">
        <v>996</v>
      </c>
      <c r="D504" s="24"/>
      <c r="E504" s="10"/>
      <c r="F504" s="25">
        <f>Source!AL198</f>
        <v>1019.17</v>
      </c>
      <c r="G504" s="26" t="str">
        <f>Source!DD198</f>
        <v/>
      </c>
      <c r="H504" s="25">
        <f>ROUND(Source!AC198*Source!I198, 2)</f>
        <v>733.8</v>
      </c>
      <c r="I504" s="26"/>
      <c r="J504" s="26">
        <f>IF(Source!BC198&lt;&gt; 0, Source!BC198, 1)</f>
        <v>6.71</v>
      </c>
      <c r="K504" s="25">
        <f>Source!P198</f>
        <v>4923.8100000000004</v>
      </c>
      <c r="L504" s="27"/>
    </row>
    <row r="505" spans="1:26" ht="14.25" x14ac:dyDescent="0.2">
      <c r="A505" s="40"/>
      <c r="B505" s="41"/>
      <c r="C505" s="41" t="s">
        <v>990</v>
      </c>
      <c r="D505" s="24" t="s">
        <v>991</v>
      </c>
      <c r="E505" s="10">
        <f>Source!BZ198</f>
        <v>95</v>
      </c>
      <c r="F505" s="44"/>
      <c r="G505" s="26"/>
      <c r="H505" s="25">
        <f>SUM(S499:S508)</f>
        <v>1466.33</v>
      </c>
      <c r="I505" s="28"/>
      <c r="J505" s="23">
        <f>Source!AT198</f>
        <v>95</v>
      </c>
      <c r="K505" s="25">
        <f>SUM(T499:T508)</f>
        <v>9839.09</v>
      </c>
      <c r="L505" s="27"/>
    </row>
    <row r="506" spans="1:26" ht="14.25" x14ac:dyDescent="0.2">
      <c r="A506" s="40"/>
      <c r="B506" s="41"/>
      <c r="C506" s="41" t="s">
        <v>992</v>
      </c>
      <c r="D506" s="24" t="s">
        <v>991</v>
      </c>
      <c r="E506" s="10">
        <f>Source!CA198</f>
        <v>65</v>
      </c>
      <c r="F506" s="44"/>
      <c r="G506" s="26"/>
      <c r="H506" s="25">
        <f>SUM(U499:U508)</f>
        <v>1003.28</v>
      </c>
      <c r="I506" s="28"/>
      <c r="J506" s="23">
        <f>Source!AU198</f>
        <v>65</v>
      </c>
      <c r="K506" s="25">
        <f>SUM(V499:V508)</f>
        <v>6732.01</v>
      </c>
      <c r="L506" s="27"/>
    </row>
    <row r="507" spans="1:26" ht="14.25" x14ac:dyDescent="0.2">
      <c r="A507" s="40"/>
      <c r="B507" s="41"/>
      <c r="C507" s="41" t="s">
        <v>993</v>
      </c>
      <c r="D507" s="24" t="s">
        <v>994</v>
      </c>
      <c r="E507" s="10">
        <f>Source!AQ198</f>
        <v>213.6</v>
      </c>
      <c r="F507" s="25"/>
      <c r="G507" s="26" t="str">
        <f>Source!DI198</f>
        <v/>
      </c>
      <c r="H507" s="25"/>
      <c r="I507" s="26"/>
      <c r="J507" s="26"/>
      <c r="K507" s="25"/>
      <c r="L507" s="36">
        <f>Source!U198</f>
        <v>153.792</v>
      </c>
    </row>
    <row r="508" spans="1:26" ht="42.75" x14ac:dyDescent="0.2">
      <c r="A508" s="42" t="str">
        <f>Source!E199</f>
        <v>49,1</v>
      </c>
      <c r="B508" s="43" t="str">
        <f>Source!F199</f>
        <v>20.3.03.07-0099</v>
      </c>
      <c r="C508" s="43" t="str">
        <f>Source!G199</f>
        <v>Светильник потолочный со светодиодными лампами  "Oskar LED" ,36Вт,3000Лм,IP40 прим.</v>
      </c>
      <c r="D508" s="29" t="str">
        <f>Source!H199</f>
        <v>шт.</v>
      </c>
      <c r="E508" s="30">
        <f>Source!I199</f>
        <v>72</v>
      </c>
      <c r="F508" s="31">
        <f>Source!AL199+Source!AM199+Source!AO199</f>
        <v>846.15</v>
      </c>
      <c r="G508" s="37" t="s">
        <v>6</v>
      </c>
      <c r="H508" s="31">
        <f>ROUND(Source!AC199*Source!I199, 2)+ROUND(Source!AD199*Source!I199, 2)+ROUND(Source!AF199*Source!I199, 2)</f>
        <v>60922.8</v>
      </c>
      <c r="I508" s="32"/>
      <c r="J508" s="32">
        <f>IF(Source!BC199&lt;&gt; 0, Source!BC199, 1)</f>
        <v>6.71</v>
      </c>
      <c r="K508" s="31">
        <f>Source!O199</f>
        <v>408791.99</v>
      </c>
      <c r="L508" s="38"/>
      <c r="S508">
        <f>ROUND((Source!FX199/100)*((ROUND(Source!AF199*Source!I199, 2)+ROUND(Source!AE199*Source!I199, 2))), 2)</f>
        <v>0</v>
      </c>
      <c r="T508">
        <f>Source!X199</f>
        <v>0</v>
      </c>
      <c r="U508">
        <f>ROUND((Source!FY199/100)*((ROUND(Source!AF199*Source!I199, 2)+ROUND(Source!AE199*Source!I199, 2))), 2)</f>
        <v>0</v>
      </c>
      <c r="V508">
        <f>Source!Y199</f>
        <v>0</v>
      </c>
      <c r="W508">
        <f>IF(Source!BI199&lt;=1,H508, 0)</f>
        <v>0</v>
      </c>
      <c r="X508">
        <f>IF(Source!BI199=2,H508, 0)</f>
        <v>60922.8</v>
      </c>
      <c r="Y508">
        <f>IF(Source!BI199=3,H508, 0)</f>
        <v>0</v>
      </c>
      <c r="Z508">
        <f>IF(Source!BI199=4,H508, 0)</f>
        <v>0</v>
      </c>
    </row>
    <row r="509" spans="1:26" ht="15" x14ac:dyDescent="0.25">
      <c r="G509" s="47">
        <f>H501+H502+H504+H505+H506+SUM(H508:H508)</f>
        <v>65785.14</v>
      </c>
      <c r="H509" s="47"/>
      <c r="J509" s="47">
        <f>K501+K502+K504+K505+K506+SUM(K508:K508)</f>
        <v>441418.27999999997</v>
      </c>
      <c r="K509" s="47"/>
      <c r="L509" s="34">
        <f>Source!U198</f>
        <v>153.792</v>
      </c>
      <c r="O509" s="21">
        <f>G509</f>
        <v>65785.14</v>
      </c>
      <c r="P509" s="21">
        <f>J509</f>
        <v>441418.27999999997</v>
      </c>
      <c r="Q509" s="21">
        <f>L509</f>
        <v>153.792</v>
      </c>
      <c r="W509">
        <f>IF(Source!BI198&lt;=1,H501+H502+H504+H505+H506, 0)</f>
        <v>0</v>
      </c>
      <c r="X509">
        <f>IF(Source!BI198=2,H501+H502+H504+H505+H506, 0)</f>
        <v>4862.3399999999992</v>
      </c>
      <c r="Y509">
        <f>IF(Source!BI198=3,H501+H502+H504+H505+H506, 0)</f>
        <v>0</v>
      </c>
      <c r="Z509">
        <f>IF(Source!BI198=4,H501+H502+H504+H505+H506, 0)</f>
        <v>0</v>
      </c>
    </row>
    <row r="511" spans="1:26" ht="15" x14ac:dyDescent="0.25">
      <c r="A511" s="46" t="str">
        <f>CONCATENATE("Итого по разделу: ",IF(Source!G201&lt;&gt;"Новый раздел", Source!G201, ""))</f>
        <v>Итого по разделу: 3 Электромонтажные работы</v>
      </c>
      <c r="B511" s="46"/>
      <c r="C511" s="46"/>
      <c r="D511" s="46"/>
      <c r="E511" s="46"/>
      <c r="F511" s="46"/>
      <c r="G511" s="49">
        <f>SUM(O337:O510)</f>
        <v>84873.709999999992</v>
      </c>
      <c r="H511" s="49"/>
      <c r="I511" s="22"/>
      <c r="J511" s="49">
        <f>SUM(P337:P510)</f>
        <v>569502.69999999995</v>
      </c>
      <c r="K511" s="49"/>
      <c r="L511" s="34">
        <f>SUM(Q337:Q510)</f>
        <v>444.40493000000004</v>
      </c>
    </row>
    <row r="513" spans="1:26" ht="16.5" x14ac:dyDescent="0.25">
      <c r="A513" s="48" t="str">
        <f>CONCATENATE("Раздел: ",IF(Source!G233&lt;&gt;"Новый раздел", Source!G233, ""))</f>
        <v>Раздел: 4 Пусконаладочные работы</v>
      </c>
      <c r="B513" s="48"/>
      <c r="C513" s="48"/>
      <c r="D513" s="48"/>
      <c r="E513" s="48"/>
      <c r="F513" s="48"/>
      <c r="G513" s="48"/>
      <c r="H513" s="48"/>
      <c r="I513" s="48"/>
      <c r="J513" s="48"/>
      <c r="K513" s="48"/>
      <c r="L513" s="48"/>
    </row>
    <row r="514" spans="1:26" ht="114" x14ac:dyDescent="0.2">
      <c r="A514" s="40" t="str">
        <f>Source!E237</f>
        <v>50</v>
      </c>
      <c r="B514" s="41" t="str">
        <f>Source!F237</f>
        <v>п01-11-028-01</v>
      </c>
      <c r="C514" s="41" t="str">
        <f>Source!G237</f>
        <v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v>
      </c>
      <c r="D514" s="24" t="str">
        <f>Source!H237</f>
        <v>ШТ</v>
      </c>
      <c r="E514" s="10">
        <f>Source!I237</f>
        <v>32</v>
      </c>
      <c r="F514" s="25">
        <f>Source!AL237+Source!AM237+Source!AO237</f>
        <v>4.0999999999999996</v>
      </c>
      <c r="G514" s="26"/>
      <c r="H514" s="25"/>
      <c r="I514" s="26" t="str">
        <f>Source!BO237</f>
        <v/>
      </c>
      <c r="J514" s="26"/>
      <c r="K514" s="25"/>
      <c r="L514" s="27"/>
      <c r="S514">
        <f>ROUND((Source!FX237/100)*((ROUND(Source!AF237*Source!I237, 2)+ROUND(Source!AE237*Source!I237, 2))), 2)</f>
        <v>68.22</v>
      </c>
      <c r="T514">
        <f>Source!X237</f>
        <v>1322.86</v>
      </c>
      <c r="U514">
        <f>ROUND((Source!FY237/100)*((ROUND(Source!AF237*Source!I237, 2)+ROUND(Source!AE237*Source!I237, 2))), 2)</f>
        <v>41.98</v>
      </c>
      <c r="V514">
        <f>Source!Y237</f>
        <v>814.07</v>
      </c>
    </row>
    <row r="515" spans="1:26" ht="14.25" x14ac:dyDescent="0.2">
      <c r="A515" s="40"/>
      <c r="B515" s="41"/>
      <c r="C515" s="41" t="s">
        <v>989</v>
      </c>
      <c r="D515" s="24"/>
      <c r="E515" s="10"/>
      <c r="F515" s="25">
        <f>Source!AO237</f>
        <v>4.0999999999999996</v>
      </c>
      <c r="G515" s="26" t="str">
        <f>Source!DG237</f>
        <v>)*0,8</v>
      </c>
      <c r="H515" s="25">
        <f>ROUND(Source!AF237*Source!I237, 2)</f>
        <v>104.96</v>
      </c>
      <c r="I515" s="26"/>
      <c r="J515" s="26">
        <f>IF(Source!BA237&lt;&gt; 0, Source!BA237, 1)</f>
        <v>19.39</v>
      </c>
      <c r="K515" s="25">
        <f>Source!S237</f>
        <v>2035.17</v>
      </c>
      <c r="L515" s="27"/>
      <c r="R515">
        <f>H515</f>
        <v>104.96</v>
      </c>
    </row>
    <row r="516" spans="1:26" ht="14.25" x14ac:dyDescent="0.2">
      <c r="A516" s="40"/>
      <c r="B516" s="41"/>
      <c r="C516" s="41" t="s">
        <v>990</v>
      </c>
      <c r="D516" s="24" t="s">
        <v>991</v>
      </c>
      <c r="E516" s="10">
        <f>Source!BZ237</f>
        <v>65</v>
      </c>
      <c r="F516" s="44"/>
      <c r="G516" s="26"/>
      <c r="H516" s="25">
        <f>SUM(S514:S518)</f>
        <v>68.22</v>
      </c>
      <c r="I516" s="28"/>
      <c r="J516" s="23">
        <f>Source!AT237</f>
        <v>65</v>
      </c>
      <c r="K516" s="25">
        <f>SUM(T514:T518)</f>
        <v>1322.86</v>
      </c>
      <c r="L516" s="27"/>
    </row>
    <row r="517" spans="1:26" ht="14.25" x14ac:dyDescent="0.2">
      <c r="A517" s="40"/>
      <c r="B517" s="41"/>
      <c r="C517" s="41" t="s">
        <v>992</v>
      </c>
      <c r="D517" s="24" t="s">
        <v>991</v>
      </c>
      <c r="E517" s="10">
        <f>Source!CA237</f>
        <v>40</v>
      </c>
      <c r="F517" s="44"/>
      <c r="G517" s="26"/>
      <c r="H517" s="25">
        <f>SUM(U514:U518)</f>
        <v>41.98</v>
      </c>
      <c r="I517" s="28"/>
      <c r="J517" s="23">
        <f>Source!AU237</f>
        <v>40</v>
      </c>
      <c r="K517" s="25">
        <f>SUM(V514:V518)</f>
        <v>814.07</v>
      </c>
      <c r="L517" s="27"/>
    </row>
    <row r="518" spans="1:26" ht="14.25" x14ac:dyDescent="0.2">
      <c r="A518" s="42"/>
      <c r="B518" s="43"/>
      <c r="C518" s="43" t="s">
        <v>993</v>
      </c>
      <c r="D518" s="29" t="s">
        <v>994</v>
      </c>
      <c r="E518" s="30">
        <f>Source!AQ237</f>
        <v>0.32</v>
      </c>
      <c r="F518" s="31"/>
      <c r="G518" s="32" t="str">
        <f>Source!DI237</f>
        <v>)*0,8</v>
      </c>
      <c r="H518" s="31"/>
      <c r="I518" s="32"/>
      <c r="J518" s="32"/>
      <c r="K518" s="31"/>
      <c r="L518" s="33">
        <f>Source!U237</f>
        <v>8.1920000000000002</v>
      </c>
    </row>
    <row r="519" spans="1:26" ht="15" x14ac:dyDescent="0.25">
      <c r="G519" s="47">
        <f>H515+H516+H517</f>
        <v>215.16</v>
      </c>
      <c r="H519" s="47"/>
      <c r="J519" s="47">
        <f>K515+K516+K517</f>
        <v>4172.0999999999995</v>
      </c>
      <c r="K519" s="47"/>
      <c r="L519" s="34">
        <f>Source!U237</f>
        <v>8.1920000000000002</v>
      </c>
      <c r="O519" s="21">
        <f>G519</f>
        <v>215.16</v>
      </c>
      <c r="P519" s="21">
        <f>J519</f>
        <v>4172.0999999999995</v>
      </c>
      <c r="Q519" s="21">
        <f>L519</f>
        <v>8.1920000000000002</v>
      </c>
      <c r="W519">
        <f>IF(Source!BI237&lt;=1,H515+H516+H517, 0)</f>
        <v>0</v>
      </c>
      <c r="X519">
        <f>IF(Source!BI237=2,H515+H516+H517, 0)</f>
        <v>0</v>
      </c>
      <c r="Y519">
        <f>IF(Source!BI237=3,H515+H516+H517, 0)</f>
        <v>0</v>
      </c>
      <c r="Z519">
        <f>IF(Source!BI237=4,H515+H516+H517, 0)</f>
        <v>215.16</v>
      </c>
    </row>
    <row r="520" spans="1:26" ht="42.75" x14ac:dyDescent="0.2">
      <c r="A520" s="40" t="str">
        <f>Source!E238</f>
        <v>51</v>
      </c>
      <c r="B520" s="41" t="str">
        <f>Source!F238</f>
        <v>п01-11-011-01</v>
      </c>
      <c r="C520" s="41" t="str">
        <f>Source!G238</f>
        <v>Проверка наличия цепи между заземлителями и заземленными элементами</v>
      </c>
      <c r="D520" s="24" t="str">
        <f>Source!H238</f>
        <v>100 измерений</v>
      </c>
      <c r="E520" s="10">
        <f>Source!I238</f>
        <v>0.05</v>
      </c>
      <c r="F520" s="25">
        <f>Source!AL238+Source!AM238+Source!AO238</f>
        <v>165.95</v>
      </c>
      <c r="G520" s="26"/>
      <c r="H520" s="25"/>
      <c r="I520" s="26" t="str">
        <f>Source!BO238</f>
        <v/>
      </c>
      <c r="J520" s="26"/>
      <c r="K520" s="25"/>
      <c r="L520" s="27"/>
      <c r="S520">
        <f>ROUND((Source!FX238/100)*((ROUND(Source!AF238*Source!I238, 2)+ROUND(Source!AE238*Source!I238, 2))), 2)</f>
        <v>4.32</v>
      </c>
      <c r="T520">
        <f>Source!X238</f>
        <v>83.66</v>
      </c>
      <c r="U520">
        <f>ROUND((Source!FY238/100)*((ROUND(Source!AF238*Source!I238, 2)+ROUND(Source!AE238*Source!I238, 2))), 2)</f>
        <v>2.66</v>
      </c>
      <c r="V520">
        <f>Source!Y238</f>
        <v>51.48</v>
      </c>
    </row>
    <row r="521" spans="1:26" x14ac:dyDescent="0.2">
      <c r="C521" s="20" t="str">
        <f>"Объем: "&amp;Source!I238&amp;"=5/"&amp;"100"</f>
        <v>Объем: 0,05=5/100</v>
      </c>
    </row>
    <row r="522" spans="1:26" ht="14.25" x14ac:dyDescent="0.2">
      <c r="A522" s="40"/>
      <c r="B522" s="41"/>
      <c r="C522" s="41" t="s">
        <v>989</v>
      </c>
      <c r="D522" s="24"/>
      <c r="E522" s="10"/>
      <c r="F522" s="25">
        <f>Source!AO238</f>
        <v>165.95</v>
      </c>
      <c r="G522" s="26" t="str">
        <f>Source!DG238</f>
        <v>)*0,8</v>
      </c>
      <c r="H522" s="25">
        <f>ROUND(Source!AF238*Source!I238, 2)</f>
        <v>6.64</v>
      </c>
      <c r="I522" s="26"/>
      <c r="J522" s="26">
        <f>IF(Source!BA238&lt;&gt; 0, Source!BA238, 1)</f>
        <v>19.39</v>
      </c>
      <c r="K522" s="25">
        <f>Source!S238</f>
        <v>128.71</v>
      </c>
      <c r="L522" s="27"/>
      <c r="R522">
        <f>H522</f>
        <v>6.64</v>
      </c>
    </row>
    <row r="523" spans="1:26" ht="14.25" x14ac:dyDescent="0.2">
      <c r="A523" s="40"/>
      <c r="B523" s="41"/>
      <c r="C523" s="41" t="s">
        <v>990</v>
      </c>
      <c r="D523" s="24" t="s">
        <v>991</v>
      </c>
      <c r="E523" s="10">
        <f>Source!BZ238</f>
        <v>65</v>
      </c>
      <c r="F523" s="44"/>
      <c r="G523" s="26"/>
      <c r="H523" s="25">
        <f>SUM(S520:S525)</f>
        <v>4.32</v>
      </c>
      <c r="I523" s="28"/>
      <c r="J523" s="23">
        <f>Source!AT238</f>
        <v>65</v>
      </c>
      <c r="K523" s="25">
        <f>SUM(T520:T525)</f>
        <v>83.66</v>
      </c>
      <c r="L523" s="27"/>
    </row>
    <row r="524" spans="1:26" ht="14.25" x14ac:dyDescent="0.2">
      <c r="A524" s="40"/>
      <c r="B524" s="41"/>
      <c r="C524" s="41" t="s">
        <v>992</v>
      </c>
      <c r="D524" s="24" t="s">
        <v>991</v>
      </c>
      <c r="E524" s="10">
        <f>Source!CA238</f>
        <v>40</v>
      </c>
      <c r="F524" s="44"/>
      <c r="G524" s="26"/>
      <c r="H524" s="25">
        <f>SUM(U520:U525)</f>
        <v>2.66</v>
      </c>
      <c r="I524" s="28"/>
      <c r="J524" s="23">
        <f>Source!AU238</f>
        <v>40</v>
      </c>
      <c r="K524" s="25">
        <f>SUM(V520:V525)</f>
        <v>51.48</v>
      </c>
      <c r="L524" s="27"/>
    </row>
    <row r="525" spans="1:26" ht="14.25" x14ac:dyDescent="0.2">
      <c r="A525" s="42"/>
      <c r="B525" s="43"/>
      <c r="C525" s="43" t="s">
        <v>993</v>
      </c>
      <c r="D525" s="29" t="s">
        <v>994</v>
      </c>
      <c r="E525" s="30">
        <f>Source!AQ238</f>
        <v>12.96</v>
      </c>
      <c r="F525" s="31"/>
      <c r="G525" s="32" t="str">
        <f>Source!DI238</f>
        <v>)*0,8</v>
      </c>
      <c r="H525" s="31"/>
      <c r="I525" s="32"/>
      <c r="J525" s="32"/>
      <c r="K525" s="31"/>
      <c r="L525" s="33">
        <f>Source!U238</f>
        <v>0.51840000000000008</v>
      </c>
    </row>
    <row r="526" spans="1:26" ht="15" x14ac:dyDescent="0.25">
      <c r="G526" s="47">
        <f>H522+H523+H524</f>
        <v>13.620000000000001</v>
      </c>
      <c r="H526" s="47"/>
      <c r="J526" s="47">
        <f>K522+K523+K524</f>
        <v>263.85000000000002</v>
      </c>
      <c r="K526" s="47"/>
      <c r="L526" s="34">
        <f>Source!U238</f>
        <v>0.51840000000000008</v>
      </c>
      <c r="O526" s="21">
        <f>G526</f>
        <v>13.620000000000001</v>
      </c>
      <c r="P526" s="21">
        <f>J526</f>
        <v>263.85000000000002</v>
      </c>
      <c r="Q526" s="21">
        <f>L526</f>
        <v>0.51840000000000008</v>
      </c>
      <c r="W526">
        <f>IF(Source!BI238&lt;=1,H522+H523+H524, 0)</f>
        <v>0</v>
      </c>
      <c r="X526">
        <f>IF(Source!BI238=2,H522+H523+H524, 0)</f>
        <v>0</v>
      </c>
      <c r="Y526">
        <f>IF(Source!BI238=3,H522+H523+H524, 0)</f>
        <v>0</v>
      </c>
      <c r="Z526">
        <f>IF(Source!BI238=4,H522+H523+H524, 0)</f>
        <v>13.620000000000001</v>
      </c>
    </row>
    <row r="527" spans="1:26" ht="28.5" x14ac:dyDescent="0.2">
      <c r="A527" s="40" t="str">
        <f>Source!E239</f>
        <v>52</v>
      </c>
      <c r="B527" s="41" t="str">
        <f>Source!F239</f>
        <v>п01-11-013-01</v>
      </c>
      <c r="C527" s="41" t="str">
        <f>Source!G239</f>
        <v>Замер полного сопротивления цепи "фаза-нуль"</v>
      </c>
      <c r="D527" s="24" t="str">
        <f>Source!H239</f>
        <v>ШТ</v>
      </c>
      <c r="E527" s="10">
        <f>Source!I239</f>
        <v>29</v>
      </c>
      <c r="F527" s="25">
        <f>Source!AL239+Source!AM239+Source!AO239</f>
        <v>15.62</v>
      </c>
      <c r="G527" s="26"/>
      <c r="H527" s="25"/>
      <c r="I527" s="26" t="str">
        <f>Source!BO239</f>
        <v/>
      </c>
      <c r="J527" s="26"/>
      <c r="K527" s="25"/>
      <c r="L527" s="27"/>
      <c r="S527">
        <f>ROUND((Source!FX239/100)*((ROUND(Source!AF239*Source!I239, 2)+ROUND(Source!AE239*Source!I239, 2))), 2)</f>
        <v>235.63</v>
      </c>
      <c r="T527">
        <f>Source!X239</f>
        <v>4568.7700000000004</v>
      </c>
      <c r="U527">
        <f>ROUND((Source!FY239/100)*((ROUND(Source!AF239*Source!I239, 2)+ROUND(Source!AE239*Source!I239, 2))), 2)</f>
        <v>145</v>
      </c>
      <c r="V527">
        <f>Source!Y239</f>
        <v>2811.55</v>
      </c>
    </row>
    <row r="528" spans="1:26" ht="14.25" x14ac:dyDescent="0.2">
      <c r="A528" s="40"/>
      <c r="B528" s="41"/>
      <c r="C528" s="41" t="s">
        <v>989</v>
      </c>
      <c r="D528" s="24"/>
      <c r="E528" s="10"/>
      <c r="F528" s="25">
        <f>Source!AO239</f>
        <v>15.62</v>
      </c>
      <c r="G528" s="26" t="str">
        <f>Source!DG239</f>
        <v>)*0,8</v>
      </c>
      <c r="H528" s="25">
        <f>ROUND(Source!AF239*Source!I239, 2)</f>
        <v>362.5</v>
      </c>
      <c r="I528" s="26"/>
      <c r="J528" s="26">
        <f>IF(Source!BA239&lt;&gt; 0, Source!BA239, 1)</f>
        <v>19.39</v>
      </c>
      <c r="K528" s="25">
        <f>Source!S239</f>
        <v>7028.88</v>
      </c>
      <c r="L528" s="27"/>
      <c r="R528">
        <f>H528</f>
        <v>362.5</v>
      </c>
    </row>
    <row r="529" spans="1:26" ht="14.25" x14ac:dyDescent="0.2">
      <c r="A529" s="40"/>
      <c r="B529" s="41"/>
      <c r="C529" s="41" t="s">
        <v>990</v>
      </c>
      <c r="D529" s="24" t="s">
        <v>991</v>
      </c>
      <c r="E529" s="10">
        <f>Source!BZ239</f>
        <v>65</v>
      </c>
      <c r="F529" s="44"/>
      <c r="G529" s="26"/>
      <c r="H529" s="25">
        <f>SUM(S527:S531)</f>
        <v>235.63</v>
      </c>
      <c r="I529" s="28"/>
      <c r="J529" s="23">
        <f>Source!AT239</f>
        <v>65</v>
      </c>
      <c r="K529" s="25">
        <f>SUM(T527:T531)</f>
        <v>4568.7700000000004</v>
      </c>
      <c r="L529" s="27"/>
    </row>
    <row r="530" spans="1:26" ht="14.25" x14ac:dyDescent="0.2">
      <c r="A530" s="40"/>
      <c r="B530" s="41"/>
      <c r="C530" s="41" t="s">
        <v>992</v>
      </c>
      <c r="D530" s="24" t="s">
        <v>991</v>
      </c>
      <c r="E530" s="10">
        <f>Source!CA239</f>
        <v>40</v>
      </c>
      <c r="F530" s="44"/>
      <c r="G530" s="26"/>
      <c r="H530" s="25">
        <f>SUM(U527:U531)</f>
        <v>145</v>
      </c>
      <c r="I530" s="28"/>
      <c r="J530" s="23">
        <f>Source!AU239</f>
        <v>40</v>
      </c>
      <c r="K530" s="25">
        <f>SUM(V527:V531)</f>
        <v>2811.55</v>
      </c>
      <c r="L530" s="27"/>
    </row>
    <row r="531" spans="1:26" ht="14.25" x14ac:dyDescent="0.2">
      <c r="A531" s="42"/>
      <c r="B531" s="43"/>
      <c r="C531" s="43" t="s">
        <v>993</v>
      </c>
      <c r="D531" s="29" t="s">
        <v>994</v>
      </c>
      <c r="E531" s="30">
        <f>Source!AQ239</f>
        <v>1.22</v>
      </c>
      <c r="F531" s="31"/>
      <c r="G531" s="32" t="str">
        <f>Source!DI239</f>
        <v>)*0,8</v>
      </c>
      <c r="H531" s="31"/>
      <c r="I531" s="32"/>
      <c r="J531" s="32"/>
      <c r="K531" s="31"/>
      <c r="L531" s="33">
        <f>Source!U239</f>
        <v>28.303999999999998</v>
      </c>
    </row>
    <row r="532" spans="1:26" ht="15" x14ac:dyDescent="0.25">
      <c r="G532" s="47">
        <f>H528+H529+H530</f>
        <v>743.13</v>
      </c>
      <c r="H532" s="47"/>
      <c r="J532" s="47">
        <f>K528+K529+K530</f>
        <v>14409.2</v>
      </c>
      <c r="K532" s="47"/>
      <c r="L532" s="34">
        <f>Source!U239</f>
        <v>28.303999999999998</v>
      </c>
      <c r="O532" s="21">
        <f>G532</f>
        <v>743.13</v>
      </c>
      <c r="P532" s="21">
        <f>J532</f>
        <v>14409.2</v>
      </c>
      <c r="Q532" s="21">
        <f>L532</f>
        <v>28.303999999999998</v>
      </c>
      <c r="W532">
        <f>IF(Source!BI239&lt;=1,H528+H529+H530, 0)</f>
        <v>0</v>
      </c>
      <c r="X532">
        <f>IF(Source!BI239=2,H528+H529+H530, 0)</f>
        <v>0</v>
      </c>
      <c r="Y532">
        <f>IF(Source!BI239=3,H528+H529+H530, 0)</f>
        <v>0</v>
      </c>
      <c r="Z532">
        <f>IF(Source!BI239=4,H528+H529+H530, 0)</f>
        <v>743.13</v>
      </c>
    </row>
    <row r="533" spans="1:26" ht="57" x14ac:dyDescent="0.2">
      <c r="A533" s="40" t="str">
        <f>Source!E240</f>
        <v>53</v>
      </c>
      <c r="B533" s="41" t="str">
        <f>Source!F240</f>
        <v>п01-12-021-02</v>
      </c>
      <c r="C533" s="41" t="str">
        <f>Source!G240</f>
        <v>Испытание аппарата коммутационного напряжением до 35 кВ (Автоматические выключатели до 1000 В)</v>
      </c>
      <c r="D533" s="24" t="str">
        <f>Source!H240</f>
        <v>испытание</v>
      </c>
      <c r="E533" s="10">
        <f>Source!I240</f>
        <v>32</v>
      </c>
      <c r="F533" s="25">
        <f>Source!AL240+Source!AM240+Source!AO240</f>
        <v>34.31</v>
      </c>
      <c r="G533" s="26"/>
      <c r="H533" s="25"/>
      <c r="I533" s="26" t="str">
        <f>Source!BO240</f>
        <v/>
      </c>
      <c r="J533" s="26"/>
      <c r="K533" s="25"/>
      <c r="L533" s="27"/>
      <c r="S533">
        <f>ROUND((Source!FX240/100)*((ROUND(Source!AF240*Source!I240, 2)+ROUND(Source!AE240*Source!I240, 2))), 2)</f>
        <v>570.96</v>
      </c>
      <c r="T533">
        <f>Source!X240</f>
        <v>11070.92</v>
      </c>
      <c r="U533">
        <f>ROUND((Source!FY240/100)*((ROUND(Source!AF240*Source!I240, 2)+ROUND(Source!AE240*Source!I240, 2))), 2)</f>
        <v>351.36</v>
      </c>
      <c r="V533">
        <f>Source!Y240</f>
        <v>6812.87</v>
      </c>
    </row>
    <row r="534" spans="1:26" ht="14.25" x14ac:dyDescent="0.2">
      <c r="A534" s="40"/>
      <c r="B534" s="41"/>
      <c r="C534" s="41" t="s">
        <v>989</v>
      </c>
      <c r="D534" s="24"/>
      <c r="E534" s="10"/>
      <c r="F534" s="25">
        <f>Source!AO240</f>
        <v>34.31</v>
      </c>
      <c r="G534" s="26" t="str">
        <f>Source!DG240</f>
        <v>)*0,8</v>
      </c>
      <c r="H534" s="25">
        <f>ROUND(Source!AF240*Source!I240, 2)</f>
        <v>878.4</v>
      </c>
      <c r="I534" s="26"/>
      <c r="J534" s="26">
        <f>IF(Source!BA240&lt;&gt; 0, Source!BA240, 1)</f>
        <v>19.39</v>
      </c>
      <c r="K534" s="25">
        <f>Source!S240</f>
        <v>17032.18</v>
      </c>
      <c r="L534" s="27"/>
      <c r="R534">
        <f>H534</f>
        <v>878.4</v>
      </c>
    </row>
    <row r="535" spans="1:26" ht="14.25" x14ac:dyDescent="0.2">
      <c r="A535" s="40"/>
      <c r="B535" s="41"/>
      <c r="C535" s="41" t="s">
        <v>990</v>
      </c>
      <c r="D535" s="24" t="s">
        <v>991</v>
      </c>
      <c r="E535" s="10">
        <f>Source!BZ240</f>
        <v>65</v>
      </c>
      <c r="F535" s="44"/>
      <c r="G535" s="26"/>
      <c r="H535" s="25">
        <f>SUM(S533:S537)</f>
        <v>570.96</v>
      </c>
      <c r="I535" s="28"/>
      <c r="J535" s="23">
        <f>Source!AT240</f>
        <v>65</v>
      </c>
      <c r="K535" s="25">
        <f>SUM(T533:T537)</f>
        <v>11070.92</v>
      </c>
      <c r="L535" s="27"/>
    </row>
    <row r="536" spans="1:26" ht="14.25" x14ac:dyDescent="0.2">
      <c r="A536" s="40"/>
      <c r="B536" s="41"/>
      <c r="C536" s="41" t="s">
        <v>992</v>
      </c>
      <c r="D536" s="24" t="s">
        <v>991</v>
      </c>
      <c r="E536" s="10">
        <f>Source!CA240</f>
        <v>40</v>
      </c>
      <c r="F536" s="44"/>
      <c r="G536" s="26"/>
      <c r="H536" s="25">
        <f>SUM(U533:U537)</f>
        <v>351.36</v>
      </c>
      <c r="I536" s="28"/>
      <c r="J536" s="23">
        <f>Source!AU240</f>
        <v>40</v>
      </c>
      <c r="K536" s="25">
        <f>SUM(V533:V537)</f>
        <v>6812.87</v>
      </c>
      <c r="L536" s="27"/>
    </row>
    <row r="537" spans="1:26" ht="14.25" x14ac:dyDescent="0.2">
      <c r="A537" s="42"/>
      <c r="B537" s="43"/>
      <c r="C537" s="43" t="s">
        <v>993</v>
      </c>
      <c r="D537" s="29" t="s">
        <v>994</v>
      </c>
      <c r="E537" s="30">
        <f>Source!AQ240</f>
        <v>2.83</v>
      </c>
      <c r="F537" s="31"/>
      <c r="G537" s="32" t="str">
        <f>Source!DI240</f>
        <v>)*0,8</v>
      </c>
      <c r="H537" s="31"/>
      <c r="I537" s="32"/>
      <c r="J537" s="32"/>
      <c r="K537" s="31"/>
      <c r="L537" s="33">
        <f>Source!U240</f>
        <v>72.448000000000008</v>
      </c>
    </row>
    <row r="538" spans="1:26" ht="15" x14ac:dyDescent="0.25">
      <c r="G538" s="47">
        <f>H534+H535+H536</f>
        <v>1800.7200000000003</v>
      </c>
      <c r="H538" s="47"/>
      <c r="J538" s="47">
        <f>K534+K535+K536</f>
        <v>34915.97</v>
      </c>
      <c r="K538" s="47"/>
      <c r="L538" s="34">
        <f>Source!U240</f>
        <v>72.448000000000008</v>
      </c>
      <c r="O538" s="21">
        <f>G538</f>
        <v>1800.7200000000003</v>
      </c>
      <c r="P538" s="21">
        <f>J538</f>
        <v>34915.97</v>
      </c>
      <c r="Q538" s="21">
        <f>L538</f>
        <v>72.448000000000008</v>
      </c>
      <c r="W538">
        <f>IF(Source!BI240&lt;=1,H534+H535+H536, 0)</f>
        <v>0</v>
      </c>
      <c r="X538">
        <f>IF(Source!BI240=2,H534+H535+H536, 0)</f>
        <v>0</v>
      </c>
      <c r="Y538">
        <f>IF(Source!BI240=3,H534+H535+H536, 0)</f>
        <v>0</v>
      </c>
      <c r="Z538">
        <f>IF(Source!BI240=4,H534+H535+H536, 0)</f>
        <v>1800.7200000000003</v>
      </c>
    </row>
    <row r="540" spans="1:26" ht="15" x14ac:dyDescent="0.25">
      <c r="A540" s="46" t="str">
        <f>CONCATENATE("Итого по разделу: ",IF(Source!G242&lt;&gt;"Новый раздел", Source!G242, ""))</f>
        <v>Итого по разделу: 4 Пусконаладочные работы</v>
      </c>
      <c r="B540" s="46"/>
      <c r="C540" s="46"/>
      <c r="D540" s="46"/>
      <c r="E540" s="46"/>
      <c r="F540" s="46"/>
      <c r="G540" s="49">
        <f>SUM(O513:O539)</f>
        <v>2772.63</v>
      </c>
      <c r="H540" s="49"/>
      <c r="I540" s="22"/>
      <c r="J540" s="49">
        <f>SUM(P513:P539)</f>
        <v>53761.120000000003</v>
      </c>
      <c r="K540" s="49"/>
      <c r="L540" s="34">
        <f>SUM(Q513:Q539)</f>
        <v>109.4624</v>
      </c>
    </row>
    <row r="541" spans="1:26" ht="16.5" x14ac:dyDescent="0.25">
      <c r="A541" s="48" t="str">
        <f>CONCATENATE("Раздел: ",IF(Source!G271&lt;&gt;"Новый раздел", Source!G271, ""))</f>
        <v>Раздел: 5 АПС</v>
      </c>
      <c r="B541" s="48"/>
      <c r="C541" s="48"/>
      <c r="D541" s="48"/>
      <c r="E541" s="48"/>
      <c r="F541" s="48"/>
      <c r="G541" s="48"/>
      <c r="H541" s="48"/>
      <c r="I541" s="48"/>
      <c r="J541" s="48"/>
      <c r="K541" s="48"/>
      <c r="L541" s="48"/>
    </row>
    <row r="542" spans="1:26" ht="57" x14ac:dyDescent="0.2">
      <c r="A542" s="40" t="str">
        <f>Source!E275</f>
        <v>54</v>
      </c>
      <c r="B542" s="41" t="str">
        <f>Source!F275</f>
        <v>м10-08-002-01</v>
      </c>
      <c r="C542" s="41" t="str">
        <f>Source!G275</f>
        <v>Демонтаж:Монтаж извещателя ПС автоматического теплового электро-контактный, магнитоконтактный в нормальном исполнении</v>
      </c>
      <c r="D542" s="24" t="str">
        <f>Source!H275</f>
        <v>ШТ</v>
      </c>
      <c r="E542" s="10">
        <f>Source!I275</f>
        <v>17</v>
      </c>
      <c r="F542" s="25">
        <f>Source!AL275+Source!AM275+Source!AO275</f>
        <v>9.36</v>
      </c>
      <c r="G542" s="26"/>
      <c r="H542" s="25"/>
      <c r="I542" s="26" t="str">
        <f>Source!BO275</f>
        <v/>
      </c>
      <c r="J542" s="26"/>
      <c r="K542" s="25"/>
      <c r="L542" s="27"/>
      <c r="S542">
        <f>ROUND((Source!FX275/100)*((ROUND(Source!AF275*Source!I275, 2)+ROUND(Source!AE275*Source!I275, 2))), 2)</f>
        <v>32.909999999999997</v>
      </c>
      <c r="T542">
        <f>Source!X275</f>
        <v>220.84</v>
      </c>
      <c r="U542">
        <f>ROUND((Source!FY275/100)*((ROUND(Source!AF275*Source!I275, 2)+ROUND(Source!AE275*Source!I275, 2))), 2)</f>
        <v>24.68</v>
      </c>
      <c r="V542">
        <f>Source!Y275</f>
        <v>165.63</v>
      </c>
    </row>
    <row r="543" spans="1:26" ht="14.25" x14ac:dyDescent="0.2">
      <c r="A543" s="40"/>
      <c r="B543" s="41"/>
      <c r="C543" s="41" t="s">
        <v>989</v>
      </c>
      <c r="D543" s="24"/>
      <c r="E543" s="10"/>
      <c r="F543" s="25">
        <f>Source!AO275</f>
        <v>8.08</v>
      </c>
      <c r="G543" s="26" t="str">
        <f>Source!DG275</f>
        <v>)*0,3</v>
      </c>
      <c r="H543" s="25">
        <f>ROUND(Source!AF275*Source!I275, 2)</f>
        <v>41.14</v>
      </c>
      <c r="I543" s="26"/>
      <c r="J543" s="26">
        <f>IF(Source!BA275&lt;&gt; 0, Source!BA275, 1)</f>
        <v>6.71</v>
      </c>
      <c r="K543" s="25">
        <f>Source!S275</f>
        <v>276.05</v>
      </c>
      <c r="L543" s="27"/>
      <c r="R543">
        <f>H543</f>
        <v>41.14</v>
      </c>
    </row>
    <row r="544" spans="1:26" ht="14.25" x14ac:dyDescent="0.2">
      <c r="A544" s="40"/>
      <c r="B544" s="41"/>
      <c r="C544" s="41" t="s">
        <v>990</v>
      </c>
      <c r="D544" s="24" t="s">
        <v>991</v>
      </c>
      <c r="E544" s="10">
        <f>Source!BZ275</f>
        <v>80</v>
      </c>
      <c r="F544" s="44"/>
      <c r="G544" s="26"/>
      <c r="H544" s="25">
        <f>SUM(S542:S546)</f>
        <v>32.909999999999997</v>
      </c>
      <c r="I544" s="28"/>
      <c r="J544" s="23">
        <f>Source!AT275</f>
        <v>80</v>
      </c>
      <c r="K544" s="25">
        <f>SUM(T542:T546)</f>
        <v>220.84</v>
      </c>
      <c r="L544" s="27"/>
    </row>
    <row r="545" spans="1:26" ht="14.25" x14ac:dyDescent="0.2">
      <c r="A545" s="40"/>
      <c r="B545" s="41"/>
      <c r="C545" s="41" t="s">
        <v>992</v>
      </c>
      <c r="D545" s="24" t="s">
        <v>991</v>
      </c>
      <c r="E545" s="10">
        <f>Source!CA275</f>
        <v>60</v>
      </c>
      <c r="F545" s="44"/>
      <c r="G545" s="26"/>
      <c r="H545" s="25">
        <f>SUM(U542:U546)</f>
        <v>24.68</v>
      </c>
      <c r="I545" s="28"/>
      <c r="J545" s="23">
        <f>Source!AU275</f>
        <v>60</v>
      </c>
      <c r="K545" s="25">
        <f>SUM(V542:V546)</f>
        <v>165.63</v>
      </c>
      <c r="L545" s="27"/>
    </row>
    <row r="546" spans="1:26" ht="14.25" x14ac:dyDescent="0.2">
      <c r="A546" s="42"/>
      <c r="B546" s="43"/>
      <c r="C546" s="43" t="s">
        <v>993</v>
      </c>
      <c r="D546" s="29" t="s">
        <v>994</v>
      </c>
      <c r="E546" s="30">
        <f>Source!AQ275</f>
        <v>0.84</v>
      </c>
      <c r="F546" s="31"/>
      <c r="G546" s="32" t="str">
        <f>Source!DI275</f>
        <v>)*0,3</v>
      </c>
      <c r="H546" s="31"/>
      <c r="I546" s="32"/>
      <c r="J546" s="32"/>
      <c r="K546" s="31"/>
      <c r="L546" s="33">
        <f>Source!U275</f>
        <v>4.2839999999999998</v>
      </c>
    </row>
    <row r="547" spans="1:26" ht="15" x14ac:dyDescent="0.25">
      <c r="G547" s="47">
        <f>H543+H544+H545</f>
        <v>98.72999999999999</v>
      </c>
      <c r="H547" s="47"/>
      <c r="J547" s="47">
        <f>K543+K544+K545</f>
        <v>662.52</v>
      </c>
      <c r="K547" s="47"/>
      <c r="L547" s="34">
        <f>Source!U275</f>
        <v>4.2839999999999998</v>
      </c>
      <c r="O547" s="21">
        <f>G547</f>
        <v>98.72999999999999</v>
      </c>
      <c r="P547" s="21">
        <f>J547</f>
        <v>662.52</v>
      </c>
      <c r="Q547" s="21">
        <f>L547</f>
        <v>4.2839999999999998</v>
      </c>
      <c r="W547">
        <f>IF(Source!BI275&lt;=1,H543+H544+H545, 0)</f>
        <v>0</v>
      </c>
      <c r="X547">
        <f>IF(Source!BI275=2,H543+H544+H545, 0)</f>
        <v>98.72999999999999</v>
      </c>
      <c r="Y547">
        <f>IF(Source!BI275=3,H543+H544+H545, 0)</f>
        <v>0</v>
      </c>
      <c r="Z547">
        <f>IF(Source!BI275=4,H543+H544+H545, 0)</f>
        <v>0</v>
      </c>
    </row>
    <row r="548" spans="1:26" ht="57" x14ac:dyDescent="0.2">
      <c r="A548" s="40" t="str">
        <f>Source!E276</f>
        <v>55</v>
      </c>
      <c r="B548" s="41" t="str">
        <f>Source!F276</f>
        <v>м10-08-002-01</v>
      </c>
      <c r="C548" s="41" t="str">
        <f>Source!G276</f>
        <v>Монтаж извещателя ПС автоматического теплового электро-контактный, магнитоконтактный в нормальном исполнении</v>
      </c>
      <c r="D548" s="24" t="str">
        <f>Source!H276</f>
        <v>ШТ</v>
      </c>
      <c r="E548" s="10">
        <f>Source!I276</f>
        <v>34</v>
      </c>
      <c r="F548" s="25">
        <f>Source!AL276+Source!AM276+Source!AO276</f>
        <v>9.36</v>
      </c>
      <c r="G548" s="26"/>
      <c r="H548" s="25"/>
      <c r="I548" s="26" t="str">
        <f>Source!BO276</f>
        <v/>
      </c>
      <c r="J548" s="26"/>
      <c r="K548" s="25"/>
      <c r="L548" s="27"/>
      <c r="S548">
        <f>ROUND((Source!FX276/100)*((ROUND(Source!AF276*Source!I276, 2)+ROUND(Source!AE276*Source!I276, 2))), 2)</f>
        <v>219.78</v>
      </c>
      <c r="T548">
        <f>Source!X276</f>
        <v>1474.7</v>
      </c>
      <c r="U548">
        <f>ROUND((Source!FY276/100)*((ROUND(Source!AF276*Source!I276, 2)+ROUND(Source!AE276*Source!I276, 2))), 2)</f>
        <v>164.83</v>
      </c>
      <c r="V548">
        <f>Source!Y276</f>
        <v>1106.02</v>
      </c>
    </row>
    <row r="549" spans="1:26" ht="14.25" x14ac:dyDescent="0.2">
      <c r="A549" s="40"/>
      <c r="B549" s="41"/>
      <c r="C549" s="41" t="s">
        <v>989</v>
      </c>
      <c r="D549" s="24"/>
      <c r="E549" s="10"/>
      <c r="F549" s="25">
        <f>Source!AO276</f>
        <v>8.08</v>
      </c>
      <c r="G549" s="26" t="str">
        <f>Source!DG276</f>
        <v/>
      </c>
      <c r="H549" s="25">
        <f>ROUND(Source!AF276*Source!I276, 2)</f>
        <v>274.72000000000003</v>
      </c>
      <c r="I549" s="26"/>
      <c r="J549" s="26">
        <f>IF(Source!BA276&lt;&gt; 0, Source!BA276, 1)</f>
        <v>6.71</v>
      </c>
      <c r="K549" s="25">
        <f>Source!S276</f>
        <v>1843.37</v>
      </c>
      <c r="L549" s="27"/>
      <c r="R549">
        <f>H549</f>
        <v>274.72000000000003</v>
      </c>
    </row>
    <row r="550" spans="1:26" ht="14.25" x14ac:dyDescent="0.2">
      <c r="A550" s="40"/>
      <c r="B550" s="41"/>
      <c r="C550" s="41" t="s">
        <v>996</v>
      </c>
      <c r="D550" s="24"/>
      <c r="E550" s="10"/>
      <c r="F550" s="25">
        <f>Source!AL276</f>
        <v>1.28</v>
      </c>
      <c r="G550" s="26" t="str">
        <f>Source!DD276</f>
        <v/>
      </c>
      <c r="H550" s="25">
        <f>ROUND(Source!AC276*Source!I276, 2)</f>
        <v>43.52</v>
      </c>
      <c r="I550" s="26"/>
      <c r="J550" s="26">
        <f>IF(Source!BC276&lt;&gt; 0, Source!BC276, 1)</f>
        <v>6.71</v>
      </c>
      <c r="K550" s="25">
        <f>Source!P276</f>
        <v>292.02</v>
      </c>
      <c r="L550" s="27"/>
    </row>
    <row r="551" spans="1:26" ht="14.25" x14ac:dyDescent="0.2">
      <c r="A551" s="40"/>
      <c r="B551" s="41"/>
      <c r="C551" s="41" t="s">
        <v>990</v>
      </c>
      <c r="D551" s="24" t="s">
        <v>991</v>
      </c>
      <c r="E551" s="10">
        <f>Source!BZ276</f>
        <v>80</v>
      </c>
      <c r="F551" s="44"/>
      <c r="G551" s="26"/>
      <c r="H551" s="25">
        <f>SUM(S548:S554)</f>
        <v>219.78</v>
      </c>
      <c r="I551" s="28"/>
      <c r="J551" s="23">
        <f>Source!AT276</f>
        <v>80</v>
      </c>
      <c r="K551" s="25">
        <f>SUM(T548:T554)</f>
        <v>1474.7</v>
      </c>
      <c r="L551" s="27"/>
    </row>
    <row r="552" spans="1:26" ht="14.25" x14ac:dyDescent="0.2">
      <c r="A552" s="40"/>
      <c r="B552" s="41"/>
      <c r="C552" s="41" t="s">
        <v>992</v>
      </c>
      <c r="D552" s="24" t="s">
        <v>991</v>
      </c>
      <c r="E552" s="10">
        <f>Source!CA276</f>
        <v>60</v>
      </c>
      <c r="F552" s="44"/>
      <c r="G552" s="26"/>
      <c r="H552" s="25">
        <f>SUM(U548:U554)</f>
        <v>164.83</v>
      </c>
      <c r="I552" s="28"/>
      <c r="J552" s="23">
        <f>Source!AU276</f>
        <v>60</v>
      </c>
      <c r="K552" s="25">
        <f>SUM(V548:V554)</f>
        <v>1106.02</v>
      </c>
      <c r="L552" s="27"/>
    </row>
    <row r="553" spans="1:26" ht="14.25" x14ac:dyDescent="0.2">
      <c r="A553" s="40"/>
      <c r="B553" s="41"/>
      <c r="C553" s="41" t="s">
        <v>993</v>
      </c>
      <c r="D553" s="24" t="s">
        <v>994</v>
      </c>
      <c r="E553" s="10">
        <f>Source!AQ276</f>
        <v>0.84</v>
      </c>
      <c r="F553" s="25"/>
      <c r="G553" s="26" t="str">
        <f>Source!DI276</f>
        <v/>
      </c>
      <c r="H553" s="25"/>
      <c r="I553" s="26"/>
      <c r="J553" s="26"/>
      <c r="K553" s="25"/>
      <c r="L553" s="36">
        <f>Source!U276</f>
        <v>28.56</v>
      </c>
    </row>
    <row r="554" spans="1:26" ht="28.5" x14ac:dyDescent="0.2">
      <c r="A554" s="42" t="str">
        <f>Source!E277</f>
        <v>55,1</v>
      </c>
      <c r="B554" s="43" t="str">
        <f>Source!F277</f>
        <v>61.2.02.01-0072</v>
      </c>
      <c r="C554" s="43" t="str">
        <f>Source!G277</f>
        <v>Извещатель пожарный дымовой ИП 212-41М (ДИП-41М) прим.</v>
      </c>
      <c r="D554" s="29" t="str">
        <f>Source!H277</f>
        <v>10 шт.</v>
      </c>
      <c r="E554" s="30">
        <f>Source!I277</f>
        <v>3.4</v>
      </c>
      <c r="F554" s="31">
        <f>Source!AL277+Source!AM277+Source!AO277</f>
        <v>287.27999999999997</v>
      </c>
      <c r="G554" s="37" t="s">
        <v>6</v>
      </c>
      <c r="H554" s="31">
        <f>ROUND(Source!AC277*Source!I277, 2)+ROUND(Source!AD277*Source!I277, 2)+ROUND(Source!AF277*Source!I277, 2)</f>
        <v>976.75</v>
      </c>
      <c r="I554" s="32"/>
      <c r="J554" s="32">
        <f>IF(Source!BC277&lt;&gt; 0, Source!BC277, 1)</f>
        <v>6.71</v>
      </c>
      <c r="K554" s="31">
        <f>Source!O277</f>
        <v>6554.01</v>
      </c>
      <c r="L554" s="38"/>
      <c r="S554">
        <f>ROUND((Source!FX277/100)*((ROUND(Source!AF277*Source!I277, 2)+ROUND(Source!AE277*Source!I277, 2))), 2)</f>
        <v>0</v>
      </c>
      <c r="T554">
        <f>Source!X277</f>
        <v>0</v>
      </c>
      <c r="U554">
        <f>ROUND((Source!FY277/100)*((ROUND(Source!AF277*Source!I277, 2)+ROUND(Source!AE277*Source!I277, 2))), 2)</f>
        <v>0</v>
      </c>
      <c r="V554">
        <f>Source!Y277</f>
        <v>0</v>
      </c>
      <c r="W554">
        <f>IF(Source!BI277&lt;=1,H554, 0)</f>
        <v>0</v>
      </c>
      <c r="X554">
        <f>IF(Source!BI277=2,H554, 0)</f>
        <v>976.75</v>
      </c>
      <c r="Y554">
        <f>IF(Source!BI277=3,H554, 0)</f>
        <v>0</v>
      </c>
      <c r="Z554">
        <f>IF(Source!BI277=4,H554, 0)</f>
        <v>0</v>
      </c>
    </row>
    <row r="555" spans="1:26" ht="15" x14ac:dyDescent="0.25">
      <c r="G555" s="47">
        <f>H549+H550+H551+H552+SUM(H554:H554)</f>
        <v>1679.6</v>
      </c>
      <c r="H555" s="47"/>
      <c r="J555" s="47">
        <f>K549+K550+K551+K552+SUM(K554:K554)</f>
        <v>11270.12</v>
      </c>
      <c r="K555" s="47"/>
      <c r="L555" s="34">
        <f>Source!U276</f>
        <v>28.56</v>
      </c>
      <c r="O555" s="21">
        <f>G555</f>
        <v>1679.6</v>
      </c>
      <c r="P555" s="21">
        <f>J555</f>
        <v>11270.12</v>
      </c>
      <c r="Q555" s="21">
        <f>L555</f>
        <v>28.56</v>
      </c>
      <c r="W555">
        <f>IF(Source!BI276&lt;=1,H549+H550+H551+H552, 0)</f>
        <v>0</v>
      </c>
      <c r="X555">
        <f>IF(Source!BI276=2,H549+H550+H551+H552, 0)</f>
        <v>702.85</v>
      </c>
      <c r="Y555">
        <f>IF(Source!BI276=3,H549+H550+H551+H552, 0)</f>
        <v>0</v>
      </c>
      <c r="Z555">
        <f>IF(Source!BI276=4,H549+H550+H551+H552, 0)</f>
        <v>0</v>
      </c>
    </row>
    <row r="556" spans="1:26" ht="42.75" x14ac:dyDescent="0.2">
      <c r="A556" s="40" t="str">
        <f>Source!E278</f>
        <v>56</v>
      </c>
      <c r="B556" s="41" t="str">
        <f>Source!F278</f>
        <v>м10-08-001-03</v>
      </c>
      <c r="C556" s="41" t="str">
        <f>Source!G278</f>
        <v>Приборы ПС приемно-контрольные, пусковые, концентратор блок линейный</v>
      </c>
      <c r="D556" s="24" t="str">
        <f>Source!H278</f>
        <v>10 лучей</v>
      </c>
      <c r="E556" s="10">
        <f>Source!I278</f>
        <v>1.7</v>
      </c>
      <c r="F556" s="25">
        <f>Source!AL278+Source!AM278+Source!AO278</f>
        <v>66.180000000000007</v>
      </c>
      <c r="G556" s="26"/>
      <c r="H556" s="25"/>
      <c r="I556" s="26" t="str">
        <f>Source!BO278</f>
        <v/>
      </c>
      <c r="J556" s="26"/>
      <c r="K556" s="25"/>
      <c r="L556" s="27"/>
      <c r="S556">
        <f>ROUND((Source!FX278/100)*((ROUND(Source!AF278*Source!I278, 2)+ROUND(Source!AE278*Source!I278, 2))), 2)</f>
        <v>72.86</v>
      </c>
      <c r="T556">
        <f>Source!X278</f>
        <v>488.86</v>
      </c>
      <c r="U556">
        <f>ROUND((Source!FY278/100)*((ROUND(Source!AF278*Source!I278, 2)+ROUND(Source!AE278*Source!I278, 2))), 2)</f>
        <v>54.64</v>
      </c>
      <c r="V556">
        <f>Source!Y278</f>
        <v>366.64</v>
      </c>
    </row>
    <row r="557" spans="1:26" x14ac:dyDescent="0.2">
      <c r="C557" s="20" t="str">
        <f>"Объем: "&amp;Source!I278&amp;"=17/"&amp;"10"</f>
        <v>Объем: 1,7=17/10</v>
      </c>
    </row>
    <row r="558" spans="1:26" ht="14.25" x14ac:dyDescent="0.2">
      <c r="A558" s="40"/>
      <c r="B558" s="41"/>
      <c r="C558" s="41" t="s">
        <v>989</v>
      </c>
      <c r="D558" s="24"/>
      <c r="E558" s="10"/>
      <c r="F558" s="25">
        <f>Source!AO278</f>
        <v>53.57</v>
      </c>
      <c r="G558" s="26" t="str">
        <f>Source!DG278</f>
        <v/>
      </c>
      <c r="H558" s="25">
        <f>ROUND(Source!AF278*Source!I278, 2)</f>
        <v>91.07</v>
      </c>
      <c r="I558" s="26"/>
      <c r="J558" s="26">
        <f>IF(Source!BA278&lt;&gt; 0, Source!BA278, 1)</f>
        <v>6.71</v>
      </c>
      <c r="K558" s="25">
        <f>Source!S278</f>
        <v>611.07000000000005</v>
      </c>
      <c r="L558" s="27"/>
      <c r="R558">
        <f>H558</f>
        <v>91.07</v>
      </c>
    </row>
    <row r="559" spans="1:26" ht="14.25" x14ac:dyDescent="0.2">
      <c r="A559" s="40"/>
      <c r="B559" s="41"/>
      <c r="C559" s="41" t="s">
        <v>996</v>
      </c>
      <c r="D559" s="24"/>
      <c r="E559" s="10"/>
      <c r="F559" s="25">
        <f>Source!AL278</f>
        <v>12.61</v>
      </c>
      <c r="G559" s="26" t="str">
        <f>Source!DD278</f>
        <v/>
      </c>
      <c r="H559" s="25">
        <f>ROUND(Source!AC278*Source!I278, 2)</f>
        <v>21.44</v>
      </c>
      <c r="I559" s="26"/>
      <c r="J559" s="26">
        <f>IF(Source!BC278&lt;&gt; 0, Source!BC278, 1)</f>
        <v>6.71</v>
      </c>
      <c r="K559" s="25">
        <f>Source!P278</f>
        <v>143.84</v>
      </c>
      <c r="L559" s="27"/>
    </row>
    <row r="560" spans="1:26" ht="14.25" x14ac:dyDescent="0.2">
      <c r="A560" s="40"/>
      <c r="B560" s="41"/>
      <c r="C560" s="41" t="s">
        <v>990</v>
      </c>
      <c r="D560" s="24" t="s">
        <v>991</v>
      </c>
      <c r="E560" s="10">
        <f>Source!BZ278</f>
        <v>80</v>
      </c>
      <c r="F560" s="44"/>
      <c r="G560" s="26"/>
      <c r="H560" s="25">
        <f>SUM(S556:S563)</f>
        <v>72.86</v>
      </c>
      <c r="I560" s="28"/>
      <c r="J560" s="23">
        <f>Source!AT278</f>
        <v>80</v>
      </c>
      <c r="K560" s="25">
        <f>SUM(T556:T563)</f>
        <v>488.86</v>
      </c>
      <c r="L560" s="27"/>
    </row>
    <row r="561" spans="1:26" ht="14.25" x14ac:dyDescent="0.2">
      <c r="A561" s="40"/>
      <c r="B561" s="41"/>
      <c r="C561" s="41" t="s">
        <v>992</v>
      </c>
      <c r="D561" s="24" t="s">
        <v>991</v>
      </c>
      <c r="E561" s="10">
        <f>Source!CA278</f>
        <v>60</v>
      </c>
      <c r="F561" s="44"/>
      <c r="G561" s="26"/>
      <c r="H561" s="25">
        <f>SUM(U556:U563)</f>
        <v>54.64</v>
      </c>
      <c r="I561" s="28"/>
      <c r="J561" s="23">
        <f>Source!AU278</f>
        <v>60</v>
      </c>
      <c r="K561" s="25">
        <f>SUM(V556:V563)</f>
        <v>366.64</v>
      </c>
      <c r="L561" s="27"/>
    </row>
    <row r="562" spans="1:26" ht="14.25" x14ac:dyDescent="0.2">
      <c r="A562" s="40"/>
      <c r="B562" s="41"/>
      <c r="C562" s="41" t="s">
        <v>993</v>
      </c>
      <c r="D562" s="24" t="s">
        <v>994</v>
      </c>
      <c r="E562" s="10">
        <f>Source!AQ278</f>
        <v>5.4</v>
      </c>
      <c r="F562" s="25"/>
      <c r="G562" s="26" t="str">
        <f>Source!DI278</f>
        <v/>
      </c>
      <c r="H562" s="25"/>
      <c r="I562" s="26"/>
      <c r="J562" s="26"/>
      <c r="K562" s="25"/>
      <c r="L562" s="36">
        <f>Source!U278</f>
        <v>9.18</v>
      </c>
    </row>
    <row r="563" spans="1:26" ht="28.5" x14ac:dyDescent="0.2">
      <c r="A563" s="42" t="str">
        <f>Source!E279</f>
        <v>56,1</v>
      </c>
      <c r="B563" s="43" t="str">
        <f>Source!F279</f>
        <v>61.2.07.04-0051</v>
      </c>
      <c r="C563" s="43" t="str">
        <f>Source!G279</f>
        <v>Устройство контроля шлейфа УКШ-1</v>
      </c>
      <c r="D563" s="29" t="str">
        <f>Source!H279</f>
        <v>шт.</v>
      </c>
      <c r="E563" s="30">
        <f>Source!I279</f>
        <v>17</v>
      </c>
      <c r="F563" s="31">
        <f>Source!AL279+Source!AM279+Source!AO279</f>
        <v>57.92</v>
      </c>
      <c r="G563" s="37" t="s">
        <v>6</v>
      </c>
      <c r="H563" s="31">
        <f>ROUND(Source!AC279*Source!I279, 2)+ROUND(Source!AD279*Source!I279, 2)+ROUND(Source!AF279*Source!I279, 2)</f>
        <v>984.64</v>
      </c>
      <c r="I563" s="32"/>
      <c r="J563" s="32">
        <f>IF(Source!BC279&lt;&gt; 0, Source!BC279, 1)</f>
        <v>6.71</v>
      </c>
      <c r="K563" s="31">
        <f>Source!O279</f>
        <v>6606.93</v>
      </c>
      <c r="L563" s="38"/>
      <c r="S563">
        <f>ROUND((Source!FX279/100)*((ROUND(Source!AF279*Source!I279, 2)+ROUND(Source!AE279*Source!I279, 2))), 2)</f>
        <v>0</v>
      </c>
      <c r="T563">
        <f>Source!X279</f>
        <v>0</v>
      </c>
      <c r="U563">
        <f>ROUND((Source!FY279/100)*((ROUND(Source!AF279*Source!I279, 2)+ROUND(Source!AE279*Source!I279, 2))), 2)</f>
        <v>0</v>
      </c>
      <c r="V563">
        <f>Source!Y279</f>
        <v>0</v>
      </c>
      <c r="W563">
        <f>IF(Source!BI279&lt;=1,H563, 0)</f>
        <v>0</v>
      </c>
      <c r="X563">
        <f>IF(Source!BI279=2,H563, 0)</f>
        <v>984.64</v>
      </c>
      <c r="Y563">
        <f>IF(Source!BI279=3,H563, 0)</f>
        <v>0</v>
      </c>
      <c r="Z563">
        <f>IF(Source!BI279=4,H563, 0)</f>
        <v>0</v>
      </c>
    </row>
    <row r="564" spans="1:26" ht="15" x14ac:dyDescent="0.25">
      <c r="G564" s="47">
        <f>H558+H559+H560+H561+SUM(H563:H563)</f>
        <v>1224.6500000000001</v>
      </c>
      <c r="H564" s="47"/>
      <c r="J564" s="47">
        <f>K558+K559+K560+K561+SUM(K563:K563)</f>
        <v>8217.34</v>
      </c>
      <c r="K564" s="47"/>
      <c r="L564" s="34">
        <f>Source!U278</f>
        <v>9.18</v>
      </c>
      <c r="O564" s="21">
        <f>G564</f>
        <v>1224.6500000000001</v>
      </c>
      <c r="P564" s="21">
        <f>J564</f>
        <v>8217.34</v>
      </c>
      <c r="Q564" s="21">
        <f>L564</f>
        <v>9.18</v>
      </c>
      <c r="W564">
        <f>IF(Source!BI278&lt;=1,H558+H559+H560+H561, 0)</f>
        <v>0</v>
      </c>
      <c r="X564">
        <f>IF(Source!BI278=2,H558+H559+H560+H561, 0)</f>
        <v>240.01</v>
      </c>
      <c r="Y564">
        <f>IF(Source!BI278=3,H558+H559+H560+H561, 0)</f>
        <v>0</v>
      </c>
      <c r="Z564">
        <f>IF(Source!BI278=4,H558+H559+H560+H561, 0)</f>
        <v>0</v>
      </c>
    </row>
    <row r="565" spans="1:26" ht="28.5" x14ac:dyDescent="0.2">
      <c r="A565" s="40" t="str">
        <f>Source!E280</f>
        <v>57</v>
      </c>
      <c r="B565" s="41" t="str">
        <f>Source!F280</f>
        <v>м08-10-010-01</v>
      </c>
      <c r="C565" s="41" t="str">
        <f>Source!G280</f>
        <v>Прокладка труб гофрированных ПВХ для защиты проводов и кабелей</v>
      </c>
      <c r="D565" s="24" t="str">
        <f>Source!H280</f>
        <v>100 м</v>
      </c>
      <c r="E565" s="10">
        <f>Source!I280</f>
        <v>0.37</v>
      </c>
      <c r="F565" s="25">
        <f>Source!AL280+Source!AM280+Source!AO280</f>
        <v>156.32999999999998</v>
      </c>
      <c r="G565" s="26"/>
      <c r="H565" s="25"/>
      <c r="I565" s="26" t="str">
        <f>Source!BO280</f>
        <v/>
      </c>
      <c r="J565" s="26"/>
      <c r="K565" s="25"/>
      <c r="L565" s="27"/>
      <c r="S565">
        <f>ROUND((Source!FX280/100)*((ROUND(Source!AF280*Source!I280, 2)+ROUND(Source!AE280*Source!I280, 2))), 2)</f>
        <v>49.05</v>
      </c>
      <c r="T565">
        <f>Source!X280</f>
        <v>329.12</v>
      </c>
      <c r="U565">
        <f>ROUND((Source!FY280/100)*((ROUND(Source!AF280*Source!I280, 2)+ROUND(Source!AE280*Source!I280, 2))), 2)</f>
        <v>33.56</v>
      </c>
      <c r="V565">
        <f>Source!Y280</f>
        <v>225.19</v>
      </c>
    </row>
    <row r="566" spans="1:26" x14ac:dyDescent="0.2">
      <c r="C566" s="20" t="str">
        <f>"Объем: "&amp;Source!I280&amp;"=37/"&amp;"100"</f>
        <v>Объем: 0,37=37/100</v>
      </c>
    </row>
    <row r="567" spans="1:26" ht="14.25" x14ac:dyDescent="0.2">
      <c r="A567" s="40"/>
      <c r="B567" s="41"/>
      <c r="C567" s="41" t="s">
        <v>989</v>
      </c>
      <c r="D567" s="24"/>
      <c r="E567" s="10"/>
      <c r="F567" s="25">
        <f>Source!AO280</f>
        <v>139.54</v>
      </c>
      <c r="G567" s="26" t="str">
        <f>Source!DG280</f>
        <v/>
      </c>
      <c r="H567" s="25">
        <f>ROUND(Source!AF280*Source!I280, 2)</f>
        <v>51.63</v>
      </c>
      <c r="I567" s="26"/>
      <c r="J567" s="26">
        <f>IF(Source!BA280&lt;&gt; 0, Source!BA280, 1)</f>
        <v>6.71</v>
      </c>
      <c r="K567" s="25">
        <f>Source!S280</f>
        <v>346.44</v>
      </c>
      <c r="L567" s="27"/>
      <c r="R567">
        <f>H567</f>
        <v>51.63</v>
      </c>
    </row>
    <row r="568" spans="1:26" ht="14.25" x14ac:dyDescent="0.2">
      <c r="A568" s="40"/>
      <c r="B568" s="41"/>
      <c r="C568" s="41" t="s">
        <v>996</v>
      </c>
      <c r="D568" s="24"/>
      <c r="E568" s="10"/>
      <c r="F568" s="25">
        <f>Source!AL280</f>
        <v>16.79</v>
      </c>
      <c r="G568" s="26" t="str">
        <f>Source!DD280</f>
        <v/>
      </c>
      <c r="H568" s="25">
        <f>ROUND(Source!AC280*Source!I280, 2)</f>
        <v>6.21</v>
      </c>
      <c r="I568" s="26"/>
      <c r="J568" s="26">
        <f>IF(Source!BC280&lt;&gt; 0, Source!BC280, 1)</f>
        <v>6.71</v>
      </c>
      <c r="K568" s="25">
        <f>Source!P280</f>
        <v>41.68</v>
      </c>
      <c r="L568" s="27"/>
    </row>
    <row r="569" spans="1:26" ht="14.25" x14ac:dyDescent="0.2">
      <c r="A569" s="40"/>
      <c r="B569" s="41"/>
      <c r="C569" s="41" t="s">
        <v>990</v>
      </c>
      <c r="D569" s="24" t="s">
        <v>991</v>
      </c>
      <c r="E569" s="10">
        <f>Source!BZ280</f>
        <v>95</v>
      </c>
      <c r="F569" s="44"/>
      <c r="G569" s="26"/>
      <c r="H569" s="25">
        <f>SUM(S565:S572)</f>
        <v>49.05</v>
      </c>
      <c r="I569" s="28"/>
      <c r="J569" s="23">
        <f>Source!AT280</f>
        <v>95</v>
      </c>
      <c r="K569" s="25">
        <f>SUM(T565:T572)</f>
        <v>329.12</v>
      </c>
      <c r="L569" s="27"/>
    </row>
    <row r="570" spans="1:26" ht="14.25" x14ac:dyDescent="0.2">
      <c r="A570" s="40"/>
      <c r="B570" s="41"/>
      <c r="C570" s="41" t="s">
        <v>992</v>
      </c>
      <c r="D570" s="24" t="s">
        <v>991</v>
      </c>
      <c r="E570" s="10">
        <f>Source!CA280</f>
        <v>65</v>
      </c>
      <c r="F570" s="44"/>
      <c r="G570" s="26"/>
      <c r="H570" s="25">
        <f>SUM(U565:U572)</f>
        <v>33.56</v>
      </c>
      <c r="I570" s="28"/>
      <c r="J570" s="23">
        <f>Source!AU280</f>
        <v>65</v>
      </c>
      <c r="K570" s="25">
        <f>SUM(V565:V572)</f>
        <v>225.19</v>
      </c>
      <c r="L570" s="27"/>
    </row>
    <row r="571" spans="1:26" ht="14.25" x14ac:dyDescent="0.2">
      <c r="A571" s="40"/>
      <c r="B571" s="41"/>
      <c r="C571" s="41" t="s">
        <v>993</v>
      </c>
      <c r="D571" s="24" t="s">
        <v>994</v>
      </c>
      <c r="E571" s="10">
        <f>Source!AQ280</f>
        <v>15.2</v>
      </c>
      <c r="F571" s="25"/>
      <c r="G571" s="26" t="str">
        <f>Source!DI280</f>
        <v/>
      </c>
      <c r="H571" s="25"/>
      <c r="I571" s="26"/>
      <c r="J571" s="26"/>
      <c r="K571" s="25"/>
      <c r="L571" s="36">
        <f>Source!U280</f>
        <v>5.6239999999999997</v>
      </c>
    </row>
    <row r="572" spans="1:26" ht="42.75" x14ac:dyDescent="0.2">
      <c r="A572" s="42" t="str">
        <f>Source!E281</f>
        <v>57,1</v>
      </c>
      <c r="B572" s="43" t="str">
        <f>Source!F281</f>
        <v>24.3.03.05-0011</v>
      </c>
      <c r="C572" s="43" t="str">
        <f>Source!G281</f>
        <v>Трубы гибкие гофрированные легкие из ПНД, серии BL, с зондом, диаметром 16 мм</v>
      </c>
      <c r="D572" s="29" t="str">
        <f>Source!H281</f>
        <v>10 м</v>
      </c>
      <c r="E572" s="30">
        <f>Source!I281</f>
        <v>3.7</v>
      </c>
      <c r="F572" s="31">
        <f>Source!AL281+Source!AM281+Source!AO281</f>
        <v>24.54</v>
      </c>
      <c r="G572" s="37" t="s">
        <v>6</v>
      </c>
      <c r="H572" s="31">
        <f>ROUND(Source!AC281*Source!I281, 2)+ROUND(Source!AD281*Source!I281, 2)+ROUND(Source!AF281*Source!I281, 2)</f>
        <v>90.8</v>
      </c>
      <c r="I572" s="32"/>
      <c r="J572" s="32">
        <f>IF(Source!BC281&lt;&gt; 0, Source!BC281, 1)</f>
        <v>6.71</v>
      </c>
      <c r="K572" s="31">
        <f>Source!O281</f>
        <v>609.25</v>
      </c>
      <c r="L572" s="38"/>
      <c r="S572">
        <f>ROUND((Source!FX281/100)*((ROUND(Source!AF281*Source!I281, 2)+ROUND(Source!AE281*Source!I281, 2))), 2)</f>
        <v>0</v>
      </c>
      <c r="T572">
        <f>Source!X281</f>
        <v>0</v>
      </c>
      <c r="U572">
        <f>ROUND((Source!FY281/100)*((ROUND(Source!AF281*Source!I281, 2)+ROUND(Source!AE281*Source!I281, 2))), 2)</f>
        <v>0</v>
      </c>
      <c r="V572">
        <f>Source!Y281</f>
        <v>0</v>
      </c>
      <c r="W572">
        <f>IF(Source!BI281&lt;=1,H572, 0)</f>
        <v>0</v>
      </c>
      <c r="X572">
        <f>IF(Source!BI281=2,H572, 0)</f>
        <v>90.8</v>
      </c>
      <c r="Y572">
        <f>IF(Source!BI281=3,H572, 0)</f>
        <v>0</v>
      </c>
      <c r="Z572">
        <f>IF(Source!BI281=4,H572, 0)</f>
        <v>0</v>
      </c>
    </row>
    <row r="573" spans="1:26" ht="15" x14ac:dyDescent="0.25">
      <c r="G573" s="47">
        <f>H567+H568+H569+H570+SUM(H572:H572)</f>
        <v>231.25</v>
      </c>
      <c r="H573" s="47"/>
      <c r="J573" s="47">
        <f>K567+K568+K569+K570+SUM(K572:K572)</f>
        <v>1551.68</v>
      </c>
      <c r="K573" s="47"/>
      <c r="L573" s="34">
        <f>Source!U280</f>
        <v>5.6239999999999997</v>
      </c>
      <c r="O573" s="21">
        <f>G573</f>
        <v>231.25</v>
      </c>
      <c r="P573" s="21">
        <f>J573</f>
        <v>1551.68</v>
      </c>
      <c r="Q573" s="21">
        <f>L573</f>
        <v>5.6239999999999997</v>
      </c>
      <c r="W573">
        <f>IF(Source!BI280&lt;=1,H567+H568+H569+H570, 0)</f>
        <v>0</v>
      </c>
      <c r="X573">
        <f>IF(Source!BI280=2,H567+H568+H569+H570, 0)</f>
        <v>140.44999999999999</v>
      </c>
      <c r="Y573">
        <f>IF(Source!BI280=3,H567+H568+H569+H570, 0)</f>
        <v>0</v>
      </c>
      <c r="Z573">
        <f>IF(Source!BI280=4,H567+H568+H569+H570, 0)</f>
        <v>0</v>
      </c>
    </row>
    <row r="574" spans="1:26" ht="71.25" x14ac:dyDescent="0.2">
      <c r="A574" s="40" t="str">
        <f>Source!E282</f>
        <v>58</v>
      </c>
      <c r="B574" s="41" t="str">
        <f>Source!F282</f>
        <v>м08-02-412-02</v>
      </c>
      <c r="C574" s="41" t="str">
        <f>Source!G282</f>
        <v>Затягивание провода в проложенные трубы и металлические рукава первого одножильного или многожильного в общей оплетке, суммарное сечение до 6 мм2</v>
      </c>
      <c r="D574" s="24" t="str">
        <f>Source!H282</f>
        <v>100 м</v>
      </c>
      <c r="E574" s="10">
        <f>Source!I282</f>
        <v>0.49</v>
      </c>
      <c r="F574" s="25">
        <f>Source!AL282+Source!AM282+Source!AO282</f>
        <v>68.7</v>
      </c>
      <c r="G574" s="26"/>
      <c r="H574" s="25"/>
      <c r="I574" s="26" t="str">
        <f>Source!BO282</f>
        <v/>
      </c>
      <c r="J574" s="26"/>
      <c r="K574" s="25"/>
      <c r="L574" s="27"/>
      <c r="S574">
        <f>ROUND((Source!FX282/100)*((ROUND(Source!AF282*Source!I282, 2)+ROUND(Source!AE282*Source!I282, 2))), 2)</f>
        <v>23.83</v>
      </c>
      <c r="T574">
        <f>Source!X282</f>
        <v>159.83000000000001</v>
      </c>
      <c r="U574">
        <f>ROUND((Source!FY282/100)*((ROUND(Source!AF282*Source!I282, 2)+ROUND(Source!AE282*Source!I282, 2))), 2)</f>
        <v>16.3</v>
      </c>
      <c r="V574">
        <f>Source!Y282</f>
        <v>109.36</v>
      </c>
    </row>
    <row r="575" spans="1:26" x14ac:dyDescent="0.2">
      <c r="C575" s="20" t="str">
        <f>"Объем: "&amp;Source!I282&amp;"=49/"&amp;"100"</f>
        <v>Объем: 0,49=49/100</v>
      </c>
    </row>
    <row r="576" spans="1:26" ht="14.25" x14ac:dyDescent="0.2">
      <c r="A576" s="40"/>
      <c r="B576" s="41"/>
      <c r="C576" s="41" t="s">
        <v>989</v>
      </c>
      <c r="D576" s="24"/>
      <c r="E576" s="10"/>
      <c r="F576" s="25">
        <f>Source!AO282</f>
        <v>50.67</v>
      </c>
      <c r="G576" s="26" t="str">
        <f>Source!DG282</f>
        <v/>
      </c>
      <c r="H576" s="25">
        <f>ROUND(Source!AF282*Source!I282, 2)</f>
        <v>24.83</v>
      </c>
      <c r="I576" s="26"/>
      <c r="J576" s="26">
        <f>IF(Source!BA282&lt;&gt; 0, Source!BA282, 1)</f>
        <v>6.71</v>
      </c>
      <c r="K576" s="25">
        <f>Source!S282</f>
        <v>166.6</v>
      </c>
      <c r="L576" s="27"/>
      <c r="R576">
        <f>H576</f>
        <v>24.83</v>
      </c>
    </row>
    <row r="577" spans="1:26" ht="14.25" x14ac:dyDescent="0.2">
      <c r="A577" s="40"/>
      <c r="B577" s="41"/>
      <c r="C577" s="41" t="s">
        <v>300</v>
      </c>
      <c r="D577" s="24"/>
      <c r="E577" s="10"/>
      <c r="F577" s="25">
        <f>Source!AM282</f>
        <v>3.55</v>
      </c>
      <c r="G577" s="26" t="str">
        <f>Source!DE282</f>
        <v/>
      </c>
      <c r="H577" s="25">
        <f>ROUND(Source!AD282*Source!I282, 2)</f>
        <v>1.74</v>
      </c>
      <c r="I577" s="26"/>
      <c r="J577" s="26">
        <f>IF(Source!BB282&lt;&gt; 0, Source!BB282, 1)</f>
        <v>6.71</v>
      </c>
      <c r="K577" s="25">
        <f>Source!Q282</f>
        <v>11.67</v>
      </c>
      <c r="L577" s="27"/>
    </row>
    <row r="578" spans="1:26" ht="14.25" x14ac:dyDescent="0.2">
      <c r="A578" s="40"/>
      <c r="B578" s="41"/>
      <c r="C578" s="41" t="s">
        <v>995</v>
      </c>
      <c r="D578" s="24"/>
      <c r="E578" s="10"/>
      <c r="F578" s="25">
        <f>Source!AN282</f>
        <v>0.5</v>
      </c>
      <c r="G578" s="26" t="str">
        <f>Source!DF282</f>
        <v/>
      </c>
      <c r="H578" s="35">
        <f>ROUND(Source!AE282*Source!I282, 2)</f>
        <v>0.25</v>
      </c>
      <c r="I578" s="26"/>
      <c r="J578" s="26">
        <f>IF(Source!BS282&lt;&gt; 0, Source!BS282, 1)</f>
        <v>6.71</v>
      </c>
      <c r="K578" s="35">
        <f>Source!R282</f>
        <v>1.64</v>
      </c>
      <c r="L578" s="27"/>
      <c r="R578">
        <f>H578</f>
        <v>0.25</v>
      </c>
    </row>
    <row r="579" spans="1:26" ht="14.25" x14ac:dyDescent="0.2">
      <c r="A579" s="40"/>
      <c r="B579" s="41"/>
      <c r="C579" s="41" t="s">
        <v>996</v>
      </c>
      <c r="D579" s="24"/>
      <c r="E579" s="10"/>
      <c r="F579" s="25">
        <f>Source!AL282</f>
        <v>14.48</v>
      </c>
      <c r="G579" s="26" t="str">
        <f>Source!DD282</f>
        <v/>
      </c>
      <c r="H579" s="25">
        <f>ROUND(Source!AC282*Source!I282, 2)</f>
        <v>7.1</v>
      </c>
      <c r="I579" s="26"/>
      <c r="J579" s="26">
        <f>IF(Source!BC282&lt;&gt; 0, Source!BC282, 1)</f>
        <v>6.71</v>
      </c>
      <c r="K579" s="25">
        <f>Source!P282</f>
        <v>47.61</v>
      </c>
      <c r="L579" s="27"/>
    </row>
    <row r="580" spans="1:26" ht="14.25" x14ac:dyDescent="0.2">
      <c r="A580" s="40"/>
      <c r="B580" s="41"/>
      <c r="C580" s="41" t="s">
        <v>990</v>
      </c>
      <c r="D580" s="24" t="s">
        <v>991</v>
      </c>
      <c r="E580" s="10">
        <f>Source!BZ282</f>
        <v>95</v>
      </c>
      <c r="F580" s="44"/>
      <c r="G580" s="26"/>
      <c r="H580" s="25">
        <f>SUM(S574:S583)</f>
        <v>23.83</v>
      </c>
      <c r="I580" s="28"/>
      <c r="J580" s="23">
        <f>Source!AT282</f>
        <v>95</v>
      </c>
      <c r="K580" s="25">
        <f>SUM(T574:T583)</f>
        <v>159.83000000000001</v>
      </c>
      <c r="L580" s="27"/>
    </row>
    <row r="581" spans="1:26" ht="14.25" x14ac:dyDescent="0.2">
      <c r="A581" s="40"/>
      <c r="B581" s="41"/>
      <c r="C581" s="41" t="s">
        <v>992</v>
      </c>
      <c r="D581" s="24" t="s">
        <v>991</v>
      </c>
      <c r="E581" s="10">
        <f>Source!CA282</f>
        <v>65</v>
      </c>
      <c r="F581" s="44"/>
      <c r="G581" s="26"/>
      <c r="H581" s="25">
        <f>SUM(U574:U583)</f>
        <v>16.3</v>
      </c>
      <c r="I581" s="28"/>
      <c r="J581" s="23">
        <f>Source!AU282</f>
        <v>65</v>
      </c>
      <c r="K581" s="25">
        <f>SUM(V574:V583)</f>
        <v>109.36</v>
      </c>
      <c r="L581" s="27"/>
    </row>
    <row r="582" spans="1:26" ht="14.25" x14ac:dyDescent="0.2">
      <c r="A582" s="40"/>
      <c r="B582" s="41"/>
      <c r="C582" s="41" t="s">
        <v>993</v>
      </c>
      <c r="D582" s="24" t="s">
        <v>994</v>
      </c>
      <c r="E582" s="10">
        <f>Source!AQ282</f>
        <v>5.39</v>
      </c>
      <c r="F582" s="25"/>
      <c r="G582" s="26" t="str">
        <f>Source!DI282</f>
        <v/>
      </c>
      <c r="H582" s="25"/>
      <c r="I582" s="26"/>
      <c r="J582" s="26"/>
      <c r="K582" s="25"/>
      <c r="L582" s="36">
        <f>Source!U282</f>
        <v>2.6410999999999998</v>
      </c>
    </row>
    <row r="583" spans="1:26" ht="128.25" x14ac:dyDescent="0.2">
      <c r="A583" s="42" t="str">
        <f>Source!E283</f>
        <v>58,1</v>
      </c>
      <c r="B583" s="43" t="str">
        <f>Source!F283</f>
        <v>21.1.08.01-0151</v>
      </c>
      <c r="C583" s="43" t="str">
        <f>Source!G283</f>
        <v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ПВХ, не распространяющий горение, с низким дымо- и газовыделением, с экраном из алюмолавсановой ленты, марки КПСЭнг-FRLS 1х2х0,75</v>
      </c>
      <c r="D583" s="29" t="str">
        <f>Source!H283</f>
        <v>1000 м</v>
      </c>
      <c r="E583" s="30">
        <f>Source!I283</f>
        <v>4.9000000000000002E-2</v>
      </c>
      <c r="F583" s="31">
        <f>Source!AL283+Source!AM283+Source!AO283</f>
        <v>4284.0200000000004</v>
      </c>
      <c r="G583" s="37" t="s">
        <v>6</v>
      </c>
      <c r="H583" s="31">
        <f>ROUND(Source!AC283*Source!I283, 2)+ROUND(Source!AD283*Source!I283, 2)+ROUND(Source!AF283*Source!I283, 2)</f>
        <v>209.92</v>
      </c>
      <c r="I583" s="32"/>
      <c r="J583" s="32">
        <f>IF(Source!BC283&lt;&gt; 0, Source!BC283, 1)</f>
        <v>6.71</v>
      </c>
      <c r="K583" s="31">
        <f>Source!O283</f>
        <v>1408.54</v>
      </c>
      <c r="L583" s="38"/>
      <c r="S583">
        <f>ROUND((Source!FX283/100)*((ROUND(Source!AF283*Source!I283, 2)+ROUND(Source!AE283*Source!I283, 2))), 2)</f>
        <v>0</v>
      </c>
      <c r="T583">
        <f>Source!X283</f>
        <v>0</v>
      </c>
      <c r="U583">
        <f>ROUND((Source!FY283/100)*((ROUND(Source!AF283*Source!I283, 2)+ROUND(Source!AE283*Source!I283, 2))), 2)</f>
        <v>0</v>
      </c>
      <c r="V583">
        <f>Source!Y283</f>
        <v>0</v>
      </c>
      <c r="W583">
        <f>IF(Source!BI283&lt;=1,H583, 0)</f>
        <v>0</v>
      </c>
      <c r="X583">
        <f>IF(Source!BI283=2,H583, 0)</f>
        <v>209.92</v>
      </c>
      <c r="Y583">
        <f>IF(Source!BI283=3,H583, 0)</f>
        <v>0</v>
      </c>
      <c r="Z583">
        <f>IF(Source!BI283=4,H583, 0)</f>
        <v>0</v>
      </c>
    </row>
    <row r="584" spans="1:26" ht="15" x14ac:dyDescent="0.25">
      <c r="G584" s="47">
        <f>H576+H577+H579+H580+H581+SUM(H583:H583)</f>
        <v>283.71999999999997</v>
      </c>
      <c r="H584" s="47"/>
      <c r="J584" s="47">
        <f>K576+K577+K579+K580+K581+SUM(K583:K583)</f>
        <v>1903.6100000000001</v>
      </c>
      <c r="K584" s="47"/>
      <c r="L584" s="34">
        <f>Source!U282</f>
        <v>2.6410999999999998</v>
      </c>
      <c r="O584" s="21">
        <f>G584</f>
        <v>283.71999999999997</v>
      </c>
      <c r="P584" s="21">
        <f>J584</f>
        <v>1903.6100000000001</v>
      </c>
      <c r="Q584" s="21">
        <f>L584</f>
        <v>2.6410999999999998</v>
      </c>
      <c r="W584">
        <f>IF(Source!BI282&lt;=1,H576+H577+H579+H580+H581, 0)</f>
        <v>0</v>
      </c>
      <c r="X584">
        <f>IF(Source!BI282=2,H576+H577+H579+H580+H581, 0)</f>
        <v>73.8</v>
      </c>
      <c r="Y584">
        <f>IF(Source!BI282=3,H576+H577+H579+H580+H581, 0)</f>
        <v>0</v>
      </c>
      <c r="Z584">
        <f>IF(Source!BI282=4,H576+H577+H579+H580+H581, 0)</f>
        <v>0</v>
      </c>
    </row>
    <row r="585" spans="1:26" ht="28.5" x14ac:dyDescent="0.2">
      <c r="A585" s="40" t="str">
        <f>Source!E284</f>
        <v>59</v>
      </c>
      <c r="B585" s="41" t="str">
        <f>Source!F284</f>
        <v>м10-02-054-06</v>
      </c>
      <c r="C585" s="41" t="str">
        <f>Source!G284</f>
        <v>Электрическая проверка и настройка оборудования</v>
      </c>
      <c r="D585" s="24" t="str">
        <f>Source!H284</f>
        <v>КОМПЛ</v>
      </c>
      <c r="E585" s="10">
        <f>Source!I284</f>
        <v>1</v>
      </c>
      <c r="F585" s="25">
        <f>Source!AL284+Source!AM284+Source!AO284</f>
        <v>4.53</v>
      </c>
      <c r="G585" s="26"/>
      <c r="H585" s="25"/>
      <c r="I585" s="26" t="str">
        <f>Source!BO284</f>
        <v/>
      </c>
      <c r="J585" s="26"/>
      <c r="K585" s="25"/>
      <c r="L585" s="27"/>
      <c r="S585">
        <f>ROUND((Source!FX284/100)*((ROUND(Source!AF284*Source!I284, 2)+ROUND(Source!AE284*Source!I284, 2))), 2)</f>
        <v>3.55</v>
      </c>
      <c r="T585">
        <f>Source!X284</f>
        <v>23.83</v>
      </c>
      <c r="U585">
        <f>ROUND((Source!FY284/100)*((ROUND(Source!AF284*Source!I284, 2)+ROUND(Source!AE284*Source!I284, 2))), 2)</f>
        <v>2.66</v>
      </c>
      <c r="V585">
        <f>Source!Y284</f>
        <v>17.87</v>
      </c>
    </row>
    <row r="586" spans="1:26" ht="14.25" x14ac:dyDescent="0.2">
      <c r="A586" s="40"/>
      <c r="B586" s="41"/>
      <c r="C586" s="41" t="s">
        <v>989</v>
      </c>
      <c r="D586" s="24"/>
      <c r="E586" s="10"/>
      <c r="F586" s="25">
        <f>Source!AO284</f>
        <v>4.4400000000000004</v>
      </c>
      <c r="G586" s="26" t="str">
        <f>Source!DG284</f>
        <v/>
      </c>
      <c r="H586" s="25">
        <f>ROUND(Source!AF284*Source!I284, 2)</f>
        <v>4.4400000000000004</v>
      </c>
      <c r="I586" s="26"/>
      <c r="J586" s="26">
        <f>IF(Source!BA284&lt;&gt; 0, Source!BA284, 1)</f>
        <v>6.71</v>
      </c>
      <c r="K586" s="25">
        <f>Source!S284</f>
        <v>29.79</v>
      </c>
      <c r="L586" s="27"/>
      <c r="R586">
        <f>H586</f>
        <v>4.4400000000000004</v>
      </c>
    </row>
    <row r="587" spans="1:26" ht="14.25" x14ac:dyDescent="0.2">
      <c r="A587" s="40"/>
      <c r="B587" s="41"/>
      <c r="C587" s="41" t="s">
        <v>996</v>
      </c>
      <c r="D587" s="24"/>
      <c r="E587" s="10"/>
      <c r="F587" s="25">
        <f>Source!AL284</f>
        <v>0.09</v>
      </c>
      <c r="G587" s="26" t="str">
        <f>Source!DD284</f>
        <v/>
      </c>
      <c r="H587" s="25">
        <f>ROUND(Source!AC284*Source!I284, 2)</f>
        <v>0.09</v>
      </c>
      <c r="I587" s="26"/>
      <c r="J587" s="26">
        <f>IF(Source!BC284&lt;&gt; 0, Source!BC284, 1)</f>
        <v>6.71</v>
      </c>
      <c r="K587" s="25">
        <f>Source!P284</f>
        <v>0.6</v>
      </c>
      <c r="L587" s="27"/>
    </row>
    <row r="588" spans="1:26" ht="14.25" x14ac:dyDescent="0.2">
      <c r="A588" s="40"/>
      <c r="B588" s="41"/>
      <c r="C588" s="41" t="s">
        <v>990</v>
      </c>
      <c r="D588" s="24" t="s">
        <v>991</v>
      </c>
      <c r="E588" s="10">
        <f>Source!BZ284</f>
        <v>80</v>
      </c>
      <c r="F588" s="44"/>
      <c r="G588" s="26"/>
      <c r="H588" s="25">
        <f>SUM(S585:S590)</f>
        <v>3.55</v>
      </c>
      <c r="I588" s="28"/>
      <c r="J588" s="23">
        <f>Source!AT284</f>
        <v>80</v>
      </c>
      <c r="K588" s="25">
        <f>SUM(T585:T590)</f>
        <v>23.83</v>
      </c>
      <c r="L588" s="27"/>
    </row>
    <row r="589" spans="1:26" ht="14.25" x14ac:dyDescent="0.2">
      <c r="A589" s="40"/>
      <c r="B589" s="41"/>
      <c r="C589" s="41" t="s">
        <v>992</v>
      </c>
      <c r="D589" s="24" t="s">
        <v>991</v>
      </c>
      <c r="E589" s="10">
        <f>Source!CA284</f>
        <v>60</v>
      </c>
      <c r="F589" s="44"/>
      <c r="G589" s="26"/>
      <c r="H589" s="25">
        <f>SUM(U585:U590)</f>
        <v>2.66</v>
      </c>
      <c r="I589" s="28"/>
      <c r="J589" s="23">
        <f>Source!AU284</f>
        <v>60</v>
      </c>
      <c r="K589" s="25">
        <f>SUM(V585:V590)</f>
        <v>17.87</v>
      </c>
      <c r="L589" s="27"/>
    </row>
    <row r="590" spans="1:26" ht="14.25" x14ac:dyDescent="0.2">
      <c r="A590" s="42"/>
      <c r="B590" s="43"/>
      <c r="C590" s="43" t="s">
        <v>993</v>
      </c>
      <c r="D590" s="29" t="s">
        <v>994</v>
      </c>
      <c r="E590" s="30">
        <f>Source!AQ284</f>
        <v>0.4</v>
      </c>
      <c r="F590" s="31"/>
      <c r="G590" s="32" t="str">
        <f>Source!DI284</f>
        <v/>
      </c>
      <c r="H590" s="31"/>
      <c r="I590" s="32"/>
      <c r="J590" s="32"/>
      <c r="K590" s="31"/>
      <c r="L590" s="33">
        <f>Source!U284</f>
        <v>0.4</v>
      </c>
    </row>
    <row r="591" spans="1:26" ht="15" x14ac:dyDescent="0.25">
      <c r="G591" s="47">
        <f>H586+H587+H588+H589</f>
        <v>10.74</v>
      </c>
      <c r="H591" s="47"/>
      <c r="J591" s="47">
        <f>K586+K587+K588+K589</f>
        <v>72.09</v>
      </c>
      <c r="K591" s="47"/>
      <c r="L591" s="34">
        <f>Source!U284</f>
        <v>0.4</v>
      </c>
      <c r="O591" s="21">
        <f>G591</f>
        <v>10.74</v>
      </c>
      <c r="P591" s="21">
        <f>J591</f>
        <v>72.09</v>
      </c>
      <c r="Q591" s="21">
        <f>L591</f>
        <v>0.4</v>
      </c>
      <c r="W591">
        <f>IF(Source!BI284&lt;=1,H586+H587+H588+H589, 0)</f>
        <v>0</v>
      </c>
      <c r="X591">
        <f>IF(Source!BI284=2,H586+H587+H588+H589, 0)</f>
        <v>10.74</v>
      </c>
      <c r="Y591">
        <f>IF(Source!BI284=3,H586+H587+H588+H589, 0)</f>
        <v>0</v>
      </c>
      <c r="Z591">
        <f>IF(Source!BI284=4,H586+H587+H588+H589, 0)</f>
        <v>0</v>
      </c>
    </row>
    <row r="593" spans="1:12" ht="15" x14ac:dyDescent="0.25">
      <c r="A593" s="46" t="str">
        <f>CONCATENATE("Итого по разделу: ",IF(Source!G286&lt;&gt;"Новый раздел", Source!G286, ""))</f>
        <v>Итого по разделу: 5 АПС</v>
      </c>
      <c r="B593" s="46"/>
      <c r="C593" s="46"/>
      <c r="D593" s="46"/>
      <c r="E593" s="46"/>
      <c r="F593" s="46"/>
      <c r="G593" s="49">
        <f>SUM(O541:O592)</f>
        <v>3528.6899999999996</v>
      </c>
      <c r="H593" s="49"/>
      <c r="I593" s="22"/>
      <c r="J593" s="49">
        <f>SUM(P541:P592)</f>
        <v>23677.360000000004</v>
      </c>
      <c r="K593" s="49"/>
      <c r="L593" s="34">
        <f>SUM(Q541:Q592)</f>
        <v>50.689100000000003</v>
      </c>
    </row>
    <row r="594" spans="1:12" ht="15" x14ac:dyDescent="0.25">
      <c r="A594" s="46" t="str">
        <f>CONCATENATE("Итого по локальной смете: ",IF(Source!G315&lt;&gt;"Новая локальная смета", Source!G315, ""))</f>
        <v xml:space="preserve">Итого по локальной смете: </v>
      </c>
      <c r="B594" s="46"/>
      <c r="C594" s="46"/>
      <c r="D594" s="46"/>
      <c r="E594" s="46"/>
      <c r="F594" s="46"/>
      <c r="G594" s="49">
        <f>SUM(O25:O593)</f>
        <v>266722.35999999993</v>
      </c>
      <c r="H594" s="49"/>
      <c r="I594" s="22"/>
      <c r="J594" s="49">
        <f>SUM(P25:P593)</f>
        <v>1825213.6200000003</v>
      </c>
      <c r="K594" s="49"/>
      <c r="L594" s="34">
        <f>SUM(Q25:Q593)</f>
        <v>1749.5781817000002</v>
      </c>
    </row>
    <row r="597" spans="1:12" ht="15" x14ac:dyDescent="0.25">
      <c r="C597" s="46" t="str">
        <f>Source!H343</f>
        <v>Итого</v>
      </c>
      <c r="D597" s="46"/>
      <c r="E597" s="46"/>
      <c r="F597" s="46"/>
      <c r="G597" s="46"/>
      <c r="H597" s="46"/>
      <c r="I597" s="46"/>
      <c r="J597" s="49">
        <f>IF(Source!F343=0, "", Source!F343)</f>
        <v>1825213.62</v>
      </c>
      <c r="K597" s="49"/>
    </row>
    <row r="598" spans="1:12" ht="15" x14ac:dyDescent="0.25">
      <c r="C598" s="46" t="str">
        <f>Source!H344</f>
        <v>НДС 18%</v>
      </c>
      <c r="D598" s="46"/>
      <c r="E598" s="46"/>
      <c r="F598" s="46"/>
      <c r="G598" s="46"/>
      <c r="H598" s="46"/>
      <c r="I598" s="46"/>
      <c r="J598" s="49">
        <f>IF(Source!F344=0, "", Source!F344)</f>
        <v>328538.45</v>
      </c>
      <c r="K598" s="49"/>
    </row>
    <row r="599" spans="1:12" ht="15" x14ac:dyDescent="0.25">
      <c r="C599" s="46" t="str">
        <f>Source!H345</f>
        <v>Всего</v>
      </c>
      <c r="D599" s="46"/>
      <c r="E599" s="46"/>
      <c r="F599" s="46"/>
      <c r="G599" s="46"/>
      <c r="H599" s="46"/>
      <c r="I599" s="46"/>
      <c r="J599" s="49">
        <f>IF(Source!F345=0, "", Source!F345)</f>
        <v>2153752.0699999998</v>
      </c>
      <c r="K599" s="49"/>
    </row>
  </sheetData>
  <mergeCells count="221">
    <mergeCell ref="C14:F14"/>
    <mergeCell ref="G14:H14"/>
    <mergeCell ref="I14:J14"/>
    <mergeCell ref="K14:L14"/>
    <mergeCell ref="C15:F15"/>
    <mergeCell ref="G15:H15"/>
    <mergeCell ref="I15:J15"/>
    <mergeCell ref="K15:L15"/>
    <mergeCell ref="B4:K4"/>
    <mergeCell ref="B6:K6"/>
    <mergeCell ref="B8:K8"/>
    <mergeCell ref="B9:K9"/>
    <mergeCell ref="A10:L10"/>
    <mergeCell ref="G13:H13"/>
    <mergeCell ref="I13:J13"/>
    <mergeCell ref="C18:F18"/>
    <mergeCell ref="G18:H18"/>
    <mergeCell ref="I18:J18"/>
    <mergeCell ref="K18:L18"/>
    <mergeCell ref="C19:F19"/>
    <mergeCell ref="G19:H19"/>
    <mergeCell ref="I19:J19"/>
    <mergeCell ref="K19:L19"/>
    <mergeCell ref="C16:F16"/>
    <mergeCell ref="G16:H16"/>
    <mergeCell ref="I16:J16"/>
    <mergeCell ref="K16:L16"/>
    <mergeCell ref="C17:F17"/>
    <mergeCell ref="G17:H17"/>
    <mergeCell ref="I17:J17"/>
    <mergeCell ref="K17:L17"/>
    <mergeCell ref="C597:I597"/>
    <mergeCell ref="J597:K597"/>
    <mergeCell ref="A541:L541"/>
    <mergeCell ref="G540:H540"/>
    <mergeCell ref="J540:K540"/>
    <mergeCell ref="A540:F540"/>
    <mergeCell ref="C20:F20"/>
    <mergeCell ref="G20:H20"/>
    <mergeCell ref="I20:J20"/>
    <mergeCell ref="K20:L20"/>
    <mergeCell ref="A22:L22"/>
    <mergeCell ref="F105:G105"/>
    <mergeCell ref="J98:K98"/>
    <mergeCell ref="G98:H98"/>
    <mergeCell ref="J88:K88"/>
    <mergeCell ref="G88:H88"/>
    <mergeCell ref="F86:G86"/>
    <mergeCell ref="F85:G85"/>
    <mergeCell ref="C598:I598"/>
    <mergeCell ref="J598:K598"/>
    <mergeCell ref="C599:I599"/>
    <mergeCell ref="J599:K599"/>
    <mergeCell ref="J33:K33"/>
    <mergeCell ref="G33:H33"/>
    <mergeCell ref="A26:L26"/>
    <mergeCell ref="F176:G176"/>
    <mergeCell ref="F175:G175"/>
    <mergeCell ref="J168:K168"/>
    <mergeCell ref="G168:H168"/>
    <mergeCell ref="F163:G163"/>
    <mergeCell ref="F162:G162"/>
    <mergeCell ref="J155:K155"/>
    <mergeCell ref="J60:K60"/>
    <mergeCell ref="G60:H60"/>
    <mergeCell ref="J49:K49"/>
    <mergeCell ref="G49:H49"/>
    <mergeCell ref="J42:K42"/>
    <mergeCell ref="G42:H42"/>
    <mergeCell ref="J78:K78"/>
    <mergeCell ref="G78:H78"/>
    <mergeCell ref="J67:K67"/>
    <mergeCell ref="G67:H67"/>
    <mergeCell ref="F65:G65"/>
    <mergeCell ref="F64:G64"/>
    <mergeCell ref="F96:G96"/>
    <mergeCell ref="F95:G95"/>
    <mergeCell ref="J180:K180"/>
    <mergeCell ref="G180:H180"/>
    <mergeCell ref="J213:K213"/>
    <mergeCell ref="G213:H213"/>
    <mergeCell ref="F209:G209"/>
    <mergeCell ref="F208:G208"/>
    <mergeCell ref="J201:K201"/>
    <mergeCell ref="G201:H201"/>
    <mergeCell ref="F106:G106"/>
    <mergeCell ref="F129:G129"/>
    <mergeCell ref="J122:K122"/>
    <mergeCell ref="G122:H122"/>
    <mergeCell ref="F116:G116"/>
    <mergeCell ref="F115:G115"/>
    <mergeCell ref="J108:K108"/>
    <mergeCell ref="G108:H108"/>
    <mergeCell ref="G155:H155"/>
    <mergeCell ref="F150:G150"/>
    <mergeCell ref="F149:G149"/>
    <mergeCell ref="J144:K144"/>
    <mergeCell ref="G144:H144"/>
    <mergeCell ref="F130:G130"/>
    <mergeCell ref="G281:H281"/>
    <mergeCell ref="J279:K279"/>
    <mergeCell ref="G279:H279"/>
    <mergeCell ref="J277:K277"/>
    <mergeCell ref="G277:H277"/>
    <mergeCell ref="J190:K190"/>
    <mergeCell ref="G190:H190"/>
    <mergeCell ref="F188:G188"/>
    <mergeCell ref="F187:G187"/>
    <mergeCell ref="F240:G240"/>
    <mergeCell ref="J234:K234"/>
    <mergeCell ref="G234:H234"/>
    <mergeCell ref="F232:G232"/>
    <mergeCell ref="F231:G231"/>
    <mergeCell ref="J225:K225"/>
    <mergeCell ref="G225:H225"/>
    <mergeCell ref="F221:G221"/>
    <mergeCell ref="F220:G220"/>
    <mergeCell ref="F241:G241"/>
    <mergeCell ref="J336:K336"/>
    <mergeCell ref="A336:F336"/>
    <mergeCell ref="J334:K334"/>
    <mergeCell ref="G334:H334"/>
    <mergeCell ref="J327:K327"/>
    <mergeCell ref="G327:H327"/>
    <mergeCell ref="F324:G324"/>
    <mergeCell ref="F323:G323"/>
    <mergeCell ref="J317:K317"/>
    <mergeCell ref="J250:K250"/>
    <mergeCell ref="G250:H250"/>
    <mergeCell ref="F248:G248"/>
    <mergeCell ref="F247:G247"/>
    <mergeCell ref="J243:K243"/>
    <mergeCell ref="G243:H243"/>
    <mergeCell ref="J270:K270"/>
    <mergeCell ref="G270:H270"/>
    <mergeCell ref="J259:K259"/>
    <mergeCell ref="G259:H259"/>
    <mergeCell ref="F256:G256"/>
    <mergeCell ref="F255:G255"/>
    <mergeCell ref="A283:F283"/>
    <mergeCell ref="J281:K281"/>
    <mergeCell ref="J402:K402"/>
    <mergeCell ref="G402:H402"/>
    <mergeCell ref="J391:K391"/>
    <mergeCell ref="G391:H391"/>
    <mergeCell ref="F300:G300"/>
    <mergeCell ref="J293:K293"/>
    <mergeCell ref="G293:H293"/>
    <mergeCell ref="A284:L284"/>
    <mergeCell ref="G283:H283"/>
    <mergeCell ref="J283:K283"/>
    <mergeCell ref="G317:H317"/>
    <mergeCell ref="F313:G313"/>
    <mergeCell ref="F312:G312"/>
    <mergeCell ref="J305:K305"/>
    <mergeCell ref="G305:H305"/>
    <mergeCell ref="F301:G301"/>
    <mergeCell ref="A337:L337"/>
    <mergeCell ref="G336:H336"/>
    <mergeCell ref="A511:F511"/>
    <mergeCell ref="J509:K509"/>
    <mergeCell ref="G509:H509"/>
    <mergeCell ref="J498:K498"/>
    <mergeCell ref="G498:H498"/>
    <mergeCell ref="J485:K485"/>
    <mergeCell ref="G485:H485"/>
    <mergeCell ref="J475:K475"/>
    <mergeCell ref="J362:K362"/>
    <mergeCell ref="G362:H362"/>
    <mergeCell ref="J353:K353"/>
    <mergeCell ref="G353:H353"/>
    <mergeCell ref="J345:K345"/>
    <mergeCell ref="G345:H345"/>
    <mergeCell ref="J384:K384"/>
    <mergeCell ref="G384:H384"/>
    <mergeCell ref="J377:K377"/>
    <mergeCell ref="G377:H377"/>
    <mergeCell ref="J369:K369"/>
    <mergeCell ref="G369:H369"/>
    <mergeCell ref="J410:K410"/>
    <mergeCell ref="G410:H410"/>
    <mergeCell ref="J430:K430"/>
    <mergeCell ref="G430:H430"/>
    <mergeCell ref="J421:K421"/>
    <mergeCell ref="G421:H421"/>
    <mergeCell ref="J564:K564"/>
    <mergeCell ref="G564:H564"/>
    <mergeCell ref="J555:K555"/>
    <mergeCell ref="G555:H555"/>
    <mergeCell ref="J547:K547"/>
    <mergeCell ref="G547:H547"/>
    <mergeCell ref="G475:H475"/>
    <mergeCell ref="J463:K463"/>
    <mergeCell ref="G463:H463"/>
    <mergeCell ref="J452:K452"/>
    <mergeCell ref="G452:H452"/>
    <mergeCell ref="J441:K441"/>
    <mergeCell ref="G441:H441"/>
    <mergeCell ref="A513:L513"/>
    <mergeCell ref="G511:H511"/>
    <mergeCell ref="J511:K511"/>
    <mergeCell ref="G594:H594"/>
    <mergeCell ref="J594:K594"/>
    <mergeCell ref="A594:F594"/>
    <mergeCell ref="G593:H593"/>
    <mergeCell ref="J593:K593"/>
    <mergeCell ref="J538:K538"/>
    <mergeCell ref="G538:H538"/>
    <mergeCell ref="J532:K532"/>
    <mergeCell ref="G532:H532"/>
    <mergeCell ref="J526:K526"/>
    <mergeCell ref="G526:H526"/>
    <mergeCell ref="A593:F593"/>
    <mergeCell ref="J591:K591"/>
    <mergeCell ref="G591:H591"/>
    <mergeCell ref="J584:K584"/>
    <mergeCell ref="G584:H584"/>
    <mergeCell ref="J573:K573"/>
    <mergeCell ref="G573:H573"/>
    <mergeCell ref="J519:K519"/>
    <mergeCell ref="G519:H519"/>
  </mergeCells>
  <pageMargins left="0.4" right="0.2" top="0.4" bottom="0.4" header="0.2" footer="0.2"/>
  <pageSetup paperSize="9" scale="59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410"/>
  <sheetViews>
    <sheetView workbookViewId="0">
      <selection activeCell="G12" sqref="G12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  <c r="N1">
        <v>10</v>
      </c>
      <c r="O1">
        <v>1</v>
      </c>
      <c r="P1">
        <v>0</v>
      </c>
      <c r="Q1">
        <v>8</v>
      </c>
    </row>
    <row r="12" spans="1:133" x14ac:dyDescent="0.2">
      <c r="A12" s="1">
        <v>1</v>
      </c>
      <c r="B12" s="1">
        <v>405</v>
      </c>
      <c r="C12" s="1">
        <v>0</v>
      </c>
      <c r="D12" s="1">
        <f>ROW(A347)</f>
        <v>347</v>
      </c>
      <c r="E12" s="1">
        <v>0</v>
      </c>
      <c r="F12" s="1" t="s">
        <v>4</v>
      </c>
      <c r="G12" s="1" t="s">
        <v>999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524296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 x14ac:dyDescent="0.2">
      <c r="A18" s="2">
        <v>52</v>
      </c>
      <c r="B18" s="2">
        <f t="shared" ref="B18:G18" si="0">B347</f>
        <v>405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Новый объект_(Копия)_(Копия)_(Копия)</v>
      </c>
      <c r="G18" s="2" t="str">
        <f t="shared" si="0"/>
        <v>на ремонт помещений учебных аудиторий №3, №8, №11, №12, №13 3-го этажа корпуса "К" НИЯУ МИФИ по адресу: г. Москва, Каширское шоссе, д.31, стр.46</v>
      </c>
      <c r="H18" s="2"/>
      <c r="I18" s="2"/>
      <c r="J18" s="2"/>
      <c r="K18" s="2"/>
      <c r="L18" s="2"/>
      <c r="M18" s="2"/>
      <c r="N18" s="2"/>
      <c r="O18" s="2">
        <f t="shared" ref="O18:AT18" si="1">O347</f>
        <v>1633479.45</v>
      </c>
      <c r="P18" s="2">
        <f t="shared" si="1"/>
        <v>1496233.88</v>
      </c>
      <c r="Q18" s="2">
        <f t="shared" si="1"/>
        <v>11496.05</v>
      </c>
      <c r="R18" s="2">
        <f t="shared" si="1"/>
        <v>2159.36</v>
      </c>
      <c r="S18" s="2">
        <f t="shared" si="1"/>
        <v>125749.52</v>
      </c>
      <c r="T18" s="2">
        <f t="shared" si="1"/>
        <v>0</v>
      </c>
      <c r="U18" s="2">
        <f t="shared" si="1"/>
        <v>1749.5781816999997</v>
      </c>
      <c r="V18" s="2">
        <f t="shared" si="1"/>
        <v>26.771321500000006</v>
      </c>
      <c r="W18" s="2">
        <f t="shared" si="1"/>
        <v>0</v>
      </c>
      <c r="X18" s="2">
        <f t="shared" si="1"/>
        <v>113102.08</v>
      </c>
      <c r="Y18" s="2">
        <f t="shared" si="1"/>
        <v>68563.87</v>
      </c>
      <c r="Z18" s="2">
        <f t="shared" si="1"/>
        <v>0</v>
      </c>
      <c r="AA18" s="2">
        <f t="shared" si="1"/>
        <v>0</v>
      </c>
      <c r="AB18" s="2">
        <f t="shared" si="1"/>
        <v>0</v>
      </c>
      <c r="AC18" s="2">
        <f t="shared" si="1"/>
        <v>0</v>
      </c>
      <c r="AD18" s="2">
        <f t="shared" si="1"/>
        <v>0</v>
      </c>
      <c r="AE18" s="2">
        <f t="shared" si="1"/>
        <v>0</v>
      </c>
      <c r="AF18" s="2">
        <f t="shared" si="1"/>
        <v>0</v>
      </c>
      <c r="AG18" s="2">
        <f t="shared" si="1"/>
        <v>0</v>
      </c>
      <c r="AH18" s="2">
        <f t="shared" si="1"/>
        <v>0</v>
      </c>
      <c r="AI18" s="2">
        <f t="shared" si="1"/>
        <v>0</v>
      </c>
      <c r="AJ18" s="2">
        <f t="shared" si="1"/>
        <v>0</v>
      </c>
      <c r="AK18" s="2">
        <f t="shared" si="1"/>
        <v>0</v>
      </c>
      <c r="AL18" s="2">
        <f t="shared" si="1"/>
        <v>0</v>
      </c>
      <c r="AM18" s="2">
        <f t="shared" si="1"/>
        <v>0</v>
      </c>
      <c r="AN18" s="2">
        <f t="shared" si="1"/>
        <v>0</v>
      </c>
      <c r="AO18" s="2">
        <f t="shared" si="1"/>
        <v>0</v>
      </c>
      <c r="AP18" s="2">
        <f t="shared" si="1"/>
        <v>0</v>
      </c>
      <c r="AQ18" s="2">
        <f t="shared" si="1"/>
        <v>0</v>
      </c>
      <c r="AR18" s="2">
        <f t="shared" si="1"/>
        <v>1825213.62</v>
      </c>
      <c r="AS18" s="2">
        <f t="shared" si="1"/>
        <v>1179663.18</v>
      </c>
      <c r="AT18" s="2">
        <f t="shared" si="1"/>
        <v>591789.31999999995</v>
      </c>
      <c r="AU18" s="2">
        <f t="shared" ref="AU18:BZ18" si="2">AU347</f>
        <v>53761.120000000003</v>
      </c>
      <c r="AV18" s="2">
        <f t="shared" si="2"/>
        <v>1496233.88</v>
      </c>
      <c r="AW18" s="2">
        <f t="shared" si="2"/>
        <v>1496233.88</v>
      </c>
      <c r="AX18" s="2">
        <f t="shared" si="2"/>
        <v>0</v>
      </c>
      <c r="AY18" s="2">
        <f t="shared" si="2"/>
        <v>1496233.88</v>
      </c>
      <c r="AZ18" s="2">
        <f t="shared" si="2"/>
        <v>0</v>
      </c>
      <c r="BA18" s="2">
        <f t="shared" si="2"/>
        <v>0</v>
      </c>
      <c r="BB18" s="2">
        <f t="shared" si="2"/>
        <v>0</v>
      </c>
      <c r="BC18" s="2">
        <f t="shared" si="2"/>
        <v>0</v>
      </c>
      <c r="BD18" s="2">
        <f t="shared" si="2"/>
        <v>0</v>
      </c>
      <c r="BE18" s="2">
        <f t="shared" si="2"/>
        <v>0</v>
      </c>
      <c r="BF18" s="2">
        <f t="shared" si="2"/>
        <v>0</v>
      </c>
      <c r="BG18" s="2">
        <f t="shared" si="2"/>
        <v>0</v>
      </c>
      <c r="BH18" s="2">
        <f t="shared" si="2"/>
        <v>0</v>
      </c>
      <c r="BI18" s="2">
        <f t="shared" si="2"/>
        <v>0</v>
      </c>
      <c r="BJ18" s="2">
        <f t="shared" si="2"/>
        <v>0</v>
      </c>
      <c r="BK18" s="2">
        <f t="shared" si="2"/>
        <v>0</v>
      </c>
      <c r="BL18" s="2">
        <f t="shared" si="2"/>
        <v>0</v>
      </c>
      <c r="BM18" s="2">
        <f t="shared" si="2"/>
        <v>0</v>
      </c>
      <c r="BN18" s="2">
        <f t="shared" si="2"/>
        <v>0</v>
      </c>
      <c r="BO18" s="2">
        <f t="shared" si="2"/>
        <v>0</v>
      </c>
      <c r="BP18" s="2">
        <f t="shared" si="2"/>
        <v>0</v>
      </c>
      <c r="BQ18" s="2">
        <f t="shared" si="2"/>
        <v>0</v>
      </c>
      <c r="BR18" s="2">
        <f t="shared" si="2"/>
        <v>0</v>
      </c>
      <c r="BS18" s="2">
        <f t="shared" si="2"/>
        <v>0</v>
      </c>
      <c r="BT18" s="2">
        <f t="shared" si="2"/>
        <v>0</v>
      </c>
      <c r="BU18" s="2">
        <f t="shared" si="2"/>
        <v>0</v>
      </c>
      <c r="BV18" s="2">
        <f t="shared" si="2"/>
        <v>0</v>
      </c>
      <c r="BW18" s="2">
        <f t="shared" si="2"/>
        <v>0</v>
      </c>
      <c r="BX18" s="2">
        <f t="shared" si="2"/>
        <v>0</v>
      </c>
      <c r="BY18" s="2">
        <f t="shared" si="2"/>
        <v>0</v>
      </c>
      <c r="BZ18" s="2">
        <f t="shared" si="2"/>
        <v>0</v>
      </c>
      <c r="CA18" s="2">
        <f t="shared" ref="CA18:DF18" si="3">CA347</f>
        <v>0</v>
      </c>
      <c r="CB18" s="2">
        <f t="shared" si="3"/>
        <v>0</v>
      </c>
      <c r="CC18" s="2">
        <f t="shared" si="3"/>
        <v>0</v>
      </c>
      <c r="CD18" s="2">
        <f t="shared" si="3"/>
        <v>0</v>
      </c>
      <c r="CE18" s="2">
        <f t="shared" si="3"/>
        <v>0</v>
      </c>
      <c r="CF18" s="2">
        <f t="shared" si="3"/>
        <v>0</v>
      </c>
      <c r="CG18" s="2">
        <f t="shared" si="3"/>
        <v>0</v>
      </c>
      <c r="CH18" s="2">
        <f t="shared" si="3"/>
        <v>0</v>
      </c>
      <c r="CI18" s="2">
        <f t="shared" si="3"/>
        <v>0</v>
      </c>
      <c r="CJ18" s="2">
        <f t="shared" si="3"/>
        <v>0</v>
      </c>
      <c r="CK18" s="2">
        <f t="shared" si="3"/>
        <v>0</v>
      </c>
      <c r="CL18" s="2">
        <f t="shared" si="3"/>
        <v>0</v>
      </c>
      <c r="CM18" s="2">
        <f t="shared" si="3"/>
        <v>0</v>
      </c>
      <c r="CN18" s="2">
        <f t="shared" si="3"/>
        <v>0</v>
      </c>
      <c r="CO18" s="2">
        <f t="shared" si="3"/>
        <v>0</v>
      </c>
      <c r="CP18" s="2">
        <f t="shared" si="3"/>
        <v>0</v>
      </c>
      <c r="CQ18" s="2">
        <f t="shared" si="3"/>
        <v>0</v>
      </c>
      <c r="CR18" s="2">
        <f t="shared" si="3"/>
        <v>0</v>
      </c>
      <c r="CS18" s="2">
        <f t="shared" si="3"/>
        <v>0</v>
      </c>
      <c r="CT18" s="2">
        <f t="shared" si="3"/>
        <v>0</v>
      </c>
      <c r="CU18" s="2">
        <f t="shared" si="3"/>
        <v>0</v>
      </c>
      <c r="CV18" s="2">
        <f t="shared" si="3"/>
        <v>0</v>
      </c>
      <c r="CW18" s="2">
        <f t="shared" si="3"/>
        <v>0</v>
      </c>
      <c r="CX18" s="2">
        <f t="shared" si="3"/>
        <v>0</v>
      </c>
      <c r="CY18" s="2">
        <f t="shared" si="3"/>
        <v>0</v>
      </c>
      <c r="CZ18" s="2">
        <f t="shared" si="3"/>
        <v>0</v>
      </c>
      <c r="DA18" s="2">
        <f t="shared" si="3"/>
        <v>0</v>
      </c>
      <c r="DB18" s="2">
        <f t="shared" si="3"/>
        <v>0</v>
      </c>
      <c r="DC18" s="2">
        <f t="shared" si="3"/>
        <v>0</v>
      </c>
      <c r="DD18" s="2">
        <f t="shared" si="3"/>
        <v>0</v>
      </c>
      <c r="DE18" s="2">
        <f t="shared" si="3"/>
        <v>0</v>
      </c>
      <c r="DF18" s="2">
        <f t="shared" si="3"/>
        <v>0</v>
      </c>
      <c r="DG18" s="3">
        <f t="shared" ref="DG18:EL18" si="4">DG347</f>
        <v>0</v>
      </c>
      <c r="DH18" s="3">
        <f t="shared" si="4"/>
        <v>0</v>
      </c>
      <c r="DI18" s="3">
        <f t="shared" si="4"/>
        <v>0</v>
      </c>
      <c r="DJ18" s="3">
        <f t="shared" si="4"/>
        <v>0</v>
      </c>
      <c r="DK18" s="3">
        <f t="shared" si="4"/>
        <v>0</v>
      </c>
      <c r="DL18" s="3">
        <f t="shared" si="4"/>
        <v>0</v>
      </c>
      <c r="DM18" s="3">
        <f t="shared" si="4"/>
        <v>0</v>
      </c>
      <c r="DN18" s="3">
        <f t="shared" si="4"/>
        <v>0</v>
      </c>
      <c r="DO18" s="3">
        <f t="shared" si="4"/>
        <v>0</v>
      </c>
      <c r="DP18" s="3">
        <f t="shared" si="4"/>
        <v>0</v>
      </c>
      <c r="DQ18" s="3">
        <f t="shared" si="4"/>
        <v>0</v>
      </c>
      <c r="DR18" s="3">
        <f t="shared" si="4"/>
        <v>0</v>
      </c>
      <c r="DS18" s="3">
        <f t="shared" si="4"/>
        <v>0</v>
      </c>
      <c r="DT18" s="3">
        <f t="shared" si="4"/>
        <v>0</v>
      </c>
      <c r="DU18" s="3">
        <f t="shared" si="4"/>
        <v>0</v>
      </c>
      <c r="DV18" s="3">
        <f t="shared" si="4"/>
        <v>0</v>
      </c>
      <c r="DW18" s="3">
        <f t="shared" si="4"/>
        <v>0</v>
      </c>
      <c r="DX18" s="3">
        <f t="shared" si="4"/>
        <v>0</v>
      </c>
      <c r="DY18" s="3">
        <f t="shared" si="4"/>
        <v>0</v>
      </c>
      <c r="DZ18" s="3">
        <f t="shared" si="4"/>
        <v>0</v>
      </c>
      <c r="EA18" s="3">
        <f t="shared" si="4"/>
        <v>0</v>
      </c>
      <c r="EB18" s="3">
        <f t="shared" si="4"/>
        <v>0</v>
      </c>
      <c r="EC18" s="3">
        <f t="shared" si="4"/>
        <v>0</v>
      </c>
      <c r="ED18" s="3">
        <f t="shared" si="4"/>
        <v>0</v>
      </c>
      <c r="EE18" s="3">
        <f t="shared" si="4"/>
        <v>0</v>
      </c>
      <c r="EF18" s="3">
        <f t="shared" si="4"/>
        <v>0</v>
      </c>
      <c r="EG18" s="3">
        <f t="shared" si="4"/>
        <v>0</v>
      </c>
      <c r="EH18" s="3">
        <f t="shared" si="4"/>
        <v>0</v>
      </c>
      <c r="EI18" s="3">
        <f t="shared" si="4"/>
        <v>0</v>
      </c>
      <c r="EJ18" s="3">
        <f t="shared" si="4"/>
        <v>0</v>
      </c>
      <c r="EK18" s="3">
        <f t="shared" si="4"/>
        <v>0</v>
      </c>
      <c r="EL18" s="3">
        <f t="shared" si="4"/>
        <v>0</v>
      </c>
      <c r="EM18" s="3">
        <f t="shared" ref="EM18:FR18" si="5">EM347</f>
        <v>0</v>
      </c>
      <c r="EN18" s="3">
        <f t="shared" si="5"/>
        <v>0</v>
      </c>
      <c r="EO18" s="3">
        <f t="shared" si="5"/>
        <v>0</v>
      </c>
      <c r="EP18" s="3">
        <f t="shared" si="5"/>
        <v>0</v>
      </c>
      <c r="EQ18" s="3">
        <f t="shared" si="5"/>
        <v>0</v>
      </c>
      <c r="ER18" s="3">
        <f t="shared" si="5"/>
        <v>0</v>
      </c>
      <c r="ES18" s="3">
        <f t="shared" si="5"/>
        <v>0</v>
      </c>
      <c r="ET18" s="3">
        <f t="shared" si="5"/>
        <v>0</v>
      </c>
      <c r="EU18" s="3">
        <f t="shared" si="5"/>
        <v>0</v>
      </c>
      <c r="EV18" s="3">
        <f t="shared" si="5"/>
        <v>0</v>
      </c>
      <c r="EW18" s="3">
        <f t="shared" si="5"/>
        <v>0</v>
      </c>
      <c r="EX18" s="3">
        <f t="shared" si="5"/>
        <v>0</v>
      </c>
      <c r="EY18" s="3">
        <f t="shared" si="5"/>
        <v>0</v>
      </c>
      <c r="EZ18" s="3">
        <f t="shared" si="5"/>
        <v>0</v>
      </c>
      <c r="FA18" s="3">
        <f t="shared" si="5"/>
        <v>0</v>
      </c>
      <c r="FB18" s="3">
        <f t="shared" si="5"/>
        <v>0</v>
      </c>
      <c r="FC18" s="3">
        <f t="shared" si="5"/>
        <v>0</v>
      </c>
      <c r="FD18" s="3">
        <f t="shared" si="5"/>
        <v>0</v>
      </c>
      <c r="FE18" s="3">
        <f t="shared" si="5"/>
        <v>0</v>
      </c>
      <c r="FF18" s="3">
        <f t="shared" si="5"/>
        <v>0</v>
      </c>
      <c r="FG18" s="3">
        <f t="shared" si="5"/>
        <v>0</v>
      </c>
      <c r="FH18" s="3">
        <f t="shared" si="5"/>
        <v>0</v>
      </c>
      <c r="FI18" s="3">
        <f t="shared" si="5"/>
        <v>0</v>
      </c>
      <c r="FJ18" s="3">
        <f t="shared" si="5"/>
        <v>0</v>
      </c>
      <c r="FK18" s="3">
        <f t="shared" si="5"/>
        <v>0</v>
      </c>
      <c r="FL18" s="3">
        <f t="shared" si="5"/>
        <v>0</v>
      </c>
      <c r="FM18" s="3">
        <f t="shared" si="5"/>
        <v>0</v>
      </c>
      <c r="FN18" s="3">
        <f t="shared" si="5"/>
        <v>0</v>
      </c>
      <c r="FO18" s="3">
        <f t="shared" si="5"/>
        <v>0</v>
      </c>
      <c r="FP18" s="3">
        <f t="shared" si="5"/>
        <v>0</v>
      </c>
      <c r="FQ18" s="3">
        <f t="shared" si="5"/>
        <v>0</v>
      </c>
      <c r="FR18" s="3">
        <f t="shared" si="5"/>
        <v>0</v>
      </c>
      <c r="FS18" s="3">
        <f t="shared" ref="FS18:GX18" si="6">FS347</f>
        <v>0</v>
      </c>
      <c r="FT18" s="3">
        <f t="shared" si="6"/>
        <v>0</v>
      </c>
      <c r="FU18" s="3">
        <f t="shared" si="6"/>
        <v>0</v>
      </c>
      <c r="FV18" s="3">
        <f t="shared" si="6"/>
        <v>0</v>
      </c>
      <c r="FW18" s="3">
        <f t="shared" si="6"/>
        <v>0</v>
      </c>
      <c r="FX18" s="3">
        <f t="shared" si="6"/>
        <v>0</v>
      </c>
      <c r="FY18" s="3">
        <f t="shared" si="6"/>
        <v>0</v>
      </c>
      <c r="FZ18" s="3">
        <f t="shared" si="6"/>
        <v>0</v>
      </c>
      <c r="GA18" s="3">
        <f t="shared" si="6"/>
        <v>0</v>
      </c>
      <c r="GB18" s="3">
        <f t="shared" si="6"/>
        <v>0</v>
      </c>
      <c r="GC18" s="3">
        <f t="shared" si="6"/>
        <v>0</v>
      </c>
      <c r="GD18" s="3">
        <f t="shared" si="6"/>
        <v>0</v>
      </c>
      <c r="GE18" s="3">
        <f t="shared" si="6"/>
        <v>0</v>
      </c>
      <c r="GF18" s="3">
        <f t="shared" si="6"/>
        <v>0</v>
      </c>
      <c r="GG18" s="3">
        <f t="shared" si="6"/>
        <v>0</v>
      </c>
      <c r="GH18" s="3">
        <f t="shared" si="6"/>
        <v>0</v>
      </c>
      <c r="GI18" s="3">
        <f t="shared" si="6"/>
        <v>0</v>
      </c>
      <c r="GJ18" s="3">
        <f t="shared" si="6"/>
        <v>0</v>
      </c>
      <c r="GK18" s="3">
        <f t="shared" si="6"/>
        <v>0</v>
      </c>
      <c r="GL18" s="3">
        <f t="shared" si="6"/>
        <v>0</v>
      </c>
      <c r="GM18" s="3">
        <f t="shared" si="6"/>
        <v>0</v>
      </c>
      <c r="GN18" s="3">
        <f t="shared" si="6"/>
        <v>0</v>
      </c>
      <c r="GO18" s="3">
        <f t="shared" si="6"/>
        <v>0</v>
      </c>
      <c r="GP18" s="3">
        <f t="shared" si="6"/>
        <v>0</v>
      </c>
      <c r="GQ18" s="3">
        <f t="shared" si="6"/>
        <v>0</v>
      </c>
      <c r="GR18" s="3">
        <f t="shared" si="6"/>
        <v>0</v>
      </c>
      <c r="GS18" s="3">
        <f t="shared" si="6"/>
        <v>0</v>
      </c>
      <c r="GT18" s="3">
        <f t="shared" si="6"/>
        <v>0</v>
      </c>
      <c r="GU18" s="3">
        <f t="shared" si="6"/>
        <v>0</v>
      </c>
      <c r="GV18" s="3">
        <f t="shared" si="6"/>
        <v>0</v>
      </c>
      <c r="GW18" s="3">
        <f t="shared" si="6"/>
        <v>0</v>
      </c>
      <c r="GX18" s="3">
        <f t="shared" si="6"/>
        <v>0</v>
      </c>
    </row>
    <row r="20" spans="1:245" x14ac:dyDescent="0.2">
      <c r="A20" s="1">
        <v>3</v>
      </c>
      <c r="B20" s="1">
        <v>1</v>
      </c>
      <c r="C20" s="1"/>
      <c r="D20" s="1">
        <f>ROW(A315)</f>
        <v>315</v>
      </c>
      <c r="E20" s="1"/>
      <c r="F20" s="1" t="s">
        <v>12</v>
      </c>
      <c r="G20" s="1" t="s">
        <v>12</v>
      </c>
      <c r="H20" s="1" t="s">
        <v>6</v>
      </c>
      <c r="I20" s="1">
        <v>0</v>
      </c>
      <c r="J20" s="1" t="s">
        <v>6</v>
      </c>
      <c r="K20" s="1">
        <v>0</v>
      </c>
      <c r="L20" s="1" t="s">
        <v>6</v>
      </c>
      <c r="M20" s="1"/>
      <c r="N20" s="1"/>
      <c r="O20" s="1"/>
      <c r="P20" s="1"/>
      <c r="Q20" s="1"/>
      <c r="R20" s="1"/>
      <c r="S20" s="1"/>
      <c r="T20" s="1"/>
      <c r="U20" s="1" t="s">
        <v>6</v>
      </c>
      <c r="V20" s="1">
        <v>0</v>
      </c>
      <c r="W20" s="1"/>
      <c r="X20" s="1"/>
      <c r="Y20" s="1"/>
      <c r="Z20" s="1"/>
      <c r="AA20" s="1"/>
      <c r="AB20" s="1" t="s">
        <v>6</v>
      </c>
      <c r="AC20" s="1" t="s">
        <v>6</v>
      </c>
      <c r="AD20" s="1" t="s">
        <v>6</v>
      </c>
      <c r="AE20" s="1" t="s">
        <v>6</v>
      </c>
      <c r="AF20" s="1" t="s">
        <v>6</v>
      </c>
      <c r="AG20" s="1" t="s">
        <v>6</v>
      </c>
      <c r="AH20" s="1"/>
      <c r="AI20" s="1"/>
      <c r="AJ20" s="1"/>
      <c r="AK20" s="1"/>
      <c r="AL20" s="1"/>
      <c r="AM20" s="1"/>
      <c r="AN20" s="1"/>
      <c r="AO20" s="1"/>
      <c r="AP20" s="1" t="s">
        <v>6</v>
      </c>
      <c r="AQ20" s="1" t="s">
        <v>6</v>
      </c>
      <c r="AR20" s="1" t="s">
        <v>6</v>
      </c>
      <c r="AS20" s="1"/>
      <c r="AT20" s="1"/>
      <c r="AU20" s="1"/>
      <c r="AV20" s="1"/>
      <c r="AW20" s="1"/>
      <c r="AX20" s="1"/>
      <c r="AY20" s="1"/>
      <c r="AZ20" s="1" t="s">
        <v>6</v>
      </c>
      <c r="BA20" s="1"/>
      <c r="BB20" s="1" t="s">
        <v>6</v>
      </c>
      <c r="BC20" s="1" t="s">
        <v>6</v>
      </c>
      <c r="BD20" s="1" t="s">
        <v>6</v>
      </c>
      <c r="BE20" s="1" t="s">
        <v>6</v>
      </c>
      <c r="BF20" s="1" t="s">
        <v>6</v>
      </c>
      <c r="BG20" s="1" t="s">
        <v>6</v>
      </c>
      <c r="BH20" s="1" t="s">
        <v>6</v>
      </c>
      <c r="BI20" s="1" t="s">
        <v>6</v>
      </c>
      <c r="BJ20" s="1" t="s">
        <v>6</v>
      </c>
      <c r="BK20" s="1" t="s">
        <v>6</v>
      </c>
      <c r="BL20" s="1" t="s">
        <v>6</v>
      </c>
      <c r="BM20" s="1" t="s">
        <v>6</v>
      </c>
      <c r="BN20" s="1" t="s">
        <v>6</v>
      </c>
      <c r="BO20" s="1" t="s">
        <v>6</v>
      </c>
      <c r="BP20" s="1" t="s">
        <v>6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6</v>
      </c>
      <c r="CJ20" s="1" t="s">
        <v>6</v>
      </c>
    </row>
    <row r="22" spans="1:245" x14ac:dyDescent="0.2">
      <c r="A22" s="2">
        <v>52</v>
      </c>
      <c r="B22" s="2">
        <f t="shared" ref="B22:G22" si="7">B315</f>
        <v>1</v>
      </c>
      <c r="C22" s="2">
        <f t="shared" si="7"/>
        <v>3</v>
      </c>
      <c r="D22" s="2">
        <f t="shared" si="7"/>
        <v>20</v>
      </c>
      <c r="E22" s="2">
        <f t="shared" si="7"/>
        <v>0</v>
      </c>
      <c r="F22" s="2" t="str">
        <f t="shared" si="7"/>
        <v>Новая локальная смета</v>
      </c>
      <c r="G22" s="2" t="str">
        <f t="shared" si="7"/>
        <v>Новая локальная смета</v>
      </c>
      <c r="H22" s="2"/>
      <c r="I22" s="2"/>
      <c r="J22" s="2"/>
      <c r="K22" s="2"/>
      <c r="L22" s="2"/>
      <c r="M22" s="2"/>
      <c r="N22" s="2"/>
      <c r="O22" s="2">
        <f t="shared" ref="O22:AT22" si="8">O315</f>
        <v>1633479.45</v>
      </c>
      <c r="P22" s="2">
        <f t="shared" si="8"/>
        <v>1496233.88</v>
      </c>
      <c r="Q22" s="2">
        <f t="shared" si="8"/>
        <v>11496.05</v>
      </c>
      <c r="R22" s="2">
        <f t="shared" si="8"/>
        <v>2159.36</v>
      </c>
      <c r="S22" s="2">
        <f t="shared" si="8"/>
        <v>125749.52</v>
      </c>
      <c r="T22" s="2">
        <f t="shared" si="8"/>
        <v>0</v>
      </c>
      <c r="U22" s="2">
        <f t="shared" si="8"/>
        <v>1749.5781816999997</v>
      </c>
      <c r="V22" s="2">
        <f t="shared" si="8"/>
        <v>26.771321500000006</v>
      </c>
      <c r="W22" s="2">
        <f t="shared" si="8"/>
        <v>0</v>
      </c>
      <c r="X22" s="2">
        <f t="shared" si="8"/>
        <v>113102.08</v>
      </c>
      <c r="Y22" s="2">
        <f t="shared" si="8"/>
        <v>68563.87</v>
      </c>
      <c r="Z22" s="2">
        <f t="shared" si="8"/>
        <v>0</v>
      </c>
      <c r="AA22" s="2">
        <f t="shared" si="8"/>
        <v>0</v>
      </c>
      <c r="AB22" s="2">
        <f t="shared" si="8"/>
        <v>0</v>
      </c>
      <c r="AC22" s="2">
        <f t="shared" si="8"/>
        <v>0</v>
      </c>
      <c r="AD22" s="2">
        <f t="shared" si="8"/>
        <v>0</v>
      </c>
      <c r="AE22" s="2">
        <f t="shared" si="8"/>
        <v>0</v>
      </c>
      <c r="AF22" s="2">
        <f t="shared" si="8"/>
        <v>0</v>
      </c>
      <c r="AG22" s="2">
        <f t="shared" si="8"/>
        <v>0</v>
      </c>
      <c r="AH22" s="2">
        <f t="shared" si="8"/>
        <v>0</v>
      </c>
      <c r="AI22" s="2">
        <f t="shared" si="8"/>
        <v>0</v>
      </c>
      <c r="AJ22" s="2">
        <f t="shared" si="8"/>
        <v>0</v>
      </c>
      <c r="AK22" s="2">
        <f t="shared" si="8"/>
        <v>0</v>
      </c>
      <c r="AL22" s="2">
        <f t="shared" si="8"/>
        <v>0</v>
      </c>
      <c r="AM22" s="2">
        <f t="shared" si="8"/>
        <v>0</v>
      </c>
      <c r="AN22" s="2">
        <f t="shared" si="8"/>
        <v>0</v>
      </c>
      <c r="AO22" s="2">
        <f t="shared" si="8"/>
        <v>0</v>
      </c>
      <c r="AP22" s="2">
        <f t="shared" si="8"/>
        <v>0</v>
      </c>
      <c r="AQ22" s="2">
        <f t="shared" si="8"/>
        <v>0</v>
      </c>
      <c r="AR22" s="2">
        <f t="shared" si="8"/>
        <v>1825213.62</v>
      </c>
      <c r="AS22" s="2">
        <f t="shared" si="8"/>
        <v>1179663.18</v>
      </c>
      <c r="AT22" s="2">
        <f t="shared" si="8"/>
        <v>591789.31999999995</v>
      </c>
      <c r="AU22" s="2">
        <f t="shared" ref="AU22:BZ22" si="9">AU315</f>
        <v>53761.120000000003</v>
      </c>
      <c r="AV22" s="2">
        <f t="shared" si="9"/>
        <v>1496233.88</v>
      </c>
      <c r="AW22" s="2">
        <f t="shared" si="9"/>
        <v>1496233.88</v>
      </c>
      <c r="AX22" s="2">
        <f t="shared" si="9"/>
        <v>0</v>
      </c>
      <c r="AY22" s="2">
        <f t="shared" si="9"/>
        <v>1496233.88</v>
      </c>
      <c r="AZ22" s="2">
        <f t="shared" si="9"/>
        <v>0</v>
      </c>
      <c r="BA22" s="2">
        <f t="shared" si="9"/>
        <v>0</v>
      </c>
      <c r="BB22" s="2">
        <f t="shared" si="9"/>
        <v>0</v>
      </c>
      <c r="BC22" s="2">
        <f t="shared" si="9"/>
        <v>0</v>
      </c>
      <c r="BD22" s="2">
        <f t="shared" si="9"/>
        <v>0</v>
      </c>
      <c r="BE22" s="2">
        <f t="shared" si="9"/>
        <v>0</v>
      </c>
      <c r="BF22" s="2">
        <f t="shared" si="9"/>
        <v>0</v>
      </c>
      <c r="BG22" s="2">
        <f t="shared" si="9"/>
        <v>0</v>
      </c>
      <c r="BH22" s="2">
        <f t="shared" si="9"/>
        <v>0</v>
      </c>
      <c r="BI22" s="2">
        <f t="shared" si="9"/>
        <v>0</v>
      </c>
      <c r="BJ22" s="2">
        <f t="shared" si="9"/>
        <v>0</v>
      </c>
      <c r="BK22" s="2">
        <f t="shared" si="9"/>
        <v>0</v>
      </c>
      <c r="BL22" s="2">
        <f t="shared" si="9"/>
        <v>0</v>
      </c>
      <c r="BM22" s="2">
        <f t="shared" si="9"/>
        <v>0</v>
      </c>
      <c r="BN22" s="2">
        <f t="shared" si="9"/>
        <v>0</v>
      </c>
      <c r="BO22" s="2">
        <f t="shared" si="9"/>
        <v>0</v>
      </c>
      <c r="BP22" s="2">
        <f t="shared" si="9"/>
        <v>0</v>
      </c>
      <c r="BQ22" s="2">
        <f t="shared" si="9"/>
        <v>0</v>
      </c>
      <c r="BR22" s="2">
        <f t="shared" si="9"/>
        <v>0</v>
      </c>
      <c r="BS22" s="2">
        <f t="shared" si="9"/>
        <v>0</v>
      </c>
      <c r="BT22" s="2">
        <f t="shared" si="9"/>
        <v>0</v>
      </c>
      <c r="BU22" s="2">
        <f t="shared" si="9"/>
        <v>0</v>
      </c>
      <c r="BV22" s="2">
        <f t="shared" si="9"/>
        <v>0</v>
      </c>
      <c r="BW22" s="2">
        <f t="shared" si="9"/>
        <v>0</v>
      </c>
      <c r="BX22" s="2">
        <f t="shared" si="9"/>
        <v>0</v>
      </c>
      <c r="BY22" s="2">
        <f t="shared" si="9"/>
        <v>0</v>
      </c>
      <c r="BZ22" s="2">
        <f t="shared" si="9"/>
        <v>0</v>
      </c>
      <c r="CA22" s="2">
        <f t="shared" ref="CA22:DF22" si="10">CA315</f>
        <v>0</v>
      </c>
      <c r="CB22" s="2">
        <f t="shared" si="10"/>
        <v>0</v>
      </c>
      <c r="CC22" s="2">
        <f t="shared" si="10"/>
        <v>0</v>
      </c>
      <c r="CD22" s="2">
        <f t="shared" si="10"/>
        <v>0</v>
      </c>
      <c r="CE22" s="2">
        <f t="shared" si="10"/>
        <v>0</v>
      </c>
      <c r="CF22" s="2">
        <f t="shared" si="10"/>
        <v>0</v>
      </c>
      <c r="CG22" s="2">
        <f t="shared" si="10"/>
        <v>0</v>
      </c>
      <c r="CH22" s="2">
        <f t="shared" si="10"/>
        <v>0</v>
      </c>
      <c r="CI22" s="2">
        <f t="shared" si="10"/>
        <v>0</v>
      </c>
      <c r="CJ22" s="2">
        <f t="shared" si="10"/>
        <v>0</v>
      </c>
      <c r="CK22" s="2">
        <f t="shared" si="10"/>
        <v>0</v>
      </c>
      <c r="CL22" s="2">
        <f t="shared" si="10"/>
        <v>0</v>
      </c>
      <c r="CM22" s="2">
        <f t="shared" si="10"/>
        <v>0</v>
      </c>
      <c r="CN22" s="2">
        <f t="shared" si="10"/>
        <v>0</v>
      </c>
      <c r="CO22" s="2">
        <f t="shared" si="10"/>
        <v>0</v>
      </c>
      <c r="CP22" s="2">
        <f t="shared" si="10"/>
        <v>0</v>
      </c>
      <c r="CQ22" s="2">
        <f t="shared" si="10"/>
        <v>0</v>
      </c>
      <c r="CR22" s="2">
        <f t="shared" si="10"/>
        <v>0</v>
      </c>
      <c r="CS22" s="2">
        <f t="shared" si="10"/>
        <v>0</v>
      </c>
      <c r="CT22" s="2">
        <f t="shared" si="10"/>
        <v>0</v>
      </c>
      <c r="CU22" s="2">
        <f t="shared" si="10"/>
        <v>0</v>
      </c>
      <c r="CV22" s="2">
        <f t="shared" si="10"/>
        <v>0</v>
      </c>
      <c r="CW22" s="2">
        <f t="shared" si="10"/>
        <v>0</v>
      </c>
      <c r="CX22" s="2">
        <f t="shared" si="10"/>
        <v>0</v>
      </c>
      <c r="CY22" s="2">
        <f t="shared" si="10"/>
        <v>0</v>
      </c>
      <c r="CZ22" s="2">
        <f t="shared" si="10"/>
        <v>0</v>
      </c>
      <c r="DA22" s="2">
        <f t="shared" si="10"/>
        <v>0</v>
      </c>
      <c r="DB22" s="2">
        <f t="shared" si="10"/>
        <v>0</v>
      </c>
      <c r="DC22" s="2">
        <f t="shared" si="10"/>
        <v>0</v>
      </c>
      <c r="DD22" s="2">
        <f t="shared" si="10"/>
        <v>0</v>
      </c>
      <c r="DE22" s="2">
        <f t="shared" si="10"/>
        <v>0</v>
      </c>
      <c r="DF22" s="2">
        <f t="shared" si="10"/>
        <v>0</v>
      </c>
      <c r="DG22" s="3">
        <f t="shared" ref="DG22:EL22" si="11">DG315</f>
        <v>0</v>
      </c>
      <c r="DH22" s="3">
        <f t="shared" si="11"/>
        <v>0</v>
      </c>
      <c r="DI22" s="3">
        <f t="shared" si="11"/>
        <v>0</v>
      </c>
      <c r="DJ22" s="3">
        <f t="shared" si="11"/>
        <v>0</v>
      </c>
      <c r="DK22" s="3">
        <f t="shared" si="11"/>
        <v>0</v>
      </c>
      <c r="DL22" s="3">
        <f t="shared" si="11"/>
        <v>0</v>
      </c>
      <c r="DM22" s="3">
        <f t="shared" si="11"/>
        <v>0</v>
      </c>
      <c r="DN22" s="3">
        <f t="shared" si="11"/>
        <v>0</v>
      </c>
      <c r="DO22" s="3">
        <f t="shared" si="11"/>
        <v>0</v>
      </c>
      <c r="DP22" s="3">
        <f t="shared" si="11"/>
        <v>0</v>
      </c>
      <c r="DQ22" s="3">
        <f t="shared" si="11"/>
        <v>0</v>
      </c>
      <c r="DR22" s="3">
        <f t="shared" si="11"/>
        <v>0</v>
      </c>
      <c r="DS22" s="3">
        <f t="shared" si="11"/>
        <v>0</v>
      </c>
      <c r="DT22" s="3">
        <f t="shared" si="11"/>
        <v>0</v>
      </c>
      <c r="DU22" s="3">
        <f t="shared" si="11"/>
        <v>0</v>
      </c>
      <c r="DV22" s="3">
        <f t="shared" si="11"/>
        <v>0</v>
      </c>
      <c r="DW22" s="3">
        <f t="shared" si="11"/>
        <v>0</v>
      </c>
      <c r="DX22" s="3">
        <f t="shared" si="11"/>
        <v>0</v>
      </c>
      <c r="DY22" s="3">
        <f t="shared" si="11"/>
        <v>0</v>
      </c>
      <c r="DZ22" s="3">
        <f t="shared" si="11"/>
        <v>0</v>
      </c>
      <c r="EA22" s="3">
        <f t="shared" si="11"/>
        <v>0</v>
      </c>
      <c r="EB22" s="3">
        <f t="shared" si="11"/>
        <v>0</v>
      </c>
      <c r="EC22" s="3">
        <f t="shared" si="11"/>
        <v>0</v>
      </c>
      <c r="ED22" s="3">
        <f t="shared" si="11"/>
        <v>0</v>
      </c>
      <c r="EE22" s="3">
        <f t="shared" si="11"/>
        <v>0</v>
      </c>
      <c r="EF22" s="3">
        <f t="shared" si="11"/>
        <v>0</v>
      </c>
      <c r="EG22" s="3">
        <f t="shared" si="11"/>
        <v>0</v>
      </c>
      <c r="EH22" s="3">
        <f t="shared" si="11"/>
        <v>0</v>
      </c>
      <c r="EI22" s="3">
        <f t="shared" si="11"/>
        <v>0</v>
      </c>
      <c r="EJ22" s="3">
        <f t="shared" si="11"/>
        <v>0</v>
      </c>
      <c r="EK22" s="3">
        <f t="shared" si="11"/>
        <v>0</v>
      </c>
      <c r="EL22" s="3">
        <f t="shared" si="11"/>
        <v>0</v>
      </c>
      <c r="EM22" s="3">
        <f t="shared" ref="EM22:FR22" si="12">EM315</f>
        <v>0</v>
      </c>
      <c r="EN22" s="3">
        <f t="shared" si="12"/>
        <v>0</v>
      </c>
      <c r="EO22" s="3">
        <f t="shared" si="12"/>
        <v>0</v>
      </c>
      <c r="EP22" s="3">
        <f t="shared" si="12"/>
        <v>0</v>
      </c>
      <c r="EQ22" s="3">
        <f t="shared" si="12"/>
        <v>0</v>
      </c>
      <c r="ER22" s="3">
        <f t="shared" si="12"/>
        <v>0</v>
      </c>
      <c r="ES22" s="3">
        <f t="shared" si="12"/>
        <v>0</v>
      </c>
      <c r="ET22" s="3">
        <f t="shared" si="12"/>
        <v>0</v>
      </c>
      <c r="EU22" s="3">
        <f t="shared" si="12"/>
        <v>0</v>
      </c>
      <c r="EV22" s="3">
        <f t="shared" si="12"/>
        <v>0</v>
      </c>
      <c r="EW22" s="3">
        <f t="shared" si="12"/>
        <v>0</v>
      </c>
      <c r="EX22" s="3">
        <f t="shared" si="12"/>
        <v>0</v>
      </c>
      <c r="EY22" s="3">
        <f t="shared" si="12"/>
        <v>0</v>
      </c>
      <c r="EZ22" s="3">
        <f t="shared" si="12"/>
        <v>0</v>
      </c>
      <c r="FA22" s="3">
        <f t="shared" si="12"/>
        <v>0</v>
      </c>
      <c r="FB22" s="3">
        <f t="shared" si="12"/>
        <v>0</v>
      </c>
      <c r="FC22" s="3">
        <f t="shared" si="12"/>
        <v>0</v>
      </c>
      <c r="FD22" s="3">
        <f t="shared" si="12"/>
        <v>0</v>
      </c>
      <c r="FE22" s="3">
        <f t="shared" si="12"/>
        <v>0</v>
      </c>
      <c r="FF22" s="3">
        <f t="shared" si="12"/>
        <v>0</v>
      </c>
      <c r="FG22" s="3">
        <f t="shared" si="12"/>
        <v>0</v>
      </c>
      <c r="FH22" s="3">
        <f t="shared" si="12"/>
        <v>0</v>
      </c>
      <c r="FI22" s="3">
        <f t="shared" si="12"/>
        <v>0</v>
      </c>
      <c r="FJ22" s="3">
        <f t="shared" si="12"/>
        <v>0</v>
      </c>
      <c r="FK22" s="3">
        <f t="shared" si="12"/>
        <v>0</v>
      </c>
      <c r="FL22" s="3">
        <f t="shared" si="12"/>
        <v>0</v>
      </c>
      <c r="FM22" s="3">
        <f t="shared" si="12"/>
        <v>0</v>
      </c>
      <c r="FN22" s="3">
        <f t="shared" si="12"/>
        <v>0</v>
      </c>
      <c r="FO22" s="3">
        <f t="shared" si="12"/>
        <v>0</v>
      </c>
      <c r="FP22" s="3">
        <f t="shared" si="12"/>
        <v>0</v>
      </c>
      <c r="FQ22" s="3">
        <f t="shared" si="12"/>
        <v>0</v>
      </c>
      <c r="FR22" s="3">
        <f t="shared" si="12"/>
        <v>0</v>
      </c>
      <c r="FS22" s="3">
        <f t="shared" ref="FS22:GX22" si="13">FS315</f>
        <v>0</v>
      </c>
      <c r="FT22" s="3">
        <f t="shared" si="13"/>
        <v>0</v>
      </c>
      <c r="FU22" s="3">
        <f t="shared" si="13"/>
        <v>0</v>
      </c>
      <c r="FV22" s="3">
        <f t="shared" si="13"/>
        <v>0</v>
      </c>
      <c r="FW22" s="3">
        <f t="shared" si="13"/>
        <v>0</v>
      </c>
      <c r="FX22" s="3">
        <f t="shared" si="13"/>
        <v>0</v>
      </c>
      <c r="FY22" s="3">
        <f t="shared" si="13"/>
        <v>0</v>
      </c>
      <c r="FZ22" s="3">
        <f t="shared" si="13"/>
        <v>0</v>
      </c>
      <c r="GA22" s="3">
        <f t="shared" si="13"/>
        <v>0</v>
      </c>
      <c r="GB22" s="3">
        <f t="shared" si="13"/>
        <v>0</v>
      </c>
      <c r="GC22" s="3">
        <f t="shared" si="13"/>
        <v>0</v>
      </c>
      <c r="GD22" s="3">
        <f t="shared" si="13"/>
        <v>0</v>
      </c>
      <c r="GE22" s="3">
        <f t="shared" si="13"/>
        <v>0</v>
      </c>
      <c r="GF22" s="3">
        <f t="shared" si="13"/>
        <v>0</v>
      </c>
      <c r="GG22" s="3">
        <f t="shared" si="13"/>
        <v>0</v>
      </c>
      <c r="GH22" s="3">
        <f t="shared" si="13"/>
        <v>0</v>
      </c>
      <c r="GI22" s="3">
        <f t="shared" si="13"/>
        <v>0</v>
      </c>
      <c r="GJ22" s="3">
        <f t="shared" si="13"/>
        <v>0</v>
      </c>
      <c r="GK22" s="3">
        <f t="shared" si="13"/>
        <v>0</v>
      </c>
      <c r="GL22" s="3">
        <f t="shared" si="13"/>
        <v>0</v>
      </c>
      <c r="GM22" s="3">
        <f t="shared" si="13"/>
        <v>0</v>
      </c>
      <c r="GN22" s="3">
        <f t="shared" si="13"/>
        <v>0</v>
      </c>
      <c r="GO22" s="3">
        <f t="shared" si="13"/>
        <v>0</v>
      </c>
      <c r="GP22" s="3">
        <f t="shared" si="13"/>
        <v>0</v>
      </c>
      <c r="GQ22" s="3">
        <f t="shared" si="13"/>
        <v>0</v>
      </c>
      <c r="GR22" s="3">
        <f t="shared" si="13"/>
        <v>0</v>
      </c>
      <c r="GS22" s="3">
        <f t="shared" si="13"/>
        <v>0</v>
      </c>
      <c r="GT22" s="3">
        <f t="shared" si="13"/>
        <v>0</v>
      </c>
      <c r="GU22" s="3">
        <f t="shared" si="13"/>
        <v>0</v>
      </c>
      <c r="GV22" s="3">
        <f t="shared" si="13"/>
        <v>0</v>
      </c>
      <c r="GW22" s="3">
        <f t="shared" si="13"/>
        <v>0</v>
      </c>
      <c r="GX22" s="3">
        <f t="shared" si="13"/>
        <v>0</v>
      </c>
    </row>
    <row r="24" spans="1:245" x14ac:dyDescent="0.2">
      <c r="A24" s="1">
        <v>4</v>
      </c>
      <c r="B24" s="1">
        <v>1</v>
      </c>
      <c r="C24" s="1"/>
      <c r="D24" s="1">
        <f>ROW(A89)</f>
        <v>89</v>
      </c>
      <c r="E24" s="1"/>
      <c r="F24" s="1" t="s">
        <v>13</v>
      </c>
      <c r="G24" s="1" t="s">
        <v>14</v>
      </c>
      <c r="H24" s="1" t="s">
        <v>6</v>
      </c>
      <c r="I24" s="1">
        <v>0</v>
      </c>
      <c r="J24" s="1"/>
      <c r="K24" s="1">
        <v>0</v>
      </c>
      <c r="L24" s="1"/>
      <c r="M24" s="1"/>
      <c r="N24" s="1"/>
      <c r="O24" s="1"/>
      <c r="P24" s="1"/>
      <c r="Q24" s="1"/>
      <c r="R24" s="1"/>
      <c r="S24" s="1"/>
      <c r="T24" s="1"/>
      <c r="U24" s="1" t="s">
        <v>6</v>
      </c>
      <c r="V24" s="1">
        <v>0</v>
      </c>
      <c r="W24" s="1"/>
      <c r="X24" s="1"/>
      <c r="Y24" s="1"/>
      <c r="Z24" s="1"/>
      <c r="AA24" s="1"/>
      <c r="AB24" s="1" t="s">
        <v>6</v>
      </c>
      <c r="AC24" s="1" t="s">
        <v>6</v>
      </c>
      <c r="AD24" s="1" t="s">
        <v>6</v>
      </c>
      <c r="AE24" s="1" t="s">
        <v>6</v>
      </c>
      <c r="AF24" s="1" t="s">
        <v>6</v>
      </c>
      <c r="AG24" s="1" t="s">
        <v>6</v>
      </c>
      <c r="AH24" s="1"/>
      <c r="AI24" s="1"/>
      <c r="AJ24" s="1"/>
      <c r="AK24" s="1"/>
      <c r="AL24" s="1"/>
      <c r="AM24" s="1"/>
      <c r="AN24" s="1"/>
      <c r="AO24" s="1"/>
      <c r="AP24" s="1" t="s">
        <v>6</v>
      </c>
      <c r="AQ24" s="1" t="s">
        <v>6</v>
      </c>
      <c r="AR24" s="1" t="s">
        <v>6</v>
      </c>
      <c r="AS24" s="1"/>
      <c r="AT24" s="1"/>
      <c r="AU24" s="1"/>
      <c r="AV24" s="1"/>
      <c r="AW24" s="1"/>
      <c r="AX24" s="1"/>
      <c r="AY24" s="1"/>
      <c r="AZ24" s="1" t="s">
        <v>6</v>
      </c>
      <c r="BA24" s="1"/>
      <c r="BB24" s="1" t="s">
        <v>6</v>
      </c>
      <c r="BC24" s="1" t="s">
        <v>6</v>
      </c>
      <c r="BD24" s="1" t="s">
        <v>6</v>
      </c>
      <c r="BE24" s="1" t="s">
        <v>6</v>
      </c>
      <c r="BF24" s="1" t="s">
        <v>6</v>
      </c>
      <c r="BG24" s="1" t="s">
        <v>6</v>
      </c>
      <c r="BH24" s="1" t="s">
        <v>6</v>
      </c>
      <c r="BI24" s="1" t="s">
        <v>6</v>
      </c>
      <c r="BJ24" s="1" t="s">
        <v>6</v>
      </c>
      <c r="BK24" s="1" t="s">
        <v>6</v>
      </c>
      <c r="BL24" s="1" t="s">
        <v>6</v>
      </c>
      <c r="BM24" s="1" t="s">
        <v>6</v>
      </c>
      <c r="BN24" s="1" t="s">
        <v>6</v>
      </c>
      <c r="BO24" s="1" t="s">
        <v>6</v>
      </c>
      <c r="BP24" s="1" t="s">
        <v>6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45" x14ac:dyDescent="0.2">
      <c r="A26" s="2">
        <v>52</v>
      </c>
      <c r="B26" s="2">
        <f t="shared" ref="B26:G26" si="14">B89</f>
        <v>1</v>
      </c>
      <c r="C26" s="2">
        <f t="shared" si="14"/>
        <v>4</v>
      </c>
      <c r="D26" s="2">
        <f t="shared" si="14"/>
        <v>24</v>
      </c>
      <c r="E26" s="2">
        <f t="shared" si="14"/>
        <v>0</v>
      </c>
      <c r="F26" s="2" t="str">
        <f t="shared" si="14"/>
        <v>Новый раздел</v>
      </c>
      <c r="G26" s="2" t="str">
        <f t="shared" si="14"/>
        <v>1 Общестроительные работы</v>
      </c>
      <c r="H26" s="2"/>
      <c r="I26" s="2"/>
      <c r="J26" s="2"/>
      <c r="K26" s="2"/>
      <c r="L26" s="2"/>
      <c r="M26" s="2"/>
      <c r="N26" s="2"/>
      <c r="O26" s="2">
        <f t="shared" ref="O26:AT26" si="15">O89</f>
        <v>877709.7</v>
      </c>
      <c r="P26" s="2">
        <f t="shared" si="15"/>
        <v>807203.22</v>
      </c>
      <c r="Q26" s="2">
        <f t="shared" si="15"/>
        <v>8227.81</v>
      </c>
      <c r="R26" s="2">
        <f t="shared" si="15"/>
        <v>1776.73</v>
      </c>
      <c r="S26" s="2">
        <f t="shared" si="15"/>
        <v>62278.67</v>
      </c>
      <c r="T26" s="2">
        <f t="shared" si="15"/>
        <v>0</v>
      </c>
      <c r="U26" s="2">
        <f t="shared" si="15"/>
        <v>1058.9987436999997</v>
      </c>
      <c r="V26" s="2">
        <f t="shared" si="15"/>
        <v>22.235387500000005</v>
      </c>
      <c r="W26" s="2">
        <f t="shared" si="15"/>
        <v>0</v>
      </c>
      <c r="X26" s="2">
        <f t="shared" si="15"/>
        <v>60701.74</v>
      </c>
      <c r="Y26" s="2">
        <f t="shared" si="15"/>
        <v>33937.53</v>
      </c>
      <c r="Z26" s="2">
        <f t="shared" si="15"/>
        <v>0</v>
      </c>
      <c r="AA26" s="2">
        <f t="shared" si="15"/>
        <v>0</v>
      </c>
      <c r="AB26" s="2">
        <f t="shared" si="15"/>
        <v>877709.7</v>
      </c>
      <c r="AC26" s="2">
        <f t="shared" si="15"/>
        <v>807203.22</v>
      </c>
      <c r="AD26" s="2">
        <f t="shared" si="15"/>
        <v>8227.81</v>
      </c>
      <c r="AE26" s="2">
        <f t="shared" si="15"/>
        <v>1776.73</v>
      </c>
      <c r="AF26" s="2">
        <f t="shared" si="15"/>
        <v>62278.67</v>
      </c>
      <c r="AG26" s="2">
        <f t="shared" si="15"/>
        <v>0</v>
      </c>
      <c r="AH26" s="2">
        <f t="shared" si="15"/>
        <v>1058.9987436999997</v>
      </c>
      <c r="AI26" s="2">
        <f t="shared" si="15"/>
        <v>22.235387500000005</v>
      </c>
      <c r="AJ26" s="2">
        <f t="shared" si="15"/>
        <v>0</v>
      </c>
      <c r="AK26" s="2">
        <f t="shared" si="15"/>
        <v>60701.74</v>
      </c>
      <c r="AL26" s="2">
        <f t="shared" si="15"/>
        <v>33937.53</v>
      </c>
      <c r="AM26" s="2">
        <f t="shared" si="15"/>
        <v>0</v>
      </c>
      <c r="AN26" s="2">
        <f t="shared" si="15"/>
        <v>0</v>
      </c>
      <c r="AO26" s="2">
        <f t="shared" si="15"/>
        <v>0</v>
      </c>
      <c r="AP26" s="2">
        <f t="shared" si="15"/>
        <v>0</v>
      </c>
      <c r="AQ26" s="2">
        <f t="shared" si="15"/>
        <v>0</v>
      </c>
      <c r="AR26" s="2">
        <f t="shared" si="15"/>
        <v>982417.19</v>
      </c>
      <c r="AS26" s="2">
        <f t="shared" si="15"/>
        <v>982417.19</v>
      </c>
      <c r="AT26" s="2">
        <f t="shared" si="15"/>
        <v>0</v>
      </c>
      <c r="AU26" s="2">
        <f t="shared" ref="AU26:BZ26" si="16">AU89</f>
        <v>0</v>
      </c>
      <c r="AV26" s="2">
        <f t="shared" si="16"/>
        <v>807203.22</v>
      </c>
      <c r="AW26" s="2">
        <f t="shared" si="16"/>
        <v>807203.22</v>
      </c>
      <c r="AX26" s="2">
        <f t="shared" si="16"/>
        <v>0</v>
      </c>
      <c r="AY26" s="2">
        <f t="shared" si="16"/>
        <v>807203.22</v>
      </c>
      <c r="AZ26" s="2">
        <f t="shared" si="16"/>
        <v>0</v>
      </c>
      <c r="BA26" s="2">
        <f t="shared" si="16"/>
        <v>0</v>
      </c>
      <c r="BB26" s="2">
        <f t="shared" si="16"/>
        <v>0</v>
      </c>
      <c r="BC26" s="2">
        <f t="shared" si="16"/>
        <v>0</v>
      </c>
      <c r="BD26" s="2">
        <f t="shared" si="16"/>
        <v>0</v>
      </c>
      <c r="BE26" s="2">
        <f t="shared" si="16"/>
        <v>0</v>
      </c>
      <c r="BF26" s="2">
        <f t="shared" si="16"/>
        <v>0</v>
      </c>
      <c r="BG26" s="2">
        <f t="shared" si="16"/>
        <v>0</v>
      </c>
      <c r="BH26" s="2">
        <f t="shared" si="16"/>
        <v>0</v>
      </c>
      <c r="BI26" s="2">
        <f t="shared" si="16"/>
        <v>0</v>
      </c>
      <c r="BJ26" s="2">
        <f t="shared" si="16"/>
        <v>0</v>
      </c>
      <c r="BK26" s="2">
        <f t="shared" si="16"/>
        <v>0</v>
      </c>
      <c r="BL26" s="2">
        <f t="shared" si="16"/>
        <v>0</v>
      </c>
      <c r="BM26" s="2">
        <f t="shared" si="16"/>
        <v>0</v>
      </c>
      <c r="BN26" s="2">
        <f t="shared" si="16"/>
        <v>0</v>
      </c>
      <c r="BO26" s="2">
        <f t="shared" si="16"/>
        <v>0</v>
      </c>
      <c r="BP26" s="2">
        <f t="shared" si="16"/>
        <v>0</v>
      </c>
      <c r="BQ26" s="2">
        <f t="shared" si="16"/>
        <v>0</v>
      </c>
      <c r="BR26" s="2">
        <f t="shared" si="16"/>
        <v>0</v>
      </c>
      <c r="BS26" s="2">
        <f t="shared" si="16"/>
        <v>0</v>
      </c>
      <c r="BT26" s="2">
        <f t="shared" si="16"/>
        <v>0</v>
      </c>
      <c r="BU26" s="2">
        <f t="shared" si="16"/>
        <v>0</v>
      </c>
      <c r="BV26" s="2">
        <f t="shared" si="16"/>
        <v>0</v>
      </c>
      <c r="BW26" s="2">
        <f t="shared" si="16"/>
        <v>0</v>
      </c>
      <c r="BX26" s="2">
        <f t="shared" si="16"/>
        <v>0</v>
      </c>
      <c r="BY26" s="2">
        <f t="shared" si="16"/>
        <v>0</v>
      </c>
      <c r="BZ26" s="2">
        <f t="shared" si="16"/>
        <v>0</v>
      </c>
      <c r="CA26" s="2">
        <f t="shared" ref="CA26:DF26" si="17">CA89</f>
        <v>982417.19</v>
      </c>
      <c r="CB26" s="2">
        <f t="shared" si="17"/>
        <v>982417.19</v>
      </c>
      <c r="CC26" s="2">
        <f t="shared" si="17"/>
        <v>0</v>
      </c>
      <c r="CD26" s="2">
        <f t="shared" si="17"/>
        <v>0</v>
      </c>
      <c r="CE26" s="2">
        <f t="shared" si="17"/>
        <v>807203.22</v>
      </c>
      <c r="CF26" s="2">
        <f t="shared" si="17"/>
        <v>807203.22</v>
      </c>
      <c r="CG26" s="2">
        <f t="shared" si="17"/>
        <v>0</v>
      </c>
      <c r="CH26" s="2">
        <f t="shared" si="17"/>
        <v>807203.22</v>
      </c>
      <c r="CI26" s="2">
        <f t="shared" si="17"/>
        <v>0</v>
      </c>
      <c r="CJ26" s="2">
        <f t="shared" si="17"/>
        <v>0</v>
      </c>
      <c r="CK26" s="2">
        <f t="shared" si="17"/>
        <v>0</v>
      </c>
      <c r="CL26" s="2">
        <f t="shared" si="17"/>
        <v>0</v>
      </c>
      <c r="CM26" s="2">
        <f t="shared" si="17"/>
        <v>0</v>
      </c>
      <c r="CN26" s="2">
        <f t="shared" si="17"/>
        <v>0</v>
      </c>
      <c r="CO26" s="2">
        <f t="shared" si="17"/>
        <v>0</v>
      </c>
      <c r="CP26" s="2">
        <f t="shared" si="17"/>
        <v>0</v>
      </c>
      <c r="CQ26" s="2">
        <f t="shared" si="17"/>
        <v>0</v>
      </c>
      <c r="CR26" s="2">
        <f t="shared" si="17"/>
        <v>0</v>
      </c>
      <c r="CS26" s="2">
        <f t="shared" si="17"/>
        <v>0</v>
      </c>
      <c r="CT26" s="2">
        <f t="shared" si="17"/>
        <v>0</v>
      </c>
      <c r="CU26" s="2">
        <f t="shared" si="17"/>
        <v>0</v>
      </c>
      <c r="CV26" s="2">
        <f t="shared" si="17"/>
        <v>0</v>
      </c>
      <c r="CW26" s="2">
        <f t="shared" si="17"/>
        <v>0</v>
      </c>
      <c r="CX26" s="2">
        <f t="shared" si="17"/>
        <v>0</v>
      </c>
      <c r="CY26" s="2">
        <f t="shared" si="17"/>
        <v>0</v>
      </c>
      <c r="CZ26" s="2">
        <f t="shared" si="17"/>
        <v>0</v>
      </c>
      <c r="DA26" s="2">
        <f t="shared" si="17"/>
        <v>0</v>
      </c>
      <c r="DB26" s="2">
        <f t="shared" si="17"/>
        <v>0</v>
      </c>
      <c r="DC26" s="2">
        <f t="shared" si="17"/>
        <v>0</v>
      </c>
      <c r="DD26" s="2">
        <f t="shared" si="17"/>
        <v>0</v>
      </c>
      <c r="DE26" s="2">
        <f t="shared" si="17"/>
        <v>0</v>
      </c>
      <c r="DF26" s="2">
        <f t="shared" si="17"/>
        <v>0</v>
      </c>
      <c r="DG26" s="3">
        <f t="shared" ref="DG26:EL26" si="18">DG89</f>
        <v>0</v>
      </c>
      <c r="DH26" s="3">
        <f t="shared" si="18"/>
        <v>0</v>
      </c>
      <c r="DI26" s="3">
        <f t="shared" si="18"/>
        <v>0</v>
      </c>
      <c r="DJ26" s="3">
        <f t="shared" si="18"/>
        <v>0</v>
      </c>
      <c r="DK26" s="3">
        <f t="shared" si="18"/>
        <v>0</v>
      </c>
      <c r="DL26" s="3">
        <f t="shared" si="18"/>
        <v>0</v>
      </c>
      <c r="DM26" s="3">
        <f t="shared" si="18"/>
        <v>0</v>
      </c>
      <c r="DN26" s="3">
        <f t="shared" si="18"/>
        <v>0</v>
      </c>
      <c r="DO26" s="3">
        <f t="shared" si="18"/>
        <v>0</v>
      </c>
      <c r="DP26" s="3">
        <f t="shared" si="18"/>
        <v>0</v>
      </c>
      <c r="DQ26" s="3">
        <f t="shared" si="18"/>
        <v>0</v>
      </c>
      <c r="DR26" s="3">
        <f t="shared" si="18"/>
        <v>0</v>
      </c>
      <c r="DS26" s="3">
        <f t="shared" si="18"/>
        <v>0</v>
      </c>
      <c r="DT26" s="3">
        <f t="shared" si="18"/>
        <v>0</v>
      </c>
      <c r="DU26" s="3">
        <f t="shared" si="18"/>
        <v>0</v>
      </c>
      <c r="DV26" s="3">
        <f t="shared" si="18"/>
        <v>0</v>
      </c>
      <c r="DW26" s="3">
        <f t="shared" si="18"/>
        <v>0</v>
      </c>
      <c r="DX26" s="3">
        <f t="shared" si="18"/>
        <v>0</v>
      </c>
      <c r="DY26" s="3">
        <f t="shared" si="18"/>
        <v>0</v>
      </c>
      <c r="DZ26" s="3">
        <f t="shared" si="18"/>
        <v>0</v>
      </c>
      <c r="EA26" s="3">
        <f t="shared" si="18"/>
        <v>0</v>
      </c>
      <c r="EB26" s="3">
        <f t="shared" si="18"/>
        <v>0</v>
      </c>
      <c r="EC26" s="3">
        <f t="shared" si="18"/>
        <v>0</v>
      </c>
      <c r="ED26" s="3">
        <f t="shared" si="18"/>
        <v>0</v>
      </c>
      <c r="EE26" s="3">
        <f t="shared" si="18"/>
        <v>0</v>
      </c>
      <c r="EF26" s="3">
        <f t="shared" si="18"/>
        <v>0</v>
      </c>
      <c r="EG26" s="3">
        <f t="shared" si="18"/>
        <v>0</v>
      </c>
      <c r="EH26" s="3">
        <f t="shared" si="18"/>
        <v>0</v>
      </c>
      <c r="EI26" s="3">
        <f t="shared" si="18"/>
        <v>0</v>
      </c>
      <c r="EJ26" s="3">
        <f t="shared" si="18"/>
        <v>0</v>
      </c>
      <c r="EK26" s="3">
        <f t="shared" si="18"/>
        <v>0</v>
      </c>
      <c r="EL26" s="3">
        <f t="shared" si="18"/>
        <v>0</v>
      </c>
      <c r="EM26" s="3">
        <f t="shared" ref="EM26:FR26" si="19">EM89</f>
        <v>0</v>
      </c>
      <c r="EN26" s="3">
        <f t="shared" si="19"/>
        <v>0</v>
      </c>
      <c r="EO26" s="3">
        <f t="shared" si="19"/>
        <v>0</v>
      </c>
      <c r="EP26" s="3">
        <f t="shared" si="19"/>
        <v>0</v>
      </c>
      <c r="EQ26" s="3">
        <f t="shared" si="19"/>
        <v>0</v>
      </c>
      <c r="ER26" s="3">
        <f t="shared" si="19"/>
        <v>0</v>
      </c>
      <c r="ES26" s="3">
        <f t="shared" si="19"/>
        <v>0</v>
      </c>
      <c r="ET26" s="3">
        <f t="shared" si="19"/>
        <v>0</v>
      </c>
      <c r="EU26" s="3">
        <f t="shared" si="19"/>
        <v>0</v>
      </c>
      <c r="EV26" s="3">
        <f t="shared" si="19"/>
        <v>0</v>
      </c>
      <c r="EW26" s="3">
        <f t="shared" si="19"/>
        <v>0</v>
      </c>
      <c r="EX26" s="3">
        <f t="shared" si="19"/>
        <v>0</v>
      </c>
      <c r="EY26" s="3">
        <f t="shared" si="19"/>
        <v>0</v>
      </c>
      <c r="EZ26" s="3">
        <f t="shared" si="19"/>
        <v>0</v>
      </c>
      <c r="FA26" s="3">
        <f t="shared" si="19"/>
        <v>0</v>
      </c>
      <c r="FB26" s="3">
        <f t="shared" si="19"/>
        <v>0</v>
      </c>
      <c r="FC26" s="3">
        <f t="shared" si="19"/>
        <v>0</v>
      </c>
      <c r="FD26" s="3">
        <f t="shared" si="19"/>
        <v>0</v>
      </c>
      <c r="FE26" s="3">
        <f t="shared" si="19"/>
        <v>0</v>
      </c>
      <c r="FF26" s="3">
        <f t="shared" si="19"/>
        <v>0</v>
      </c>
      <c r="FG26" s="3">
        <f t="shared" si="19"/>
        <v>0</v>
      </c>
      <c r="FH26" s="3">
        <f t="shared" si="19"/>
        <v>0</v>
      </c>
      <c r="FI26" s="3">
        <f t="shared" si="19"/>
        <v>0</v>
      </c>
      <c r="FJ26" s="3">
        <f t="shared" si="19"/>
        <v>0</v>
      </c>
      <c r="FK26" s="3">
        <f t="shared" si="19"/>
        <v>0</v>
      </c>
      <c r="FL26" s="3">
        <f t="shared" si="19"/>
        <v>0</v>
      </c>
      <c r="FM26" s="3">
        <f t="shared" si="19"/>
        <v>0</v>
      </c>
      <c r="FN26" s="3">
        <f t="shared" si="19"/>
        <v>0</v>
      </c>
      <c r="FO26" s="3">
        <f t="shared" si="19"/>
        <v>0</v>
      </c>
      <c r="FP26" s="3">
        <f t="shared" si="19"/>
        <v>0</v>
      </c>
      <c r="FQ26" s="3">
        <f t="shared" si="19"/>
        <v>0</v>
      </c>
      <c r="FR26" s="3">
        <f t="shared" si="19"/>
        <v>0</v>
      </c>
      <c r="FS26" s="3">
        <f t="shared" ref="FS26:GX26" si="20">FS89</f>
        <v>0</v>
      </c>
      <c r="FT26" s="3">
        <f t="shared" si="20"/>
        <v>0</v>
      </c>
      <c r="FU26" s="3">
        <f t="shared" si="20"/>
        <v>0</v>
      </c>
      <c r="FV26" s="3">
        <f t="shared" si="20"/>
        <v>0</v>
      </c>
      <c r="FW26" s="3">
        <f t="shared" si="20"/>
        <v>0</v>
      </c>
      <c r="FX26" s="3">
        <f t="shared" si="20"/>
        <v>0</v>
      </c>
      <c r="FY26" s="3">
        <f t="shared" si="20"/>
        <v>0</v>
      </c>
      <c r="FZ26" s="3">
        <f t="shared" si="20"/>
        <v>0</v>
      </c>
      <c r="GA26" s="3">
        <f t="shared" si="20"/>
        <v>0</v>
      </c>
      <c r="GB26" s="3">
        <f t="shared" si="20"/>
        <v>0</v>
      </c>
      <c r="GC26" s="3">
        <f t="shared" si="20"/>
        <v>0</v>
      </c>
      <c r="GD26" s="3">
        <f t="shared" si="20"/>
        <v>0</v>
      </c>
      <c r="GE26" s="3">
        <f t="shared" si="20"/>
        <v>0</v>
      </c>
      <c r="GF26" s="3">
        <f t="shared" si="20"/>
        <v>0</v>
      </c>
      <c r="GG26" s="3">
        <f t="shared" si="20"/>
        <v>0</v>
      </c>
      <c r="GH26" s="3">
        <f t="shared" si="20"/>
        <v>0</v>
      </c>
      <c r="GI26" s="3">
        <f t="shared" si="20"/>
        <v>0</v>
      </c>
      <c r="GJ26" s="3">
        <f t="shared" si="20"/>
        <v>0</v>
      </c>
      <c r="GK26" s="3">
        <f t="shared" si="20"/>
        <v>0</v>
      </c>
      <c r="GL26" s="3">
        <f t="shared" si="20"/>
        <v>0</v>
      </c>
      <c r="GM26" s="3">
        <f t="shared" si="20"/>
        <v>0</v>
      </c>
      <c r="GN26" s="3">
        <f t="shared" si="20"/>
        <v>0</v>
      </c>
      <c r="GO26" s="3">
        <f t="shared" si="20"/>
        <v>0</v>
      </c>
      <c r="GP26" s="3">
        <f t="shared" si="20"/>
        <v>0</v>
      </c>
      <c r="GQ26" s="3">
        <f t="shared" si="20"/>
        <v>0</v>
      </c>
      <c r="GR26" s="3">
        <f t="shared" si="20"/>
        <v>0</v>
      </c>
      <c r="GS26" s="3">
        <f t="shared" si="20"/>
        <v>0</v>
      </c>
      <c r="GT26" s="3">
        <f t="shared" si="20"/>
        <v>0</v>
      </c>
      <c r="GU26" s="3">
        <f t="shared" si="20"/>
        <v>0</v>
      </c>
      <c r="GV26" s="3">
        <f t="shared" si="20"/>
        <v>0</v>
      </c>
      <c r="GW26" s="3">
        <f t="shared" si="20"/>
        <v>0</v>
      </c>
      <c r="GX26" s="3">
        <f t="shared" si="20"/>
        <v>0</v>
      </c>
    </row>
    <row r="28" spans="1:245" x14ac:dyDescent="0.2">
      <c r="A28">
        <v>17</v>
      </c>
      <c r="B28">
        <v>1</v>
      </c>
      <c r="C28">
        <f>ROW(SmtRes!A1)</f>
        <v>1</v>
      </c>
      <c r="D28">
        <f>ROW(EtalonRes!A2)</f>
        <v>2</v>
      </c>
      <c r="E28" t="s">
        <v>15</v>
      </c>
      <c r="F28" t="s">
        <v>16</v>
      </c>
      <c r="G28" t="s">
        <v>17</v>
      </c>
      <c r="H28" t="s">
        <v>18</v>
      </c>
      <c r="I28">
        <f>ROUND(125.46/100,9)</f>
        <v>1.2545999999999999</v>
      </c>
      <c r="J28">
        <v>0</v>
      </c>
      <c r="O28">
        <f t="shared" ref="O28:O59" si="21">ROUND(CP28,2)</f>
        <v>247.58</v>
      </c>
      <c r="P28">
        <f t="shared" ref="P28:P59" si="22">ROUND(CQ28*I28,2)</f>
        <v>0</v>
      </c>
      <c r="Q28">
        <f t="shared" ref="Q28:Q59" si="23">ROUND(CR28*I28,2)</f>
        <v>0</v>
      </c>
      <c r="R28">
        <f t="shared" ref="R28:R59" si="24">ROUND(CS28*I28,2)</f>
        <v>0</v>
      </c>
      <c r="S28">
        <f t="shared" ref="S28:S59" si="25">ROUND(CT28*I28,2)</f>
        <v>247.58</v>
      </c>
      <c r="T28">
        <f t="shared" ref="T28:T59" si="26">ROUND(CU28*I28,2)</f>
        <v>0</v>
      </c>
      <c r="U28">
        <f t="shared" ref="U28:U59" si="27">CV28*I28</f>
        <v>4.7298419999999997</v>
      </c>
      <c r="V28">
        <f t="shared" ref="V28:V59" si="28">CW28*I28</f>
        <v>0</v>
      </c>
      <c r="W28">
        <f t="shared" ref="W28:W59" si="29">ROUND(CX28*I28,2)</f>
        <v>0</v>
      </c>
      <c r="X28">
        <f t="shared" ref="X28:X59" si="30">ROUND(CY28,2)</f>
        <v>198.06</v>
      </c>
      <c r="Y28">
        <f t="shared" ref="Y28:Y59" si="31">ROUND(CZ28,2)</f>
        <v>168.35</v>
      </c>
      <c r="AA28">
        <v>16802145</v>
      </c>
      <c r="AB28">
        <f t="shared" ref="AB28:AB59" si="32">ROUND((AC28+AD28+AF28),2)</f>
        <v>29.41</v>
      </c>
      <c r="AC28">
        <f t="shared" ref="AC28:AC37" si="33">ROUND((ES28),2)</f>
        <v>0</v>
      </c>
      <c r="AD28">
        <f t="shared" ref="AD28:AD36" si="34">ROUND((((ET28)-(EU28))+AE28),2)</f>
        <v>0</v>
      </c>
      <c r="AE28">
        <f t="shared" ref="AE28:AE36" si="35">ROUND((EU28),2)</f>
        <v>0</v>
      </c>
      <c r="AF28">
        <f t="shared" ref="AF28:AF36" si="36">ROUND((EV28),2)</f>
        <v>29.41</v>
      </c>
      <c r="AG28">
        <f t="shared" ref="AG28:AG59" si="37">ROUND((AP28),2)</f>
        <v>0</v>
      </c>
      <c r="AH28">
        <f t="shared" ref="AH28:AH36" si="38">(EW28)</f>
        <v>3.77</v>
      </c>
      <c r="AI28">
        <f t="shared" ref="AI28:AI36" si="39">(EX28)</f>
        <v>0</v>
      </c>
      <c r="AJ28">
        <f t="shared" ref="AJ28:AJ59" si="40">(AS28)</f>
        <v>0</v>
      </c>
      <c r="AK28">
        <v>29.41</v>
      </c>
      <c r="AL28">
        <v>0</v>
      </c>
      <c r="AM28">
        <v>0</v>
      </c>
      <c r="AN28">
        <v>0</v>
      </c>
      <c r="AO28">
        <v>29.41</v>
      </c>
      <c r="AP28">
        <v>0</v>
      </c>
      <c r="AQ28">
        <v>3.77</v>
      </c>
      <c r="AR28">
        <v>0</v>
      </c>
      <c r="AS28">
        <v>0</v>
      </c>
      <c r="AT28">
        <v>80</v>
      </c>
      <c r="AU28">
        <v>68</v>
      </c>
      <c r="AV28">
        <v>1</v>
      </c>
      <c r="AW28">
        <v>1</v>
      </c>
      <c r="AZ28">
        <v>6.71</v>
      </c>
      <c r="BA28">
        <v>6.71</v>
      </c>
      <c r="BB28">
        <v>6.71</v>
      </c>
      <c r="BC28">
        <v>6.71</v>
      </c>
      <c r="BD28" t="s">
        <v>6</v>
      </c>
      <c r="BE28" t="s">
        <v>6</v>
      </c>
      <c r="BF28" t="s">
        <v>6</v>
      </c>
      <c r="BG28" t="s">
        <v>6</v>
      </c>
      <c r="BH28">
        <v>0</v>
      </c>
      <c r="BI28">
        <v>1</v>
      </c>
      <c r="BJ28" t="s">
        <v>19</v>
      </c>
      <c r="BM28">
        <v>57001</v>
      </c>
      <c r="BN28">
        <v>0</v>
      </c>
      <c r="BO28" t="s">
        <v>6</v>
      </c>
      <c r="BP28">
        <v>0</v>
      </c>
      <c r="BQ28">
        <v>6</v>
      </c>
      <c r="BR28">
        <v>0</v>
      </c>
      <c r="BS28">
        <v>6.71</v>
      </c>
      <c r="BT28">
        <v>1</v>
      </c>
      <c r="BU28">
        <v>1</v>
      </c>
      <c r="BV28">
        <v>1</v>
      </c>
      <c r="BW28">
        <v>1</v>
      </c>
      <c r="BX28">
        <v>1</v>
      </c>
      <c r="BY28" t="s">
        <v>6</v>
      </c>
      <c r="BZ28">
        <v>80</v>
      </c>
      <c r="CA28">
        <v>68</v>
      </c>
      <c r="CE28">
        <v>0</v>
      </c>
      <c r="CF28">
        <v>0</v>
      </c>
      <c r="CG28">
        <v>0</v>
      </c>
      <c r="CM28">
        <v>0</v>
      </c>
      <c r="CN28" t="s">
        <v>6</v>
      </c>
      <c r="CO28">
        <v>0</v>
      </c>
      <c r="CP28">
        <f t="shared" ref="CP28:CP59" si="41">(P28+Q28+S28)</f>
        <v>247.58</v>
      </c>
      <c r="CQ28">
        <f t="shared" ref="CQ28:CQ59" si="42">AC28*BC28</f>
        <v>0</v>
      </c>
      <c r="CR28">
        <f t="shared" ref="CR28:CR59" si="43">AD28*BB28</f>
        <v>0</v>
      </c>
      <c r="CS28">
        <f t="shared" ref="CS28:CS59" si="44">AE28*BS28</f>
        <v>0</v>
      </c>
      <c r="CT28">
        <f t="shared" ref="CT28:CT59" si="45">AF28*BA28</f>
        <v>197.34110000000001</v>
      </c>
      <c r="CU28">
        <f t="shared" ref="CU28:CU59" si="46">AG28</f>
        <v>0</v>
      </c>
      <c r="CV28">
        <f t="shared" ref="CV28:CV59" si="47">AH28</f>
        <v>3.77</v>
      </c>
      <c r="CW28">
        <f t="shared" ref="CW28:CW59" si="48">AI28</f>
        <v>0</v>
      </c>
      <c r="CX28">
        <f t="shared" ref="CX28:CX59" si="49">AJ28</f>
        <v>0</v>
      </c>
      <c r="CY28">
        <f t="shared" ref="CY28:CY59" si="50">(((S28+R28)*AT28)/100)</f>
        <v>198.06400000000002</v>
      </c>
      <c r="CZ28">
        <f t="shared" ref="CZ28:CZ59" si="51">(((S28+R28)*AU28)/100)</f>
        <v>168.35440000000003</v>
      </c>
      <c r="DC28" t="s">
        <v>6</v>
      </c>
      <c r="DD28" t="s">
        <v>6</v>
      </c>
      <c r="DE28" t="s">
        <v>6</v>
      </c>
      <c r="DF28" t="s">
        <v>6</v>
      </c>
      <c r="DG28" t="s">
        <v>6</v>
      </c>
      <c r="DH28" t="s">
        <v>6</v>
      </c>
      <c r="DI28" t="s">
        <v>6</v>
      </c>
      <c r="DJ28" t="s">
        <v>6</v>
      </c>
      <c r="DK28" t="s">
        <v>6</v>
      </c>
      <c r="DL28" t="s">
        <v>6</v>
      </c>
      <c r="DM28" t="s">
        <v>6</v>
      </c>
      <c r="DN28">
        <v>0</v>
      </c>
      <c r="DO28">
        <v>0</v>
      </c>
      <c r="DP28">
        <v>1</v>
      </c>
      <c r="DQ28">
        <v>1</v>
      </c>
      <c r="DU28">
        <v>1003</v>
      </c>
      <c r="DV28" t="s">
        <v>18</v>
      </c>
      <c r="DW28" t="s">
        <v>18</v>
      </c>
      <c r="DX28">
        <v>100</v>
      </c>
      <c r="EE28">
        <v>16510566</v>
      </c>
      <c r="EF28">
        <v>6</v>
      </c>
      <c r="EG28" t="s">
        <v>20</v>
      </c>
      <c r="EH28">
        <v>0</v>
      </c>
      <c r="EI28" t="s">
        <v>6</v>
      </c>
      <c r="EJ28">
        <v>1</v>
      </c>
      <c r="EK28">
        <v>57001</v>
      </c>
      <c r="EL28" t="s">
        <v>21</v>
      </c>
      <c r="EM28" t="s">
        <v>22</v>
      </c>
      <c r="EO28" t="s">
        <v>6</v>
      </c>
      <c r="EQ28">
        <v>131072</v>
      </c>
      <c r="ER28">
        <v>29.41</v>
      </c>
      <c r="ES28">
        <v>0</v>
      </c>
      <c r="ET28">
        <v>0</v>
      </c>
      <c r="EU28">
        <v>0</v>
      </c>
      <c r="EV28">
        <v>29.41</v>
      </c>
      <c r="EW28">
        <v>3.77</v>
      </c>
      <c r="EX28">
        <v>0</v>
      </c>
      <c r="EY28">
        <v>0</v>
      </c>
      <c r="FQ28">
        <v>0</v>
      </c>
      <c r="FR28">
        <f t="shared" ref="FR28:FR59" si="52">ROUND(IF(AND(BH28=3,BI28=3),P28,0),2)</f>
        <v>0</v>
      </c>
      <c r="FS28">
        <v>0</v>
      </c>
      <c r="FX28">
        <v>80</v>
      </c>
      <c r="FY28">
        <v>68</v>
      </c>
      <c r="GA28" t="s">
        <v>6</v>
      </c>
      <c r="GD28">
        <v>0</v>
      </c>
      <c r="GF28">
        <v>-1389370821</v>
      </c>
      <c r="GG28">
        <v>1</v>
      </c>
      <c r="GH28">
        <v>1</v>
      </c>
      <c r="GI28">
        <v>4</v>
      </c>
      <c r="GJ28">
        <v>0</v>
      </c>
      <c r="GK28">
        <f>ROUND(R28*(R12)/100,2)</f>
        <v>0</v>
      </c>
      <c r="GL28">
        <f t="shared" ref="GL28:GL59" si="53">ROUND(IF(AND(BH28=3,BI28=3,FS28&lt;&gt;0),P28,0),2)</f>
        <v>0</v>
      </c>
      <c r="GM28">
        <f t="shared" ref="GM28:GM59" si="54">ROUND(O28+X28+Y28+GK28,2)+GX28</f>
        <v>613.99</v>
      </c>
      <c r="GN28">
        <f t="shared" ref="GN28:GN59" si="55">IF(OR(BI28=0,BI28=1),ROUND(O28+X28+Y28+GK28,2),0)</f>
        <v>613.99</v>
      </c>
      <c r="GO28">
        <f t="shared" ref="GO28:GO59" si="56">IF(BI28=2,ROUND(O28+X28+Y28+GK28,2),0)</f>
        <v>0</v>
      </c>
      <c r="GP28">
        <f t="shared" ref="GP28:GP59" si="57">IF(BI28=4,ROUND(O28+X28+Y28+GK28,2)+GX28,0)</f>
        <v>0</v>
      </c>
      <c r="GR28">
        <v>0</v>
      </c>
      <c r="GS28">
        <v>3</v>
      </c>
      <c r="GT28">
        <v>0</v>
      </c>
      <c r="GU28" t="s">
        <v>6</v>
      </c>
      <c r="GV28">
        <f t="shared" ref="GV28:GV59" si="58">ROUND((GT28),2)</f>
        <v>0</v>
      </c>
      <c r="GW28">
        <v>1</v>
      </c>
      <c r="GX28">
        <f t="shared" ref="GX28:GX59" si="59">ROUND(HC28*I28,2)</f>
        <v>0</v>
      </c>
      <c r="HA28">
        <v>0</v>
      </c>
      <c r="HB28">
        <v>0</v>
      </c>
      <c r="HC28">
        <f t="shared" ref="HC28:HC59" si="60">GV28*GW28</f>
        <v>0</v>
      </c>
      <c r="IK28">
        <v>0</v>
      </c>
    </row>
    <row r="29" spans="1:245" x14ac:dyDescent="0.2">
      <c r="A29">
        <v>17</v>
      </c>
      <c r="B29">
        <v>1</v>
      </c>
      <c r="C29">
        <f>ROW(SmtRes!A4)</f>
        <v>4</v>
      </c>
      <c r="D29">
        <f>ROW(EtalonRes!A6)</f>
        <v>6</v>
      </c>
      <c r="E29" t="s">
        <v>23</v>
      </c>
      <c r="F29" t="s">
        <v>24</v>
      </c>
      <c r="G29" t="s">
        <v>25</v>
      </c>
      <c r="H29" t="s">
        <v>26</v>
      </c>
      <c r="I29">
        <f>ROUND(209.8/100,9)</f>
        <v>2.0979999999999999</v>
      </c>
      <c r="J29">
        <v>0</v>
      </c>
      <c r="O29">
        <f t="shared" si="21"/>
        <v>1307.8</v>
      </c>
      <c r="P29">
        <f t="shared" si="22"/>
        <v>0</v>
      </c>
      <c r="Q29">
        <f t="shared" si="23"/>
        <v>57.15</v>
      </c>
      <c r="R29">
        <f t="shared" si="24"/>
        <v>24.78</v>
      </c>
      <c r="S29">
        <f t="shared" si="25"/>
        <v>1250.6500000000001</v>
      </c>
      <c r="T29">
        <f t="shared" si="26"/>
        <v>0</v>
      </c>
      <c r="U29">
        <f t="shared" si="27"/>
        <v>23.89622</v>
      </c>
      <c r="V29">
        <f t="shared" si="28"/>
        <v>0.27273999999999998</v>
      </c>
      <c r="W29">
        <f t="shared" si="29"/>
        <v>0</v>
      </c>
      <c r="X29">
        <f t="shared" si="30"/>
        <v>1020.34</v>
      </c>
      <c r="Y29">
        <f t="shared" si="31"/>
        <v>867.29</v>
      </c>
      <c r="AA29">
        <v>16802145</v>
      </c>
      <c r="AB29">
        <f t="shared" si="32"/>
        <v>92.9</v>
      </c>
      <c r="AC29">
        <f t="shared" si="33"/>
        <v>0</v>
      </c>
      <c r="AD29">
        <f t="shared" si="34"/>
        <v>4.0599999999999996</v>
      </c>
      <c r="AE29">
        <f t="shared" si="35"/>
        <v>1.76</v>
      </c>
      <c r="AF29">
        <f t="shared" si="36"/>
        <v>88.84</v>
      </c>
      <c r="AG29">
        <f t="shared" si="37"/>
        <v>0</v>
      </c>
      <c r="AH29">
        <f t="shared" si="38"/>
        <v>11.39</v>
      </c>
      <c r="AI29">
        <f t="shared" si="39"/>
        <v>0.13</v>
      </c>
      <c r="AJ29">
        <f t="shared" si="40"/>
        <v>0</v>
      </c>
      <c r="AK29">
        <v>92.9</v>
      </c>
      <c r="AL29">
        <v>0</v>
      </c>
      <c r="AM29">
        <v>4.0599999999999996</v>
      </c>
      <c r="AN29">
        <v>1.76</v>
      </c>
      <c r="AO29">
        <v>88.84</v>
      </c>
      <c r="AP29">
        <v>0</v>
      </c>
      <c r="AQ29">
        <v>11.39</v>
      </c>
      <c r="AR29">
        <v>0.13</v>
      </c>
      <c r="AS29">
        <v>0</v>
      </c>
      <c r="AT29">
        <v>80</v>
      </c>
      <c r="AU29">
        <v>68</v>
      </c>
      <c r="AV29">
        <v>1</v>
      </c>
      <c r="AW29">
        <v>1</v>
      </c>
      <c r="AZ29">
        <v>6.71</v>
      </c>
      <c r="BA29">
        <v>6.71</v>
      </c>
      <c r="BB29">
        <v>6.71</v>
      </c>
      <c r="BC29">
        <v>6.71</v>
      </c>
      <c r="BD29" t="s">
        <v>6</v>
      </c>
      <c r="BE29" t="s">
        <v>6</v>
      </c>
      <c r="BF29" t="s">
        <v>6</v>
      </c>
      <c r="BG29" t="s">
        <v>6</v>
      </c>
      <c r="BH29">
        <v>0</v>
      </c>
      <c r="BI29">
        <v>1</v>
      </c>
      <c r="BJ29" t="s">
        <v>27</v>
      </c>
      <c r="BM29">
        <v>57001</v>
      </c>
      <c r="BN29">
        <v>0</v>
      </c>
      <c r="BO29" t="s">
        <v>6</v>
      </c>
      <c r="BP29">
        <v>0</v>
      </c>
      <c r="BQ29">
        <v>6</v>
      </c>
      <c r="BR29">
        <v>0</v>
      </c>
      <c r="BS29">
        <v>6.71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6</v>
      </c>
      <c r="BZ29">
        <v>80</v>
      </c>
      <c r="CA29">
        <v>68</v>
      </c>
      <c r="CE29">
        <v>0</v>
      </c>
      <c r="CF29">
        <v>0</v>
      </c>
      <c r="CG29">
        <v>0</v>
      </c>
      <c r="CM29">
        <v>0</v>
      </c>
      <c r="CN29" t="s">
        <v>6</v>
      </c>
      <c r="CO29">
        <v>0</v>
      </c>
      <c r="CP29">
        <f t="shared" si="41"/>
        <v>1307.8000000000002</v>
      </c>
      <c r="CQ29">
        <f t="shared" si="42"/>
        <v>0</v>
      </c>
      <c r="CR29">
        <f t="shared" si="43"/>
        <v>27.242599999999996</v>
      </c>
      <c r="CS29">
        <f t="shared" si="44"/>
        <v>11.8096</v>
      </c>
      <c r="CT29">
        <f t="shared" si="45"/>
        <v>596.1164</v>
      </c>
      <c r="CU29">
        <f t="shared" si="46"/>
        <v>0</v>
      </c>
      <c r="CV29">
        <f t="shared" si="47"/>
        <v>11.39</v>
      </c>
      <c r="CW29">
        <f t="shared" si="48"/>
        <v>0.13</v>
      </c>
      <c r="CX29">
        <f t="shared" si="49"/>
        <v>0</v>
      </c>
      <c r="CY29">
        <f t="shared" si="50"/>
        <v>1020.3440000000001</v>
      </c>
      <c r="CZ29">
        <f t="shared" si="51"/>
        <v>867.29240000000004</v>
      </c>
      <c r="DC29" t="s">
        <v>6</v>
      </c>
      <c r="DD29" t="s">
        <v>6</v>
      </c>
      <c r="DE29" t="s">
        <v>6</v>
      </c>
      <c r="DF29" t="s">
        <v>6</v>
      </c>
      <c r="DG29" t="s">
        <v>6</v>
      </c>
      <c r="DH29" t="s">
        <v>6</v>
      </c>
      <c r="DI29" t="s">
        <v>6</v>
      </c>
      <c r="DJ29" t="s">
        <v>6</v>
      </c>
      <c r="DK29" t="s">
        <v>6</v>
      </c>
      <c r="DL29" t="s">
        <v>6</v>
      </c>
      <c r="DM29" t="s">
        <v>6</v>
      </c>
      <c r="DN29">
        <v>0</v>
      </c>
      <c r="DO29">
        <v>0</v>
      </c>
      <c r="DP29">
        <v>1</v>
      </c>
      <c r="DQ29">
        <v>1</v>
      </c>
      <c r="DU29">
        <v>1005</v>
      </c>
      <c r="DV29" t="s">
        <v>26</v>
      </c>
      <c r="DW29" t="s">
        <v>26</v>
      </c>
      <c r="DX29">
        <v>100</v>
      </c>
      <c r="EE29">
        <v>16510566</v>
      </c>
      <c r="EF29">
        <v>6</v>
      </c>
      <c r="EG29" t="s">
        <v>20</v>
      </c>
      <c r="EH29">
        <v>0</v>
      </c>
      <c r="EI29" t="s">
        <v>6</v>
      </c>
      <c r="EJ29">
        <v>1</v>
      </c>
      <c r="EK29">
        <v>57001</v>
      </c>
      <c r="EL29" t="s">
        <v>21</v>
      </c>
      <c r="EM29" t="s">
        <v>22</v>
      </c>
      <c r="EO29" t="s">
        <v>6</v>
      </c>
      <c r="EQ29">
        <v>131072</v>
      </c>
      <c r="ER29">
        <v>92.9</v>
      </c>
      <c r="ES29">
        <v>0</v>
      </c>
      <c r="ET29">
        <v>4.0599999999999996</v>
      </c>
      <c r="EU29">
        <v>1.76</v>
      </c>
      <c r="EV29">
        <v>88.84</v>
      </c>
      <c r="EW29">
        <v>11.39</v>
      </c>
      <c r="EX29">
        <v>0.13</v>
      </c>
      <c r="EY29">
        <v>0</v>
      </c>
      <c r="FQ29">
        <v>0</v>
      </c>
      <c r="FR29">
        <f t="shared" si="52"/>
        <v>0</v>
      </c>
      <c r="FS29">
        <v>0</v>
      </c>
      <c r="FX29">
        <v>80</v>
      </c>
      <c r="FY29">
        <v>68</v>
      </c>
      <c r="GA29" t="s">
        <v>6</v>
      </c>
      <c r="GD29">
        <v>0</v>
      </c>
      <c r="GF29">
        <v>537707280</v>
      </c>
      <c r="GG29">
        <v>1</v>
      </c>
      <c r="GH29">
        <v>1</v>
      </c>
      <c r="GI29">
        <v>4</v>
      </c>
      <c r="GJ29">
        <v>0</v>
      </c>
      <c r="GK29">
        <f>ROUND(R29*(R12)/100,2)</f>
        <v>0</v>
      </c>
      <c r="GL29">
        <f t="shared" si="53"/>
        <v>0</v>
      </c>
      <c r="GM29">
        <f t="shared" si="54"/>
        <v>3195.43</v>
      </c>
      <c r="GN29">
        <f t="shared" si="55"/>
        <v>3195.43</v>
      </c>
      <c r="GO29">
        <f t="shared" si="56"/>
        <v>0</v>
      </c>
      <c r="GP29">
        <f t="shared" si="57"/>
        <v>0</v>
      </c>
      <c r="GR29">
        <v>0</v>
      </c>
      <c r="GS29">
        <v>3</v>
      </c>
      <c r="GT29">
        <v>0</v>
      </c>
      <c r="GU29" t="s">
        <v>6</v>
      </c>
      <c r="GV29">
        <f t="shared" si="58"/>
        <v>0</v>
      </c>
      <c r="GW29">
        <v>1</v>
      </c>
      <c r="GX29">
        <f t="shared" si="59"/>
        <v>0</v>
      </c>
      <c r="HA29">
        <v>0</v>
      </c>
      <c r="HB29">
        <v>0</v>
      </c>
      <c r="HC29">
        <f t="shared" si="60"/>
        <v>0</v>
      </c>
      <c r="IK29">
        <v>0</v>
      </c>
    </row>
    <row r="30" spans="1:245" x14ac:dyDescent="0.2">
      <c r="A30">
        <v>17</v>
      </c>
      <c r="B30">
        <v>1</v>
      </c>
      <c r="C30">
        <f>ROW(SmtRes!A5)</f>
        <v>5</v>
      </c>
      <c r="D30">
        <f>ROW(EtalonRes!A8)</f>
        <v>8</v>
      </c>
      <c r="E30" t="s">
        <v>28</v>
      </c>
      <c r="F30" t="s">
        <v>29</v>
      </c>
      <c r="G30" t="s">
        <v>30</v>
      </c>
      <c r="H30" t="s">
        <v>26</v>
      </c>
      <c r="I30">
        <f>ROUND(50/100,9)</f>
        <v>0.5</v>
      </c>
      <c r="J30">
        <v>0</v>
      </c>
      <c r="O30">
        <f t="shared" si="21"/>
        <v>456.38</v>
      </c>
      <c r="P30">
        <f t="shared" si="22"/>
        <v>0</v>
      </c>
      <c r="Q30">
        <f t="shared" si="23"/>
        <v>0</v>
      </c>
      <c r="R30">
        <f t="shared" si="24"/>
        <v>0</v>
      </c>
      <c r="S30">
        <f t="shared" si="25"/>
        <v>456.38</v>
      </c>
      <c r="T30">
        <f t="shared" si="26"/>
        <v>0</v>
      </c>
      <c r="U30">
        <f t="shared" si="27"/>
        <v>8.7200000000000006</v>
      </c>
      <c r="V30">
        <f t="shared" si="28"/>
        <v>0</v>
      </c>
      <c r="W30">
        <f t="shared" si="29"/>
        <v>0</v>
      </c>
      <c r="X30">
        <f t="shared" si="30"/>
        <v>365.1</v>
      </c>
      <c r="Y30">
        <f t="shared" si="31"/>
        <v>310.33999999999997</v>
      </c>
      <c r="AA30">
        <v>16802145</v>
      </c>
      <c r="AB30">
        <f t="shared" si="32"/>
        <v>136.03</v>
      </c>
      <c r="AC30">
        <f t="shared" si="33"/>
        <v>0</v>
      </c>
      <c r="AD30">
        <f t="shared" si="34"/>
        <v>0</v>
      </c>
      <c r="AE30">
        <f t="shared" si="35"/>
        <v>0</v>
      </c>
      <c r="AF30">
        <f t="shared" si="36"/>
        <v>136.03</v>
      </c>
      <c r="AG30">
        <f t="shared" si="37"/>
        <v>0</v>
      </c>
      <c r="AH30">
        <f t="shared" si="38"/>
        <v>17.440000000000001</v>
      </c>
      <c r="AI30">
        <f t="shared" si="39"/>
        <v>0</v>
      </c>
      <c r="AJ30">
        <f t="shared" si="40"/>
        <v>0</v>
      </c>
      <c r="AK30">
        <v>136.03</v>
      </c>
      <c r="AL30">
        <v>0</v>
      </c>
      <c r="AM30">
        <v>0</v>
      </c>
      <c r="AN30">
        <v>0</v>
      </c>
      <c r="AO30">
        <v>136.03</v>
      </c>
      <c r="AP30">
        <v>0</v>
      </c>
      <c r="AQ30">
        <v>17.440000000000001</v>
      </c>
      <c r="AR30">
        <v>0</v>
      </c>
      <c r="AS30">
        <v>0</v>
      </c>
      <c r="AT30">
        <v>80</v>
      </c>
      <c r="AU30">
        <v>68</v>
      </c>
      <c r="AV30">
        <v>1</v>
      </c>
      <c r="AW30">
        <v>1</v>
      </c>
      <c r="AZ30">
        <v>6.71</v>
      </c>
      <c r="BA30">
        <v>6.71</v>
      </c>
      <c r="BB30">
        <v>6.71</v>
      </c>
      <c r="BC30">
        <v>6.71</v>
      </c>
      <c r="BD30" t="s">
        <v>6</v>
      </c>
      <c r="BE30" t="s">
        <v>6</v>
      </c>
      <c r="BF30" t="s">
        <v>6</v>
      </c>
      <c r="BG30" t="s">
        <v>6</v>
      </c>
      <c r="BH30">
        <v>0</v>
      </c>
      <c r="BI30">
        <v>1</v>
      </c>
      <c r="BJ30" t="s">
        <v>31</v>
      </c>
      <c r="BM30">
        <v>57001</v>
      </c>
      <c r="BN30">
        <v>0</v>
      </c>
      <c r="BO30" t="s">
        <v>6</v>
      </c>
      <c r="BP30">
        <v>0</v>
      </c>
      <c r="BQ30">
        <v>6</v>
      </c>
      <c r="BR30">
        <v>0</v>
      </c>
      <c r="BS30">
        <v>6.71</v>
      </c>
      <c r="BT30">
        <v>1</v>
      </c>
      <c r="BU30">
        <v>1</v>
      </c>
      <c r="BV30">
        <v>1</v>
      </c>
      <c r="BW30">
        <v>1</v>
      </c>
      <c r="BX30">
        <v>1</v>
      </c>
      <c r="BY30" t="s">
        <v>6</v>
      </c>
      <c r="BZ30">
        <v>80</v>
      </c>
      <c r="CA30">
        <v>68</v>
      </c>
      <c r="CE30">
        <v>0</v>
      </c>
      <c r="CF30">
        <v>0</v>
      </c>
      <c r="CG30">
        <v>0</v>
      </c>
      <c r="CM30">
        <v>0</v>
      </c>
      <c r="CN30" t="s">
        <v>6</v>
      </c>
      <c r="CO30">
        <v>0</v>
      </c>
      <c r="CP30">
        <f t="shared" si="41"/>
        <v>456.38</v>
      </c>
      <c r="CQ30">
        <f t="shared" si="42"/>
        <v>0</v>
      </c>
      <c r="CR30">
        <f t="shared" si="43"/>
        <v>0</v>
      </c>
      <c r="CS30">
        <f t="shared" si="44"/>
        <v>0</v>
      </c>
      <c r="CT30">
        <f t="shared" si="45"/>
        <v>912.76130000000001</v>
      </c>
      <c r="CU30">
        <f t="shared" si="46"/>
        <v>0</v>
      </c>
      <c r="CV30">
        <f t="shared" si="47"/>
        <v>17.440000000000001</v>
      </c>
      <c r="CW30">
        <f t="shared" si="48"/>
        <v>0</v>
      </c>
      <c r="CX30">
        <f t="shared" si="49"/>
        <v>0</v>
      </c>
      <c r="CY30">
        <f t="shared" si="50"/>
        <v>365.10400000000004</v>
      </c>
      <c r="CZ30">
        <f t="shared" si="51"/>
        <v>310.33839999999998</v>
      </c>
      <c r="DC30" t="s">
        <v>6</v>
      </c>
      <c r="DD30" t="s">
        <v>6</v>
      </c>
      <c r="DE30" t="s">
        <v>6</v>
      </c>
      <c r="DF30" t="s">
        <v>6</v>
      </c>
      <c r="DG30" t="s">
        <v>6</v>
      </c>
      <c r="DH30" t="s">
        <v>6</v>
      </c>
      <c r="DI30" t="s">
        <v>6</v>
      </c>
      <c r="DJ30" t="s">
        <v>6</v>
      </c>
      <c r="DK30" t="s">
        <v>6</v>
      </c>
      <c r="DL30" t="s">
        <v>6</v>
      </c>
      <c r="DM30" t="s">
        <v>6</v>
      </c>
      <c r="DN30">
        <v>0</v>
      </c>
      <c r="DO30">
        <v>0</v>
      </c>
      <c r="DP30">
        <v>1</v>
      </c>
      <c r="DQ30">
        <v>1</v>
      </c>
      <c r="DU30">
        <v>1005</v>
      </c>
      <c r="DV30" t="s">
        <v>26</v>
      </c>
      <c r="DW30" t="s">
        <v>26</v>
      </c>
      <c r="DX30">
        <v>100</v>
      </c>
      <c r="EE30">
        <v>16510566</v>
      </c>
      <c r="EF30">
        <v>6</v>
      </c>
      <c r="EG30" t="s">
        <v>20</v>
      </c>
      <c r="EH30">
        <v>0</v>
      </c>
      <c r="EI30" t="s">
        <v>6</v>
      </c>
      <c r="EJ30">
        <v>1</v>
      </c>
      <c r="EK30">
        <v>57001</v>
      </c>
      <c r="EL30" t="s">
        <v>21</v>
      </c>
      <c r="EM30" t="s">
        <v>22</v>
      </c>
      <c r="EO30" t="s">
        <v>6</v>
      </c>
      <c r="EQ30">
        <v>131072</v>
      </c>
      <c r="ER30">
        <v>136.03</v>
      </c>
      <c r="ES30">
        <v>0</v>
      </c>
      <c r="ET30">
        <v>0</v>
      </c>
      <c r="EU30">
        <v>0</v>
      </c>
      <c r="EV30">
        <v>136.03</v>
      </c>
      <c r="EW30">
        <v>17.440000000000001</v>
      </c>
      <c r="EX30">
        <v>0</v>
      </c>
      <c r="EY30">
        <v>0</v>
      </c>
      <c r="FQ30">
        <v>0</v>
      </c>
      <c r="FR30">
        <f t="shared" si="52"/>
        <v>0</v>
      </c>
      <c r="FS30">
        <v>0</v>
      </c>
      <c r="FX30">
        <v>80</v>
      </c>
      <c r="FY30">
        <v>68</v>
      </c>
      <c r="GA30" t="s">
        <v>6</v>
      </c>
      <c r="GD30">
        <v>0</v>
      </c>
      <c r="GF30">
        <v>99861082</v>
      </c>
      <c r="GG30">
        <v>1</v>
      </c>
      <c r="GH30">
        <v>1</v>
      </c>
      <c r="GI30">
        <v>4</v>
      </c>
      <c r="GJ30">
        <v>0</v>
      </c>
      <c r="GK30">
        <f>ROUND(R30*(R12)/100,2)</f>
        <v>0</v>
      </c>
      <c r="GL30">
        <f t="shared" si="53"/>
        <v>0</v>
      </c>
      <c r="GM30">
        <f t="shared" si="54"/>
        <v>1131.82</v>
      </c>
      <c r="GN30">
        <f t="shared" si="55"/>
        <v>1131.82</v>
      </c>
      <c r="GO30">
        <f t="shared" si="56"/>
        <v>0</v>
      </c>
      <c r="GP30">
        <f t="shared" si="57"/>
        <v>0</v>
      </c>
      <c r="GR30">
        <v>0</v>
      </c>
      <c r="GS30">
        <v>3</v>
      </c>
      <c r="GT30">
        <v>0</v>
      </c>
      <c r="GU30" t="s">
        <v>6</v>
      </c>
      <c r="GV30">
        <f t="shared" si="58"/>
        <v>0</v>
      </c>
      <c r="GW30">
        <v>1</v>
      </c>
      <c r="GX30">
        <f t="shared" si="59"/>
        <v>0</v>
      </c>
      <c r="HA30">
        <v>0</v>
      </c>
      <c r="HB30">
        <v>0</v>
      </c>
      <c r="HC30">
        <f t="shared" si="60"/>
        <v>0</v>
      </c>
      <c r="IK30">
        <v>0</v>
      </c>
    </row>
    <row r="31" spans="1:245" x14ac:dyDescent="0.2">
      <c r="A31">
        <v>17</v>
      </c>
      <c r="B31">
        <v>1</v>
      </c>
      <c r="C31">
        <f>ROW(SmtRes!A11)</f>
        <v>11</v>
      </c>
      <c r="D31">
        <f>ROW(EtalonRes!A15)</f>
        <v>15</v>
      </c>
      <c r="E31" t="s">
        <v>32</v>
      </c>
      <c r="F31" t="s">
        <v>33</v>
      </c>
      <c r="G31" t="s">
        <v>34</v>
      </c>
      <c r="H31" t="s">
        <v>35</v>
      </c>
      <c r="I31">
        <f>ROUND(9/100,9)</f>
        <v>0.09</v>
      </c>
      <c r="J31">
        <v>0</v>
      </c>
      <c r="O31">
        <f t="shared" si="21"/>
        <v>260.2</v>
      </c>
      <c r="P31">
        <f t="shared" si="22"/>
        <v>22.07</v>
      </c>
      <c r="Q31">
        <f t="shared" si="23"/>
        <v>0.19</v>
      </c>
      <c r="R31">
        <f t="shared" si="24"/>
        <v>0.08</v>
      </c>
      <c r="S31">
        <f t="shared" si="25"/>
        <v>237.94</v>
      </c>
      <c r="T31">
        <f t="shared" si="26"/>
        <v>0</v>
      </c>
      <c r="U31">
        <f t="shared" si="27"/>
        <v>4.1570999999999998</v>
      </c>
      <c r="V31">
        <f t="shared" si="28"/>
        <v>8.9999999999999998E-4</v>
      </c>
      <c r="W31">
        <f t="shared" si="29"/>
        <v>0</v>
      </c>
      <c r="X31">
        <f t="shared" si="30"/>
        <v>245.16</v>
      </c>
      <c r="Y31">
        <f t="shared" si="31"/>
        <v>142.81</v>
      </c>
      <c r="AA31">
        <v>16802145</v>
      </c>
      <c r="AB31">
        <f t="shared" si="32"/>
        <v>430.86</v>
      </c>
      <c r="AC31">
        <f t="shared" si="33"/>
        <v>36.549999999999997</v>
      </c>
      <c r="AD31">
        <f t="shared" si="34"/>
        <v>0.31</v>
      </c>
      <c r="AE31">
        <f t="shared" si="35"/>
        <v>0.14000000000000001</v>
      </c>
      <c r="AF31">
        <f t="shared" si="36"/>
        <v>394</v>
      </c>
      <c r="AG31">
        <f t="shared" si="37"/>
        <v>0</v>
      </c>
      <c r="AH31">
        <f t="shared" si="38"/>
        <v>46.19</v>
      </c>
      <c r="AI31">
        <f t="shared" si="39"/>
        <v>0.01</v>
      </c>
      <c r="AJ31">
        <f t="shared" si="40"/>
        <v>0</v>
      </c>
      <c r="AK31">
        <v>430.86</v>
      </c>
      <c r="AL31">
        <v>36.549999999999997</v>
      </c>
      <c r="AM31">
        <v>0.31</v>
      </c>
      <c r="AN31">
        <v>0.14000000000000001</v>
      </c>
      <c r="AO31">
        <v>394</v>
      </c>
      <c r="AP31">
        <v>0</v>
      </c>
      <c r="AQ31">
        <v>46.19</v>
      </c>
      <c r="AR31">
        <v>0.01</v>
      </c>
      <c r="AS31">
        <v>0</v>
      </c>
      <c r="AT31">
        <v>103</v>
      </c>
      <c r="AU31">
        <v>60</v>
      </c>
      <c r="AV31">
        <v>1</v>
      </c>
      <c r="AW31">
        <v>1</v>
      </c>
      <c r="AZ31">
        <v>6.71</v>
      </c>
      <c r="BA31">
        <v>6.71</v>
      </c>
      <c r="BB31">
        <v>6.71</v>
      </c>
      <c r="BC31">
        <v>6.71</v>
      </c>
      <c r="BD31" t="s">
        <v>6</v>
      </c>
      <c r="BE31" t="s">
        <v>6</v>
      </c>
      <c r="BF31" t="s">
        <v>6</v>
      </c>
      <c r="BG31" t="s">
        <v>6</v>
      </c>
      <c r="BH31">
        <v>0</v>
      </c>
      <c r="BI31">
        <v>1</v>
      </c>
      <c r="BJ31" t="s">
        <v>36</v>
      </c>
      <c r="BM31">
        <v>65010</v>
      </c>
      <c r="BN31">
        <v>0</v>
      </c>
      <c r="BO31" t="s">
        <v>6</v>
      </c>
      <c r="BP31">
        <v>0</v>
      </c>
      <c r="BQ31">
        <v>6</v>
      </c>
      <c r="BR31">
        <v>0</v>
      </c>
      <c r="BS31">
        <v>6.71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6</v>
      </c>
      <c r="BZ31">
        <v>103</v>
      </c>
      <c r="CA31">
        <v>60</v>
      </c>
      <c r="CE31">
        <v>0</v>
      </c>
      <c r="CF31">
        <v>0</v>
      </c>
      <c r="CG31">
        <v>0</v>
      </c>
      <c r="CM31">
        <v>0</v>
      </c>
      <c r="CN31" t="s">
        <v>6</v>
      </c>
      <c r="CO31">
        <v>0</v>
      </c>
      <c r="CP31">
        <f t="shared" si="41"/>
        <v>260.2</v>
      </c>
      <c r="CQ31">
        <f t="shared" si="42"/>
        <v>245.25049999999999</v>
      </c>
      <c r="CR31">
        <f t="shared" si="43"/>
        <v>2.0800999999999998</v>
      </c>
      <c r="CS31">
        <f t="shared" si="44"/>
        <v>0.93940000000000012</v>
      </c>
      <c r="CT31">
        <f t="shared" si="45"/>
        <v>2643.74</v>
      </c>
      <c r="CU31">
        <f t="shared" si="46"/>
        <v>0</v>
      </c>
      <c r="CV31">
        <f t="shared" si="47"/>
        <v>46.19</v>
      </c>
      <c r="CW31">
        <f t="shared" si="48"/>
        <v>0.01</v>
      </c>
      <c r="CX31">
        <f t="shared" si="49"/>
        <v>0</v>
      </c>
      <c r="CY31">
        <f t="shared" si="50"/>
        <v>245.16060000000002</v>
      </c>
      <c r="CZ31">
        <f t="shared" si="51"/>
        <v>142.81200000000001</v>
      </c>
      <c r="DC31" t="s">
        <v>6</v>
      </c>
      <c r="DD31" t="s">
        <v>6</v>
      </c>
      <c r="DE31" t="s">
        <v>6</v>
      </c>
      <c r="DF31" t="s">
        <v>6</v>
      </c>
      <c r="DG31" t="s">
        <v>6</v>
      </c>
      <c r="DH31" t="s">
        <v>6</v>
      </c>
      <c r="DI31" t="s">
        <v>6</v>
      </c>
      <c r="DJ31" t="s">
        <v>6</v>
      </c>
      <c r="DK31" t="s">
        <v>6</v>
      </c>
      <c r="DL31" t="s">
        <v>6</v>
      </c>
      <c r="DM31" t="s">
        <v>6</v>
      </c>
      <c r="DN31">
        <v>0</v>
      </c>
      <c r="DO31">
        <v>0</v>
      </c>
      <c r="DP31">
        <v>1</v>
      </c>
      <c r="DQ31">
        <v>1</v>
      </c>
      <c r="DU31">
        <v>1013</v>
      </c>
      <c r="DV31" t="s">
        <v>35</v>
      </c>
      <c r="DW31" t="s">
        <v>35</v>
      </c>
      <c r="DX31">
        <v>1</v>
      </c>
      <c r="EE31">
        <v>16510589</v>
      </c>
      <c r="EF31">
        <v>6</v>
      </c>
      <c r="EG31" t="s">
        <v>20</v>
      </c>
      <c r="EH31">
        <v>0</v>
      </c>
      <c r="EI31" t="s">
        <v>6</v>
      </c>
      <c r="EJ31">
        <v>1</v>
      </c>
      <c r="EK31">
        <v>65010</v>
      </c>
      <c r="EL31" t="s">
        <v>37</v>
      </c>
      <c r="EM31" t="s">
        <v>38</v>
      </c>
      <c r="EO31" t="s">
        <v>6</v>
      </c>
      <c r="EQ31">
        <v>131072</v>
      </c>
      <c r="ER31">
        <v>430.86</v>
      </c>
      <c r="ES31">
        <v>36.549999999999997</v>
      </c>
      <c r="ET31">
        <v>0.31</v>
      </c>
      <c r="EU31">
        <v>0.14000000000000001</v>
      </c>
      <c r="EV31">
        <v>394</v>
      </c>
      <c r="EW31">
        <v>46.19</v>
      </c>
      <c r="EX31">
        <v>0.01</v>
      </c>
      <c r="EY31">
        <v>0</v>
      </c>
      <c r="FQ31">
        <v>0</v>
      </c>
      <c r="FR31">
        <f t="shared" si="52"/>
        <v>0</v>
      </c>
      <c r="FS31">
        <v>0</v>
      </c>
      <c r="FX31">
        <v>103</v>
      </c>
      <c r="FY31">
        <v>60</v>
      </c>
      <c r="GA31" t="s">
        <v>6</v>
      </c>
      <c r="GD31">
        <v>0</v>
      </c>
      <c r="GF31">
        <v>-2051527918</v>
      </c>
      <c r="GG31">
        <v>1</v>
      </c>
      <c r="GH31">
        <v>1</v>
      </c>
      <c r="GI31">
        <v>4</v>
      </c>
      <c r="GJ31">
        <v>0</v>
      </c>
      <c r="GK31">
        <f>ROUND(R31*(R12)/100,2)</f>
        <v>0</v>
      </c>
      <c r="GL31">
        <f t="shared" si="53"/>
        <v>0</v>
      </c>
      <c r="GM31">
        <f t="shared" si="54"/>
        <v>648.16999999999996</v>
      </c>
      <c r="GN31">
        <f t="shared" si="55"/>
        <v>648.16999999999996</v>
      </c>
      <c r="GO31">
        <f t="shared" si="56"/>
        <v>0</v>
      </c>
      <c r="GP31">
        <f t="shared" si="57"/>
        <v>0</v>
      </c>
      <c r="GR31">
        <v>0</v>
      </c>
      <c r="GS31">
        <v>0</v>
      </c>
      <c r="GT31">
        <v>0</v>
      </c>
      <c r="GU31" t="s">
        <v>6</v>
      </c>
      <c r="GV31">
        <f t="shared" si="58"/>
        <v>0</v>
      </c>
      <c r="GW31">
        <v>1</v>
      </c>
      <c r="GX31">
        <f t="shared" si="59"/>
        <v>0</v>
      </c>
      <c r="HA31">
        <v>0</v>
      </c>
      <c r="HB31">
        <v>0</v>
      </c>
      <c r="HC31">
        <f t="shared" si="60"/>
        <v>0</v>
      </c>
      <c r="IK31">
        <v>0</v>
      </c>
    </row>
    <row r="32" spans="1:245" x14ac:dyDescent="0.2">
      <c r="A32">
        <v>18</v>
      </c>
      <c r="B32">
        <v>1</v>
      </c>
      <c r="C32">
        <v>11</v>
      </c>
      <c r="E32" t="s">
        <v>39</v>
      </c>
      <c r="F32" t="s">
        <v>40</v>
      </c>
      <c r="G32" t="s">
        <v>41</v>
      </c>
      <c r="H32" t="s">
        <v>42</v>
      </c>
      <c r="I32">
        <f>I31*J32</f>
        <v>9</v>
      </c>
      <c r="J32">
        <v>100</v>
      </c>
      <c r="O32">
        <f t="shared" si="21"/>
        <v>57750.35</v>
      </c>
      <c r="P32">
        <f t="shared" si="22"/>
        <v>57750.35</v>
      </c>
      <c r="Q32">
        <f t="shared" si="23"/>
        <v>0</v>
      </c>
      <c r="R32">
        <f t="shared" si="24"/>
        <v>0</v>
      </c>
      <c r="S32">
        <f t="shared" si="25"/>
        <v>0</v>
      </c>
      <c r="T32">
        <f t="shared" si="26"/>
        <v>0</v>
      </c>
      <c r="U32">
        <f t="shared" si="27"/>
        <v>0</v>
      </c>
      <c r="V32">
        <f t="shared" si="28"/>
        <v>0</v>
      </c>
      <c r="W32">
        <f t="shared" si="29"/>
        <v>0</v>
      </c>
      <c r="X32">
        <f t="shared" si="30"/>
        <v>0</v>
      </c>
      <c r="Y32">
        <f t="shared" si="31"/>
        <v>0</v>
      </c>
      <c r="AA32">
        <v>16802145</v>
      </c>
      <c r="AB32">
        <f t="shared" si="32"/>
        <v>956.29</v>
      </c>
      <c r="AC32">
        <f t="shared" si="33"/>
        <v>956.29</v>
      </c>
      <c r="AD32">
        <f t="shared" si="34"/>
        <v>0</v>
      </c>
      <c r="AE32">
        <f t="shared" si="35"/>
        <v>0</v>
      </c>
      <c r="AF32">
        <f t="shared" si="36"/>
        <v>0</v>
      </c>
      <c r="AG32">
        <f t="shared" si="37"/>
        <v>0</v>
      </c>
      <c r="AH32">
        <f t="shared" si="38"/>
        <v>0</v>
      </c>
      <c r="AI32">
        <f t="shared" si="39"/>
        <v>0</v>
      </c>
      <c r="AJ32">
        <f t="shared" si="40"/>
        <v>0</v>
      </c>
      <c r="AK32">
        <v>956.29</v>
      </c>
      <c r="AL32">
        <v>956.29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103</v>
      </c>
      <c r="AU32">
        <v>60</v>
      </c>
      <c r="AV32">
        <v>1</v>
      </c>
      <c r="AW32">
        <v>1</v>
      </c>
      <c r="AZ32">
        <v>6.71</v>
      </c>
      <c r="BA32">
        <v>1</v>
      </c>
      <c r="BB32">
        <v>1</v>
      </c>
      <c r="BC32">
        <v>6.71</v>
      </c>
      <c r="BD32" t="s">
        <v>6</v>
      </c>
      <c r="BE32" t="s">
        <v>6</v>
      </c>
      <c r="BF32" t="s">
        <v>6</v>
      </c>
      <c r="BG32" t="s">
        <v>6</v>
      </c>
      <c r="BH32">
        <v>3</v>
      </c>
      <c r="BI32">
        <v>1</v>
      </c>
      <c r="BJ32" t="s">
        <v>43</v>
      </c>
      <c r="BM32">
        <v>65010</v>
      </c>
      <c r="BN32">
        <v>0</v>
      </c>
      <c r="BO32" t="s">
        <v>6</v>
      </c>
      <c r="BP32">
        <v>0</v>
      </c>
      <c r="BQ32">
        <v>6</v>
      </c>
      <c r="BR32">
        <v>0</v>
      </c>
      <c r="BS32">
        <v>1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6</v>
      </c>
      <c r="BZ32">
        <v>103</v>
      </c>
      <c r="CA32">
        <v>60</v>
      </c>
      <c r="CE32">
        <v>0</v>
      </c>
      <c r="CF32">
        <v>0</v>
      </c>
      <c r="CG32">
        <v>0</v>
      </c>
      <c r="CM32">
        <v>0</v>
      </c>
      <c r="CN32" t="s">
        <v>6</v>
      </c>
      <c r="CO32">
        <v>0</v>
      </c>
      <c r="CP32">
        <f t="shared" si="41"/>
        <v>57750.35</v>
      </c>
      <c r="CQ32">
        <f t="shared" si="42"/>
        <v>6416.7058999999999</v>
      </c>
      <c r="CR32">
        <f t="shared" si="43"/>
        <v>0</v>
      </c>
      <c r="CS32">
        <f t="shared" si="44"/>
        <v>0</v>
      </c>
      <c r="CT32">
        <f t="shared" si="45"/>
        <v>0</v>
      </c>
      <c r="CU32">
        <f t="shared" si="46"/>
        <v>0</v>
      </c>
      <c r="CV32">
        <f t="shared" si="47"/>
        <v>0</v>
      </c>
      <c r="CW32">
        <f t="shared" si="48"/>
        <v>0</v>
      </c>
      <c r="CX32">
        <f t="shared" si="49"/>
        <v>0</v>
      </c>
      <c r="CY32">
        <f t="shared" si="50"/>
        <v>0</v>
      </c>
      <c r="CZ32">
        <f t="shared" si="51"/>
        <v>0</v>
      </c>
      <c r="DC32" t="s">
        <v>6</v>
      </c>
      <c r="DD32" t="s">
        <v>6</v>
      </c>
      <c r="DE32" t="s">
        <v>6</v>
      </c>
      <c r="DF32" t="s">
        <v>6</v>
      </c>
      <c r="DG32" t="s">
        <v>6</v>
      </c>
      <c r="DH32" t="s">
        <v>6</v>
      </c>
      <c r="DI32" t="s">
        <v>6</v>
      </c>
      <c r="DJ32" t="s">
        <v>6</v>
      </c>
      <c r="DK32" t="s">
        <v>6</v>
      </c>
      <c r="DL32" t="s">
        <v>6</v>
      </c>
      <c r="DM32" t="s">
        <v>6</v>
      </c>
      <c r="DN32">
        <v>0</v>
      </c>
      <c r="DO32">
        <v>0</v>
      </c>
      <c r="DP32">
        <v>1</v>
      </c>
      <c r="DQ32">
        <v>1</v>
      </c>
      <c r="DU32">
        <v>1010</v>
      </c>
      <c r="DV32" t="s">
        <v>42</v>
      </c>
      <c r="DW32" t="s">
        <v>42</v>
      </c>
      <c r="DX32">
        <v>1</v>
      </c>
      <c r="EE32">
        <v>16510589</v>
      </c>
      <c r="EF32">
        <v>6</v>
      </c>
      <c r="EG32" t="s">
        <v>20</v>
      </c>
      <c r="EH32">
        <v>0</v>
      </c>
      <c r="EI32" t="s">
        <v>6</v>
      </c>
      <c r="EJ32">
        <v>1</v>
      </c>
      <c r="EK32">
        <v>65010</v>
      </c>
      <c r="EL32" t="s">
        <v>37</v>
      </c>
      <c r="EM32" t="s">
        <v>38</v>
      </c>
      <c r="EO32" t="s">
        <v>6</v>
      </c>
      <c r="EQ32">
        <v>0</v>
      </c>
      <c r="ER32">
        <v>956.29</v>
      </c>
      <c r="ES32">
        <v>956.29</v>
      </c>
      <c r="ET32">
        <v>0</v>
      </c>
      <c r="EU32">
        <v>0</v>
      </c>
      <c r="EV32">
        <v>0</v>
      </c>
      <c r="EW32">
        <v>0</v>
      </c>
      <c r="EX32">
        <v>0</v>
      </c>
      <c r="FQ32">
        <v>0</v>
      </c>
      <c r="FR32">
        <f t="shared" si="52"/>
        <v>0</v>
      </c>
      <c r="FS32">
        <v>0</v>
      </c>
      <c r="FX32">
        <v>103</v>
      </c>
      <c r="FY32">
        <v>60</v>
      </c>
      <c r="GA32" t="s">
        <v>6</v>
      </c>
      <c r="GD32">
        <v>0</v>
      </c>
      <c r="GF32">
        <v>-1882068334</v>
      </c>
      <c r="GG32">
        <v>1</v>
      </c>
      <c r="GH32">
        <v>1</v>
      </c>
      <c r="GI32">
        <v>4</v>
      </c>
      <c r="GJ32">
        <v>0</v>
      </c>
      <c r="GK32">
        <f>ROUND(R32*(R12)/100,2)</f>
        <v>0</v>
      </c>
      <c r="GL32">
        <f t="shared" si="53"/>
        <v>0</v>
      </c>
      <c r="GM32">
        <f t="shared" si="54"/>
        <v>57750.35</v>
      </c>
      <c r="GN32">
        <f t="shared" si="55"/>
        <v>57750.35</v>
      </c>
      <c r="GO32">
        <f t="shared" si="56"/>
        <v>0</v>
      </c>
      <c r="GP32">
        <f t="shared" si="57"/>
        <v>0</v>
      </c>
      <c r="GR32">
        <v>0</v>
      </c>
      <c r="GS32">
        <v>3</v>
      </c>
      <c r="GT32">
        <v>0</v>
      </c>
      <c r="GU32" t="s">
        <v>6</v>
      </c>
      <c r="GV32">
        <f t="shared" si="58"/>
        <v>0</v>
      </c>
      <c r="GW32">
        <v>1</v>
      </c>
      <c r="GX32">
        <f t="shared" si="59"/>
        <v>0</v>
      </c>
      <c r="HA32">
        <v>0</v>
      </c>
      <c r="HB32">
        <v>0</v>
      </c>
      <c r="HC32">
        <f t="shared" si="60"/>
        <v>0</v>
      </c>
      <c r="IK32">
        <v>0</v>
      </c>
    </row>
    <row r="33" spans="1:245" x14ac:dyDescent="0.2">
      <c r="A33">
        <v>17</v>
      </c>
      <c r="B33">
        <v>1</v>
      </c>
      <c r="C33">
        <f>ROW(SmtRes!A12)</f>
        <v>12</v>
      </c>
      <c r="D33">
        <f>ROW(EtalonRes!A16)</f>
        <v>16</v>
      </c>
      <c r="E33" t="s">
        <v>44</v>
      </c>
      <c r="F33" t="s">
        <v>45</v>
      </c>
      <c r="G33" t="s">
        <v>46</v>
      </c>
      <c r="H33" t="s">
        <v>26</v>
      </c>
      <c r="I33">
        <f>ROUND(111.1/100,9)</f>
        <v>1.111</v>
      </c>
      <c r="J33">
        <v>0</v>
      </c>
      <c r="O33">
        <f t="shared" si="21"/>
        <v>1326.96</v>
      </c>
      <c r="P33">
        <f t="shared" si="22"/>
        <v>0</v>
      </c>
      <c r="Q33">
        <f t="shared" si="23"/>
        <v>0</v>
      </c>
      <c r="R33">
        <f t="shared" si="24"/>
        <v>0</v>
      </c>
      <c r="S33">
        <f t="shared" si="25"/>
        <v>1326.96</v>
      </c>
      <c r="T33">
        <f t="shared" si="26"/>
        <v>0</v>
      </c>
      <c r="U33">
        <f t="shared" si="27"/>
        <v>25.353020000000001</v>
      </c>
      <c r="V33">
        <f t="shared" si="28"/>
        <v>0</v>
      </c>
      <c r="W33">
        <f t="shared" si="29"/>
        <v>0</v>
      </c>
      <c r="X33">
        <f t="shared" si="30"/>
        <v>1313.69</v>
      </c>
      <c r="Y33">
        <f t="shared" si="31"/>
        <v>796.18</v>
      </c>
      <c r="AA33">
        <v>16802145</v>
      </c>
      <c r="AB33">
        <f t="shared" si="32"/>
        <v>178</v>
      </c>
      <c r="AC33">
        <f t="shared" si="33"/>
        <v>0</v>
      </c>
      <c r="AD33">
        <f t="shared" si="34"/>
        <v>0</v>
      </c>
      <c r="AE33">
        <f t="shared" si="35"/>
        <v>0</v>
      </c>
      <c r="AF33">
        <f t="shared" si="36"/>
        <v>178</v>
      </c>
      <c r="AG33">
        <f t="shared" si="37"/>
        <v>0</v>
      </c>
      <c r="AH33">
        <f t="shared" si="38"/>
        <v>22.82</v>
      </c>
      <c r="AI33">
        <f t="shared" si="39"/>
        <v>0</v>
      </c>
      <c r="AJ33">
        <f t="shared" si="40"/>
        <v>0</v>
      </c>
      <c r="AK33">
        <v>178</v>
      </c>
      <c r="AL33">
        <v>0</v>
      </c>
      <c r="AM33">
        <v>0</v>
      </c>
      <c r="AN33">
        <v>0</v>
      </c>
      <c r="AO33">
        <v>178</v>
      </c>
      <c r="AP33">
        <v>0</v>
      </c>
      <c r="AQ33">
        <v>22.82</v>
      </c>
      <c r="AR33">
        <v>0</v>
      </c>
      <c r="AS33">
        <v>0</v>
      </c>
      <c r="AT33">
        <v>99</v>
      </c>
      <c r="AU33">
        <v>60</v>
      </c>
      <c r="AV33">
        <v>1</v>
      </c>
      <c r="AW33">
        <v>1</v>
      </c>
      <c r="AZ33">
        <v>6.71</v>
      </c>
      <c r="BA33">
        <v>6.71</v>
      </c>
      <c r="BB33">
        <v>6.71</v>
      </c>
      <c r="BC33">
        <v>6.71</v>
      </c>
      <c r="BD33" t="s">
        <v>6</v>
      </c>
      <c r="BE33" t="s">
        <v>6</v>
      </c>
      <c r="BF33" t="s">
        <v>6</v>
      </c>
      <c r="BG33" t="s">
        <v>6</v>
      </c>
      <c r="BH33">
        <v>0</v>
      </c>
      <c r="BI33">
        <v>1</v>
      </c>
      <c r="BJ33" t="s">
        <v>47</v>
      </c>
      <c r="BM33">
        <v>46001</v>
      </c>
      <c r="BN33">
        <v>0</v>
      </c>
      <c r="BO33" t="s">
        <v>6</v>
      </c>
      <c r="BP33">
        <v>0</v>
      </c>
      <c r="BQ33">
        <v>2</v>
      </c>
      <c r="BR33">
        <v>0</v>
      </c>
      <c r="BS33">
        <v>6.71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6</v>
      </c>
      <c r="BZ33">
        <v>110</v>
      </c>
      <c r="CA33">
        <v>70</v>
      </c>
      <c r="CE33">
        <v>0</v>
      </c>
      <c r="CF33">
        <v>0</v>
      </c>
      <c r="CG33">
        <v>0</v>
      </c>
      <c r="CM33">
        <v>0</v>
      </c>
      <c r="CN33" t="s">
        <v>6</v>
      </c>
      <c r="CO33">
        <v>0</v>
      </c>
      <c r="CP33">
        <f t="shared" si="41"/>
        <v>1326.96</v>
      </c>
      <c r="CQ33">
        <f t="shared" si="42"/>
        <v>0</v>
      </c>
      <c r="CR33">
        <f t="shared" si="43"/>
        <v>0</v>
      </c>
      <c r="CS33">
        <f t="shared" si="44"/>
        <v>0</v>
      </c>
      <c r="CT33">
        <f t="shared" si="45"/>
        <v>1194.3799999999999</v>
      </c>
      <c r="CU33">
        <f t="shared" si="46"/>
        <v>0</v>
      </c>
      <c r="CV33">
        <f t="shared" si="47"/>
        <v>22.82</v>
      </c>
      <c r="CW33">
        <f t="shared" si="48"/>
        <v>0</v>
      </c>
      <c r="CX33">
        <f t="shared" si="49"/>
        <v>0</v>
      </c>
      <c r="CY33">
        <f t="shared" si="50"/>
        <v>1313.6904000000002</v>
      </c>
      <c r="CZ33">
        <f t="shared" si="51"/>
        <v>796.17600000000004</v>
      </c>
      <c r="DC33" t="s">
        <v>6</v>
      </c>
      <c r="DD33" t="s">
        <v>6</v>
      </c>
      <c r="DE33" t="s">
        <v>6</v>
      </c>
      <c r="DF33" t="s">
        <v>6</v>
      </c>
      <c r="DG33" t="s">
        <v>6</v>
      </c>
      <c r="DH33" t="s">
        <v>6</v>
      </c>
      <c r="DI33" t="s">
        <v>6</v>
      </c>
      <c r="DJ33" t="s">
        <v>6</v>
      </c>
      <c r="DK33" t="s">
        <v>6</v>
      </c>
      <c r="DL33" t="s">
        <v>6</v>
      </c>
      <c r="DM33" t="s">
        <v>6</v>
      </c>
      <c r="DN33">
        <v>0</v>
      </c>
      <c r="DO33">
        <v>0</v>
      </c>
      <c r="DP33">
        <v>1</v>
      </c>
      <c r="DQ33">
        <v>1</v>
      </c>
      <c r="DU33">
        <v>1005</v>
      </c>
      <c r="DV33" t="s">
        <v>26</v>
      </c>
      <c r="DW33" t="s">
        <v>26</v>
      </c>
      <c r="DX33">
        <v>100</v>
      </c>
      <c r="EE33">
        <v>16510555</v>
      </c>
      <c r="EF33">
        <v>2</v>
      </c>
      <c r="EG33" t="s">
        <v>48</v>
      </c>
      <c r="EH33">
        <v>0</v>
      </c>
      <c r="EI33" t="s">
        <v>6</v>
      </c>
      <c r="EJ33">
        <v>1</v>
      </c>
      <c r="EK33">
        <v>46001</v>
      </c>
      <c r="EL33" t="s">
        <v>49</v>
      </c>
      <c r="EM33" t="s">
        <v>50</v>
      </c>
      <c r="EO33" t="s">
        <v>6</v>
      </c>
      <c r="EQ33">
        <v>131072</v>
      </c>
      <c r="ER33">
        <v>178</v>
      </c>
      <c r="ES33">
        <v>0</v>
      </c>
      <c r="ET33">
        <v>0</v>
      </c>
      <c r="EU33">
        <v>0</v>
      </c>
      <c r="EV33">
        <v>178</v>
      </c>
      <c r="EW33">
        <v>22.82</v>
      </c>
      <c r="EX33">
        <v>0</v>
      </c>
      <c r="EY33">
        <v>0</v>
      </c>
      <c r="FQ33">
        <v>0</v>
      </c>
      <c r="FR33">
        <f t="shared" si="52"/>
        <v>0</v>
      </c>
      <c r="FS33">
        <v>0</v>
      </c>
      <c r="FT33" t="s">
        <v>51</v>
      </c>
      <c r="FU33" t="s">
        <v>52</v>
      </c>
      <c r="FX33">
        <v>99</v>
      </c>
      <c r="FY33">
        <v>59.5</v>
      </c>
      <c r="GA33" t="s">
        <v>6</v>
      </c>
      <c r="GD33">
        <v>0</v>
      </c>
      <c r="GF33">
        <v>232532105</v>
      </c>
      <c r="GG33">
        <v>1</v>
      </c>
      <c r="GH33">
        <v>1</v>
      </c>
      <c r="GI33">
        <v>4</v>
      </c>
      <c r="GJ33">
        <v>0</v>
      </c>
      <c r="GK33">
        <f>ROUND(R33*(R12)/100,2)</f>
        <v>0</v>
      </c>
      <c r="GL33">
        <f t="shared" si="53"/>
        <v>0</v>
      </c>
      <c r="GM33">
        <f t="shared" si="54"/>
        <v>3436.83</v>
      </c>
      <c r="GN33">
        <f t="shared" si="55"/>
        <v>3436.83</v>
      </c>
      <c r="GO33">
        <f t="shared" si="56"/>
        <v>0</v>
      </c>
      <c r="GP33">
        <f t="shared" si="57"/>
        <v>0</v>
      </c>
      <c r="GR33">
        <v>0</v>
      </c>
      <c r="GS33">
        <v>0</v>
      </c>
      <c r="GT33">
        <v>0</v>
      </c>
      <c r="GU33" t="s">
        <v>6</v>
      </c>
      <c r="GV33">
        <f t="shared" si="58"/>
        <v>0</v>
      </c>
      <c r="GW33">
        <v>1</v>
      </c>
      <c r="GX33">
        <f t="shared" si="59"/>
        <v>0</v>
      </c>
      <c r="HA33">
        <v>0</v>
      </c>
      <c r="HB33">
        <v>0</v>
      </c>
      <c r="HC33">
        <f t="shared" si="60"/>
        <v>0</v>
      </c>
      <c r="IK33">
        <v>0</v>
      </c>
    </row>
    <row r="34" spans="1:245" x14ac:dyDescent="0.2">
      <c r="A34">
        <v>17</v>
      </c>
      <c r="B34">
        <v>1</v>
      </c>
      <c r="C34">
        <f>ROW(SmtRes!A18)</f>
        <v>18</v>
      </c>
      <c r="D34">
        <f>ROW(EtalonRes!A23)</f>
        <v>23</v>
      </c>
      <c r="E34" t="s">
        <v>53</v>
      </c>
      <c r="F34" t="s">
        <v>54</v>
      </c>
      <c r="G34" t="s">
        <v>55</v>
      </c>
      <c r="H34" t="s">
        <v>56</v>
      </c>
      <c r="I34">
        <f>ROUND(30/100,9)</f>
        <v>0.3</v>
      </c>
      <c r="J34">
        <v>0</v>
      </c>
      <c r="O34">
        <f t="shared" si="21"/>
        <v>2228.15</v>
      </c>
      <c r="P34">
        <f t="shared" si="22"/>
        <v>0.48</v>
      </c>
      <c r="Q34">
        <f t="shared" si="23"/>
        <v>94.53</v>
      </c>
      <c r="R34">
        <f t="shared" si="24"/>
        <v>0</v>
      </c>
      <c r="S34">
        <f t="shared" si="25"/>
        <v>2133.14</v>
      </c>
      <c r="T34">
        <f t="shared" si="26"/>
        <v>0</v>
      </c>
      <c r="U34">
        <f t="shared" si="27"/>
        <v>37.268999999999998</v>
      </c>
      <c r="V34">
        <f t="shared" si="28"/>
        <v>0</v>
      </c>
      <c r="W34">
        <f t="shared" si="29"/>
        <v>0</v>
      </c>
      <c r="X34">
        <f t="shared" si="30"/>
        <v>1706.51</v>
      </c>
      <c r="Y34">
        <f t="shared" si="31"/>
        <v>1450.54</v>
      </c>
      <c r="AA34">
        <v>16802145</v>
      </c>
      <c r="AB34">
        <f t="shared" si="32"/>
        <v>1106.8800000000001</v>
      </c>
      <c r="AC34">
        <f t="shared" si="33"/>
        <v>0.24</v>
      </c>
      <c r="AD34">
        <f t="shared" si="34"/>
        <v>46.96</v>
      </c>
      <c r="AE34">
        <f t="shared" si="35"/>
        <v>0</v>
      </c>
      <c r="AF34">
        <f t="shared" si="36"/>
        <v>1059.68</v>
      </c>
      <c r="AG34">
        <f t="shared" si="37"/>
        <v>0</v>
      </c>
      <c r="AH34">
        <f t="shared" si="38"/>
        <v>124.23</v>
      </c>
      <c r="AI34">
        <f t="shared" si="39"/>
        <v>0</v>
      </c>
      <c r="AJ34">
        <f t="shared" si="40"/>
        <v>0</v>
      </c>
      <c r="AK34">
        <v>1106.8800000000001</v>
      </c>
      <c r="AL34">
        <v>0.24</v>
      </c>
      <c r="AM34">
        <v>46.96</v>
      </c>
      <c r="AN34">
        <v>0</v>
      </c>
      <c r="AO34">
        <v>1059.68</v>
      </c>
      <c r="AP34">
        <v>0</v>
      </c>
      <c r="AQ34">
        <v>124.23</v>
      </c>
      <c r="AR34">
        <v>0</v>
      </c>
      <c r="AS34">
        <v>0</v>
      </c>
      <c r="AT34">
        <v>80</v>
      </c>
      <c r="AU34">
        <v>68</v>
      </c>
      <c r="AV34">
        <v>1</v>
      </c>
      <c r="AW34">
        <v>1</v>
      </c>
      <c r="AZ34">
        <v>6.71</v>
      </c>
      <c r="BA34">
        <v>6.71</v>
      </c>
      <c r="BB34">
        <v>6.71</v>
      </c>
      <c r="BC34">
        <v>6.71</v>
      </c>
      <c r="BD34" t="s">
        <v>6</v>
      </c>
      <c r="BE34" t="s">
        <v>6</v>
      </c>
      <c r="BF34" t="s">
        <v>6</v>
      </c>
      <c r="BG34" t="s">
        <v>6</v>
      </c>
      <c r="BH34">
        <v>0</v>
      </c>
      <c r="BI34">
        <v>1</v>
      </c>
      <c r="BJ34" t="s">
        <v>57</v>
      </c>
      <c r="BM34">
        <v>57001</v>
      </c>
      <c r="BN34">
        <v>0</v>
      </c>
      <c r="BO34" t="s">
        <v>6</v>
      </c>
      <c r="BP34">
        <v>0</v>
      </c>
      <c r="BQ34">
        <v>6</v>
      </c>
      <c r="BR34">
        <v>0</v>
      </c>
      <c r="BS34">
        <v>6.71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6</v>
      </c>
      <c r="BZ34">
        <v>80</v>
      </c>
      <c r="CA34">
        <v>68</v>
      </c>
      <c r="CE34">
        <v>0</v>
      </c>
      <c r="CF34">
        <v>0</v>
      </c>
      <c r="CG34">
        <v>0</v>
      </c>
      <c r="CM34">
        <v>0</v>
      </c>
      <c r="CN34" t="s">
        <v>6</v>
      </c>
      <c r="CO34">
        <v>0</v>
      </c>
      <c r="CP34">
        <f t="shared" si="41"/>
        <v>2228.15</v>
      </c>
      <c r="CQ34">
        <f t="shared" si="42"/>
        <v>1.6103999999999998</v>
      </c>
      <c r="CR34">
        <f t="shared" si="43"/>
        <v>315.10160000000002</v>
      </c>
      <c r="CS34">
        <f t="shared" si="44"/>
        <v>0</v>
      </c>
      <c r="CT34">
        <f t="shared" si="45"/>
        <v>7110.4528</v>
      </c>
      <c r="CU34">
        <f t="shared" si="46"/>
        <v>0</v>
      </c>
      <c r="CV34">
        <f t="shared" si="47"/>
        <v>124.23</v>
      </c>
      <c r="CW34">
        <f t="shared" si="48"/>
        <v>0</v>
      </c>
      <c r="CX34">
        <f t="shared" si="49"/>
        <v>0</v>
      </c>
      <c r="CY34">
        <f t="shared" si="50"/>
        <v>1706.5119999999997</v>
      </c>
      <c r="CZ34">
        <f t="shared" si="51"/>
        <v>1450.5351999999998</v>
      </c>
      <c r="DC34" t="s">
        <v>6</v>
      </c>
      <c r="DD34" t="s">
        <v>6</v>
      </c>
      <c r="DE34" t="s">
        <v>6</v>
      </c>
      <c r="DF34" t="s">
        <v>6</v>
      </c>
      <c r="DG34" t="s">
        <v>6</v>
      </c>
      <c r="DH34" t="s">
        <v>6</v>
      </c>
      <c r="DI34" t="s">
        <v>6</v>
      </c>
      <c r="DJ34" t="s">
        <v>6</v>
      </c>
      <c r="DK34" t="s">
        <v>6</v>
      </c>
      <c r="DL34" t="s">
        <v>6</v>
      </c>
      <c r="DM34" t="s">
        <v>6</v>
      </c>
      <c r="DN34">
        <v>0</v>
      </c>
      <c r="DO34">
        <v>0</v>
      </c>
      <c r="DP34">
        <v>1</v>
      </c>
      <c r="DQ34">
        <v>1</v>
      </c>
      <c r="DU34">
        <v>1013</v>
      </c>
      <c r="DV34" t="s">
        <v>56</v>
      </c>
      <c r="DW34" t="s">
        <v>56</v>
      </c>
      <c r="DX34">
        <v>1</v>
      </c>
      <c r="EE34">
        <v>16510566</v>
      </c>
      <c r="EF34">
        <v>6</v>
      </c>
      <c r="EG34" t="s">
        <v>20</v>
      </c>
      <c r="EH34">
        <v>0</v>
      </c>
      <c r="EI34" t="s">
        <v>6</v>
      </c>
      <c r="EJ34">
        <v>1</v>
      </c>
      <c r="EK34">
        <v>57001</v>
      </c>
      <c r="EL34" t="s">
        <v>21</v>
      </c>
      <c r="EM34" t="s">
        <v>22</v>
      </c>
      <c r="EO34" t="s">
        <v>6</v>
      </c>
      <c r="EQ34">
        <v>131072</v>
      </c>
      <c r="ER34">
        <v>1106.8800000000001</v>
      </c>
      <c r="ES34">
        <v>0.24</v>
      </c>
      <c r="ET34">
        <v>46.96</v>
      </c>
      <c r="EU34">
        <v>0</v>
      </c>
      <c r="EV34">
        <v>1059.68</v>
      </c>
      <c r="EW34">
        <v>124.23</v>
      </c>
      <c r="EX34">
        <v>0</v>
      </c>
      <c r="EY34">
        <v>0</v>
      </c>
      <c r="FQ34">
        <v>0</v>
      </c>
      <c r="FR34">
        <f t="shared" si="52"/>
        <v>0</v>
      </c>
      <c r="FS34">
        <v>0</v>
      </c>
      <c r="FX34">
        <v>80</v>
      </c>
      <c r="FY34">
        <v>68</v>
      </c>
      <c r="GA34" t="s">
        <v>6</v>
      </c>
      <c r="GD34">
        <v>0</v>
      </c>
      <c r="GF34">
        <v>424324215</v>
      </c>
      <c r="GG34">
        <v>1</v>
      </c>
      <c r="GH34">
        <v>1</v>
      </c>
      <c r="GI34">
        <v>4</v>
      </c>
      <c r="GJ34">
        <v>0</v>
      </c>
      <c r="GK34">
        <f>ROUND(R34*(R12)/100,2)</f>
        <v>0</v>
      </c>
      <c r="GL34">
        <f t="shared" si="53"/>
        <v>0</v>
      </c>
      <c r="GM34">
        <f t="shared" si="54"/>
        <v>5385.2</v>
      </c>
      <c r="GN34">
        <f t="shared" si="55"/>
        <v>5385.2</v>
      </c>
      <c r="GO34">
        <f t="shared" si="56"/>
        <v>0</v>
      </c>
      <c r="GP34">
        <f t="shared" si="57"/>
        <v>0</v>
      </c>
      <c r="GR34">
        <v>0</v>
      </c>
      <c r="GS34">
        <v>0</v>
      </c>
      <c r="GT34">
        <v>0</v>
      </c>
      <c r="GU34" t="s">
        <v>6</v>
      </c>
      <c r="GV34">
        <f t="shared" si="58"/>
        <v>0</v>
      </c>
      <c r="GW34">
        <v>1</v>
      </c>
      <c r="GX34">
        <f t="shared" si="59"/>
        <v>0</v>
      </c>
      <c r="HA34">
        <v>0</v>
      </c>
      <c r="HB34">
        <v>0</v>
      </c>
      <c r="HC34">
        <f t="shared" si="60"/>
        <v>0</v>
      </c>
      <c r="IK34">
        <v>0</v>
      </c>
    </row>
    <row r="35" spans="1:245" x14ac:dyDescent="0.2">
      <c r="A35">
        <v>18</v>
      </c>
      <c r="B35">
        <v>1</v>
      </c>
      <c r="C35">
        <v>17</v>
      </c>
      <c r="E35" t="s">
        <v>58</v>
      </c>
      <c r="F35" t="s">
        <v>59</v>
      </c>
      <c r="G35" t="s">
        <v>60</v>
      </c>
      <c r="H35" t="s">
        <v>61</v>
      </c>
      <c r="I35">
        <f>I34*J35</f>
        <v>0.64200000000000002</v>
      </c>
      <c r="J35">
        <v>2.14</v>
      </c>
      <c r="O35">
        <f t="shared" si="21"/>
        <v>0</v>
      </c>
      <c r="P35">
        <f t="shared" si="22"/>
        <v>0</v>
      </c>
      <c r="Q35">
        <f t="shared" si="23"/>
        <v>0</v>
      </c>
      <c r="R35">
        <f t="shared" si="24"/>
        <v>0</v>
      </c>
      <c r="S35">
        <f t="shared" si="25"/>
        <v>0</v>
      </c>
      <c r="T35">
        <f t="shared" si="26"/>
        <v>0</v>
      </c>
      <c r="U35">
        <f t="shared" si="27"/>
        <v>0</v>
      </c>
      <c r="V35">
        <f t="shared" si="28"/>
        <v>0</v>
      </c>
      <c r="W35">
        <f t="shared" si="29"/>
        <v>0</v>
      </c>
      <c r="X35">
        <f t="shared" si="30"/>
        <v>0</v>
      </c>
      <c r="Y35">
        <f t="shared" si="31"/>
        <v>0</v>
      </c>
      <c r="AA35">
        <v>16802145</v>
      </c>
      <c r="AB35">
        <f t="shared" si="32"/>
        <v>0</v>
      </c>
      <c r="AC35">
        <f t="shared" si="33"/>
        <v>0</v>
      </c>
      <c r="AD35">
        <f t="shared" si="34"/>
        <v>0</v>
      </c>
      <c r="AE35">
        <f t="shared" si="35"/>
        <v>0</v>
      </c>
      <c r="AF35">
        <f t="shared" si="36"/>
        <v>0</v>
      </c>
      <c r="AG35">
        <f t="shared" si="37"/>
        <v>0</v>
      </c>
      <c r="AH35">
        <f t="shared" si="38"/>
        <v>0</v>
      </c>
      <c r="AI35">
        <f t="shared" si="39"/>
        <v>0</v>
      </c>
      <c r="AJ35">
        <f t="shared" si="40"/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80</v>
      </c>
      <c r="AU35">
        <v>68</v>
      </c>
      <c r="AV35">
        <v>1</v>
      </c>
      <c r="AW35">
        <v>1</v>
      </c>
      <c r="AZ35">
        <v>6.71</v>
      </c>
      <c r="BA35">
        <v>1</v>
      </c>
      <c r="BB35">
        <v>1</v>
      </c>
      <c r="BC35">
        <v>6.71</v>
      </c>
      <c r="BD35" t="s">
        <v>6</v>
      </c>
      <c r="BE35" t="s">
        <v>6</v>
      </c>
      <c r="BF35" t="s">
        <v>6</v>
      </c>
      <c r="BG35" t="s">
        <v>6</v>
      </c>
      <c r="BH35">
        <v>3</v>
      </c>
      <c r="BI35">
        <v>1</v>
      </c>
      <c r="BJ35" t="s">
        <v>6</v>
      </c>
      <c r="BM35">
        <v>57001</v>
      </c>
      <c r="BN35">
        <v>0</v>
      </c>
      <c r="BO35" t="s">
        <v>6</v>
      </c>
      <c r="BP35">
        <v>0</v>
      </c>
      <c r="BQ35">
        <v>6</v>
      </c>
      <c r="BR35">
        <v>0</v>
      </c>
      <c r="BS35">
        <v>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6</v>
      </c>
      <c r="BZ35">
        <v>80</v>
      </c>
      <c r="CA35">
        <v>68</v>
      </c>
      <c r="CE35">
        <v>0</v>
      </c>
      <c r="CF35">
        <v>0</v>
      </c>
      <c r="CG35">
        <v>0</v>
      </c>
      <c r="CM35">
        <v>0</v>
      </c>
      <c r="CN35" t="s">
        <v>6</v>
      </c>
      <c r="CO35">
        <v>0</v>
      </c>
      <c r="CP35">
        <f t="shared" si="41"/>
        <v>0</v>
      </c>
      <c r="CQ35">
        <f t="shared" si="42"/>
        <v>0</v>
      </c>
      <c r="CR35">
        <f t="shared" si="43"/>
        <v>0</v>
      </c>
      <c r="CS35">
        <f t="shared" si="44"/>
        <v>0</v>
      </c>
      <c r="CT35">
        <f t="shared" si="45"/>
        <v>0</v>
      </c>
      <c r="CU35">
        <f t="shared" si="46"/>
        <v>0</v>
      </c>
      <c r="CV35">
        <f t="shared" si="47"/>
        <v>0</v>
      </c>
      <c r="CW35">
        <f t="shared" si="48"/>
        <v>0</v>
      </c>
      <c r="CX35">
        <f t="shared" si="49"/>
        <v>0</v>
      </c>
      <c r="CY35">
        <f t="shared" si="50"/>
        <v>0</v>
      </c>
      <c r="CZ35">
        <f t="shared" si="51"/>
        <v>0</v>
      </c>
      <c r="DC35" t="s">
        <v>6</v>
      </c>
      <c r="DD35" t="s">
        <v>6</v>
      </c>
      <c r="DE35" t="s">
        <v>6</v>
      </c>
      <c r="DF35" t="s">
        <v>6</v>
      </c>
      <c r="DG35" t="s">
        <v>6</v>
      </c>
      <c r="DH35" t="s">
        <v>6</v>
      </c>
      <c r="DI35" t="s">
        <v>6</v>
      </c>
      <c r="DJ35" t="s">
        <v>6</v>
      </c>
      <c r="DK35" t="s">
        <v>6</v>
      </c>
      <c r="DL35" t="s">
        <v>6</v>
      </c>
      <c r="DM35" t="s">
        <v>6</v>
      </c>
      <c r="DN35">
        <v>0</v>
      </c>
      <c r="DO35">
        <v>0</v>
      </c>
      <c r="DP35">
        <v>1</v>
      </c>
      <c r="DQ35">
        <v>1</v>
      </c>
      <c r="DU35">
        <v>1007</v>
      </c>
      <c r="DV35" t="s">
        <v>61</v>
      </c>
      <c r="DW35" t="s">
        <v>61</v>
      </c>
      <c r="DX35">
        <v>1</v>
      </c>
      <c r="EE35">
        <v>16510566</v>
      </c>
      <c r="EF35">
        <v>6</v>
      </c>
      <c r="EG35" t="s">
        <v>20</v>
      </c>
      <c r="EH35">
        <v>0</v>
      </c>
      <c r="EI35" t="s">
        <v>6</v>
      </c>
      <c r="EJ35">
        <v>1</v>
      </c>
      <c r="EK35">
        <v>57001</v>
      </c>
      <c r="EL35" t="s">
        <v>21</v>
      </c>
      <c r="EM35" t="s">
        <v>22</v>
      </c>
      <c r="EO35" t="s">
        <v>6</v>
      </c>
      <c r="EQ35">
        <v>0</v>
      </c>
      <c r="ER35">
        <v>0</v>
      </c>
      <c r="ES35">
        <v>0</v>
      </c>
      <c r="ET35">
        <v>0</v>
      </c>
      <c r="EU35">
        <v>0</v>
      </c>
      <c r="EV35">
        <v>0</v>
      </c>
      <c r="EW35">
        <v>0</v>
      </c>
      <c r="EX35">
        <v>0</v>
      </c>
      <c r="FQ35">
        <v>0</v>
      </c>
      <c r="FR35">
        <f t="shared" si="52"/>
        <v>0</v>
      </c>
      <c r="FS35">
        <v>0</v>
      </c>
      <c r="FX35">
        <v>80</v>
      </c>
      <c r="FY35">
        <v>68</v>
      </c>
      <c r="GA35" t="s">
        <v>6</v>
      </c>
      <c r="GD35">
        <v>0</v>
      </c>
      <c r="GF35">
        <v>-2113302258</v>
      </c>
      <c r="GG35">
        <v>1</v>
      </c>
      <c r="GH35">
        <v>1</v>
      </c>
      <c r="GI35">
        <v>4</v>
      </c>
      <c r="GJ35">
        <v>0</v>
      </c>
      <c r="GK35">
        <f>ROUND(R35*(R12)/100,2)</f>
        <v>0</v>
      </c>
      <c r="GL35">
        <f t="shared" si="53"/>
        <v>0</v>
      </c>
      <c r="GM35">
        <f t="shared" si="54"/>
        <v>0</v>
      </c>
      <c r="GN35">
        <f t="shared" si="55"/>
        <v>0</v>
      </c>
      <c r="GO35">
        <f t="shared" si="56"/>
        <v>0</v>
      </c>
      <c r="GP35">
        <f t="shared" si="57"/>
        <v>0</v>
      </c>
      <c r="GR35">
        <v>0</v>
      </c>
      <c r="GS35">
        <v>3</v>
      </c>
      <c r="GT35">
        <v>0</v>
      </c>
      <c r="GU35" t="s">
        <v>6</v>
      </c>
      <c r="GV35">
        <f t="shared" si="58"/>
        <v>0</v>
      </c>
      <c r="GW35">
        <v>1</v>
      </c>
      <c r="GX35">
        <f t="shared" si="59"/>
        <v>0</v>
      </c>
      <c r="HA35">
        <v>0</v>
      </c>
      <c r="HB35">
        <v>0</v>
      </c>
      <c r="HC35">
        <f t="shared" si="60"/>
        <v>0</v>
      </c>
      <c r="IK35">
        <v>0</v>
      </c>
    </row>
    <row r="36" spans="1:245" x14ac:dyDescent="0.2">
      <c r="A36">
        <v>18</v>
      </c>
      <c r="B36">
        <v>1</v>
      </c>
      <c r="C36">
        <v>18</v>
      </c>
      <c r="E36" t="s">
        <v>62</v>
      </c>
      <c r="F36" t="s">
        <v>63</v>
      </c>
      <c r="G36" t="s">
        <v>64</v>
      </c>
      <c r="H36" t="s">
        <v>65</v>
      </c>
      <c r="I36">
        <f>I34*J36</f>
        <v>1.392935</v>
      </c>
      <c r="J36">
        <v>4.6431166666666668</v>
      </c>
      <c r="O36">
        <f t="shared" si="21"/>
        <v>6805.63</v>
      </c>
      <c r="P36">
        <f t="shared" si="22"/>
        <v>6805.63</v>
      </c>
      <c r="Q36">
        <f t="shared" si="23"/>
        <v>0</v>
      </c>
      <c r="R36">
        <f t="shared" si="24"/>
        <v>0</v>
      </c>
      <c r="S36">
        <f t="shared" si="25"/>
        <v>0</v>
      </c>
      <c r="T36">
        <f t="shared" si="26"/>
        <v>0</v>
      </c>
      <c r="U36">
        <f t="shared" si="27"/>
        <v>0</v>
      </c>
      <c r="V36">
        <f t="shared" si="28"/>
        <v>0</v>
      </c>
      <c r="W36">
        <f t="shared" si="29"/>
        <v>0</v>
      </c>
      <c r="X36">
        <f t="shared" si="30"/>
        <v>0</v>
      </c>
      <c r="Y36">
        <f t="shared" si="31"/>
        <v>0</v>
      </c>
      <c r="AA36">
        <v>16802145</v>
      </c>
      <c r="AB36">
        <f t="shared" si="32"/>
        <v>728.14</v>
      </c>
      <c r="AC36">
        <f t="shared" si="33"/>
        <v>728.14</v>
      </c>
      <c r="AD36">
        <f t="shared" si="34"/>
        <v>0</v>
      </c>
      <c r="AE36">
        <f t="shared" si="35"/>
        <v>0</v>
      </c>
      <c r="AF36">
        <f t="shared" si="36"/>
        <v>0</v>
      </c>
      <c r="AG36">
        <f t="shared" si="37"/>
        <v>0</v>
      </c>
      <c r="AH36">
        <f t="shared" si="38"/>
        <v>0</v>
      </c>
      <c r="AI36">
        <f t="shared" si="39"/>
        <v>0</v>
      </c>
      <c r="AJ36">
        <f t="shared" si="40"/>
        <v>0</v>
      </c>
      <c r="AK36">
        <v>728.14</v>
      </c>
      <c r="AL36">
        <v>728.14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80</v>
      </c>
      <c r="AU36">
        <v>68</v>
      </c>
      <c r="AV36">
        <v>1</v>
      </c>
      <c r="AW36">
        <v>1</v>
      </c>
      <c r="AZ36">
        <v>6.71</v>
      </c>
      <c r="BA36">
        <v>1</v>
      </c>
      <c r="BB36">
        <v>1</v>
      </c>
      <c r="BC36">
        <v>6.71</v>
      </c>
      <c r="BD36" t="s">
        <v>6</v>
      </c>
      <c r="BE36" t="s">
        <v>6</v>
      </c>
      <c r="BF36" t="s">
        <v>6</v>
      </c>
      <c r="BG36" t="s">
        <v>6</v>
      </c>
      <c r="BH36">
        <v>3</v>
      </c>
      <c r="BI36">
        <v>1</v>
      </c>
      <c r="BJ36" t="s">
        <v>66</v>
      </c>
      <c r="BM36">
        <v>57001</v>
      </c>
      <c r="BN36">
        <v>0</v>
      </c>
      <c r="BO36" t="s">
        <v>6</v>
      </c>
      <c r="BP36">
        <v>0</v>
      </c>
      <c r="BQ36">
        <v>6</v>
      </c>
      <c r="BR36">
        <v>0</v>
      </c>
      <c r="BS36">
        <v>1</v>
      </c>
      <c r="BT36">
        <v>1</v>
      </c>
      <c r="BU36">
        <v>1</v>
      </c>
      <c r="BV36">
        <v>1</v>
      </c>
      <c r="BW36">
        <v>1</v>
      </c>
      <c r="BX36">
        <v>1</v>
      </c>
      <c r="BY36" t="s">
        <v>6</v>
      </c>
      <c r="BZ36">
        <v>80</v>
      </c>
      <c r="CA36">
        <v>68</v>
      </c>
      <c r="CE36">
        <v>0</v>
      </c>
      <c r="CF36">
        <v>0</v>
      </c>
      <c r="CG36">
        <v>0</v>
      </c>
      <c r="CM36">
        <v>0</v>
      </c>
      <c r="CN36" t="s">
        <v>6</v>
      </c>
      <c r="CO36">
        <v>0</v>
      </c>
      <c r="CP36">
        <f t="shared" si="41"/>
        <v>6805.63</v>
      </c>
      <c r="CQ36">
        <f t="shared" si="42"/>
        <v>4885.8194000000003</v>
      </c>
      <c r="CR36">
        <f t="shared" si="43"/>
        <v>0</v>
      </c>
      <c r="CS36">
        <f t="shared" si="44"/>
        <v>0</v>
      </c>
      <c r="CT36">
        <f t="shared" si="45"/>
        <v>0</v>
      </c>
      <c r="CU36">
        <f t="shared" si="46"/>
        <v>0</v>
      </c>
      <c r="CV36">
        <f t="shared" si="47"/>
        <v>0</v>
      </c>
      <c r="CW36">
        <f t="shared" si="48"/>
        <v>0</v>
      </c>
      <c r="CX36">
        <f t="shared" si="49"/>
        <v>0</v>
      </c>
      <c r="CY36">
        <f t="shared" si="50"/>
        <v>0</v>
      </c>
      <c r="CZ36">
        <f t="shared" si="51"/>
        <v>0</v>
      </c>
      <c r="DC36" t="s">
        <v>6</v>
      </c>
      <c r="DD36" t="s">
        <v>6</v>
      </c>
      <c r="DE36" t="s">
        <v>6</v>
      </c>
      <c r="DF36" t="s">
        <v>6</v>
      </c>
      <c r="DG36" t="s">
        <v>6</v>
      </c>
      <c r="DH36" t="s">
        <v>6</v>
      </c>
      <c r="DI36" t="s">
        <v>6</v>
      </c>
      <c r="DJ36" t="s">
        <v>6</v>
      </c>
      <c r="DK36" t="s">
        <v>6</v>
      </c>
      <c r="DL36" t="s">
        <v>6</v>
      </c>
      <c r="DM36" t="s">
        <v>6</v>
      </c>
      <c r="DN36">
        <v>0</v>
      </c>
      <c r="DO36">
        <v>0</v>
      </c>
      <c r="DP36">
        <v>1</v>
      </c>
      <c r="DQ36">
        <v>1</v>
      </c>
      <c r="DU36">
        <v>1009</v>
      </c>
      <c r="DV36" t="s">
        <v>65</v>
      </c>
      <c r="DW36" t="s">
        <v>65</v>
      </c>
      <c r="DX36">
        <v>1000</v>
      </c>
      <c r="EE36">
        <v>16510566</v>
      </c>
      <c r="EF36">
        <v>6</v>
      </c>
      <c r="EG36" t="s">
        <v>20</v>
      </c>
      <c r="EH36">
        <v>0</v>
      </c>
      <c r="EI36" t="s">
        <v>6</v>
      </c>
      <c r="EJ36">
        <v>1</v>
      </c>
      <c r="EK36">
        <v>57001</v>
      </c>
      <c r="EL36" t="s">
        <v>21</v>
      </c>
      <c r="EM36" t="s">
        <v>22</v>
      </c>
      <c r="EO36" t="s">
        <v>6</v>
      </c>
      <c r="EQ36">
        <v>0</v>
      </c>
      <c r="ER36">
        <v>728.14</v>
      </c>
      <c r="ES36">
        <v>728.14</v>
      </c>
      <c r="ET36">
        <v>0</v>
      </c>
      <c r="EU36">
        <v>0</v>
      </c>
      <c r="EV36">
        <v>0</v>
      </c>
      <c r="EW36">
        <v>0</v>
      </c>
      <c r="EX36">
        <v>0</v>
      </c>
      <c r="FQ36">
        <v>0</v>
      </c>
      <c r="FR36">
        <f t="shared" si="52"/>
        <v>0</v>
      </c>
      <c r="FS36">
        <v>0</v>
      </c>
      <c r="FX36">
        <v>80</v>
      </c>
      <c r="FY36">
        <v>68</v>
      </c>
      <c r="GA36" t="s">
        <v>6</v>
      </c>
      <c r="GD36">
        <v>0</v>
      </c>
      <c r="GF36">
        <v>50694098</v>
      </c>
      <c r="GG36">
        <v>1</v>
      </c>
      <c r="GH36">
        <v>1</v>
      </c>
      <c r="GI36">
        <v>4</v>
      </c>
      <c r="GJ36">
        <v>0</v>
      </c>
      <c r="GK36">
        <f>ROUND(R36*(R12)/100,2)</f>
        <v>0</v>
      </c>
      <c r="GL36">
        <f t="shared" si="53"/>
        <v>0</v>
      </c>
      <c r="GM36">
        <f t="shared" si="54"/>
        <v>6805.63</v>
      </c>
      <c r="GN36">
        <f t="shared" si="55"/>
        <v>6805.63</v>
      </c>
      <c r="GO36">
        <f t="shared" si="56"/>
        <v>0</v>
      </c>
      <c r="GP36">
        <f t="shared" si="57"/>
        <v>0</v>
      </c>
      <c r="GR36">
        <v>0</v>
      </c>
      <c r="GS36">
        <v>0</v>
      </c>
      <c r="GT36">
        <v>0</v>
      </c>
      <c r="GU36" t="s">
        <v>6</v>
      </c>
      <c r="GV36">
        <f t="shared" si="58"/>
        <v>0</v>
      </c>
      <c r="GW36">
        <v>1</v>
      </c>
      <c r="GX36">
        <f t="shared" si="59"/>
        <v>0</v>
      </c>
      <c r="HA36">
        <v>0</v>
      </c>
      <c r="HB36">
        <v>0</v>
      </c>
      <c r="HC36">
        <f t="shared" si="60"/>
        <v>0</v>
      </c>
      <c r="IK36">
        <v>0</v>
      </c>
    </row>
    <row r="37" spans="1:245" x14ac:dyDescent="0.2">
      <c r="A37">
        <v>17</v>
      </c>
      <c r="B37">
        <v>1</v>
      </c>
      <c r="C37">
        <f>ROW(SmtRes!A25)</f>
        <v>25</v>
      </c>
      <c r="D37">
        <f>ROW(EtalonRes!A30)</f>
        <v>30</v>
      </c>
      <c r="E37" t="s">
        <v>67</v>
      </c>
      <c r="F37" t="s">
        <v>68</v>
      </c>
      <c r="G37" t="s">
        <v>69</v>
      </c>
      <c r="H37" t="s">
        <v>26</v>
      </c>
      <c r="I37">
        <f>ROUND(209.8/100,9)</f>
        <v>2.0979999999999999</v>
      </c>
      <c r="J37">
        <v>0</v>
      </c>
      <c r="O37">
        <f t="shared" si="21"/>
        <v>155960.57999999999</v>
      </c>
      <c r="P37">
        <f t="shared" si="22"/>
        <v>150648.82999999999</v>
      </c>
      <c r="Q37">
        <f t="shared" si="23"/>
        <v>109.66</v>
      </c>
      <c r="R37">
        <f t="shared" si="24"/>
        <v>34.630000000000003</v>
      </c>
      <c r="S37">
        <f t="shared" si="25"/>
        <v>5202.09</v>
      </c>
      <c r="T37">
        <f t="shared" si="26"/>
        <v>0</v>
      </c>
      <c r="U37">
        <f t="shared" si="27"/>
        <v>90.886408999999986</v>
      </c>
      <c r="V37">
        <f t="shared" si="28"/>
        <v>0.44582500000000003</v>
      </c>
      <c r="W37">
        <f t="shared" si="29"/>
        <v>0</v>
      </c>
      <c r="X37">
        <f t="shared" si="30"/>
        <v>5812.76</v>
      </c>
      <c r="Y37">
        <f t="shared" si="31"/>
        <v>3351.5</v>
      </c>
      <c r="AA37">
        <v>16802145</v>
      </c>
      <c r="AB37">
        <f t="shared" si="32"/>
        <v>11078.65</v>
      </c>
      <c r="AC37">
        <f t="shared" si="33"/>
        <v>10701.33</v>
      </c>
      <c r="AD37">
        <f>ROUND(((((ET37*1.25))-((EU37*1.25)))+AE37),2)</f>
        <v>7.79</v>
      </c>
      <c r="AE37">
        <f>ROUND(((EU37*1.25)),2)</f>
        <v>2.46</v>
      </c>
      <c r="AF37">
        <f>ROUND(((EV37*1.15)),2)</f>
        <v>369.53</v>
      </c>
      <c r="AG37">
        <f t="shared" si="37"/>
        <v>0</v>
      </c>
      <c r="AH37">
        <f>((EW37*1.15))</f>
        <v>43.320499999999996</v>
      </c>
      <c r="AI37">
        <f>((EX37*1.25))</f>
        <v>0.21250000000000002</v>
      </c>
      <c r="AJ37">
        <f t="shared" si="40"/>
        <v>0</v>
      </c>
      <c r="AK37">
        <v>11028.89</v>
      </c>
      <c r="AL37">
        <v>10701.33</v>
      </c>
      <c r="AM37">
        <v>6.23</v>
      </c>
      <c r="AN37">
        <v>1.97</v>
      </c>
      <c r="AO37">
        <v>321.33</v>
      </c>
      <c r="AP37">
        <v>0</v>
      </c>
      <c r="AQ37">
        <v>37.67</v>
      </c>
      <c r="AR37">
        <v>0.17</v>
      </c>
      <c r="AS37">
        <v>0</v>
      </c>
      <c r="AT37">
        <v>111</v>
      </c>
      <c r="AU37">
        <v>64</v>
      </c>
      <c r="AV37">
        <v>1</v>
      </c>
      <c r="AW37">
        <v>1</v>
      </c>
      <c r="AZ37">
        <v>6.71</v>
      </c>
      <c r="BA37">
        <v>6.71</v>
      </c>
      <c r="BB37">
        <v>6.71</v>
      </c>
      <c r="BC37">
        <v>6.71</v>
      </c>
      <c r="BD37" t="s">
        <v>6</v>
      </c>
      <c r="BE37" t="s">
        <v>6</v>
      </c>
      <c r="BF37" t="s">
        <v>6</v>
      </c>
      <c r="BG37" t="s">
        <v>6</v>
      </c>
      <c r="BH37">
        <v>0</v>
      </c>
      <c r="BI37">
        <v>1</v>
      </c>
      <c r="BJ37" t="s">
        <v>70</v>
      </c>
      <c r="BM37">
        <v>11001</v>
      </c>
      <c r="BN37">
        <v>0</v>
      </c>
      <c r="BO37" t="s">
        <v>6</v>
      </c>
      <c r="BP37">
        <v>0</v>
      </c>
      <c r="BQ37">
        <v>2</v>
      </c>
      <c r="BR37">
        <v>0</v>
      </c>
      <c r="BS37">
        <v>6.71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6</v>
      </c>
      <c r="BZ37">
        <v>123</v>
      </c>
      <c r="CA37">
        <v>75</v>
      </c>
      <c r="CE37">
        <v>0</v>
      </c>
      <c r="CF37">
        <v>0</v>
      </c>
      <c r="CG37">
        <v>0</v>
      </c>
      <c r="CM37">
        <v>0</v>
      </c>
      <c r="CN37" t="s">
        <v>959</v>
      </c>
      <c r="CO37">
        <v>0</v>
      </c>
      <c r="CP37">
        <f t="shared" si="41"/>
        <v>155960.57999999999</v>
      </c>
      <c r="CQ37">
        <f t="shared" si="42"/>
        <v>71805.924299999999</v>
      </c>
      <c r="CR37">
        <f t="shared" si="43"/>
        <v>52.270899999999997</v>
      </c>
      <c r="CS37">
        <f t="shared" si="44"/>
        <v>16.506599999999999</v>
      </c>
      <c r="CT37">
        <f t="shared" si="45"/>
        <v>2479.5463</v>
      </c>
      <c r="CU37">
        <f t="shared" si="46"/>
        <v>0</v>
      </c>
      <c r="CV37">
        <f t="shared" si="47"/>
        <v>43.320499999999996</v>
      </c>
      <c r="CW37">
        <f t="shared" si="48"/>
        <v>0.21250000000000002</v>
      </c>
      <c r="CX37">
        <f t="shared" si="49"/>
        <v>0</v>
      </c>
      <c r="CY37">
        <f t="shared" si="50"/>
        <v>5812.7592000000004</v>
      </c>
      <c r="CZ37">
        <f t="shared" si="51"/>
        <v>3351.5008000000003</v>
      </c>
      <c r="DC37" t="s">
        <v>6</v>
      </c>
      <c r="DD37" t="s">
        <v>6</v>
      </c>
      <c r="DE37" t="s">
        <v>71</v>
      </c>
      <c r="DF37" t="s">
        <v>71</v>
      </c>
      <c r="DG37" t="s">
        <v>72</v>
      </c>
      <c r="DH37" t="s">
        <v>6</v>
      </c>
      <c r="DI37" t="s">
        <v>72</v>
      </c>
      <c r="DJ37" t="s">
        <v>71</v>
      </c>
      <c r="DK37" t="s">
        <v>6</v>
      </c>
      <c r="DL37" t="s">
        <v>6</v>
      </c>
      <c r="DM37" t="s">
        <v>6</v>
      </c>
      <c r="DN37">
        <v>0</v>
      </c>
      <c r="DO37">
        <v>0</v>
      </c>
      <c r="DP37">
        <v>1</v>
      </c>
      <c r="DQ37">
        <v>1</v>
      </c>
      <c r="DU37">
        <v>1005</v>
      </c>
      <c r="DV37" t="s">
        <v>26</v>
      </c>
      <c r="DW37" t="s">
        <v>26</v>
      </c>
      <c r="DX37">
        <v>100</v>
      </c>
      <c r="EE37">
        <v>16510488</v>
      </c>
      <c r="EF37">
        <v>2</v>
      </c>
      <c r="EG37" t="s">
        <v>48</v>
      </c>
      <c r="EH37">
        <v>0</v>
      </c>
      <c r="EI37" t="s">
        <v>6</v>
      </c>
      <c r="EJ37">
        <v>1</v>
      </c>
      <c r="EK37">
        <v>11001</v>
      </c>
      <c r="EL37" t="s">
        <v>21</v>
      </c>
      <c r="EM37" t="s">
        <v>73</v>
      </c>
      <c r="EO37" t="s">
        <v>74</v>
      </c>
      <c r="EQ37">
        <v>131072</v>
      </c>
      <c r="ER37">
        <v>11028.89</v>
      </c>
      <c r="ES37">
        <v>10701.33</v>
      </c>
      <c r="ET37">
        <v>6.23</v>
      </c>
      <c r="EU37">
        <v>1.97</v>
      </c>
      <c r="EV37">
        <v>321.33</v>
      </c>
      <c r="EW37">
        <v>37.67</v>
      </c>
      <c r="EX37">
        <v>0.17</v>
      </c>
      <c r="EY37">
        <v>0</v>
      </c>
      <c r="FQ37">
        <v>0</v>
      </c>
      <c r="FR37">
        <f t="shared" si="52"/>
        <v>0</v>
      </c>
      <c r="FS37">
        <v>0</v>
      </c>
      <c r="FT37" t="s">
        <v>51</v>
      </c>
      <c r="FU37" t="s">
        <v>52</v>
      </c>
      <c r="FX37">
        <v>110.7</v>
      </c>
      <c r="FY37">
        <v>63.75</v>
      </c>
      <c r="GA37" t="s">
        <v>6</v>
      </c>
      <c r="GD37">
        <v>0</v>
      </c>
      <c r="GF37">
        <v>1715562049</v>
      </c>
      <c r="GG37">
        <v>1</v>
      </c>
      <c r="GH37">
        <v>1</v>
      </c>
      <c r="GI37">
        <v>4</v>
      </c>
      <c r="GJ37">
        <v>0</v>
      </c>
      <c r="GK37">
        <f>ROUND(R37*(R12)/100,2)</f>
        <v>0</v>
      </c>
      <c r="GL37">
        <f t="shared" si="53"/>
        <v>0</v>
      </c>
      <c r="GM37">
        <f t="shared" si="54"/>
        <v>165124.84</v>
      </c>
      <c r="GN37">
        <f t="shared" si="55"/>
        <v>165124.84</v>
      </c>
      <c r="GO37">
        <f t="shared" si="56"/>
        <v>0</v>
      </c>
      <c r="GP37">
        <f t="shared" si="57"/>
        <v>0</v>
      </c>
      <c r="GR37">
        <v>0</v>
      </c>
      <c r="GS37">
        <v>0</v>
      </c>
      <c r="GT37">
        <v>0</v>
      </c>
      <c r="GU37" t="s">
        <v>6</v>
      </c>
      <c r="GV37">
        <f t="shared" si="58"/>
        <v>0</v>
      </c>
      <c r="GW37">
        <v>1</v>
      </c>
      <c r="GX37">
        <f t="shared" si="59"/>
        <v>0</v>
      </c>
      <c r="HA37">
        <v>0</v>
      </c>
      <c r="HB37">
        <v>0</v>
      </c>
      <c r="HC37">
        <f t="shared" si="60"/>
        <v>0</v>
      </c>
      <c r="IK37">
        <v>0</v>
      </c>
    </row>
    <row r="38" spans="1:245" x14ac:dyDescent="0.2">
      <c r="A38">
        <v>17</v>
      </c>
      <c r="B38">
        <v>1</v>
      </c>
      <c r="C38">
        <f>ROW(SmtRes!A31)</f>
        <v>31</v>
      </c>
      <c r="D38">
        <f>ROW(EtalonRes!A36)</f>
        <v>36</v>
      </c>
      <c r="E38" t="s">
        <v>75</v>
      </c>
      <c r="F38" t="s">
        <v>76</v>
      </c>
      <c r="G38" t="s">
        <v>77</v>
      </c>
      <c r="H38" t="s">
        <v>26</v>
      </c>
      <c r="I38">
        <f>ROUND(209.8/100,9)</f>
        <v>2.0979999999999999</v>
      </c>
      <c r="J38">
        <v>0</v>
      </c>
      <c r="O38">
        <f t="shared" si="21"/>
        <v>145984.51</v>
      </c>
      <c r="P38">
        <f t="shared" si="22"/>
        <v>144207.21</v>
      </c>
      <c r="Q38">
        <f t="shared" si="23"/>
        <v>106.57</v>
      </c>
      <c r="R38">
        <f t="shared" si="24"/>
        <v>30.83</v>
      </c>
      <c r="S38">
        <f t="shared" si="25"/>
        <v>1670.73</v>
      </c>
      <c r="T38">
        <f t="shared" si="26"/>
        <v>0</v>
      </c>
      <c r="U38">
        <f t="shared" si="27"/>
        <v>29.193669999999997</v>
      </c>
      <c r="V38">
        <f t="shared" si="28"/>
        <v>0.39337499999999997</v>
      </c>
      <c r="W38">
        <f t="shared" si="29"/>
        <v>0</v>
      </c>
      <c r="X38">
        <f t="shared" si="30"/>
        <v>1888.73</v>
      </c>
      <c r="Y38">
        <f t="shared" si="31"/>
        <v>1089</v>
      </c>
      <c r="AA38">
        <v>16802145</v>
      </c>
      <c r="AB38">
        <f t="shared" si="32"/>
        <v>10370</v>
      </c>
      <c r="AC38">
        <f>ROUND(((ES38*5)),2)</f>
        <v>10243.75</v>
      </c>
      <c r="AD38">
        <f>ROUND(((((ET38*1.25*5))-((EU38*1.25*5)))+AE38),2)</f>
        <v>7.57</v>
      </c>
      <c r="AE38">
        <f>ROUND(((EU38*1.25*5)),2)</f>
        <v>2.19</v>
      </c>
      <c r="AF38">
        <f>ROUND(((EV38*1.15*5)),2)</f>
        <v>118.68</v>
      </c>
      <c r="AG38">
        <f t="shared" si="37"/>
        <v>0</v>
      </c>
      <c r="AH38">
        <f>((EW38*1.15*5))</f>
        <v>13.914999999999999</v>
      </c>
      <c r="AI38">
        <f>((EX38*1.25*5))</f>
        <v>0.1875</v>
      </c>
      <c r="AJ38">
        <f t="shared" si="40"/>
        <v>0</v>
      </c>
      <c r="AK38">
        <v>2070.6</v>
      </c>
      <c r="AL38">
        <v>2048.75</v>
      </c>
      <c r="AM38">
        <v>1.21</v>
      </c>
      <c r="AN38">
        <v>0.35</v>
      </c>
      <c r="AO38">
        <v>20.64</v>
      </c>
      <c r="AP38">
        <v>0</v>
      </c>
      <c r="AQ38">
        <v>2.42</v>
      </c>
      <c r="AR38">
        <v>0.03</v>
      </c>
      <c r="AS38">
        <v>0</v>
      </c>
      <c r="AT38">
        <v>111</v>
      </c>
      <c r="AU38">
        <v>64</v>
      </c>
      <c r="AV38">
        <v>1</v>
      </c>
      <c r="AW38">
        <v>1</v>
      </c>
      <c r="AZ38">
        <v>6.71</v>
      </c>
      <c r="BA38">
        <v>6.71</v>
      </c>
      <c r="BB38">
        <v>6.71</v>
      </c>
      <c r="BC38">
        <v>6.71</v>
      </c>
      <c r="BD38" t="s">
        <v>6</v>
      </c>
      <c r="BE38" t="s">
        <v>6</v>
      </c>
      <c r="BF38" t="s">
        <v>6</v>
      </c>
      <c r="BG38" t="s">
        <v>6</v>
      </c>
      <c r="BH38">
        <v>0</v>
      </c>
      <c r="BI38">
        <v>1</v>
      </c>
      <c r="BJ38" t="s">
        <v>78</v>
      </c>
      <c r="BM38">
        <v>11001</v>
      </c>
      <c r="BN38">
        <v>0</v>
      </c>
      <c r="BO38" t="s">
        <v>6</v>
      </c>
      <c r="BP38">
        <v>0</v>
      </c>
      <c r="BQ38">
        <v>2</v>
      </c>
      <c r="BR38">
        <v>0</v>
      </c>
      <c r="BS38">
        <v>6.71</v>
      </c>
      <c r="BT38">
        <v>1</v>
      </c>
      <c r="BU38">
        <v>1</v>
      </c>
      <c r="BV38">
        <v>1</v>
      </c>
      <c r="BW38">
        <v>1</v>
      </c>
      <c r="BX38">
        <v>1</v>
      </c>
      <c r="BY38" t="s">
        <v>6</v>
      </c>
      <c r="BZ38">
        <v>123</v>
      </c>
      <c r="CA38">
        <v>75</v>
      </c>
      <c r="CE38">
        <v>0</v>
      </c>
      <c r="CF38">
        <v>0</v>
      </c>
      <c r="CG38">
        <v>0</v>
      </c>
      <c r="CM38">
        <v>0</v>
      </c>
      <c r="CN38" t="s">
        <v>959</v>
      </c>
      <c r="CO38">
        <v>0</v>
      </c>
      <c r="CP38">
        <f t="shared" si="41"/>
        <v>145984.51</v>
      </c>
      <c r="CQ38">
        <f t="shared" si="42"/>
        <v>68735.5625</v>
      </c>
      <c r="CR38">
        <f t="shared" si="43"/>
        <v>50.794699999999999</v>
      </c>
      <c r="CS38">
        <f t="shared" si="44"/>
        <v>14.694899999999999</v>
      </c>
      <c r="CT38">
        <f t="shared" si="45"/>
        <v>796.34280000000001</v>
      </c>
      <c r="CU38">
        <f t="shared" si="46"/>
        <v>0</v>
      </c>
      <c r="CV38">
        <f t="shared" si="47"/>
        <v>13.914999999999999</v>
      </c>
      <c r="CW38">
        <f t="shared" si="48"/>
        <v>0.1875</v>
      </c>
      <c r="CX38">
        <f t="shared" si="49"/>
        <v>0</v>
      </c>
      <c r="CY38">
        <f t="shared" si="50"/>
        <v>1888.7316000000001</v>
      </c>
      <c r="CZ38">
        <f t="shared" si="51"/>
        <v>1088.9983999999999</v>
      </c>
      <c r="DC38" t="s">
        <v>6</v>
      </c>
      <c r="DD38" t="s">
        <v>79</v>
      </c>
      <c r="DE38" t="s">
        <v>80</v>
      </c>
      <c r="DF38" t="s">
        <v>80</v>
      </c>
      <c r="DG38" t="s">
        <v>81</v>
      </c>
      <c r="DH38" t="s">
        <v>6</v>
      </c>
      <c r="DI38" t="s">
        <v>81</v>
      </c>
      <c r="DJ38" t="s">
        <v>80</v>
      </c>
      <c r="DK38" t="s">
        <v>6</v>
      </c>
      <c r="DL38" t="s">
        <v>6</v>
      </c>
      <c r="DM38" t="s">
        <v>6</v>
      </c>
      <c r="DN38">
        <v>0</v>
      </c>
      <c r="DO38">
        <v>0</v>
      </c>
      <c r="DP38">
        <v>1</v>
      </c>
      <c r="DQ38">
        <v>1</v>
      </c>
      <c r="DU38">
        <v>1005</v>
      </c>
      <c r="DV38" t="s">
        <v>26</v>
      </c>
      <c r="DW38" t="s">
        <v>26</v>
      </c>
      <c r="DX38">
        <v>100</v>
      </c>
      <c r="EE38">
        <v>16510488</v>
      </c>
      <c r="EF38">
        <v>2</v>
      </c>
      <c r="EG38" t="s">
        <v>48</v>
      </c>
      <c r="EH38">
        <v>0</v>
      </c>
      <c r="EI38" t="s">
        <v>6</v>
      </c>
      <c r="EJ38">
        <v>1</v>
      </c>
      <c r="EK38">
        <v>11001</v>
      </c>
      <c r="EL38" t="s">
        <v>21</v>
      </c>
      <c r="EM38" t="s">
        <v>73</v>
      </c>
      <c r="EO38" t="s">
        <v>74</v>
      </c>
      <c r="EQ38">
        <v>131072</v>
      </c>
      <c r="ER38">
        <v>2070.6</v>
      </c>
      <c r="ES38">
        <v>2048.75</v>
      </c>
      <c r="ET38">
        <v>1.21</v>
      </c>
      <c r="EU38">
        <v>0.35</v>
      </c>
      <c r="EV38">
        <v>20.64</v>
      </c>
      <c r="EW38">
        <v>2.42</v>
      </c>
      <c r="EX38">
        <v>0.03</v>
      </c>
      <c r="EY38">
        <v>0</v>
      </c>
      <c r="FQ38">
        <v>0</v>
      </c>
      <c r="FR38">
        <f t="shared" si="52"/>
        <v>0</v>
      </c>
      <c r="FS38">
        <v>0</v>
      </c>
      <c r="FT38" t="s">
        <v>51</v>
      </c>
      <c r="FU38" t="s">
        <v>52</v>
      </c>
      <c r="FX38">
        <v>110.7</v>
      </c>
      <c r="FY38">
        <v>63.75</v>
      </c>
      <c r="GA38" t="s">
        <v>6</v>
      </c>
      <c r="GD38">
        <v>0</v>
      </c>
      <c r="GF38">
        <v>337317905</v>
      </c>
      <c r="GG38">
        <v>1</v>
      </c>
      <c r="GH38">
        <v>1</v>
      </c>
      <c r="GI38">
        <v>4</v>
      </c>
      <c r="GJ38">
        <v>0</v>
      </c>
      <c r="GK38">
        <f>ROUND(R38*(R12)/100,2)</f>
        <v>0</v>
      </c>
      <c r="GL38">
        <f t="shared" si="53"/>
        <v>0</v>
      </c>
      <c r="GM38">
        <f t="shared" si="54"/>
        <v>148962.23999999999</v>
      </c>
      <c r="GN38">
        <f t="shared" si="55"/>
        <v>148962.23999999999</v>
      </c>
      <c r="GO38">
        <f t="shared" si="56"/>
        <v>0</v>
      </c>
      <c r="GP38">
        <f t="shared" si="57"/>
        <v>0</v>
      </c>
      <c r="GR38">
        <v>0</v>
      </c>
      <c r="GS38">
        <v>3</v>
      </c>
      <c r="GT38">
        <v>0</v>
      </c>
      <c r="GU38" t="s">
        <v>6</v>
      </c>
      <c r="GV38">
        <f t="shared" si="58"/>
        <v>0</v>
      </c>
      <c r="GW38">
        <v>1</v>
      </c>
      <c r="GX38">
        <f t="shared" si="59"/>
        <v>0</v>
      </c>
      <c r="HA38">
        <v>0</v>
      </c>
      <c r="HB38">
        <v>0</v>
      </c>
      <c r="HC38">
        <f t="shared" si="60"/>
        <v>0</v>
      </c>
      <c r="IK38">
        <v>0</v>
      </c>
    </row>
    <row r="39" spans="1:245" x14ac:dyDescent="0.2">
      <c r="A39">
        <v>17</v>
      </c>
      <c r="B39">
        <v>1</v>
      </c>
      <c r="C39">
        <f>ROW(SmtRes!A39)</f>
        <v>39</v>
      </c>
      <c r="D39">
        <f>ROW(EtalonRes!A44)</f>
        <v>44</v>
      </c>
      <c r="E39" t="s">
        <v>82</v>
      </c>
      <c r="F39" t="s">
        <v>83</v>
      </c>
      <c r="G39" t="s">
        <v>84</v>
      </c>
      <c r="H39" t="s">
        <v>26</v>
      </c>
      <c r="I39">
        <f>ROUND(209.8/100,9)</f>
        <v>2.0979999999999999</v>
      </c>
      <c r="J39">
        <v>0</v>
      </c>
      <c r="O39">
        <f t="shared" si="21"/>
        <v>3926.52</v>
      </c>
      <c r="P39">
        <f t="shared" si="22"/>
        <v>2988.53</v>
      </c>
      <c r="Q39">
        <f t="shared" si="23"/>
        <v>389.67</v>
      </c>
      <c r="R39">
        <f t="shared" si="24"/>
        <v>10.28</v>
      </c>
      <c r="S39">
        <f t="shared" si="25"/>
        <v>548.32000000000005</v>
      </c>
      <c r="T39">
        <f t="shared" si="26"/>
        <v>0</v>
      </c>
      <c r="U39">
        <f t="shared" si="27"/>
        <v>8.902863</v>
      </c>
      <c r="V39">
        <f t="shared" si="28"/>
        <v>0.13112499999999999</v>
      </c>
      <c r="W39">
        <f t="shared" si="29"/>
        <v>0</v>
      </c>
      <c r="X39">
        <f t="shared" si="30"/>
        <v>530.66999999999996</v>
      </c>
      <c r="Y39">
        <f t="shared" si="31"/>
        <v>262.54000000000002</v>
      </c>
      <c r="AA39">
        <v>16802145</v>
      </c>
      <c r="AB39">
        <f t="shared" si="32"/>
        <v>278.92</v>
      </c>
      <c r="AC39">
        <f t="shared" ref="AC39:AC65" si="61">ROUND((ES39),2)</f>
        <v>212.29</v>
      </c>
      <c r="AD39">
        <f>ROUND(((((ET39*1.25))-((EU39*1.25)))+AE39),2)</f>
        <v>27.68</v>
      </c>
      <c r="AE39">
        <f>ROUND(((EU39*1.25)),2)</f>
        <v>0.73</v>
      </c>
      <c r="AF39">
        <f>ROUND(((EV39*1.15)),2)</f>
        <v>38.950000000000003</v>
      </c>
      <c r="AG39">
        <f t="shared" si="37"/>
        <v>0</v>
      </c>
      <c r="AH39">
        <f>((EW39*1.15))</f>
        <v>4.2435</v>
      </c>
      <c r="AI39">
        <f>((EX39*1.25))</f>
        <v>6.25E-2</v>
      </c>
      <c r="AJ39">
        <f t="shared" si="40"/>
        <v>0</v>
      </c>
      <c r="AK39">
        <v>268.3</v>
      </c>
      <c r="AL39">
        <v>212.29</v>
      </c>
      <c r="AM39">
        <v>22.14</v>
      </c>
      <c r="AN39">
        <v>0.57999999999999996</v>
      </c>
      <c r="AO39">
        <v>33.869999999999997</v>
      </c>
      <c r="AP39">
        <v>0</v>
      </c>
      <c r="AQ39">
        <v>3.69</v>
      </c>
      <c r="AR39">
        <v>0.05</v>
      </c>
      <c r="AS39">
        <v>0</v>
      </c>
      <c r="AT39">
        <v>95</v>
      </c>
      <c r="AU39">
        <v>47</v>
      </c>
      <c r="AV39">
        <v>1</v>
      </c>
      <c r="AW39">
        <v>1</v>
      </c>
      <c r="AZ39">
        <v>6.71</v>
      </c>
      <c r="BA39">
        <v>6.71</v>
      </c>
      <c r="BB39">
        <v>6.71</v>
      </c>
      <c r="BC39">
        <v>6.71</v>
      </c>
      <c r="BD39" t="s">
        <v>6</v>
      </c>
      <c r="BE39" t="s">
        <v>6</v>
      </c>
      <c r="BF39" t="s">
        <v>6</v>
      </c>
      <c r="BG39" t="s">
        <v>6</v>
      </c>
      <c r="BH39">
        <v>0</v>
      </c>
      <c r="BI39">
        <v>1</v>
      </c>
      <c r="BJ39" t="s">
        <v>85</v>
      </c>
      <c r="BM39">
        <v>15001</v>
      </c>
      <c r="BN39">
        <v>0</v>
      </c>
      <c r="BO39" t="s">
        <v>6</v>
      </c>
      <c r="BP39">
        <v>0</v>
      </c>
      <c r="BQ39">
        <v>2</v>
      </c>
      <c r="BR39">
        <v>0</v>
      </c>
      <c r="BS39">
        <v>6.71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6</v>
      </c>
      <c r="BZ39">
        <v>105</v>
      </c>
      <c r="CA39">
        <v>55</v>
      </c>
      <c r="CE39">
        <v>0</v>
      </c>
      <c r="CF39">
        <v>0</v>
      </c>
      <c r="CG39">
        <v>0</v>
      </c>
      <c r="CM39">
        <v>0</v>
      </c>
      <c r="CN39" t="s">
        <v>959</v>
      </c>
      <c r="CO39">
        <v>0</v>
      </c>
      <c r="CP39">
        <f t="shared" si="41"/>
        <v>3926.5200000000004</v>
      </c>
      <c r="CQ39">
        <f t="shared" si="42"/>
        <v>1424.4658999999999</v>
      </c>
      <c r="CR39">
        <f t="shared" si="43"/>
        <v>185.7328</v>
      </c>
      <c r="CS39">
        <f t="shared" si="44"/>
        <v>4.8982999999999999</v>
      </c>
      <c r="CT39">
        <f t="shared" si="45"/>
        <v>261.35450000000003</v>
      </c>
      <c r="CU39">
        <f t="shared" si="46"/>
        <v>0</v>
      </c>
      <c r="CV39">
        <f t="shared" si="47"/>
        <v>4.2435</v>
      </c>
      <c r="CW39">
        <f t="shared" si="48"/>
        <v>6.25E-2</v>
      </c>
      <c r="CX39">
        <f t="shared" si="49"/>
        <v>0</v>
      </c>
      <c r="CY39">
        <f t="shared" si="50"/>
        <v>530.66999999999996</v>
      </c>
      <c r="CZ39">
        <f t="shared" si="51"/>
        <v>262.54200000000003</v>
      </c>
      <c r="DC39" t="s">
        <v>6</v>
      </c>
      <c r="DD39" t="s">
        <v>6</v>
      </c>
      <c r="DE39" t="s">
        <v>71</v>
      </c>
      <c r="DF39" t="s">
        <v>71</v>
      </c>
      <c r="DG39" t="s">
        <v>72</v>
      </c>
      <c r="DH39" t="s">
        <v>6</v>
      </c>
      <c r="DI39" t="s">
        <v>72</v>
      </c>
      <c r="DJ39" t="s">
        <v>71</v>
      </c>
      <c r="DK39" t="s">
        <v>6</v>
      </c>
      <c r="DL39" t="s">
        <v>6</v>
      </c>
      <c r="DM39" t="s">
        <v>6</v>
      </c>
      <c r="DN39">
        <v>0</v>
      </c>
      <c r="DO39">
        <v>0</v>
      </c>
      <c r="DP39">
        <v>1</v>
      </c>
      <c r="DQ39">
        <v>1</v>
      </c>
      <c r="DU39">
        <v>1005</v>
      </c>
      <c r="DV39" t="s">
        <v>26</v>
      </c>
      <c r="DW39" t="s">
        <v>26</v>
      </c>
      <c r="DX39">
        <v>100</v>
      </c>
      <c r="EE39">
        <v>16510513</v>
      </c>
      <c r="EF39">
        <v>2</v>
      </c>
      <c r="EG39" t="s">
        <v>48</v>
      </c>
      <c r="EH39">
        <v>0</v>
      </c>
      <c r="EI39" t="s">
        <v>6</v>
      </c>
      <c r="EJ39">
        <v>1</v>
      </c>
      <c r="EK39">
        <v>15001</v>
      </c>
      <c r="EL39" t="s">
        <v>86</v>
      </c>
      <c r="EM39" t="s">
        <v>87</v>
      </c>
      <c r="EO39" t="s">
        <v>74</v>
      </c>
      <c r="EQ39">
        <v>131072</v>
      </c>
      <c r="ER39">
        <v>268.3</v>
      </c>
      <c r="ES39">
        <v>212.29</v>
      </c>
      <c r="ET39">
        <v>22.14</v>
      </c>
      <c r="EU39">
        <v>0.57999999999999996</v>
      </c>
      <c r="EV39">
        <v>33.869999999999997</v>
      </c>
      <c r="EW39">
        <v>3.69</v>
      </c>
      <c r="EX39">
        <v>0.05</v>
      </c>
      <c r="EY39">
        <v>0</v>
      </c>
      <c r="FQ39">
        <v>0</v>
      </c>
      <c r="FR39">
        <f t="shared" si="52"/>
        <v>0</v>
      </c>
      <c r="FS39">
        <v>0</v>
      </c>
      <c r="FT39" t="s">
        <v>51</v>
      </c>
      <c r="FU39" t="s">
        <v>52</v>
      </c>
      <c r="FX39">
        <v>94.5</v>
      </c>
      <c r="FY39">
        <v>46.75</v>
      </c>
      <c r="GA39" t="s">
        <v>6</v>
      </c>
      <c r="GD39">
        <v>0</v>
      </c>
      <c r="GF39">
        <v>686490124</v>
      </c>
      <c r="GG39">
        <v>1</v>
      </c>
      <c r="GH39">
        <v>1</v>
      </c>
      <c r="GI39">
        <v>4</v>
      </c>
      <c r="GJ39">
        <v>0</v>
      </c>
      <c r="GK39">
        <f>ROUND(R39*(R12)/100,2)</f>
        <v>0</v>
      </c>
      <c r="GL39">
        <f t="shared" si="53"/>
        <v>0</v>
      </c>
      <c r="GM39">
        <f t="shared" si="54"/>
        <v>4719.7299999999996</v>
      </c>
      <c r="GN39">
        <f t="shared" si="55"/>
        <v>4719.7299999999996</v>
      </c>
      <c r="GO39">
        <f t="shared" si="56"/>
        <v>0</v>
      </c>
      <c r="GP39">
        <f t="shared" si="57"/>
        <v>0</v>
      </c>
      <c r="GR39">
        <v>0</v>
      </c>
      <c r="GS39">
        <v>0</v>
      </c>
      <c r="GT39">
        <v>0</v>
      </c>
      <c r="GU39" t="s">
        <v>6</v>
      </c>
      <c r="GV39">
        <f t="shared" si="58"/>
        <v>0</v>
      </c>
      <c r="GW39">
        <v>1</v>
      </c>
      <c r="GX39">
        <f t="shared" si="59"/>
        <v>0</v>
      </c>
      <c r="HA39">
        <v>0</v>
      </c>
      <c r="HB39">
        <v>0</v>
      </c>
      <c r="HC39">
        <f t="shared" si="60"/>
        <v>0</v>
      </c>
      <c r="IK39">
        <v>0</v>
      </c>
    </row>
    <row r="40" spans="1:245" x14ac:dyDescent="0.2">
      <c r="A40">
        <v>17</v>
      </c>
      <c r="B40">
        <v>1</v>
      </c>
      <c r="C40">
        <f>ROW(SmtRes!A48)</f>
        <v>48</v>
      </c>
      <c r="D40">
        <f>ROW(EtalonRes!A51)</f>
        <v>51</v>
      </c>
      <c r="E40" t="s">
        <v>88</v>
      </c>
      <c r="F40" t="s">
        <v>89</v>
      </c>
      <c r="G40" t="s">
        <v>90</v>
      </c>
      <c r="H40" t="s">
        <v>26</v>
      </c>
      <c r="I40">
        <f>ROUND(209.8/100,9)</f>
        <v>2.0979999999999999</v>
      </c>
      <c r="J40">
        <v>0</v>
      </c>
      <c r="O40">
        <f t="shared" si="21"/>
        <v>5589.5</v>
      </c>
      <c r="P40">
        <f t="shared" si="22"/>
        <v>12.81</v>
      </c>
      <c r="Q40">
        <f t="shared" si="23"/>
        <v>616.6</v>
      </c>
      <c r="R40">
        <f t="shared" si="24"/>
        <v>148.24</v>
      </c>
      <c r="S40">
        <f t="shared" si="25"/>
        <v>4960.09</v>
      </c>
      <c r="T40">
        <f t="shared" si="26"/>
        <v>0</v>
      </c>
      <c r="U40">
        <f t="shared" si="27"/>
        <v>88.955199999999991</v>
      </c>
      <c r="V40">
        <f t="shared" si="28"/>
        <v>1.7832999999999999</v>
      </c>
      <c r="W40">
        <f t="shared" si="29"/>
        <v>0</v>
      </c>
      <c r="X40">
        <f t="shared" si="30"/>
        <v>5670.25</v>
      </c>
      <c r="Y40">
        <f t="shared" si="31"/>
        <v>3269.33</v>
      </c>
      <c r="AA40">
        <v>16802145</v>
      </c>
      <c r="AB40">
        <f t="shared" si="32"/>
        <v>397.05</v>
      </c>
      <c r="AC40">
        <f t="shared" si="61"/>
        <v>0.91</v>
      </c>
      <c r="AD40">
        <f>ROUND((((ET40)-(EU40))+AE40),2)</f>
        <v>43.8</v>
      </c>
      <c r="AE40">
        <f t="shared" ref="AE40:AF44" si="62">ROUND((EU40),2)</f>
        <v>10.53</v>
      </c>
      <c r="AF40">
        <f t="shared" si="62"/>
        <v>352.34</v>
      </c>
      <c r="AG40">
        <f t="shared" si="37"/>
        <v>0</v>
      </c>
      <c r="AH40">
        <f t="shared" ref="AH40:AI44" si="63">(EW40)</f>
        <v>42.4</v>
      </c>
      <c r="AI40">
        <f t="shared" si="63"/>
        <v>0.85</v>
      </c>
      <c r="AJ40">
        <f t="shared" si="40"/>
        <v>0</v>
      </c>
      <c r="AK40">
        <v>397.05</v>
      </c>
      <c r="AL40">
        <v>0.91</v>
      </c>
      <c r="AM40">
        <v>43.8</v>
      </c>
      <c r="AN40">
        <v>10.53</v>
      </c>
      <c r="AO40">
        <v>352.34</v>
      </c>
      <c r="AP40">
        <v>0</v>
      </c>
      <c r="AQ40">
        <v>42.4</v>
      </c>
      <c r="AR40">
        <v>0.85</v>
      </c>
      <c r="AS40">
        <v>0</v>
      </c>
      <c r="AT40">
        <v>111</v>
      </c>
      <c r="AU40">
        <v>64</v>
      </c>
      <c r="AV40">
        <v>1</v>
      </c>
      <c r="AW40">
        <v>1</v>
      </c>
      <c r="AZ40">
        <v>6.71</v>
      </c>
      <c r="BA40">
        <v>6.71</v>
      </c>
      <c r="BB40">
        <v>6.71</v>
      </c>
      <c r="BC40">
        <v>6.71</v>
      </c>
      <c r="BD40" t="s">
        <v>6</v>
      </c>
      <c r="BE40" t="s">
        <v>6</v>
      </c>
      <c r="BF40" t="s">
        <v>6</v>
      </c>
      <c r="BG40" t="s">
        <v>6</v>
      </c>
      <c r="BH40">
        <v>0</v>
      </c>
      <c r="BI40">
        <v>1</v>
      </c>
      <c r="BJ40" t="s">
        <v>91</v>
      </c>
      <c r="BM40">
        <v>11001</v>
      </c>
      <c r="BN40">
        <v>0</v>
      </c>
      <c r="BO40" t="s">
        <v>6</v>
      </c>
      <c r="BP40">
        <v>0</v>
      </c>
      <c r="BQ40">
        <v>2</v>
      </c>
      <c r="BR40">
        <v>0</v>
      </c>
      <c r="BS40">
        <v>6.71</v>
      </c>
      <c r="BT40">
        <v>1</v>
      </c>
      <c r="BU40">
        <v>1</v>
      </c>
      <c r="BV40">
        <v>1</v>
      </c>
      <c r="BW40">
        <v>1</v>
      </c>
      <c r="BX40">
        <v>1</v>
      </c>
      <c r="BY40" t="s">
        <v>6</v>
      </c>
      <c r="BZ40">
        <v>123</v>
      </c>
      <c r="CA40">
        <v>75</v>
      </c>
      <c r="CE40">
        <v>0</v>
      </c>
      <c r="CF40">
        <v>0</v>
      </c>
      <c r="CG40">
        <v>0</v>
      </c>
      <c r="CM40">
        <v>0</v>
      </c>
      <c r="CN40" t="s">
        <v>6</v>
      </c>
      <c r="CO40">
        <v>0</v>
      </c>
      <c r="CP40">
        <f t="shared" si="41"/>
        <v>5589.5</v>
      </c>
      <c r="CQ40">
        <f t="shared" si="42"/>
        <v>6.1061000000000005</v>
      </c>
      <c r="CR40">
        <f t="shared" si="43"/>
        <v>293.89799999999997</v>
      </c>
      <c r="CS40">
        <f t="shared" si="44"/>
        <v>70.656300000000002</v>
      </c>
      <c r="CT40">
        <f t="shared" si="45"/>
        <v>2364.2013999999999</v>
      </c>
      <c r="CU40">
        <f t="shared" si="46"/>
        <v>0</v>
      </c>
      <c r="CV40">
        <f t="shared" si="47"/>
        <v>42.4</v>
      </c>
      <c r="CW40">
        <f t="shared" si="48"/>
        <v>0.85</v>
      </c>
      <c r="CX40">
        <f t="shared" si="49"/>
        <v>0</v>
      </c>
      <c r="CY40">
        <f t="shared" si="50"/>
        <v>5670.2462999999998</v>
      </c>
      <c r="CZ40">
        <f t="shared" si="51"/>
        <v>3269.3312000000001</v>
      </c>
      <c r="DC40" t="s">
        <v>6</v>
      </c>
      <c r="DD40" t="s">
        <v>6</v>
      </c>
      <c r="DE40" t="s">
        <v>6</v>
      </c>
      <c r="DF40" t="s">
        <v>6</v>
      </c>
      <c r="DG40" t="s">
        <v>6</v>
      </c>
      <c r="DH40" t="s">
        <v>6</v>
      </c>
      <c r="DI40" t="s">
        <v>6</v>
      </c>
      <c r="DJ40" t="s">
        <v>6</v>
      </c>
      <c r="DK40" t="s">
        <v>6</v>
      </c>
      <c r="DL40" t="s">
        <v>6</v>
      </c>
      <c r="DM40" t="s">
        <v>6</v>
      </c>
      <c r="DN40">
        <v>0</v>
      </c>
      <c r="DO40">
        <v>0</v>
      </c>
      <c r="DP40">
        <v>1</v>
      </c>
      <c r="DQ40">
        <v>1</v>
      </c>
      <c r="DU40">
        <v>1005</v>
      </c>
      <c r="DV40" t="s">
        <v>26</v>
      </c>
      <c r="DW40" t="s">
        <v>26</v>
      </c>
      <c r="DX40">
        <v>100</v>
      </c>
      <c r="EE40">
        <v>16510488</v>
      </c>
      <c r="EF40">
        <v>2</v>
      </c>
      <c r="EG40" t="s">
        <v>48</v>
      </c>
      <c r="EH40">
        <v>0</v>
      </c>
      <c r="EI40" t="s">
        <v>6</v>
      </c>
      <c r="EJ40">
        <v>1</v>
      </c>
      <c r="EK40">
        <v>11001</v>
      </c>
      <c r="EL40" t="s">
        <v>21</v>
      </c>
      <c r="EM40" t="s">
        <v>73</v>
      </c>
      <c r="EO40" t="s">
        <v>6</v>
      </c>
      <c r="EQ40">
        <v>131072</v>
      </c>
      <c r="ER40">
        <v>397.05</v>
      </c>
      <c r="ES40">
        <v>0.91</v>
      </c>
      <c r="ET40">
        <v>43.8</v>
      </c>
      <c r="EU40">
        <v>10.53</v>
      </c>
      <c r="EV40">
        <v>352.34</v>
      </c>
      <c r="EW40">
        <v>42.4</v>
      </c>
      <c r="EX40">
        <v>0.85</v>
      </c>
      <c r="EY40">
        <v>0</v>
      </c>
      <c r="FQ40">
        <v>0</v>
      </c>
      <c r="FR40">
        <f t="shared" si="52"/>
        <v>0</v>
      </c>
      <c r="FS40">
        <v>0</v>
      </c>
      <c r="FT40" t="s">
        <v>51</v>
      </c>
      <c r="FU40" t="s">
        <v>52</v>
      </c>
      <c r="FX40">
        <v>110.7</v>
      </c>
      <c r="FY40">
        <v>63.75</v>
      </c>
      <c r="GA40" t="s">
        <v>6</v>
      </c>
      <c r="GD40">
        <v>0</v>
      </c>
      <c r="GF40">
        <v>35623097</v>
      </c>
      <c r="GG40">
        <v>1</v>
      </c>
      <c r="GH40">
        <v>1</v>
      </c>
      <c r="GI40">
        <v>4</v>
      </c>
      <c r="GJ40">
        <v>0</v>
      </c>
      <c r="GK40">
        <f>ROUND(R40*(R12)/100,2)</f>
        <v>0</v>
      </c>
      <c r="GL40">
        <f t="shared" si="53"/>
        <v>0</v>
      </c>
      <c r="GM40">
        <f t="shared" si="54"/>
        <v>14529.08</v>
      </c>
      <c r="GN40">
        <f t="shared" si="55"/>
        <v>14529.08</v>
      </c>
      <c r="GO40">
        <f t="shared" si="56"/>
        <v>0</v>
      </c>
      <c r="GP40">
        <f t="shared" si="57"/>
        <v>0</v>
      </c>
      <c r="GR40">
        <v>0</v>
      </c>
      <c r="GS40">
        <v>0</v>
      </c>
      <c r="GT40">
        <v>0</v>
      </c>
      <c r="GU40" t="s">
        <v>6</v>
      </c>
      <c r="GV40">
        <f t="shared" si="58"/>
        <v>0</v>
      </c>
      <c r="GW40">
        <v>1</v>
      </c>
      <c r="GX40">
        <f t="shared" si="59"/>
        <v>0</v>
      </c>
      <c r="HA40">
        <v>0</v>
      </c>
      <c r="HB40">
        <v>0</v>
      </c>
      <c r="HC40">
        <f t="shared" si="60"/>
        <v>0</v>
      </c>
      <c r="IK40">
        <v>0</v>
      </c>
    </row>
    <row r="41" spans="1:245" x14ac:dyDescent="0.2">
      <c r="A41">
        <v>18</v>
      </c>
      <c r="B41">
        <v>1</v>
      </c>
      <c r="C41">
        <v>44</v>
      </c>
      <c r="E41" t="s">
        <v>92</v>
      </c>
      <c r="F41" t="s">
        <v>93</v>
      </c>
      <c r="G41" t="s">
        <v>94</v>
      </c>
      <c r="H41" t="s">
        <v>95</v>
      </c>
      <c r="I41">
        <f>I40*J41</f>
        <v>213.99600000000001</v>
      </c>
      <c r="J41">
        <v>102.00000000000001</v>
      </c>
      <c r="O41">
        <f t="shared" si="21"/>
        <v>0</v>
      </c>
      <c r="P41">
        <f t="shared" si="22"/>
        <v>0</v>
      </c>
      <c r="Q41">
        <f t="shared" si="23"/>
        <v>0</v>
      </c>
      <c r="R41">
        <f t="shared" si="24"/>
        <v>0</v>
      </c>
      <c r="S41">
        <f t="shared" si="25"/>
        <v>0</v>
      </c>
      <c r="T41">
        <f t="shared" si="26"/>
        <v>0</v>
      </c>
      <c r="U41">
        <f t="shared" si="27"/>
        <v>0</v>
      </c>
      <c r="V41">
        <f t="shared" si="28"/>
        <v>0</v>
      </c>
      <c r="W41">
        <f t="shared" si="29"/>
        <v>0</v>
      </c>
      <c r="X41">
        <f t="shared" si="30"/>
        <v>0</v>
      </c>
      <c r="Y41">
        <f t="shared" si="31"/>
        <v>0</v>
      </c>
      <c r="AA41">
        <v>16802145</v>
      </c>
      <c r="AB41">
        <f t="shared" si="32"/>
        <v>0</v>
      </c>
      <c r="AC41">
        <f t="shared" si="61"/>
        <v>0</v>
      </c>
      <c r="AD41">
        <f>ROUND((((ET41)-(EU41))+AE41),2)</f>
        <v>0</v>
      </c>
      <c r="AE41">
        <f t="shared" si="62"/>
        <v>0</v>
      </c>
      <c r="AF41">
        <f t="shared" si="62"/>
        <v>0</v>
      </c>
      <c r="AG41">
        <f t="shared" si="37"/>
        <v>0</v>
      </c>
      <c r="AH41">
        <f t="shared" si="63"/>
        <v>0</v>
      </c>
      <c r="AI41">
        <f t="shared" si="63"/>
        <v>0</v>
      </c>
      <c r="AJ41">
        <f t="shared" si="40"/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111</v>
      </c>
      <c r="AU41">
        <v>64</v>
      </c>
      <c r="AV41">
        <v>1</v>
      </c>
      <c r="AW41">
        <v>1</v>
      </c>
      <c r="AZ41">
        <v>6.71</v>
      </c>
      <c r="BA41">
        <v>1</v>
      </c>
      <c r="BB41">
        <v>1</v>
      </c>
      <c r="BC41">
        <v>6.71</v>
      </c>
      <c r="BD41" t="s">
        <v>6</v>
      </c>
      <c r="BE41" t="s">
        <v>6</v>
      </c>
      <c r="BF41" t="s">
        <v>6</v>
      </c>
      <c r="BG41" t="s">
        <v>6</v>
      </c>
      <c r="BH41">
        <v>3</v>
      </c>
      <c r="BI41">
        <v>1</v>
      </c>
      <c r="BJ41" t="s">
        <v>6</v>
      </c>
      <c r="BM41">
        <v>11001</v>
      </c>
      <c r="BN41">
        <v>0</v>
      </c>
      <c r="BO41" t="s">
        <v>6</v>
      </c>
      <c r="BP41">
        <v>0</v>
      </c>
      <c r="BQ41">
        <v>2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6</v>
      </c>
      <c r="BZ41">
        <v>123</v>
      </c>
      <c r="CA41">
        <v>75</v>
      </c>
      <c r="CE41">
        <v>0</v>
      </c>
      <c r="CF41">
        <v>0</v>
      </c>
      <c r="CG41">
        <v>0</v>
      </c>
      <c r="CM41">
        <v>0</v>
      </c>
      <c r="CN41" t="s">
        <v>6</v>
      </c>
      <c r="CO41">
        <v>0</v>
      </c>
      <c r="CP41">
        <f t="shared" si="41"/>
        <v>0</v>
      </c>
      <c r="CQ41">
        <f t="shared" si="42"/>
        <v>0</v>
      </c>
      <c r="CR41">
        <f t="shared" si="43"/>
        <v>0</v>
      </c>
      <c r="CS41">
        <f t="shared" si="44"/>
        <v>0</v>
      </c>
      <c r="CT41">
        <f t="shared" si="45"/>
        <v>0</v>
      </c>
      <c r="CU41">
        <f t="shared" si="46"/>
        <v>0</v>
      </c>
      <c r="CV41">
        <f t="shared" si="47"/>
        <v>0</v>
      </c>
      <c r="CW41">
        <f t="shared" si="48"/>
        <v>0</v>
      </c>
      <c r="CX41">
        <f t="shared" si="49"/>
        <v>0</v>
      </c>
      <c r="CY41">
        <f t="shared" si="50"/>
        <v>0</v>
      </c>
      <c r="CZ41">
        <f t="shared" si="51"/>
        <v>0</v>
      </c>
      <c r="DC41" t="s">
        <v>6</v>
      </c>
      <c r="DD41" t="s">
        <v>6</v>
      </c>
      <c r="DE41" t="s">
        <v>6</v>
      </c>
      <c r="DF41" t="s">
        <v>6</v>
      </c>
      <c r="DG41" t="s">
        <v>6</v>
      </c>
      <c r="DH41" t="s">
        <v>6</v>
      </c>
      <c r="DI41" t="s">
        <v>6</v>
      </c>
      <c r="DJ41" t="s">
        <v>6</v>
      </c>
      <c r="DK41" t="s">
        <v>6</v>
      </c>
      <c r="DL41" t="s">
        <v>6</v>
      </c>
      <c r="DM41" t="s">
        <v>6</v>
      </c>
      <c r="DN41">
        <v>0</v>
      </c>
      <c r="DO41">
        <v>0</v>
      </c>
      <c r="DP41">
        <v>1</v>
      </c>
      <c r="DQ41">
        <v>1</v>
      </c>
      <c r="DU41">
        <v>1005</v>
      </c>
      <c r="DV41" t="s">
        <v>95</v>
      </c>
      <c r="DW41" t="s">
        <v>95</v>
      </c>
      <c r="DX41">
        <v>1</v>
      </c>
      <c r="EE41">
        <v>16510488</v>
      </c>
      <c r="EF41">
        <v>2</v>
      </c>
      <c r="EG41" t="s">
        <v>48</v>
      </c>
      <c r="EH41">
        <v>0</v>
      </c>
      <c r="EI41" t="s">
        <v>6</v>
      </c>
      <c r="EJ41">
        <v>1</v>
      </c>
      <c r="EK41">
        <v>11001</v>
      </c>
      <c r="EL41" t="s">
        <v>21</v>
      </c>
      <c r="EM41" t="s">
        <v>73</v>
      </c>
      <c r="EO41" t="s">
        <v>6</v>
      </c>
      <c r="EQ41">
        <v>0</v>
      </c>
      <c r="ER41">
        <v>0</v>
      </c>
      <c r="ES41">
        <v>0</v>
      </c>
      <c r="ET41">
        <v>0</v>
      </c>
      <c r="EU41">
        <v>0</v>
      </c>
      <c r="EV41">
        <v>0</v>
      </c>
      <c r="EW41">
        <v>0</v>
      </c>
      <c r="EX41">
        <v>0</v>
      </c>
      <c r="FQ41">
        <v>0</v>
      </c>
      <c r="FR41">
        <f t="shared" si="52"/>
        <v>0</v>
      </c>
      <c r="FS41">
        <v>0</v>
      </c>
      <c r="FT41" t="s">
        <v>51</v>
      </c>
      <c r="FU41" t="s">
        <v>52</v>
      </c>
      <c r="FX41">
        <v>110.7</v>
      </c>
      <c r="FY41">
        <v>63.75</v>
      </c>
      <c r="GA41" t="s">
        <v>6</v>
      </c>
      <c r="GD41">
        <v>0</v>
      </c>
      <c r="GF41">
        <v>-919469713</v>
      </c>
      <c r="GG41">
        <v>1</v>
      </c>
      <c r="GH41">
        <v>1</v>
      </c>
      <c r="GI41">
        <v>4</v>
      </c>
      <c r="GJ41">
        <v>0</v>
      </c>
      <c r="GK41">
        <f>ROUND(R41*(R12)/100,2)</f>
        <v>0</v>
      </c>
      <c r="GL41">
        <f t="shared" si="53"/>
        <v>0</v>
      </c>
      <c r="GM41">
        <f t="shared" si="54"/>
        <v>0</v>
      </c>
      <c r="GN41">
        <f t="shared" si="55"/>
        <v>0</v>
      </c>
      <c r="GO41">
        <f t="shared" si="56"/>
        <v>0</v>
      </c>
      <c r="GP41">
        <f t="shared" si="57"/>
        <v>0</v>
      </c>
      <c r="GR41">
        <v>0</v>
      </c>
      <c r="GS41">
        <v>3</v>
      </c>
      <c r="GT41">
        <v>0</v>
      </c>
      <c r="GU41" t="s">
        <v>6</v>
      </c>
      <c r="GV41">
        <f t="shared" si="58"/>
        <v>0</v>
      </c>
      <c r="GW41">
        <v>1</v>
      </c>
      <c r="GX41">
        <f t="shared" si="59"/>
        <v>0</v>
      </c>
      <c r="HA41">
        <v>0</v>
      </c>
      <c r="HB41">
        <v>0</v>
      </c>
      <c r="HC41">
        <f t="shared" si="60"/>
        <v>0</v>
      </c>
      <c r="IK41">
        <v>0</v>
      </c>
    </row>
    <row r="42" spans="1:245" x14ac:dyDescent="0.2">
      <c r="A42">
        <v>18</v>
      </c>
      <c r="B42">
        <v>1</v>
      </c>
      <c r="C42">
        <v>45</v>
      </c>
      <c r="E42" t="s">
        <v>96</v>
      </c>
      <c r="F42" t="s">
        <v>97</v>
      </c>
      <c r="G42" t="s">
        <v>98</v>
      </c>
      <c r="H42" t="s">
        <v>95</v>
      </c>
      <c r="I42">
        <f>I40*J42</f>
        <v>213.99600000000001</v>
      </c>
      <c r="J42">
        <v>102.00000000000001</v>
      </c>
      <c r="O42">
        <f t="shared" si="21"/>
        <v>111283.27</v>
      </c>
      <c r="P42">
        <f t="shared" si="22"/>
        <v>111283.27</v>
      </c>
      <c r="Q42">
        <f t="shared" si="23"/>
        <v>0</v>
      </c>
      <c r="R42">
        <f t="shared" si="24"/>
        <v>0</v>
      </c>
      <c r="S42">
        <f t="shared" si="25"/>
        <v>0</v>
      </c>
      <c r="T42">
        <f t="shared" si="26"/>
        <v>0</v>
      </c>
      <c r="U42">
        <f t="shared" si="27"/>
        <v>0</v>
      </c>
      <c r="V42">
        <f t="shared" si="28"/>
        <v>0</v>
      </c>
      <c r="W42">
        <f t="shared" si="29"/>
        <v>0</v>
      </c>
      <c r="X42">
        <f t="shared" si="30"/>
        <v>0</v>
      </c>
      <c r="Y42">
        <f t="shared" si="31"/>
        <v>0</v>
      </c>
      <c r="AA42">
        <v>16802145</v>
      </c>
      <c r="AB42">
        <f t="shared" si="32"/>
        <v>77.5</v>
      </c>
      <c r="AC42">
        <f t="shared" si="61"/>
        <v>77.5</v>
      </c>
      <c r="AD42">
        <f>ROUND((((ET42)-(EU42))+AE42),2)</f>
        <v>0</v>
      </c>
      <c r="AE42">
        <f t="shared" si="62"/>
        <v>0</v>
      </c>
      <c r="AF42">
        <f t="shared" si="62"/>
        <v>0</v>
      </c>
      <c r="AG42">
        <f t="shared" si="37"/>
        <v>0</v>
      </c>
      <c r="AH42">
        <f t="shared" si="63"/>
        <v>0</v>
      </c>
      <c r="AI42">
        <f t="shared" si="63"/>
        <v>0</v>
      </c>
      <c r="AJ42">
        <f t="shared" si="40"/>
        <v>0</v>
      </c>
      <c r="AK42">
        <v>77.5</v>
      </c>
      <c r="AL42">
        <v>77.5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111</v>
      </c>
      <c r="AU42">
        <v>64</v>
      </c>
      <c r="AV42">
        <v>1</v>
      </c>
      <c r="AW42">
        <v>1</v>
      </c>
      <c r="AZ42">
        <v>6.71</v>
      </c>
      <c r="BA42">
        <v>1</v>
      </c>
      <c r="BB42">
        <v>1</v>
      </c>
      <c r="BC42">
        <v>6.71</v>
      </c>
      <c r="BD42" t="s">
        <v>6</v>
      </c>
      <c r="BE42" t="s">
        <v>6</v>
      </c>
      <c r="BF42" t="s">
        <v>6</v>
      </c>
      <c r="BG42" t="s">
        <v>6</v>
      </c>
      <c r="BH42">
        <v>3</v>
      </c>
      <c r="BI42">
        <v>1</v>
      </c>
      <c r="BJ42" t="s">
        <v>99</v>
      </c>
      <c r="BM42">
        <v>11001</v>
      </c>
      <c r="BN42">
        <v>0</v>
      </c>
      <c r="BO42" t="s">
        <v>6</v>
      </c>
      <c r="BP42">
        <v>0</v>
      </c>
      <c r="BQ42">
        <v>2</v>
      </c>
      <c r="BR42">
        <v>0</v>
      </c>
      <c r="BS42">
        <v>1</v>
      </c>
      <c r="BT42">
        <v>1</v>
      </c>
      <c r="BU42">
        <v>1</v>
      </c>
      <c r="BV42">
        <v>1</v>
      </c>
      <c r="BW42">
        <v>1</v>
      </c>
      <c r="BX42">
        <v>1</v>
      </c>
      <c r="BY42" t="s">
        <v>6</v>
      </c>
      <c r="BZ42">
        <v>123</v>
      </c>
      <c r="CA42">
        <v>75</v>
      </c>
      <c r="CE42">
        <v>0</v>
      </c>
      <c r="CF42">
        <v>0</v>
      </c>
      <c r="CG42">
        <v>0</v>
      </c>
      <c r="CM42">
        <v>0</v>
      </c>
      <c r="CN42" t="s">
        <v>6</v>
      </c>
      <c r="CO42">
        <v>0</v>
      </c>
      <c r="CP42">
        <f t="shared" si="41"/>
        <v>111283.27</v>
      </c>
      <c r="CQ42">
        <f t="shared" si="42"/>
        <v>520.02499999999998</v>
      </c>
      <c r="CR42">
        <f t="shared" si="43"/>
        <v>0</v>
      </c>
      <c r="CS42">
        <f t="shared" si="44"/>
        <v>0</v>
      </c>
      <c r="CT42">
        <f t="shared" si="45"/>
        <v>0</v>
      </c>
      <c r="CU42">
        <f t="shared" si="46"/>
        <v>0</v>
      </c>
      <c r="CV42">
        <f t="shared" si="47"/>
        <v>0</v>
      </c>
      <c r="CW42">
        <f t="shared" si="48"/>
        <v>0</v>
      </c>
      <c r="CX42">
        <f t="shared" si="49"/>
        <v>0</v>
      </c>
      <c r="CY42">
        <f t="shared" si="50"/>
        <v>0</v>
      </c>
      <c r="CZ42">
        <f t="shared" si="51"/>
        <v>0</v>
      </c>
      <c r="DC42" t="s">
        <v>6</v>
      </c>
      <c r="DD42" t="s">
        <v>6</v>
      </c>
      <c r="DE42" t="s">
        <v>6</v>
      </c>
      <c r="DF42" t="s">
        <v>6</v>
      </c>
      <c r="DG42" t="s">
        <v>6</v>
      </c>
      <c r="DH42" t="s">
        <v>6</v>
      </c>
      <c r="DI42" t="s">
        <v>6</v>
      </c>
      <c r="DJ42" t="s">
        <v>6</v>
      </c>
      <c r="DK42" t="s">
        <v>6</v>
      </c>
      <c r="DL42" t="s">
        <v>6</v>
      </c>
      <c r="DM42" t="s">
        <v>6</v>
      </c>
      <c r="DN42">
        <v>0</v>
      </c>
      <c r="DO42">
        <v>0</v>
      </c>
      <c r="DP42">
        <v>1</v>
      </c>
      <c r="DQ42">
        <v>1</v>
      </c>
      <c r="DU42">
        <v>1005</v>
      </c>
      <c r="DV42" t="s">
        <v>95</v>
      </c>
      <c r="DW42" t="s">
        <v>95</v>
      </c>
      <c r="DX42">
        <v>1</v>
      </c>
      <c r="EE42">
        <v>16510488</v>
      </c>
      <c r="EF42">
        <v>2</v>
      </c>
      <c r="EG42" t="s">
        <v>48</v>
      </c>
      <c r="EH42">
        <v>0</v>
      </c>
      <c r="EI42" t="s">
        <v>6</v>
      </c>
      <c r="EJ42">
        <v>1</v>
      </c>
      <c r="EK42">
        <v>11001</v>
      </c>
      <c r="EL42" t="s">
        <v>21</v>
      </c>
      <c r="EM42" t="s">
        <v>73</v>
      </c>
      <c r="EO42" t="s">
        <v>6</v>
      </c>
      <c r="EQ42">
        <v>0</v>
      </c>
      <c r="ER42">
        <v>77.5</v>
      </c>
      <c r="ES42">
        <v>77.5</v>
      </c>
      <c r="ET42">
        <v>0</v>
      </c>
      <c r="EU42">
        <v>0</v>
      </c>
      <c r="EV42">
        <v>0</v>
      </c>
      <c r="EW42">
        <v>0</v>
      </c>
      <c r="EX42">
        <v>0</v>
      </c>
      <c r="FQ42">
        <v>0</v>
      </c>
      <c r="FR42">
        <f t="shared" si="52"/>
        <v>0</v>
      </c>
      <c r="FS42">
        <v>0</v>
      </c>
      <c r="FT42" t="s">
        <v>51</v>
      </c>
      <c r="FU42" t="s">
        <v>52</v>
      </c>
      <c r="FX42">
        <v>110.7</v>
      </c>
      <c r="FY42">
        <v>63.75</v>
      </c>
      <c r="GA42" t="s">
        <v>6</v>
      </c>
      <c r="GD42">
        <v>0</v>
      </c>
      <c r="GF42">
        <v>1392042579</v>
      </c>
      <c r="GG42">
        <v>1</v>
      </c>
      <c r="GH42">
        <v>1</v>
      </c>
      <c r="GI42">
        <v>4</v>
      </c>
      <c r="GJ42">
        <v>0</v>
      </c>
      <c r="GK42">
        <f>ROUND(R42*(R12)/100,2)</f>
        <v>0</v>
      </c>
      <c r="GL42">
        <f t="shared" si="53"/>
        <v>0</v>
      </c>
      <c r="GM42">
        <f t="shared" si="54"/>
        <v>111283.27</v>
      </c>
      <c r="GN42">
        <f t="shared" si="55"/>
        <v>111283.27</v>
      </c>
      <c r="GO42">
        <f t="shared" si="56"/>
        <v>0</v>
      </c>
      <c r="GP42">
        <f t="shared" si="57"/>
        <v>0</v>
      </c>
      <c r="GR42">
        <v>0</v>
      </c>
      <c r="GS42">
        <v>0</v>
      </c>
      <c r="GT42">
        <v>0</v>
      </c>
      <c r="GU42" t="s">
        <v>6</v>
      </c>
      <c r="GV42">
        <f t="shared" si="58"/>
        <v>0</v>
      </c>
      <c r="GW42">
        <v>1</v>
      </c>
      <c r="GX42">
        <f t="shared" si="59"/>
        <v>0</v>
      </c>
      <c r="HA42">
        <v>0</v>
      </c>
      <c r="HB42">
        <v>0</v>
      </c>
      <c r="HC42">
        <f t="shared" si="60"/>
        <v>0</v>
      </c>
      <c r="IK42">
        <v>0</v>
      </c>
    </row>
    <row r="43" spans="1:245" x14ac:dyDescent="0.2">
      <c r="A43">
        <v>18</v>
      </c>
      <c r="B43">
        <v>1</v>
      </c>
      <c r="C43">
        <v>48</v>
      </c>
      <c r="E43" t="s">
        <v>100</v>
      </c>
      <c r="F43" t="s">
        <v>101</v>
      </c>
      <c r="G43" t="s">
        <v>102</v>
      </c>
      <c r="H43" t="s">
        <v>103</v>
      </c>
      <c r="I43">
        <f>I40*J43</f>
        <v>104.9</v>
      </c>
      <c r="J43">
        <v>50.000000000000007</v>
      </c>
      <c r="O43">
        <f t="shared" si="21"/>
        <v>0</v>
      </c>
      <c r="P43">
        <f t="shared" si="22"/>
        <v>0</v>
      </c>
      <c r="Q43">
        <f t="shared" si="23"/>
        <v>0</v>
      </c>
      <c r="R43">
        <f t="shared" si="24"/>
        <v>0</v>
      </c>
      <c r="S43">
        <f t="shared" si="25"/>
        <v>0</v>
      </c>
      <c r="T43">
        <f t="shared" si="26"/>
        <v>0</v>
      </c>
      <c r="U43">
        <f t="shared" si="27"/>
        <v>0</v>
      </c>
      <c r="V43">
        <f t="shared" si="28"/>
        <v>0</v>
      </c>
      <c r="W43">
        <f t="shared" si="29"/>
        <v>0</v>
      </c>
      <c r="X43">
        <f t="shared" si="30"/>
        <v>0</v>
      </c>
      <c r="Y43">
        <f t="shared" si="31"/>
        <v>0</v>
      </c>
      <c r="AA43">
        <v>16802145</v>
      </c>
      <c r="AB43">
        <f t="shared" si="32"/>
        <v>0</v>
      </c>
      <c r="AC43">
        <f t="shared" si="61"/>
        <v>0</v>
      </c>
      <c r="AD43">
        <f>ROUND((((ET43)-(EU43))+AE43),2)</f>
        <v>0</v>
      </c>
      <c r="AE43">
        <f t="shared" si="62"/>
        <v>0</v>
      </c>
      <c r="AF43">
        <f t="shared" si="62"/>
        <v>0</v>
      </c>
      <c r="AG43">
        <f t="shared" si="37"/>
        <v>0</v>
      </c>
      <c r="AH43">
        <f t="shared" si="63"/>
        <v>0</v>
      </c>
      <c r="AI43">
        <f t="shared" si="63"/>
        <v>0</v>
      </c>
      <c r="AJ43">
        <f t="shared" si="40"/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111</v>
      </c>
      <c r="AU43">
        <v>64</v>
      </c>
      <c r="AV43">
        <v>1</v>
      </c>
      <c r="AW43">
        <v>1</v>
      </c>
      <c r="AZ43">
        <v>6.71</v>
      </c>
      <c r="BA43">
        <v>1</v>
      </c>
      <c r="BB43">
        <v>1</v>
      </c>
      <c r="BC43">
        <v>6.71</v>
      </c>
      <c r="BD43" t="s">
        <v>6</v>
      </c>
      <c r="BE43" t="s">
        <v>6</v>
      </c>
      <c r="BF43" t="s">
        <v>6</v>
      </c>
      <c r="BG43" t="s">
        <v>6</v>
      </c>
      <c r="BH43">
        <v>3</v>
      </c>
      <c r="BI43">
        <v>1</v>
      </c>
      <c r="BJ43" t="s">
        <v>6</v>
      </c>
      <c r="BM43">
        <v>11001</v>
      </c>
      <c r="BN43">
        <v>0</v>
      </c>
      <c r="BO43" t="s">
        <v>6</v>
      </c>
      <c r="BP43">
        <v>0</v>
      </c>
      <c r="BQ43">
        <v>2</v>
      </c>
      <c r="BR43">
        <v>0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6</v>
      </c>
      <c r="BZ43">
        <v>123</v>
      </c>
      <c r="CA43">
        <v>75</v>
      </c>
      <c r="CE43">
        <v>0</v>
      </c>
      <c r="CF43">
        <v>0</v>
      </c>
      <c r="CG43">
        <v>0</v>
      </c>
      <c r="CM43">
        <v>0</v>
      </c>
      <c r="CN43" t="s">
        <v>6</v>
      </c>
      <c r="CO43">
        <v>0</v>
      </c>
      <c r="CP43">
        <f t="shared" si="41"/>
        <v>0</v>
      </c>
      <c r="CQ43">
        <f t="shared" si="42"/>
        <v>0</v>
      </c>
      <c r="CR43">
        <f t="shared" si="43"/>
        <v>0</v>
      </c>
      <c r="CS43">
        <f t="shared" si="44"/>
        <v>0</v>
      </c>
      <c r="CT43">
        <f t="shared" si="45"/>
        <v>0</v>
      </c>
      <c r="CU43">
        <f t="shared" si="46"/>
        <v>0</v>
      </c>
      <c r="CV43">
        <f t="shared" si="47"/>
        <v>0</v>
      </c>
      <c r="CW43">
        <f t="shared" si="48"/>
        <v>0</v>
      </c>
      <c r="CX43">
        <f t="shared" si="49"/>
        <v>0</v>
      </c>
      <c r="CY43">
        <f t="shared" si="50"/>
        <v>0</v>
      </c>
      <c r="CZ43">
        <f t="shared" si="51"/>
        <v>0</v>
      </c>
      <c r="DC43" t="s">
        <v>6</v>
      </c>
      <c r="DD43" t="s">
        <v>6</v>
      </c>
      <c r="DE43" t="s">
        <v>6</v>
      </c>
      <c r="DF43" t="s">
        <v>6</v>
      </c>
      <c r="DG43" t="s">
        <v>6</v>
      </c>
      <c r="DH43" t="s">
        <v>6</v>
      </c>
      <c r="DI43" t="s">
        <v>6</v>
      </c>
      <c r="DJ43" t="s">
        <v>6</v>
      </c>
      <c r="DK43" t="s">
        <v>6</v>
      </c>
      <c r="DL43" t="s">
        <v>6</v>
      </c>
      <c r="DM43" t="s">
        <v>6</v>
      </c>
      <c r="DN43">
        <v>0</v>
      </c>
      <c r="DO43">
        <v>0</v>
      </c>
      <c r="DP43">
        <v>1</v>
      </c>
      <c r="DQ43">
        <v>1</v>
      </c>
      <c r="DU43">
        <v>1009</v>
      </c>
      <c r="DV43" t="s">
        <v>103</v>
      </c>
      <c r="DW43" t="s">
        <v>103</v>
      </c>
      <c r="DX43">
        <v>1</v>
      </c>
      <c r="EE43">
        <v>16510488</v>
      </c>
      <c r="EF43">
        <v>2</v>
      </c>
      <c r="EG43" t="s">
        <v>48</v>
      </c>
      <c r="EH43">
        <v>0</v>
      </c>
      <c r="EI43" t="s">
        <v>6</v>
      </c>
      <c r="EJ43">
        <v>1</v>
      </c>
      <c r="EK43">
        <v>11001</v>
      </c>
      <c r="EL43" t="s">
        <v>21</v>
      </c>
      <c r="EM43" t="s">
        <v>73</v>
      </c>
      <c r="EO43" t="s">
        <v>6</v>
      </c>
      <c r="EQ43">
        <v>0</v>
      </c>
      <c r="ER43">
        <v>0</v>
      </c>
      <c r="ES43">
        <v>0</v>
      </c>
      <c r="ET43">
        <v>0</v>
      </c>
      <c r="EU43">
        <v>0</v>
      </c>
      <c r="EV43">
        <v>0</v>
      </c>
      <c r="EW43">
        <v>0</v>
      </c>
      <c r="EX43">
        <v>0</v>
      </c>
      <c r="FQ43">
        <v>0</v>
      </c>
      <c r="FR43">
        <f t="shared" si="52"/>
        <v>0</v>
      </c>
      <c r="FS43">
        <v>0</v>
      </c>
      <c r="FT43" t="s">
        <v>51</v>
      </c>
      <c r="FU43" t="s">
        <v>52</v>
      </c>
      <c r="FX43">
        <v>110.7</v>
      </c>
      <c r="FY43">
        <v>63.75</v>
      </c>
      <c r="GA43" t="s">
        <v>6</v>
      </c>
      <c r="GD43">
        <v>0</v>
      </c>
      <c r="GF43">
        <v>290394019</v>
      </c>
      <c r="GG43">
        <v>1</v>
      </c>
      <c r="GH43">
        <v>1</v>
      </c>
      <c r="GI43">
        <v>4</v>
      </c>
      <c r="GJ43">
        <v>0</v>
      </c>
      <c r="GK43">
        <f>ROUND(R43*(R12)/100,2)</f>
        <v>0</v>
      </c>
      <c r="GL43">
        <f t="shared" si="53"/>
        <v>0</v>
      </c>
      <c r="GM43">
        <f t="shared" si="54"/>
        <v>0</v>
      </c>
      <c r="GN43">
        <f t="shared" si="55"/>
        <v>0</v>
      </c>
      <c r="GO43">
        <f t="shared" si="56"/>
        <v>0</v>
      </c>
      <c r="GP43">
        <f t="shared" si="57"/>
        <v>0</v>
      </c>
      <c r="GR43">
        <v>0</v>
      </c>
      <c r="GS43">
        <v>3</v>
      </c>
      <c r="GT43">
        <v>0</v>
      </c>
      <c r="GU43" t="s">
        <v>6</v>
      </c>
      <c r="GV43">
        <f t="shared" si="58"/>
        <v>0</v>
      </c>
      <c r="GW43">
        <v>1</v>
      </c>
      <c r="GX43">
        <f t="shared" si="59"/>
        <v>0</v>
      </c>
      <c r="HA43">
        <v>0</v>
      </c>
      <c r="HB43">
        <v>0</v>
      </c>
      <c r="HC43">
        <f t="shared" si="60"/>
        <v>0</v>
      </c>
      <c r="IK43">
        <v>0</v>
      </c>
    </row>
    <row r="44" spans="1:245" x14ac:dyDescent="0.2">
      <c r="A44">
        <v>18</v>
      </c>
      <c r="B44">
        <v>1</v>
      </c>
      <c r="C44">
        <v>47</v>
      </c>
      <c r="E44" t="s">
        <v>104</v>
      </c>
      <c r="F44" t="s">
        <v>105</v>
      </c>
      <c r="G44" t="s">
        <v>106</v>
      </c>
      <c r="H44" t="s">
        <v>103</v>
      </c>
      <c r="I44">
        <f>I40*J44</f>
        <v>104.9</v>
      </c>
      <c r="J44">
        <v>50.000000000000007</v>
      </c>
      <c r="O44">
        <f t="shared" si="21"/>
        <v>11191.68</v>
      </c>
      <c r="P44">
        <f t="shared" si="22"/>
        <v>11191.68</v>
      </c>
      <c r="Q44">
        <f t="shared" si="23"/>
        <v>0</v>
      </c>
      <c r="R44">
        <f t="shared" si="24"/>
        <v>0</v>
      </c>
      <c r="S44">
        <f t="shared" si="25"/>
        <v>0</v>
      </c>
      <c r="T44">
        <f t="shared" si="26"/>
        <v>0</v>
      </c>
      <c r="U44">
        <f t="shared" si="27"/>
        <v>0</v>
      </c>
      <c r="V44">
        <f t="shared" si="28"/>
        <v>0</v>
      </c>
      <c r="W44">
        <f t="shared" si="29"/>
        <v>0</v>
      </c>
      <c r="X44">
        <f t="shared" si="30"/>
        <v>0</v>
      </c>
      <c r="Y44">
        <f t="shared" si="31"/>
        <v>0</v>
      </c>
      <c r="AA44">
        <v>16802145</v>
      </c>
      <c r="AB44">
        <f t="shared" si="32"/>
        <v>15.9</v>
      </c>
      <c r="AC44">
        <f t="shared" si="61"/>
        <v>15.9</v>
      </c>
      <c r="AD44">
        <f>ROUND((((ET44)-(EU44))+AE44),2)</f>
        <v>0</v>
      </c>
      <c r="AE44">
        <f t="shared" si="62"/>
        <v>0</v>
      </c>
      <c r="AF44">
        <f t="shared" si="62"/>
        <v>0</v>
      </c>
      <c r="AG44">
        <f t="shared" si="37"/>
        <v>0</v>
      </c>
      <c r="AH44">
        <f t="shared" si="63"/>
        <v>0</v>
      </c>
      <c r="AI44">
        <f t="shared" si="63"/>
        <v>0</v>
      </c>
      <c r="AJ44">
        <f t="shared" si="40"/>
        <v>0</v>
      </c>
      <c r="AK44">
        <v>15.9</v>
      </c>
      <c r="AL44">
        <v>15.9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111</v>
      </c>
      <c r="AU44">
        <v>64</v>
      </c>
      <c r="AV44">
        <v>1</v>
      </c>
      <c r="AW44">
        <v>1</v>
      </c>
      <c r="AZ44">
        <v>6.71</v>
      </c>
      <c r="BA44">
        <v>1</v>
      </c>
      <c r="BB44">
        <v>1</v>
      </c>
      <c r="BC44">
        <v>6.71</v>
      </c>
      <c r="BD44" t="s">
        <v>6</v>
      </c>
      <c r="BE44" t="s">
        <v>6</v>
      </c>
      <c r="BF44" t="s">
        <v>6</v>
      </c>
      <c r="BG44" t="s">
        <v>6</v>
      </c>
      <c r="BH44">
        <v>3</v>
      </c>
      <c r="BI44">
        <v>1</v>
      </c>
      <c r="BJ44" t="s">
        <v>107</v>
      </c>
      <c r="BM44">
        <v>11001</v>
      </c>
      <c r="BN44">
        <v>0</v>
      </c>
      <c r="BO44" t="s">
        <v>6</v>
      </c>
      <c r="BP44">
        <v>0</v>
      </c>
      <c r="BQ44">
        <v>2</v>
      </c>
      <c r="BR44">
        <v>0</v>
      </c>
      <c r="BS44">
        <v>1</v>
      </c>
      <c r="BT44">
        <v>1</v>
      </c>
      <c r="BU44">
        <v>1</v>
      </c>
      <c r="BV44">
        <v>1</v>
      </c>
      <c r="BW44">
        <v>1</v>
      </c>
      <c r="BX44">
        <v>1</v>
      </c>
      <c r="BY44" t="s">
        <v>6</v>
      </c>
      <c r="BZ44">
        <v>123</v>
      </c>
      <c r="CA44">
        <v>75</v>
      </c>
      <c r="CE44">
        <v>0</v>
      </c>
      <c r="CF44">
        <v>0</v>
      </c>
      <c r="CG44">
        <v>0</v>
      </c>
      <c r="CM44">
        <v>0</v>
      </c>
      <c r="CN44" t="s">
        <v>6</v>
      </c>
      <c r="CO44">
        <v>0</v>
      </c>
      <c r="CP44">
        <f t="shared" si="41"/>
        <v>11191.68</v>
      </c>
      <c r="CQ44">
        <f t="shared" si="42"/>
        <v>106.68900000000001</v>
      </c>
      <c r="CR44">
        <f t="shared" si="43"/>
        <v>0</v>
      </c>
      <c r="CS44">
        <f t="shared" si="44"/>
        <v>0</v>
      </c>
      <c r="CT44">
        <f t="shared" si="45"/>
        <v>0</v>
      </c>
      <c r="CU44">
        <f t="shared" si="46"/>
        <v>0</v>
      </c>
      <c r="CV44">
        <f t="shared" si="47"/>
        <v>0</v>
      </c>
      <c r="CW44">
        <f t="shared" si="48"/>
        <v>0</v>
      </c>
      <c r="CX44">
        <f t="shared" si="49"/>
        <v>0</v>
      </c>
      <c r="CY44">
        <f t="shared" si="50"/>
        <v>0</v>
      </c>
      <c r="CZ44">
        <f t="shared" si="51"/>
        <v>0</v>
      </c>
      <c r="DC44" t="s">
        <v>6</v>
      </c>
      <c r="DD44" t="s">
        <v>6</v>
      </c>
      <c r="DE44" t="s">
        <v>6</v>
      </c>
      <c r="DF44" t="s">
        <v>6</v>
      </c>
      <c r="DG44" t="s">
        <v>6</v>
      </c>
      <c r="DH44" t="s">
        <v>6</v>
      </c>
      <c r="DI44" t="s">
        <v>6</v>
      </c>
      <c r="DJ44" t="s">
        <v>6</v>
      </c>
      <c r="DK44" t="s">
        <v>6</v>
      </c>
      <c r="DL44" t="s">
        <v>6</v>
      </c>
      <c r="DM44" t="s">
        <v>6</v>
      </c>
      <c r="DN44">
        <v>0</v>
      </c>
      <c r="DO44">
        <v>0</v>
      </c>
      <c r="DP44">
        <v>1</v>
      </c>
      <c r="DQ44">
        <v>1</v>
      </c>
      <c r="DU44">
        <v>1009</v>
      </c>
      <c r="DV44" t="s">
        <v>103</v>
      </c>
      <c r="DW44" t="s">
        <v>103</v>
      </c>
      <c r="DX44">
        <v>1</v>
      </c>
      <c r="EE44">
        <v>16510488</v>
      </c>
      <c r="EF44">
        <v>2</v>
      </c>
      <c r="EG44" t="s">
        <v>48</v>
      </c>
      <c r="EH44">
        <v>0</v>
      </c>
      <c r="EI44" t="s">
        <v>6</v>
      </c>
      <c r="EJ44">
        <v>1</v>
      </c>
      <c r="EK44">
        <v>11001</v>
      </c>
      <c r="EL44" t="s">
        <v>21</v>
      </c>
      <c r="EM44" t="s">
        <v>73</v>
      </c>
      <c r="EO44" t="s">
        <v>6</v>
      </c>
      <c r="EQ44">
        <v>0</v>
      </c>
      <c r="ER44">
        <v>15.9</v>
      </c>
      <c r="ES44">
        <v>15.9</v>
      </c>
      <c r="ET44">
        <v>0</v>
      </c>
      <c r="EU44">
        <v>0</v>
      </c>
      <c r="EV44">
        <v>0</v>
      </c>
      <c r="EW44">
        <v>0</v>
      </c>
      <c r="EX44">
        <v>0</v>
      </c>
      <c r="FQ44">
        <v>0</v>
      </c>
      <c r="FR44">
        <f t="shared" si="52"/>
        <v>0</v>
      </c>
      <c r="FS44">
        <v>0</v>
      </c>
      <c r="FT44" t="s">
        <v>51</v>
      </c>
      <c r="FU44" t="s">
        <v>52</v>
      </c>
      <c r="FX44">
        <v>110.7</v>
      </c>
      <c r="FY44">
        <v>63.75</v>
      </c>
      <c r="GA44" t="s">
        <v>6</v>
      </c>
      <c r="GD44">
        <v>0</v>
      </c>
      <c r="GF44">
        <v>1104462431</v>
      </c>
      <c r="GG44">
        <v>1</v>
      </c>
      <c r="GH44">
        <v>1</v>
      </c>
      <c r="GI44">
        <v>4</v>
      </c>
      <c r="GJ44">
        <v>0</v>
      </c>
      <c r="GK44">
        <f>ROUND(R44*(R12)/100,2)</f>
        <v>0</v>
      </c>
      <c r="GL44">
        <f t="shared" si="53"/>
        <v>0</v>
      </c>
      <c r="GM44">
        <f t="shared" si="54"/>
        <v>11191.68</v>
      </c>
      <c r="GN44">
        <f t="shared" si="55"/>
        <v>11191.68</v>
      </c>
      <c r="GO44">
        <f t="shared" si="56"/>
        <v>0</v>
      </c>
      <c r="GP44">
        <f t="shared" si="57"/>
        <v>0</v>
      </c>
      <c r="GR44">
        <v>0</v>
      </c>
      <c r="GS44">
        <v>0</v>
      </c>
      <c r="GT44">
        <v>0</v>
      </c>
      <c r="GU44" t="s">
        <v>6</v>
      </c>
      <c r="GV44">
        <f t="shared" si="58"/>
        <v>0</v>
      </c>
      <c r="GW44">
        <v>1</v>
      </c>
      <c r="GX44">
        <f t="shared" si="59"/>
        <v>0</v>
      </c>
      <c r="HA44">
        <v>0</v>
      </c>
      <c r="HB44">
        <v>0</v>
      </c>
      <c r="HC44">
        <f t="shared" si="60"/>
        <v>0</v>
      </c>
      <c r="IK44">
        <v>0</v>
      </c>
    </row>
    <row r="45" spans="1:245" x14ac:dyDescent="0.2">
      <c r="A45">
        <v>17</v>
      </c>
      <c r="B45">
        <v>1</v>
      </c>
      <c r="C45">
        <f>ROW(SmtRes!A66)</f>
        <v>66</v>
      </c>
      <c r="D45">
        <f>ROW(EtalonRes!A63)</f>
        <v>63</v>
      </c>
      <c r="E45" t="s">
        <v>108</v>
      </c>
      <c r="F45" t="s">
        <v>109</v>
      </c>
      <c r="G45" t="s">
        <v>110</v>
      </c>
      <c r="H45" t="s">
        <v>18</v>
      </c>
      <c r="I45">
        <f>ROUND(125.46/100,9)</f>
        <v>1.2545999999999999</v>
      </c>
      <c r="J45">
        <v>0</v>
      </c>
      <c r="O45">
        <f t="shared" si="21"/>
        <v>1236.07</v>
      </c>
      <c r="P45">
        <f t="shared" si="22"/>
        <v>619.92999999999995</v>
      </c>
      <c r="Q45">
        <f t="shared" si="23"/>
        <v>22.48</v>
      </c>
      <c r="R45">
        <f t="shared" si="24"/>
        <v>4.46</v>
      </c>
      <c r="S45">
        <f t="shared" si="25"/>
        <v>593.66</v>
      </c>
      <c r="T45">
        <f t="shared" si="26"/>
        <v>0</v>
      </c>
      <c r="U45">
        <f t="shared" si="27"/>
        <v>9.6378371999999981</v>
      </c>
      <c r="V45">
        <f t="shared" si="28"/>
        <v>6.2729999999999994E-2</v>
      </c>
      <c r="W45">
        <f t="shared" si="29"/>
        <v>0</v>
      </c>
      <c r="X45">
        <f t="shared" si="30"/>
        <v>663.91</v>
      </c>
      <c r="Y45">
        <f t="shared" si="31"/>
        <v>382.8</v>
      </c>
      <c r="AA45">
        <v>16802145</v>
      </c>
      <c r="AB45">
        <f t="shared" si="32"/>
        <v>146.83000000000001</v>
      </c>
      <c r="AC45">
        <f t="shared" si="61"/>
        <v>73.64</v>
      </c>
      <c r="AD45">
        <f>ROUND(((((ET45*1.25))-((EU45*1.25)))+AE45),2)</f>
        <v>2.67</v>
      </c>
      <c r="AE45">
        <f>ROUND(((EU45*1.25)),2)</f>
        <v>0.53</v>
      </c>
      <c r="AF45">
        <f>ROUND(((EV45*1.15)),2)</f>
        <v>70.52</v>
      </c>
      <c r="AG45">
        <f t="shared" si="37"/>
        <v>0</v>
      </c>
      <c r="AH45">
        <f>((EW45*1.15))</f>
        <v>7.6819999999999995</v>
      </c>
      <c r="AI45">
        <f>((EX45*1.25))</f>
        <v>0.05</v>
      </c>
      <c r="AJ45">
        <f t="shared" si="40"/>
        <v>0</v>
      </c>
      <c r="AK45">
        <v>137.09</v>
      </c>
      <c r="AL45">
        <v>73.64</v>
      </c>
      <c r="AM45">
        <v>2.13</v>
      </c>
      <c r="AN45">
        <v>0.42</v>
      </c>
      <c r="AO45">
        <v>61.32</v>
      </c>
      <c r="AP45">
        <v>0</v>
      </c>
      <c r="AQ45">
        <v>6.68</v>
      </c>
      <c r="AR45">
        <v>0.04</v>
      </c>
      <c r="AS45">
        <v>0</v>
      </c>
      <c r="AT45">
        <v>111</v>
      </c>
      <c r="AU45">
        <v>64</v>
      </c>
      <c r="AV45">
        <v>1</v>
      </c>
      <c r="AW45">
        <v>1</v>
      </c>
      <c r="AZ45">
        <v>6.71</v>
      </c>
      <c r="BA45">
        <v>6.71</v>
      </c>
      <c r="BB45">
        <v>6.71</v>
      </c>
      <c r="BC45">
        <v>6.71</v>
      </c>
      <c r="BD45" t="s">
        <v>6</v>
      </c>
      <c r="BE45" t="s">
        <v>6</v>
      </c>
      <c r="BF45" t="s">
        <v>6</v>
      </c>
      <c r="BG45" t="s">
        <v>6</v>
      </c>
      <c r="BH45">
        <v>0</v>
      </c>
      <c r="BI45">
        <v>1</v>
      </c>
      <c r="BJ45" t="s">
        <v>111</v>
      </c>
      <c r="BM45">
        <v>11001</v>
      </c>
      <c r="BN45">
        <v>0</v>
      </c>
      <c r="BO45" t="s">
        <v>6</v>
      </c>
      <c r="BP45">
        <v>0</v>
      </c>
      <c r="BQ45">
        <v>2</v>
      </c>
      <c r="BR45">
        <v>0</v>
      </c>
      <c r="BS45">
        <v>6.71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6</v>
      </c>
      <c r="BZ45">
        <v>123</v>
      </c>
      <c r="CA45">
        <v>75</v>
      </c>
      <c r="CE45">
        <v>0</v>
      </c>
      <c r="CF45">
        <v>0</v>
      </c>
      <c r="CG45">
        <v>0</v>
      </c>
      <c r="CM45">
        <v>0</v>
      </c>
      <c r="CN45" t="s">
        <v>959</v>
      </c>
      <c r="CO45">
        <v>0</v>
      </c>
      <c r="CP45">
        <f t="shared" si="41"/>
        <v>1236.07</v>
      </c>
      <c r="CQ45">
        <f t="shared" si="42"/>
        <v>494.12439999999998</v>
      </c>
      <c r="CR45">
        <f t="shared" si="43"/>
        <v>17.915700000000001</v>
      </c>
      <c r="CS45">
        <f t="shared" si="44"/>
        <v>3.5563000000000002</v>
      </c>
      <c r="CT45">
        <f t="shared" si="45"/>
        <v>473.18919999999997</v>
      </c>
      <c r="CU45">
        <f t="shared" si="46"/>
        <v>0</v>
      </c>
      <c r="CV45">
        <f t="shared" si="47"/>
        <v>7.6819999999999995</v>
      </c>
      <c r="CW45">
        <f t="shared" si="48"/>
        <v>0.05</v>
      </c>
      <c r="CX45">
        <f t="shared" si="49"/>
        <v>0</v>
      </c>
      <c r="CY45">
        <f t="shared" si="50"/>
        <v>663.91320000000007</v>
      </c>
      <c r="CZ45">
        <f t="shared" si="51"/>
        <v>382.79680000000002</v>
      </c>
      <c r="DC45" t="s">
        <v>6</v>
      </c>
      <c r="DD45" t="s">
        <v>6</v>
      </c>
      <c r="DE45" t="s">
        <v>71</v>
      </c>
      <c r="DF45" t="s">
        <v>71</v>
      </c>
      <c r="DG45" t="s">
        <v>72</v>
      </c>
      <c r="DH45" t="s">
        <v>6</v>
      </c>
      <c r="DI45" t="s">
        <v>72</v>
      </c>
      <c r="DJ45" t="s">
        <v>71</v>
      </c>
      <c r="DK45" t="s">
        <v>6</v>
      </c>
      <c r="DL45" t="s">
        <v>6</v>
      </c>
      <c r="DM45" t="s">
        <v>6</v>
      </c>
      <c r="DN45">
        <v>0</v>
      </c>
      <c r="DO45">
        <v>0</v>
      </c>
      <c r="DP45">
        <v>1</v>
      </c>
      <c r="DQ45">
        <v>1</v>
      </c>
      <c r="DU45">
        <v>1003</v>
      </c>
      <c r="DV45" t="s">
        <v>18</v>
      </c>
      <c r="DW45" t="s">
        <v>18</v>
      </c>
      <c r="DX45">
        <v>100</v>
      </c>
      <c r="EE45">
        <v>16510488</v>
      </c>
      <c r="EF45">
        <v>2</v>
      </c>
      <c r="EG45" t="s">
        <v>48</v>
      </c>
      <c r="EH45">
        <v>0</v>
      </c>
      <c r="EI45" t="s">
        <v>6</v>
      </c>
      <c r="EJ45">
        <v>1</v>
      </c>
      <c r="EK45">
        <v>11001</v>
      </c>
      <c r="EL45" t="s">
        <v>21</v>
      </c>
      <c r="EM45" t="s">
        <v>73</v>
      </c>
      <c r="EO45" t="s">
        <v>74</v>
      </c>
      <c r="EQ45">
        <v>131072</v>
      </c>
      <c r="ER45">
        <v>137.09</v>
      </c>
      <c r="ES45">
        <v>73.64</v>
      </c>
      <c r="ET45">
        <v>2.13</v>
      </c>
      <c r="EU45">
        <v>0.42</v>
      </c>
      <c r="EV45">
        <v>61.32</v>
      </c>
      <c r="EW45">
        <v>6.68</v>
      </c>
      <c r="EX45">
        <v>0.04</v>
      </c>
      <c r="EY45">
        <v>0</v>
      </c>
      <c r="FQ45">
        <v>0</v>
      </c>
      <c r="FR45">
        <f t="shared" si="52"/>
        <v>0</v>
      </c>
      <c r="FS45">
        <v>0</v>
      </c>
      <c r="FT45" t="s">
        <v>51</v>
      </c>
      <c r="FU45" t="s">
        <v>52</v>
      </c>
      <c r="FX45">
        <v>110.7</v>
      </c>
      <c r="FY45">
        <v>63.75</v>
      </c>
      <c r="GA45" t="s">
        <v>6</v>
      </c>
      <c r="GD45">
        <v>0</v>
      </c>
      <c r="GF45">
        <v>-1404287246</v>
      </c>
      <c r="GG45">
        <v>1</v>
      </c>
      <c r="GH45">
        <v>1</v>
      </c>
      <c r="GI45">
        <v>4</v>
      </c>
      <c r="GJ45">
        <v>0</v>
      </c>
      <c r="GK45">
        <f>ROUND(R45*(R12)/100,2)</f>
        <v>0</v>
      </c>
      <c r="GL45">
        <f t="shared" si="53"/>
        <v>0</v>
      </c>
      <c r="GM45">
        <f t="shared" si="54"/>
        <v>2282.7800000000002</v>
      </c>
      <c r="GN45">
        <f t="shared" si="55"/>
        <v>2282.7800000000002</v>
      </c>
      <c r="GO45">
        <f t="shared" si="56"/>
        <v>0</v>
      </c>
      <c r="GP45">
        <f t="shared" si="57"/>
        <v>0</v>
      </c>
      <c r="GR45">
        <v>0</v>
      </c>
      <c r="GS45">
        <v>0</v>
      </c>
      <c r="GT45">
        <v>0</v>
      </c>
      <c r="GU45" t="s">
        <v>6</v>
      </c>
      <c r="GV45">
        <f t="shared" si="58"/>
        <v>0</v>
      </c>
      <c r="GW45">
        <v>1</v>
      </c>
      <c r="GX45">
        <f t="shared" si="59"/>
        <v>0</v>
      </c>
      <c r="HA45">
        <v>0</v>
      </c>
      <c r="HB45">
        <v>0</v>
      </c>
      <c r="HC45">
        <f t="shared" si="60"/>
        <v>0</v>
      </c>
      <c r="IK45">
        <v>0</v>
      </c>
    </row>
    <row r="46" spans="1:245" x14ac:dyDescent="0.2">
      <c r="A46">
        <v>18</v>
      </c>
      <c r="B46">
        <v>1</v>
      </c>
      <c r="C46">
        <v>55</v>
      </c>
      <c r="E46" t="s">
        <v>112</v>
      </c>
      <c r="F46" t="s">
        <v>113</v>
      </c>
      <c r="G46" t="s">
        <v>114</v>
      </c>
      <c r="H46" t="s">
        <v>115</v>
      </c>
      <c r="I46">
        <f>I45*J46</f>
        <v>126.71460000000002</v>
      </c>
      <c r="J46">
        <v>101.00000000000001</v>
      </c>
      <c r="O46">
        <f t="shared" si="21"/>
        <v>0</v>
      </c>
      <c r="P46">
        <f t="shared" si="22"/>
        <v>0</v>
      </c>
      <c r="Q46">
        <f t="shared" si="23"/>
        <v>0</v>
      </c>
      <c r="R46">
        <f t="shared" si="24"/>
        <v>0</v>
      </c>
      <c r="S46">
        <f t="shared" si="25"/>
        <v>0</v>
      </c>
      <c r="T46">
        <f t="shared" si="26"/>
        <v>0</v>
      </c>
      <c r="U46">
        <f t="shared" si="27"/>
        <v>0</v>
      </c>
      <c r="V46">
        <f t="shared" si="28"/>
        <v>0</v>
      </c>
      <c r="W46">
        <f t="shared" si="29"/>
        <v>0</v>
      </c>
      <c r="X46">
        <f t="shared" si="30"/>
        <v>0</v>
      </c>
      <c r="Y46">
        <f t="shared" si="31"/>
        <v>0</v>
      </c>
      <c r="AA46">
        <v>16802145</v>
      </c>
      <c r="AB46">
        <f t="shared" si="32"/>
        <v>0</v>
      </c>
      <c r="AC46">
        <f t="shared" si="61"/>
        <v>0</v>
      </c>
      <c r="AD46">
        <f t="shared" ref="AD46:AD57" si="64">ROUND((((ET46)-(EU46))+AE46),2)</f>
        <v>0</v>
      </c>
      <c r="AE46">
        <f t="shared" ref="AE46:AE57" si="65">ROUND((EU46),2)</f>
        <v>0</v>
      </c>
      <c r="AF46">
        <f t="shared" ref="AF46:AF57" si="66">ROUND((EV46),2)</f>
        <v>0</v>
      </c>
      <c r="AG46">
        <f t="shared" si="37"/>
        <v>0</v>
      </c>
      <c r="AH46">
        <f t="shared" ref="AH46:AH57" si="67">(EW46)</f>
        <v>0</v>
      </c>
      <c r="AI46">
        <f t="shared" ref="AI46:AI57" si="68">(EX46)</f>
        <v>0</v>
      </c>
      <c r="AJ46">
        <f t="shared" si="40"/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111</v>
      </c>
      <c r="AU46">
        <v>64</v>
      </c>
      <c r="AV46">
        <v>1</v>
      </c>
      <c r="AW46">
        <v>1</v>
      </c>
      <c r="AZ46">
        <v>6.71</v>
      </c>
      <c r="BA46">
        <v>1</v>
      </c>
      <c r="BB46">
        <v>1</v>
      </c>
      <c r="BC46">
        <v>6.71</v>
      </c>
      <c r="BD46" t="s">
        <v>6</v>
      </c>
      <c r="BE46" t="s">
        <v>6</v>
      </c>
      <c r="BF46" t="s">
        <v>6</v>
      </c>
      <c r="BG46" t="s">
        <v>6</v>
      </c>
      <c r="BH46">
        <v>3</v>
      </c>
      <c r="BI46">
        <v>1</v>
      </c>
      <c r="BJ46" t="s">
        <v>6</v>
      </c>
      <c r="BM46">
        <v>11001</v>
      </c>
      <c r="BN46">
        <v>0</v>
      </c>
      <c r="BO46" t="s">
        <v>6</v>
      </c>
      <c r="BP46">
        <v>0</v>
      </c>
      <c r="BQ46">
        <v>2</v>
      </c>
      <c r="BR46">
        <v>0</v>
      </c>
      <c r="BS46">
        <v>1</v>
      </c>
      <c r="BT46">
        <v>1</v>
      </c>
      <c r="BU46">
        <v>1</v>
      </c>
      <c r="BV46">
        <v>1</v>
      </c>
      <c r="BW46">
        <v>1</v>
      </c>
      <c r="BX46">
        <v>1</v>
      </c>
      <c r="BY46" t="s">
        <v>6</v>
      </c>
      <c r="BZ46">
        <v>123</v>
      </c>
      <c r="CA46">
        <v>75</v>
      </c>
      <c r="CE46">
        <v>0</v>
      </c>
      <c r="CF46">
        <v>0</v>
      </c>
      <c r="CG46">
        <v>0</v>
      </c>
      <c r="CM46">
        <v>0</v>
      </c>
      <c r="CN46" t="s">
        <v>6</v>
      </c>
      <c r="CO46">
        <v>0</v>
      </c>
      <c r="CP46">
        <f t="shared" si="41"/>
        <v>0</v>
      </c>
      <c r="CQ46">
        <f t="shared" si="42"/>
        <v>0</v>
      </c>
      <c r="CR46">
        <f t="shared" si="43"/>
        <v>0</v>
      </c>
      <c r="CS46">
        <f t="shared" si="44"/>
        <v>0</v>
      </c>
      <c r="CT46">
        <f t="shared" si="45"/>
        <v>0</v>
      </c>
      <c r="CU46">
        <f t="shared" si="46"/>
        <v>0</v>
      </c>
      <c r="CV46">
        <f t="shared" si="47"/>
        <v>0</v>
      </c>
      <c r="CW46">
        <f t="shared" si="48"/>
        <v>0</v>
      </c>
      <c r="CX46">
        <f t="shared" si="49"/>
        <v>0</v>
      </c>
      <c r="CY46">
        <f t="shared" si="50"/>
        <v>0</v>
      </c>
      <c r="CZ46">
        <f t="shared" si="51"/>
        <v>0</v>
      </c>
      <c r="DC46" t="s">
        <v>6</v>
      </c>
      <c r="DD46" t="s">
        <v>6</v>
      </c>
      <c r="DE46" t="s">
        <v>6</v>
      </c>
      <c r="DF46" t="s">
        <v>6</v>
      </c>
      <c r="DG46" t="s">
        <v>6</v>
      </c>
      <c r="DH46" t="s">
        <v>6</v>
      </c>
      <c r="DI46" t="s">
        <v>6</v>
      </c>
      <c r="DJ46" t="s">
        <v>6</v>
      </c>
      <c r="DK46" t="s">
        <v>6</v>
      </c>
      <c r="DL46" t="s">
        <v>6</v>
      </c>
      <c r="DM46" t="s">
        <v>6</v>
      </c>
      <c r="DN46">
        <v>0</v>
      </c>
      <c r="DO46">
        <v>0</v>
      </c>
      <c r="DP46">
        <v>1</v>
      </c>
      <c r="DQ46">
        <v>1</v>
      </c>
      <c r="DU46">
        <v>1003</v>
      </c>
      <c r="DV46" t="s">
        <v>115</v>
      </c>
      <c r="DW46" t="s">
        <v>115</v>
      </c>
      <c r="DX46">
        <v>1</v>
      </c>
      <c r="EE46">
        <v>16510488</v>
      </c>
      <c r="EF46">
        <v>2</v>
      </c>
      <c r="EG46" t="s">
        <v>48</v>
      </c>
      <c r="EH46">
        <v>0</v>
      </c>
      <c r="EI46" t="s">
        <v>6</v>
      </c>
      <c r="EJ46">
        <v>1</v>
      </c>
      <c r="EK46">
        <v>11001</v>
      </c>
      <c r="EL46" t="s">
        <v>21</v>
      </c>
      <c r="EM46" t="s">
        <v>73</v>
      </c>
      <c r="EO46" t="s">
        <v>6</v>
      </c>
      <c r="EQ46">
        <v>0</v>
      </c>
      <c r="ER46">
        <v>0</v>
      </c>
      <c r="ES46">
        <v>0</v>
      </c>
      <c r="ET46">
        <v>0</v>
      </c>
      <c r="EU46">
        <v>0</v>
      </c>
      <c r="EV46">
        <v>0</v>
      </c>
      <c r="EW46">
        <v>0</v>
      </c>
      <c r="EX46">
        <v>0</v>
      </c>
      <c r="FQ46">
        <v>0</v>
      </c>
      <c r="FR46">
        <f t="shared" si="52"/>
        <v>0</v>
      </c>
      <c r="FS46">
        <v>0</v>
      </c>
      <c r="FT46" t="s">
        <v>51</v>
      </c>
      <c r="FU46" t="s">
        <v>52</v>
      </c>
      <c r="FX46">
        <v>110.7</v>
      </c>
      <c r="FY46">
        <v>63.75</v>
      </c>
      <c r="GA46" t="s">
        <v>6</v>
      </c>
      <c r="GD46">
        <v>0</v>
      </c>
      <c r="GF46">
        <v>-2049262376</v>
      </c>
      <c r="GG46">
        <v>1</v>
      </c>
      <c r="GH46">
        <v>1</v>
      </c>
      <c r="GI46">
        <v>4</v>
      </c>
      <c r="GJ46">
        <v>0</v>
      </c>
      <c r="GK46">
        <f>ROUND(R46*(R12)/100,2)</f>
        <v>0</v>
      </c>
      <c r="GL46">
        <f t="shared" si="53"/>
        <v>0</v>
      </c>
      <c r="GM46">
        <f t="shared" si="54"/>
        <v>0</v>
      </c>
      <c r="GN46">
        <f t="shared" si="55"/>
        <v>0</v>
      </c>
      <c r="GO46">
        <f t="shared" si="56"/>
        <v>0</v>
      </c>
      <c r="GP46">
        <f t="shared" si="57"/>
        <v>0</v>
      </c>
      <c r="GR46">
        <v>0</v>
      </c>
      <c r="GS46">
        <v>3</v>
      </c>
      <c r="GT46">
        <v>0</v>
      </c>
      <c r="GU46" t="s">
        <v>6</v>
      </c>
      <c r="GV46">
        <f t="shared" si="58"/>
        <v>0</v>
      </c>
      <c r="GW46">
        <v>1</v>
      </c>
      <c r="GX46">
        <f t="shared" si="59"/>
        <v>0</v>
      </c>
      <c r="HA46">
        <v>0</v>
      </c>
      <c r="HB46">
        <v>0</v>
      </c>
      <c r="HC46">
        <f t="shared" si="60"/>
        <v>0</v>
      </c>
      <c r="IK46">
        <v>0</v>
      </c>
    </row>
    <row r="47" spans="1:245" x14ac:dyDescent="0.2">
      <c r="A47">
        <v>18</v>
      </c>
      <c r="B47">
        <v>1</v>
      </c>
      <c r="C47">
        <v>56</v>
      </c>
      <c r="E47" t="s">
        <v>116</v>
      </c>
      <c r="F47" t="s">
        <v>117</v>
      </c>
      <c r="G47" t="s">
        <v>118</v>
      </c>
      <c r="H47" t="s">
        <v>115</v>
      </c>
      <c r="I47">
        <f>I45*J47</f>
        <v>126.71460000000002</v>
      </c>
      <c r="J47">
        <v>101.00000000000001</v>
      </c>
      <c r="O47">
        <f t="shared" si="21"/>
        <v>10458.14</v>
      </c>
      <c r="P47">
        <f t="shared" si="22"/>
        <v>10458.14</v>
      </c>
      <c r="Q47">
        <f t="shared" si="23"/>
        <v>0</v>
      </c>
      <c r="R47">
        <f t="shared" si="24"/>
        <v>0</v>
      </c>
      <c r="S47">
        <f t="shared" si="25"/>
        <v>0</v>
      </c>
      <c r="T47">
        <f t="shared" si="26"/>
        <v>0</v>
      </c>
      <c r="U47">
        <f t="shared" si="27"/>
        <v>0</v>
      </c>
      <c r="V47">
        <f t="shared" si="28"/>
        <v>0</v>
      </c>
      <c r="W47">
        <f t="shared" si="29"/>
        <v>0</v>
      </c>
      <c r="X47">
        <f t="shared" si="30"/>
        <v>0</v>
      </c>
      <c r="Y47">
        <f t="shared" si="31"/>
        <v>0</v>
      </c>
      <c r="AA47">
        <v>16802145</v>
      </c>
      <c r="AB47">
        <f t="shared" si="32"/>
        <v>12.3</v>
      </c>
      <c r="AC47">
        <f t="shared" si="61"/>
        <v>12.3</v>
      </c>
      <c r="AD47">
        <f t="shared" si="64"/>
        <v>0</v>
      </c>
      <c r="AE47">
        <f t="shared" si="65"/>
        <v>0</v>
      </c>
      <c r="AF47">
        <f t="shared" si="66"/>
        <v>0</v>
      </c>
      <c r="AG47">
        <f t="shared" si="37"/>
        <v>0</v>
      </c>
      <c r="AH47">
        <f t="shared" si="67"/>
        <v>0</v>
      </c>
      <c r="AI47">
        <f t="shared" si="68"/>
        <v>0</v>
      </c>
      <c r="AJ47">
        <f t="shared" si="40"/>
        <v>0</v>
      </c>
      <c r="AK47">
        <v>12.3</v>
      </c>
      <c r="AL47">
        <v>12.3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111</v>
      </c>
      <c r="AU47">
        <v>64</v>
      </c>
      <c r="AV47">
        <v>1</v>
      </c>
      <c r="AW47">
        <v>1</v>
      </c>
      <c r="AZ47">
        <v>6.71</v>
      </c>
      <c r="BA47">
        <v>1</v>
      </c>
      <c r="BB47">
        <v>1</v>
      </c>
      <c r="BC47">
        <v>6.71</v>
      </c>
      <c r="BD47" t="s">
        <v>6</v>
      </c>
      <c r="BE47" t="s">
        <v>6</v>
      </c>
      <c r="BF47" t="s">
        <v>6</v>
      </c>
      <c r="BG47" t="s">
        <v>6</v>
      </c>
      <c r="BH47">
        <v>3</v>
      </c>
      <c r="BI47">
        <v>1</v>
      </c>
      <c r="BJ47" t="s">
        <v>119</v>
      </c>
      <c r="BM47">
        <v>11001</v>
      </c>
      <c r="BN47">
        <v>0</v>
      </c>
      <c r="BO47" t="s">
        <v>6</v>
      </c>
      <c r="BP47">
        <v>0</v>
      </c>
      <c r="BQ47">
        <v>2</v>
      </c>
      <c r="BR47">
        <v>0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6</v>
      </c>
      <c r="BZ47">
        <v>123</v>
      </c>
      <c r="CA47">
        <v>75</v>
      </c>
      <c r="CE47">
        <v>0</v>
      </c>
      <c r="CF47">
        <v>0</v>
      </c>
      <c r="CG47">
        <v>0</v>
      </c>
      <c r="CM47">
        <v>0</v>
      </c>
      <c r="CN47" t="s">
        <v>6</v>
      </c>
      <c r="CO47">
        <v>0</v>
      </c>
      <c r="CP47">
        <f t="shared" si="41"/>
        <v>10458.14</v>
      </c>
      <c r="CQ47">
        <f t="shared" si="42"/>
        <v>82.533000000000001</v>
      </c>
      <c r="CR47">
        <f t="shared" si="43"/>
        <v>0</v>
      </c>
      <c r="CS47">
        <f t="shared" si="44"/>
        <v>0</v>
      </c>
      <c r="CT47">
        <f t="shared" si="45"/>
        <v>0</v>
      </c>
      <c r="CU47">
        <f t="shared" si="46"/>
        <v>0</v>
      </c>
      <c r="CV47">
        <f t="shared" si="47"/>
        <v>0</v>
      </c>
      <c r="CW47">
        <f t="shared" si="48"/>
        <v>0</v>
      </c>
      <c r="CX47">
        <f t="shared" si="49"/>
        <v>0</v>
      </c>
      <c r="CY47">
        <f t="shared" si="50"/>
        <v>0</v>
      </c>
      <c r="CZ47">
        <f t="shared" si="51"/>
        <v>0</v>
      </c>
      <c r="DC47" t="s">
        <v>6</v>
      </c>
      <c r="DD47" t="s">
        <v>6</v>
      </c>
      <c r="DE47" t="s">
        <v>6</v>
      </c>
      <c r="DF47" t="s">
        <v>6</v>
      </c>
      <c r="DG47" t="s">
        <v>6</v>
      </c>
      <c r="DH47" t="s">
        <v>6</v>
      </c>
      <c r="DI47" t="s">
        <v>6</v>
      </c>
      <c r="DJ47" t="s">
        <v>6</v>
      </c>
      <c r="DK47" t="s">
        <v>6</v>
      </c>
      <c r="DL47" t="s">
        <v>6</v>
      </c>
      <c r="DM47" t="s">
        <v>6</v>
      </c>
      <c r="DN47">
        <v>0</v>
      </c>
      <c r="DO47">
        <v>0</v>
      </c>
      <c r="DP47">
        <v>1</v>
      </c>
      <c r="DQ47">
        <v>1</v>
      </c>
      <c r="DU47">
        <v>1003</v>
      </c>
      <c r="DV47" t="s">
        <v>115</v>
      </c>
      <c r="DW47" t="s">
        <v>115</v>
      </c>
      <c r="DX47">
        <v>1</v>
      </c>
      <c r="EE47">
        <v>16510488</v>
      </c>
      <c r="EF47">
        <v>2</v>
      </c>
      <c r="EG47" t="s">
        <v>48</v>
      </c>
      <c r="EH47">
        <v>0</v>
      </c>
      <c r="EI47" t="s">
        <v>6</v>
      </c>
      <c r="EJ47">
        <v>1</v>
      </c>
      <c r="EK47">
        <v>11001</v>
      </c>
      <c r="EL47" t="s">
        <v>21</v>
      </c>
      <c r="EM47" t="s">
        <v>73</v>
      </c>
      <c r="EO47" t="s">
        <v>6</v>
      </c>
      <c r="EQ47">
        <v>0</v>
      </c>
      <c r="ER47">
        <v>12.3</v>
      </c>
      <c r="ES47">
        <v>12.3</v>
      </c>
      <c r="ET47">
        <v>0</v>
      </c>
      <c r="EU47">
        <v>0</v>
      </c>
      <c r="EV47">
        <v>0</v>
      </c>
      <c r="EW47">
        <v>0</v>
      </c>
      <c r="EX47">
        <v>0</v>
      </c>
      <c r="FQ47">
        <v>0</v>
      </c>
      <c r="FR47">
        <f t="shared" si="52"/>
        <v>0</v>
      </c>
      <c r="FS47">
        <v>0</v>
      </c>
      <c r="FT47" t="s">
        <v>51</v>
      </c>
      <c r="FU47" t="s">
        <v>52</v>
      </c>
      <c r="FX47">
        <v>110.7</v>
      </c>
      <c r="FY47">
        <v>63.75</v>
      </c>
      <c r="GA47" t="s">
        <v>6</v>
      </c>
      <c r="GD47">
        <v>0</v>
      </c>
      <c r="GF47">
        <v>1042693501</v>
      </c>
      <c r="GG47">
        <v>1</v>
      </c>
      <c r="GH47">
        <v>1</v>
      </c>
      <c r="GI47">
        <v>4</v>
      </c>
      <c r="GJ47">
        <v>0</v>
      </c>
      <c r="GK47">
        <f>ROUND(R47*(R12)/100,2)</f>
        <v>0</v>
      </c>
      <c r="GL47">
        <f t="shared" si="53"/>
        <v>0</v>
      </c>
      <c r="GM47">
        <f t="shared" si="54"/>
        <v>10458.14</v>
      </c>
      <c r="GN47">
        <f t="shared" si="55"/>
        <v>10458.14</v>
      </c>
      <c r="GO47">
        <f t="shared" si="56"/>
        <v>0</v>
      </c>
      <c r="GP47">
        <f t="shared" si="57"/>
        <v>0</v>
      </c>
      <c r="GR47">
        <v>0</v>
      </c>
      <c r="GS47">
        <v>0</v>
      </c>
      <c r="GT47">
        <v>0</v>
      </c>
      <c r="GU47" t="s">
        <v>6</v>
      </c>
      <c r="GV47">
        <f t="shared" si="58"/>
        <v>0</v>
      </c>
      <c r="GW47">
        <v>1</v>
      </c>
      <c r="GX47">
        <f t="shared" si="59"/>
        <v>0</v>
      </c>
      <c r="HA47">
        <v>0</v>
      </c>
      <c r="HB47">
        <v>0</v>
      </c>
      <c r="HC47">
        <f t="shared" si="60"/>
        <v>0</v>
      </c>
      <c r="IK47">
        <v>0</v>
      </c>
    </row>
    <row r="48" spans="1:245" x14ac:dyDescent="0.2">
      <c r="A48">
        <v>18</v>
      </c>
      <c r="B48">
        <v>1</v>
      </c>
      <c r="C48">
        <v>57</v>
      </c>
      <c r="E48" t="s">
        <v>120</v>
      </c>
      <c r="F48" t="s">
        <v>121</v>
      </c>
      <c r="G48" t="s">
        <v>122</v>
      </c>
      <c r="H48" t="s">
        <v>42</v>
      </c>
      <c r="I48">
        <f>I45*J48</f>
        <v>8</v>
      </c>
      <c r="J48">
        <v>6.3765343535788306</v>
      </c>
      <c r="O48">
        <f t="shared" si="21"/>
        <v>0</v>
      </c>
      <c r="P48">
        <f t="shared" si="22"/>
        <v>0</v>
      </c>
      <c r="Q48">
        <f t="shared" si="23"/>
        <v>0</v>
      </c>
      <c r="R48">
        <f t="shared" si="24"/>
        <v>0</v>
      </c>
      <c r="S48">
        <f t="shared" si="25"/>
        <v>0</v>
      </c>
      <c r="T48">
        <f t="shared" si="26"/>
        <v>0</v>
      </c>
      <c r="U48">
        <f t="shared" si="27"/>
        <v>0</v>
      </c>
      <c r="V48">
        <f t="shared" si="28"/>
        <v>0</v>
      </c>
      <c r="W48">
        <f t="shared" si="29"/>
        <v>0</v>
      </c>
      <c r="X48">
        <f t="shared" si="30"/>
        <v>0</v>
      </c>
      <c r="Y48">
        <f t="shared" si="31"/>
        <v>0</v>
      </c>
      <c r="AA48">
        <v>16802145</v>
      </c>
      <c r="AB48">
        <f t="shared" si="32"/>
        <v>0</v>
      </c>
      <c r="AC48">
        <f t="shared" si="61"/>
        <v>0</v>
      </c>
      <c r="AD48">
        <f t="shared" si="64"/>
        <v>0</v>
      </c>
      <c r="AE48">
        <f t="shared" si="65"/>
        <v>0</v>
      </c>
      <c r="AF48">
        <f t="shared" si="66"/>
        <v>0</v>
      </c>
      <c r="AG48">
        <f t="shared" si="37"/>
        <v>0</v>
      </c>
      <c r="AH48">
        <f t="shared" si="67"/>
        <v>0</v>
      </c>
      <c r="AI48">
        <f t="shared" si="68"/>
        <v>0</v>
      </c>
      <c r="AJ48">
        <f t="shared" si="40"/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111</v>
      </c>
      <c r="AU48">
        <v>64</v>
      </c>
      <c r="AV48">
        <v>1</v>
      </c>
      <c r="AW48">
        <v>1</v>
      </c>
      <c r="AZ48">
        <v>6.71</v>
      </c>
      <c r="BA48">
        <v>1</v>
      </c>
      <c r="BB48">
        <v>1</v>
      </c>
      <c r="BC48">
        <v>6.71</v>
      </c>
      <c r="BD48" t="s">
        <v>6</v>
      </c>
      <c r="BE48" t="s">
        <v>6</v>
      </c>
      <c r="BF48" t="s">
        <v>6</v>
      </c>
      <c r="BG48" t="s">
        <v>6</v>
      </c>
      <c r="BH48">
        <v>3</v>
      </c>
      <c r="BI48">
        <v>1</v>
      </c>
      <c r="BJ48" t="s">
        <v>6</v>
      </c>
      <c r="BM48">
        <v>11001</v>
      </c>
      <c r="BN48">
        <v>0</v>
      </c>
      <c r="BO48" t="s">
        <v>6</v>
      </c>
      <c r="BP48">
        <v>0</v>
      </c>
      <c r="BQ48">
        <v>2</v>
      </c>
      <c r="BR48">
        <v>0</v>
      </c>
      <c r="BS48">
        <v>1</v>
      </c>
      <c r="BT48">
        <v>1</v>
      </c>
      <c r="BU48">
        <v>1</v>
      </c>
      <c r="BV48">
        <v>1</v>
      </c>
      <c r="BW48">
        <v>1</v>
      </c>
      <c r="BX48">
        <v>1</v>
      </c>
      <c r="BY48" t="s">
        <v>6</v>
      </c>
      <c r="BZ48">
        <v>123</v>
      </c>
      <c r="CA48">
        <v>75</v>
      </c>
      <c r="CE48">
        <v>0</v>
      </c>
      <c r="CF48">
        <v>0</v>
      </c>
      <c r="CG48">
        <v>0</v>
      </c>
      <c r="CM48">
        <v>0</v>
      </c>
      <c r="CN48" t="s">
        <v>6</v>
      </c>
      <c r="CO48">
        <v>0</v>
      </c>
      <c r="CP48">
        <f t="shared" si="41"/>
        <v>0</v>
      </c>
      <c r="CQ48">
        <f t="shared" si="42"/>
        <v>0</v>
      </c>
      <c r="CR48">
        <f t="shared" si="43"/>
        <v>0</v>
      </c>
      <c r="CS48">
        <f t="shared" si="44"/>
        <v>0</v>
      </c>
      <c r="CT48">
        <f t="shared" si="45"/>
        <v>0</v>
      </c>
      <c r="CU48">
        <f t="shared" si="46"/>
        <v>0</v>
      </c>
      <c r="CV48">
        <f t="shared" si="47"/>
        <v>0</v>
      </c>
      <c r="CW48">
        <f t="shared" si="48"/>
        <v>0</v>
      </c>
      <c r="CX48">
        <f t="shared" si="49"/>
        <v>0</v>
      </c>
      <c r="CY48">
        <f t="shared" si="50"/>
        <v>0</v>
      </c>
      <c r="CZ48">
        <f t="shared" si="51"/>
        <v>0</v>
      </c>
      <c r="DC48" t="s">
        <v>6</v>
      </c>
      <c r="DD48" t="s">
        <v>6</v>
      </c>
      <c r="DE48" t="s">
        <v>6</v>
      </c>
      <c r="DF48" t="s">
        <v>6</v>
      </c>
      <c r="DG48" t="s">
        <v>6</v>
      </c>
      <c r="DH48" t="s">
        <v>6</v>
      </c>
      <c r="DI48" t="s">
        <v>6</v>
      </c>
      <c r="DJ48" t="s">
        <v>6</v>
      </c>
      <c r="DK48" t="s">
        <v>6</v>
      </c>
      <c r="DL48" t="s">
        <v>6</v>
      </c>
      <c r="DM48" t="s">
        <v>6</v>
      </c>
      <c r="DN48">
        <v>0</v>
      </c>
      <c r="DO48">
        <v>0</v>
      </c>
      <c r="DP48">
        <v>1</v>
      </c>
      <c r="DQ48">
        <v>1</v>
      </c>
      <c r="DU48">
        <v>1010</v>
      </c>
      <c r="DV48" t="s">
        <v>42</v>
      </c>
      <c r="DW48" t="s">
        <v>42</v>
      </c>
      <c r="DX48">
        <v>1</v>
      </c>
      <c r="EE48">
        <v>16510488</v>
      </c>
      <c r="EF48">
        <v>2</v>
      </c>
      <c r="EG48" t="s">
        <v>48</v>
      </c>
      <c r="EH48">
        <v>0</v>
      </c>
      <c r="EI48" t="s">
        <v>6</v>
      </c>
      <c r="EJ48">
        <v>1</v>
      </c>
      <c r="EK48">
        <v>11001</v>
      </c>
      <c r="EL48" t="s">
        <v>21</v>
      </c>
      <c r="EM48" t="s">
        <v>73</v>
      </c>
      <c r="EO48" t="s">
        <v>6</v>
      </c>
      <c r="EQ48">
        <v>0</v>
      </c>
      <c r="ER48">
        <v>0</v>
      </c>
      <c r="ES48">
        <v>0</v>
      </c>
      <c r="ET48">
        <v>0</v>
      </c>
      <c r="EU48">
        <v>0</v>
      </c>
      <c r="EV48">
        <v>0</v>
      </c>
      <c r="EW48">
        <v>0</v>
      </c>
      <c r="EX48">
        <v>0</v>
      </c>
      <c r="FQ48">
        <v>0</v>
      </c>
      <c r="FR48">
        <f t="shared" si="52"/>
        <v>0</v>
      </c>
      <c r="FS48">
        <v>0</v>
      </c>
      <c r="FT48" t="s">
        <v>51</v>
      </c>
      <c r="FU48" t="s">
        <v>52</v>
      </c>
      <c r="FX48">
        <v>110.7</v>
      </c>
      <c r="FY48">
        <v>63.75</v>
      </c>
      <c r="GA48" t="s">
        <v>6</v>
      </c>
      <c r="GD48">
        <v>0</v>
      </c>
      <c r="GF48">
        <v>457303772</v>
      </c>
      <c r="GG48">
        <v>1</v>
      </c>
      <c r="GH48">
        <v>1</v>
      </c>
      <c r="GI48">
        <v>4</v>
      </c>
      <c r="GJ48">
        <v>0</v>
      </c>
      <c r="GK48">
        <f>ROUND(R48*(R12)/100,2)</f>
        <v>0</v>
      </c>
      <c r="GL48">
        <f t="shared" si="53"/>
        <v>0</v>
      </c>
      <c r="GM48">
        <f t="shared" si="54"/>
        <v>0</v>
      </c>
      <c r="GN48">
        <f t="shared" si="55"/>
        <v>0</v>
      </c>
      <c r="GO48">
        <f t="shared" si="56"/>
        <v>0</v>
      </c>
      <c r="GP48">
        <f t="shared" si="57"/>
        <v>0</v>
      </c>
      <c r="GR48">
        <v>0</v>
      </c>
      <c r="GS48">
        <v>3</v>
      </c>
      <c r="GT48">
        <v>0</v>
      </c>
      <c r="GU48" t="s">
        <v>6</v>
      </c>
      <c r="GV48">
        <f t="shared" si="58"/>
        <v>0</v>
      </c>
      <c r="GW48">
        <v>1</v>
      </c>
      <c r="GX48">
        <f t="shared" si="59"/>
        <v>0</v>
      </c>
      <c r="HA48">
        <v>0</v>
      </c>
      <c r="HB48">
        <v>0</v>
      </c>
      <c r="HC48">
        <f t="shared" si="60"/>
        <v>0</v>
      </c>
      <c r="IK48">
        <v>0</v>
      </c>
    </row>
    <row r="49" spans="1:245" x14ac:dyDescent="0.2">
      <c r="A49">
        <v>18</v>
      </c>
      <c r="B49">
        <v>1</v>
      </c>
      <c r="C49">
        <v>63</v>
      </c>
      <c r="E49" t="s">
        <v>123</v>
      </c>
      <c r="F49" t="s">
        <v>124</v>
      </c>
      <c r="G49" t="s">
        <v>125</v>
      </c>
      <c r="H49" t="s">
        <v>126</v>
      </c>
      <c r="I49">
        <f>I45*J49</f>
        <v>0.10000000000000002</v>
      </c>
      <c r="J49">
        <v>7.9706679419735388E-2</v>
      </c>
      <c r="O49">
        <f t="shared" si="21"/>
        <v>42.27</v>
      </c>
      <c r="P49">
        <f t="shared" si="22"/>
        <v>42.27</v>
      </c>
      <c r="Q49">
        <f t="shared" si="23"/>
        <v>0</v>
      </c>
      <c r="R49">
        <f t="shared" si="24"/>
        <v>0</v>
      </c>
      <c r="S49">
        <f t="shared" si="25"/>
        <v>0</v>
      </c>
      <c r="T49">
        <f t="shared" si="26"/>
        <v>0</v>
      </c>
      <c r="U49">
        <f t="shared" si="27"/>
        <v>0</v>
      </c>
      <c r="V49">
        <f t="shared" si="28"/>
        <v>0</v>
      </c>
      <c r="W49">
        <f t="shared" si="29"/>
        <v>0</v>
      </c>
      <c r="X49">
        <f t="shared" si="30"/>
        <v>0</v>
      </c>
      <c r="Y49">
        <f t="shared" si="31"/>
        <v>0</v>
      </c>
      <c r="AA49">
        <v>16802145</v>
      </c>
      <c r="AB49">
        <f t="shared" si="32"/>
        <v>63</v>
      </c>
      <c r="AC49">
        <f t="shared" si="61"/>
        <v>63</v>
      </c>
      <c r="AD49">
        <f t="shared" si="64"/>
        <v>0</v>
      </c>
      <c r="AE49">
        <f t="shared" si="65"/>
        <v>0</v>
      </c>
      <c r="AF49">
        <f t="shared" si="66"/>
        <v>0</v>
      </c>
      <c r="AG49">
        <f t="shared" si="37"/>
        <v>0</v>
      </c>
      <c r="AH49">
        <f t="shared" si="67"/>
        <v>0</v>
      </c>
      <c r="AI49">
        <f t="shared" si="68"/>
        <v>0</v>
      </c>
      <c r="AJ49">
        <f t="shared" si="40"/>
        <v>0</v>
      </c>
      <c r="AK49">
        <v>63</v>
      </c>
      <c r="AL49">
        <v>63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111</v>
      </c>
      <c r="AU49">
        <v>64</v>
      </c>
      <c r="AV49">
        <v>1</v>
      </c>
      <c r="AW49">
        <v>1</v>
      </c>
      <c r="AZ49">
        <v>6.71</v>
      </c>
      <c r="BA49">
        <v>1</v>
      </c>
      <c r="BB49">
        <v>1</v>
      </c>
      <c r="BC49">
        <v>6.71</v>
      </c>
      <c r="BD49" t="s">
        <v>6</v>
      </c>
      <c r="BE49" t="s">
        <v>6</v>
      </c>
      <c r="BF49" t="s">
        <v>6</v>
      </c>
      <c r="BG49" t="s">
        <v>6</v>
      </c>
      <c r="BH49">
        <v>3</v>
      </c>
      <c r="BI49">
        <v>1</v>
      </c>
      <c r="BJ49" t="s">
        <v>127</v>
      </c>
      <c r="BM49">
        <v>11001</v>
      </c>
      <c r="BN49">
        <v>0</v>
      </c>
      <c r="BO49" t="s">
        <v>6</v>
      </c>
      <c r="BP49">
        <v>0</v>
      </c>
      <c r="BQ49">
        <v>2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6</v>
      </c>
      <c r="BZ49">
        <v>123</v>
      </c>
      <c r="CA49">
        <v>75</v>
      </c>
      <c r="CE49">
        <v>0</v>
      </c>
      <c r="CF49">
        <v>0</v>
      </c>
      <c r="CG49">
        <v>0</v>
      </c>
      <c r="CM49">
        <v>0</v>
      </c>
      <c r="CN49" t="s">
        <v>6</v>
      </c>
      <c r="CO49">
        <v>0</v>
      </c>
      <c r="CP49">
        <f t="shared" si="41"/>
        <v>42.27</v>
      </c>
      <c r="CQ49">
        <f t="shared" si="42"/>
        <v>422.73</v>
      </c>
      <c r="CR49">
        <f t="shared" si="43"/>
        <v>0</v>
      </c>
      <c r="CS49">
        <f t="shared" si="44"/>
        <v>0</v>
      </c>
      <c r="CT49">
        <f t="shared" si="45"/>
        <v>0</v>
      </c>
      <c r="CU49">
        <f t="shared" si="46"/>
        <v>0</v>
      </c>
      <c r="CV49">
        <f t="shared" si="47"/>
        <v>0</v>
      </c>
      <c r="CW49">
        <f t="shared" si="48"/>
        <v>0</v>
      </c>
      <c r="CX49">
        <f t="shared" si="49"/>
        <v>0</v>
      </c>
      <c r="CY49">
        <f t="shared" si="50"/>
        <v>0</v>
      </c>
      <c r="CZ49">
        <f t="shared" si="51"/>
        <v>0</v>
      </c>
      <c r="DC49" t="s">
        <v>6</v>
      </c>
      <c r="DD49" t="s">
        <v>6</v>
      </c>
      <c r="DE49" t="s">
        <v>6</v>
      </c>
      <c r="DF49" t="s">
        <v>6</v>
      </c>
      <c r="DG49" t="s">
        <v>6</v>
      </c>
      <c r="DH49" t="s">
        <v>6</v>
      </c>
      <c r="DI49" t="s">
        <v>6</v>
      </c>
      <c r="DJ49" t="s">
        <v>6</v>
      </c>
      <c r="DK49" t="s">
        <v>6</v>
      </c>
      <c r="DL49" t="s">
        <v>6</v>
      </c>
      <c r="DM49" t="s">
        <v>6</v>
      </c>
      <c r="DN49">
        <v>0</v>
      </c>
      <c r="DO49">
        <v>0</v>
      </c>
      <c r="DP49">
        <v>1</v>
      </c>
      <c r="DQ49">
        <v>1</v>
      </c>
      <c r="DU49">
        <v>1010</v>
      </c>
      <c r="DV49" t="s">
        <v>126</v>
      </c>
      <c r="DW49" t="s">
        <v>126</v>
      </c>
      <c r="DX49">
        <v>100</v>
      </c>
      <c r="EE49">
        <v>16510488</v>
      </c>
      <c r="EF49">
        <v>2</v>
      </c>
      <c r="EG49" t="s">
        <v>48</v>
      </c>
      <c r="EH49">
        <v>0</v>
      </c>
      <c r="EI49" t="s">
        <v>6</v>
      </c>
      <c r="EJ49">
        <v>1</v>
      </c>
      <c r="EK49">
        <v>11001</v>
      </c>
      <c r="EL49" t="s">
        <v>21</v>
      </c>
      <c r="EM49" t="s">
        <v>73</v>
      </c>
      <c r="EO49" t="s">
        <v>6</v>
      </c>
      <c r="EQ49">
        <v>0</v>
      </c>
      <c r="ER49">
        <v>63</v>
      </c>
      <c r="ES49">
        <v>63</v>
      </c>
      <c r="ET49">
        <v>0</v>
      </c>
      <c r="EU49">
        <v>0</v>
      </c>
      <c r="EV49">
        <v>0</v>
      </c>
      <c r="EW49">
        <v>0</v>
      </c>
      <c r="EX49">
        <v>0</v>
      </c>
      <c r="FQ49">
        <v>0</v>
      </c>
      <c r="FR49">
        <f t="shared" si="52"/>
        <v>0</v>
      </c>
      <c r="FS49">
        <v>0</v>
      </c>
      <c r="FT49" t="s">
        <v>51</v>
      </c>
      <c r="FU49" t="s">
        <v>52</v>
      </c>
      <c r="FX49">
        <v>110.7</v>
      </c>
      <c r="FY49">
        <v>63.75</v>
      </c>
      <c r="GA49" t="s">
        <v>6</v>
      </c>
      <c r="GD49">
        <v>0</v>
      </c>
      <c r="GF49">
        <v>1906340979</v>
      </c>
      <c r="GG49">
        <v>1</v>
      </c>
      <c r="GH49">
        <v>1</v>
      </c>
      <c r="GI49">
        <v>4</v>
      </c>
      <c r="GJ49">
        <v>0</v>
      </c>
      <c r="GK49">
        <f>ROUND(R49*(R12)/100,2)</f>
        <v>0</v>
      </c>
      <c r="GL49">
        <f t="shared" si="53"/>
        <v>0</v>
      </c>
      <c r="GM49">
        <f t="shared" si="54"/>
        <v>42.27</v>
      </c>
      <c r="GN49">
        <f t="shared" si="55"/>
        <v>42.27</v>
      </c>
      <c r="GO49">
        <f t="shared" si="56"/>
        <v>0</v>
      </c>
      <c r="GP49">
        <f t="shared" si="57"/>
        <v>0</v>
      </c>
      <c r="GR49">
        <v>0</v>
      </c>
      <c r="GS49">
        <v>0</v>
      </c>
      <c r="GT49">
        <v>0</v>
      </c>
      <c r="GU49" t="s">
        <v>6</v>
      </c>
      <c r="GV49">
        <f t="shared" si="58"/>
        <v>0</v>
      </c>
      <c r="GW49">
        <v>1</v>
      </c>
      <c r="GX49">
        <f t="shared" si="59"/>
        <v>0</v>
      </c>
      <c r="HA49">
        <v>0</v>
      </c>
      <c r="HB49">
        <v>0</v>
      </c>
      <c r="HC49">
        <f t="shared" si="60"/>
        <v>0</v>
      </c>
      <c r="IK49">
        <v>0</v>
      </c>
    </row>
    <row r="50" spans="1:245" x14ac:dyDescent="0.2">
      <c r="A50">
        <v>18</v>
      </c>
      <c r="B50">
        <v>1</v>
      </c>
      <c r="C50">
        <v>62</v>
      </c>
      <c r="E50" t="s">
        <v>128</v>
      </c>
      <c r="F50" t="s">
        <v>129</v>
      </c>
      <c r="G50" t="s">
        <v>130</v>
      </c>
      <c r="H50" t="s">
        <v>126</v>
      </c>
      <c r="I50">
        <f>I45*J50</f>
        <v>0.10000000000000002</v>
      </c>
      <c r="J50">
        <v>7.9706679419735388E-2</v>
      </c>
      <c r="O50">
        <f t="shared" si="21"/>
        <v>42.27</v>
      </c>
      <c r="P50">
        <f t="shared" si="22"/>
        <v>42.27</v>
      </c>
      <c r="Q50">
        <f t="shared" si="23"/>
        <v>0</v>
      </c>
      <c r="R50">
        <f t="shared" si="24"/>
        <v>0</v>
      </c>
      <c r="S50">
        <f t="shared" si="25"/>
        <v>0</v>
      </c>
      <c r="T50">
        <f t="shared" si="26"/>
        <v>0</v>
      </c>
      <c r="U50">
        <f t="shared" si="27"/>
        <v>0</v>
      </c>
      <c r="V50">
        <f t="shared" si="28"/>
        <v>0</v>
      </c>
      <c r="W50">
        <f t="shared" si="29"/>
        <v>0</v>
      </c>
      <c r="X50">
        <f t="shared" si="30"/>
        <v>0</v>
      </c>
      <c r="Y50">
        <f t="shared" si="31"/>
        <v>0</v>
      </c>
      <c r="AA50">
        <v>16802145</v>
      </c>
      <c r="AB50">
        <f t="shared" si="32"/>
        <v>63</v>
      </c>
      <c r="AC50">
        <f t="shared" si="61"/>
        <v>63</v>
      </c>
      <c r="AD50">
        <f t="shared" si="64"/>
        <v>0</v>
      </c>
      <c r="AE50">
        <f t="shared" si="65"/>
        <v>0</v>
      </c>
      <c r="AF50">
        <f t="shared" si="66"/>
        <v>0</v>
      </c>
      <c r="AG50">
        <f t="shared" si="37"/>
        <v>0</v>
      </c>
      <c r="AH50">
        <f t="shared" si="67"/>
        <v>0</v>
      </c>
      <c r="AI50">
        <f t="shared" si="68"/>
        <v>0</v>
      </c>
      <c r="AJ50">
        <f t="shared" si="40"/>
        <v>0</v>
      </c>
      <c r="AK50">
        <v>63</v>
      </c>
      <c r="AL50">
        <v>63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111</v>
      </c>
      <c r="AU50">
        <v>64</v>
      </c>
      <c r="AV50">
        <v>1</v>
      </c>
      <c r="AW50">
        <v>1</v>
      </c>
      <c r="AZ50">
        <v>6.71</v>
      </c>
      <c r="BA50">
        <v>1</v>
      </c>
      <c r="BB50">
        <v>1</v>
      </c>
      <c r="BC50">
        <v>6.71</v>
      </c>
      <c r="BD50" t="s">
        <v>6</v>
      </c>
      <c r="BE50" t="s">
        <v>6</v>
      </c>
      <c r="BF50" t="s">
        <v>6</v>
      </c>
      <c r="BG50" t="s">
        <v>6</v>
      </c>
      <c r="BH50">
        <v>3</v>
      </c>
      <c r="BI50">
        <v>1</v>
      </c>
      <c r="BJ50" t="s">
        <v>131</v>
      </c>
      <c r="BM50">
        <v>11001</v>
      </c>
      <c r="BN50">
        <v>0</v>
      </c>
      <c r="BO50" t="s">
        <v>6</v>
      </c>
      <c r="BP50">
        <v>0</v>
      </c>
      <c r="BQ50">
        <v>2</v>
      </c>
      <c r="BR50">
        <v>0</v>
      </c>
      <c r="BS50">
        <v>1</v>
      </c>
      <c r="BT50">
        <v>1</v>
      </c>
      <c r="BU50">
        <v>1</v>
      </c>
      <c r="BV50">
        <v>1</v>
      </c>
      <c r="BW50">
        <v>1</v>
      </c>
      <c r="BX50">
        <v>1</v>
      </c>
      <c r="BY50" t="s">
        <v>6</v>
      </c>
      <c r="BZ50">
        <v>123</v>
      </c>
      <c r="CA50">
        <v>75</v>
      </c>
      <c r="CE50">
        <v>0</v>
      </c>
      <c r="CF50">
        <v>0</v>
      </c>
      <c r="CG50">
        <v>0</v>
      </c>
      <c r="CM50">
        <v>0</v>
      </c>
      <c r="CN50" t="s">
        <v>6</v>
      </c>
      <c r="CO50">
        <v>0</v>
      </c>
      <c r="CP50">
        <f t="shared" si="41"/>
        <v>42.27</v>
      </c>
      <c r="CQ50">
        <f t="shared" si="42"/>
        <v>422.73</v>
      </c>
      <c r="CR50">
        <f t="shared" si="43"/>
        <v>0</v>
      </c>
      <c r="CS50">
        <f t="shared" si="44"/>
        <v>0</v>
      </c>
      <c r="CT50">
        <f t="shared" si="45"/>
        <v>0</v>
      </c>
      <c r="CU50">
        <f t="shared" si="46"/>
        <v>0</v>
      </c>
      <c r="CV50">
        <f t="shared" si="47"/>
        <v>0</v>
      </c>
      <c r="CW50">
        <f t="shared" si="48"/>
        <v>0</v>
      </c>
      <c r="CX50">
        <f t="shared" si="49"/>
        <v>0</v>
      </c>
      <c r="CY50">
        <f t="shared" si="50"/>
        <v>0</v>
      </c>
      <c r="CZ50">
        <f t="shared" si="51"/>
        <v>0</v>
      </c>
      <c r="DC50" t="s">
        <v>6</v>
      </c>
      <c r="DD50" t="s">
        <v>6</v>
      </c>
      <c r="DE50" t="s">
        <v>6</v>
      </c>
      <c r="DF50" t="s">
        <v>6</v>
      </c>
      <c r="DG50" t="s">
        <v>6</v>
      </c>
      <c r="DH50" t="s">
        <v>6</v>
      </c>
      <c r="DI50" t="s">
        <v>6</v>
      </c>
      <c r="DJ50" t="s">
        <v>6</v>
      </c>
      <c r="DK50" t="s">
        <v>6</v>
      </c>
      <c r="DL50" t="s">
        <v>6</v>
      </c>
      <c r="DM50" t="s">
        <v>6</v>
      </c>
      <c r="DN50">
        <v>0</v>
      </c>
      <c r="DO50">
        <v>0</v>
      </c>
      <c r="DP50">
        <v>1</v>
      </c>
      <c r="DQ50">
        <v>1</v>
      </c>
      <c r="DU50">
        <v>1010</v>
      </c>
      <c r="DV50" t="s">
        <v>126</v>
      </c>
      <c r="DW50" t="s">
        <v>126</v>
      </c>
      <c r="DX50">
        <v>100</v>
      </c>
      <c r="EE50">
        <v>16510488</v>
      </c>
      <c r="EF50">
        <v>2</v>
      </c>
      <c r="EG50" t="s">
        <v>48</v>
      </c>
      <c r="EH50">
        <v>0</v>
      </c>
      <c r="EI50" t="s">
        <v>6</v>
      </c>
      <c r="EJ50">
        <v>1</v>
      </c>
      <c r="EK50">
        <v>11001</v>
      </c>
      <c r="EL50" t="s">
        <v>21</v>
      </c>
      <c r="EM50" t="s">
        <v>73</v>
      </c>
      <c r="EO50" t="s">
        <v>6</v>
      </c>
      <c r="EQ50">
        <v>0</v>
      </c>
      <c r="ER50">
        <v>63</v>
      </c>
      <c r="ES50">
        <v>63</v>
      </c>
      <c r="ET50">
        <v>0</v>
      </c>
      <c r="EU50">
        <v>0</v>
      </c>
      <c r="EV50">
        <v>0</v>
      </c>
      <c r="EW50">
        <v>0</v>
      </c>
      <c r="EX50">
        <v>0</v>
      </c>
      <c r="FQ50">
        <v>0</v>
      </c>
      <c r="FR50">
        <f t="shared" si="52"/>
        <v>0</v>
      </c>
      <c r="FS50">
        <v>0</v>
      </c>
      <c r="FT50" t="s">
        <v>51</v>
      </c>
      <c r="FU50" t="s">
        <v>52</v>
      </c>
      <c r="FX50">
        <v>110.7</v>
      </c>
      <c r="FY50">
        <v>63.75</v>
      </c>
      <c r="GA50" t="s">
        <v>6</v>
      </c>
      <c r="GD50">
        <v>0</v>
      </c>
      <c r="GF50">
        <v>1345842772</v>
      </c>
      <c r="GG50">
        <v>1</v>
      </c>
      <c r="GH50">
        <v>1</v>
      </c>
      <c r="GI50">
        <v>4</v>
      </c>
      <c r="GJ50">
        <v>0</v>
      </c>
      <c r="GK50">
        <f>ROUND(R50*(R12)/100,2)</f>
        <v>0</v>
      </c>
      <c r="GL50">
        <f t="shared" si="53"/>
        <v>0</v>
      </c>
      <c r="GM50">
        <f t="shared" si="54"/>
        <v>42.27</v>
      </c>
      <c r="GN50">
        <f t="shared" si="55"/>
        <v>42.27</v>
      </c>
      <c r="GO50">
        <f t="shared" si="56"/>
        <v>0</v>
      </c>
      <c r="GP50">
        <f t="shared" si="57"/>
        <v>0</v>
      </c>
      <c r="GR50">
        <v>0</v>
      </c>
      <c r="GS50">
        <v>0</v>
      </c>
      <c r="GT50">
        <v>0</v>
      </c>
      <c r="GU50" t="s">
        <v>6</v>
      </c>
      <c r="GV50">
        <f t="shared" si="58"/>
        <v>0</v>
      </c>
      <c r="GW50">
        <v>1</v>
      </c>
      <c r="GX50">
        <f t="shared" si="59"/>
        <v>0</v>
      </c>
      <c r="HA50">
        <v>0</v>
      </c>
      <c r="HB50">
        <v>0</v>
      </c>
      <c r="HC50">
        <f t="shared" si="60"/>
        <v>0</v>
      </c>
      <c r="IK50">
        <v>0</v>
      </c>
    </row>
    <row r="51" spans="1:245" x14ac:dyDescent="0.2">
      <c r="A51">
        <v>18</v>
      </c>
      <c r="B51">
        <v>1</v>
      </c>
      <c r="C51">
        <v>64</v>
      </c>
      <c r="E51" t="s">
        <v>132</v>
      </c>
      <c r="F51" t="s">
        <v>133</v>
      </c>
      <c r="G51" t="s">
        <v>134</v>
      </c>
      <c r="H51" t="s">
        <v>126</v>
      </c>
      <c r="I51">
        <f>I45*J51</f>
        <v>0.5</v>
      </c>
      <c r="J51">
        <v>0.39853339709867691</v>
      </c>
      <c r="O51">
        <f t="shared" si="21"/>
        <v>429.44</v>
      </c>
      <c r="P51">
        <f t="shared" si="22"/>
        <v>429.44</v>
      </c>
      <c r="Q51">
        <f t="shared" si="23"/>
        <v>0</v>
      </c>
      <c r="R51">
        <f t="shared" si="24"/>
        <v>0</v>
      </c>
      <c r="S51">
        <f t="shared" si="25"/>
        <v>0</v>
      </c>
      <c r="T51">
        <f t="shared" si="26"/>
        <v>0</v>
      </c>
      <c r="U51">
        <f t="shared" si="27"/>
        <v>0</v>
      </c>
      <c r="V51">
        <f t="shared" si="28"/>
        <v>0</v>
      </c>
      <c r="W51">
        <f t="shared" si="29"/>
        <v>0</v>
      </c>
      <c r="X51">
        <f t="shared" si="30"/>
        <v>0</v>
      </c>
      <c r="Y51">
        <f t="shared" si="31"/>
        <v>0</v>
      </c>
      <c r="AA51">
        <v>16802145</v>
      </c>
      <c r="AB51">
        <f t="shared" si="32"/>
        <v>128</v>
      </c>
      <c r="AC51">
        <f t="shared" si="61"/>
        <v>128</v>
      </c>
      <c r="AD51">
        <f t="shared" si="64"/>
        <v>0</v>
      </c>
      <c r="AE51">
        <f t="shared" si="65"/>
        <v>0</v>
      </c>
      <c r="AF51">
        <f t="shared" si="66"/>
        <v>0</v>
      </c>
      <c r="AG51">
        <f t="shared" si="37"/>
        <v>0</v>
      </c>
      <c r="AH51">
        <f t="shared" si="67"/>
        <v>0</v>
      </c>
      <c r="AI51">
        <f t="shared" si="68"/>
        <v>0</v>
      </c>
      <c r="AJ51">
        <f t="shared" si="40"/>
        <v>0</v>
      </c>
      <c r="AK51">
        <v>128</v>
      </c>
      <c r="AL51">
        <v>128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111</v>
      </c>
      <c r="AU51">
        <v>64</v>
      </c>
      <c r="AV51">
        <v>1</v>
      </c>
      <c r="AW51">
        <v>1</v>
      </c>
      <c r="AZ51">
        <v>6.71</v>
      </c>
      <c r="BA51">
        <v>1</v>
      </c>
      <c r="BB51">
        <v>1</v>
      </c>
      <c r="BC51">
        <v>6.71</v>
      </c>
      <c r="BD51" t="s">
        <v>6</v>
      </c>
      <c r="BE51" t="s">
        <v>6</v>
      </c>
      <c r="BF51" t="s">
        <v>6</v>
      </c>
      <c r="BG51" t="s">
        <v>6</v>
      </c>
      <c r="BH51">
        <v>3</v>
      </c>
      <c r="BI51">
        <v>1</v>
      </c>
      <c r="BJ51" t="s">
        <v>135</v>
      </c>
      <c r="BM51">
        <v>11001</v>
      </c>
      <c r="BN51">
        <v>0</v>
      </c>
      <c r="BO51" t="s">
        <v>6</v>
      </c>
      <c r="BP51">
        <v>0</v>
      </c>
      <c r="BQ51">
        <v>2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6</v>
      </c>
      <c r="BZ51">
        <v>123</v>
      </c>
      <c r="CA51">
        <v>75</v>
      </c>
      <c r="CE51">
        <v>0</v>
      </c>
      <c r="CF51">
        <v>0</v>
      </c>
      <c r="CG51">
        <v>0</v>
      </c>
      <c r="CM51">
        <v>0</v>
      </c>
      <c r="CN51" t="s">
        <v>6</v>
      </c>
      <c r="CO51">
        <v>0</v>
      </c>
      <c r="CP51">
        <f t="shared" si="41"/>
        <v>429.44</v>
      </c>
      <c r="CQ51">
        <f t="shared" si="42"/>
        <v>858.88</v>
      </c>
      <c r="CR51">
        <f t="shared" si="43"/>
        <v>0</v>
      </c>
      <c r="CS51">
        <f t="shared" si="44"/>
        <v>0</v>
      </c>
      <c r="CT51">
        <f t="shared" si="45"/>
        <v>0</v>
      </c>
      <c r="CU51">
        <f t="shared" si="46"/>
        <v>0</v>
      </c>
      <c r="CV51">
        <f t="shared" si="47"/>
        <v>0</v>
      </c>
      <c r="CW51">
        <f t="shared" si="48"/>
        <v>0</v>
      </c>
      <c r="CX51">
        <f t="shared" si="49"/>
        <v>0</v>
      </c>
      <c r="CY51">
        <f t="shared" si="50"/>
        <v>0</v>
      </c>
      <c r="CZ51">
        <f t="shared" si="51"/>
        <v>0</v>
      </c>
      <c r="DC51" t="s">
        <v>6</v>
      </c>
      <c r="DD51" t="s">
        <v>6</v>
      </c>
      <c r="DE51" t="s">
        <v>6</v>
      </c>
      <c r="DF51" t="s">
        <v>6</v>
      </c>
      <c r="DG51" t="s">
        <v>6</v>
      </c>
      <c r="DH51" t="s">
        <v>6</v>
      </c>
      <c r="DI51" t="s">
        <v>6</v>
      </c>
      <c r="DJ51" t="s">
        <v>6</v>
      </c>
      <c r="DK51" t="s">
        <v>6</v>
      </c>
      <c r="DL51" t="s">
        <v>6</v>
      </c>
      <c r="DM51" t="s">
        <v>6</v>
      </c>
      <c r="DN51">
        <v>0</v>
      </c>
      <c r="DO51">
        <v>0</v>
      </c>
      <c r="DP51">
        <v>1</v>
      </c>
      <c r="DQ51">
        <v>1</v>
      </c>
      <c r="DU51">
        <v>1010</v>
      </c>
      <c r="DV51" t="s">
        <v>126</v>
      </c>
      <c r="DW51" t="s">
        <v>126</v>
      </c>
      <c r="DX51">
        <v>100</v>
      </c>
      <c r="EE51">
        <v>16510488</v>
      </c>
      <c r="EF51">
        <v>2</v>
      </c>
      <c r="EG51" t="s">
        <v>48</v>
      </c>
      <c r="EH51">
        <v>0</v>
      </c>
      <c r="EI51" t="s">
        <v>6</v>
      </c>
      <c r="EJ51">
        <v>1</v>
      </c>
      <c r="EK51">
        <v>11001</v>
      </c>
      <c r="EL51" t="s">
        <v>21</v>
      </c>
      <c r="EM51" t="s">
        <v>73</v>
      </c>
      <c r="EO51" t="s">
        <v>6</v>
      </c>
      <c r="EQ51">
        <v>0</v>
      </c>
      <c r="ER51">
        <v>128</v>
      </c>
      <c r="ES51">
        <v>128</v>
      </c>
      <c r="ET51">
        <v>0</v>
      </c>
      <c r="EU51">
        <v>0</v>
      </c>
      <c r="EV51">
        <v>0</v>
      </c>
      <c r="EW51">
        <v>0</v>
      </c>
      <c r="EX51">
        <v>0</v>
      </c>
      <c r="FQ51">
        <v>0</v>
      </c>
      <c r="FR51">
        <f t="shared" si="52"/>
        <v>0</v>
      </c>
      <c r="FS51">
        <v>0</v>
      </c>
      <c r="FT51" t="s">
        <v>51</v>
      </c>
      <c r="FU51" t="s">
        <v>52</v>
      </c>
      <c r="FX51">
        <v>110.7</v>
      </c>
      <c r="FY51">
        <v>63.75</v>
      </c>
      <c r="GA51" t="s">
        <v>6</v>
      </c>
      <c r="GD51">
        <v>0</v>
      </c>
      <c r="GF51">
        <v>848075668</v>
      </c>
      <c r="GG51">
        <v>1</v>
      </c>
      <c r="GH51">
        <v>1</v>
      </c>
      <c r="GI51">
        <v>4</v>
      </c>
      <c r="GJ51">
        <v>0</v>
      </c>
      <c r="GK51">
        <f>ROUND(R51*(R12)/100,2)</f>
        <v>0</v>
      </c>
      <c r="GL51">
        <f t="shared" si="53"/>
        <v>0</v>
      </c>
      <c r="GM51">
        <f t="shared" si="54"/>
        <v>429.44</v>
      </c>
      <c r="GN51">
        <f t="shared" si="55"/>
        <v>429.44</v>
      </c>
      <c r="GO51">
        <f t="shared" si="56"/>
        <v>0</v>
      </c>
      <c r="GP51">
        <f t="shared" si="57"/>
        <v>0</v>
      </c>
      <c r="GR51">
        <v>0</v>
      </c>
      <c r="GS51">
        <v>0</v>
      </c>
      <c r="GT51">
        <v>0</v>
      </c>
      <c r="GU51" t="s">
        <v>6</v>
      </c>
      <c r="GV51">
        <f t="shared" si="58"/>
        <v>0</v>
      </c>
      <c r="GW51">
        <v>1</v>
      </c>
      <c r="GX51">
        <f t="shared" si="59"/>
        <v>0</v>
      </c>
      <c r="HA51">
        <v>0</v>
      </c>
      <c r="HB51">
        <v>0</v>
      </c>
      <c r="HC51">
        <f t="shared" si="60"/>
        <v>0</v>
      </c>
      <c r="IK51">
        <v>0</v>
      </c>
    </row>
    <row r="52" spans="1:245" x14ac:dyDescent="0.2">
      <c r="A52">
        <v>18</v>
      </c>
      <c r="B52">
        <v>1</v>
      </c>
      <c r="C52">
        <v>65</v>
      </c>
      <c r="E52" t="s">
        <v>136</v>
      </c>
      <c r="F52" t="s">
        <v>137</v>
      </c>
      <c r="G52" t="s">
        <v>138</v>
      </c>
      <c r="H52" t="s">
        <v>126</v>
      </c>
      <c r="I52">
        <f>I45*J52</f>
        <v>0.08</v>
      </c>
      <c r="J52">
        <v>6.3765343535788305E-2</v>
      </c>
      <c r="O52">
        <f t="shared" si="21"/>
        <v>68.709999999999994</v>
      </c>
      <c r="P52">
        <f t="shared" si="22"/>
        <v>68.709999999999994</v>
      </c>
      <c r="Q52">
        <f t="shared" si="23"/>
        <v>0</v>
      </c>
      <c r="R52">
        <f t="shared" si="24"/>
        <v>0</v>
      </c>
      <c r="S52">
        <f t="shared" si="25"/>
        <v>0</v>
      </c>
      <c r="T52">
        <f t="shared" si="26"/>
        <v>0</v>
      </c>
      <c r="U52">
        <f t="shared" si="27"/>
        <v>0</v>
      </c>
      <c r="V52">
        <f t="shared" si="28"/>
        <v>0</v>
      </c>
      <c r="W52">
        <f t="shared" si="29"/>
        <v>0</v>
      </c>
      <c r="X52">
        <f t="shared" si="30"/>
        <v>0</v>
      </c>
      <c r="Y52">
        <f t="shared" si="31"/>
        <v>0</v>
      </c>
      <c r="AA52">
        <v>16802145</v>
      </c>
      <c r="AB52">
        <f t="shared" si="32"/>
        <v>128</v>
      </c>
      <c r="AC52">
        <f t="shared" si="61"/>
        <v>128</v>
      </c>
      <c r="AD52">
        <f t="shared" si="64"/>
        <v>0</v>
      </c>
      <c r="AE52">
        <f t="shared" si="65"/>
        <v>0</v>
      </c>
      <c r="AF52">
        <f t="shared" si="66"/>
        <v>0</v>
      </c>
      <c r="AG52">
        <f t="shared" si="37"/>
        <v>0</v>
      </c>
      <c r="AH52">
        <f t="shared" si="67"/>
        <v>0</v>
      </c>
      <c r="AI52">
        <f t="shared" si="68"/>
        <v>0</v>
      </c>
      <c r="AJ52">
        <f t="shared" si="40"/>
        <v>0</v>
      </c>
      <c r="AK52">
        <v>128</v>
      </c>
      <c r="AL52">
        <v>128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111</v>
      </c>
      <c r="AU52">
        <v>64</v>
      </c>
      <c r="AV52">
        <v>1</v>
      </c>
      <c r="AW52">
        <v>1</v>
      </c>
      <c r="AZ52">
        <v>6.71</v>
      </c>
      <c r="BA52">
        <v>1</v>
      </c>
      <c r="BB52">
        <v>1</v>
      </c>
      <c r="BC52">
        <v>6.71</v>
      </c>
      <c r="BD52" t="s">
        <v>6</v>
      </c>
      <c r="BE52" t="s">
        <v>6</v>
      </c>
      <c r="BF52" t="s">
        <v>6</v>
      </c>
      <c r="BG52" t="s">
        <v>6</v>
      </c>
      <c r="BH52">
        <v>3</v>
      </c>
      <c r="BI52">
        <v>1</v>
      </c>
      <c r="BJ52" t="s">
        <v>139</v>
      </c>
      <c r="BM52">
        <v>11001</v>
      </c>
      <c r="BN52">
        <v>0</v>
      </c>
      <c r="BO52" t="s">
        <v>6</v>
      </c>
      <c r="BP52">
        <v>0</v>
      </c>
      <c r="BQ52">
        <v>2</v>
      </c>
      <c r="BR52">
        <v>0</v>
      </c>
      <c r="BS52">
        <v>1</v>
      </c>
      <c r="BT52">
        <v>1</v>
      </c>
      <c r="BU52">
        <v>1</v>
      </c>
      <c r="BV52">
        <v>1</v>
      </c>
      <c r="BW52">
        <v>1</v>
      </c>
      <c r="BX52">
        <v>1</v>
      </c>
      <c r="BY52" t="s">
        <v>6</v>
      </c>
      <c r="BZ52">
        <v>123</v>
      </c>
      <c r="CA52">
        <v>75</v>
      </c>
      <c r="CE52">
        <v>0</v>
      </c>
      <c r="CF52">
        <v>0</v>
      </c>
      <c r="CG52">
        <v>0</v>
      </c>
      <c r="CM52">
        <v>0</v>
      </c>
      <c r="CN52" t="s">
        <v>6</v>
      </c>
      <c r="CO52">
        <v>0</v>
      </c>
      <c r="CP52">
        <f t="shared" si="41"/>
        <v>68.709999999999994</v>
      </c>
      <c r="CQ52">
        <f t="shared" si="42"/>
        <v>858.88</v>
      </c>
      <c r="CR52">
        <f t="shared" si="43"/>
        <v>0</v>
      </c>
      <c r="CS52">
        <f t="shared" si="44"/>
        <v>0</v>
      </c>
      <c r="CT52">
        <f t="shared" si="45"/>
        <v>0</v>
      </c>
      <c r="CU52">
        <f t="shared" si="46"/>
        <v>0</v>
      </c>
      <c r="CV52">
        <f t="shared" si="47"/>
        <v>0</v>
      </c>
      <c r="CW52">
        <f t="shared" si="48"/>
        <v>0</v>
      </c>
      <c r="CX52">
        <f t="shared" si="49"/>
        <v>0</v>
      </c>
      <c r="CY52">
        <f t="shared" si="50"/>
        <v>0</v>
      </c>
      <c r="CZ52">
        <f t="shared" si="51"/>
        <v>0</v>
      </c>
      <c r="DC52" t="s">
        <v>6</v>
      </c>
      <c r="DD52" t="s">
        <v>6</v>
      </c>
      <c r="DE52" t="s">
        <v>6</v>
      </c>
      <c r="DF52" t="s">
        <v>6</v>
      </c>
      <c r="DG52" t="s">
        <v>6</v>
      </c>
      <c r="DH52" t="s">
        <v>6</v>
      </c>
      <c r="DI52" t="s">
        <v>6</v>
      </c>
      <c r="DJ52" t="s">
        <v>6</v>
      </c>
      <c r="DK52" t="s">
        <v>6</v>
      </c>
      <c r="DL52" t="s">
        <v>6</v>
      </c>
      <c r="DM52" t="s">
        <v>6</v>
      </c>
      <c r="DN52">
        <v>0</v>
      </c>
      <c r="DO52">
        <v>0</v>
      </c>
      <c r="DP52">
        <v>1</v>
      </c>
      <c r="DQ52">
        <v>1</v>
      </c>
      <c r="DU52">
        <v>1010</v>
      </c>
      <c r="DV52" t="s">
        <v>126</v>
      </c>
      <c r="DW52" t="s">
        <v>126</v>
      </c>
      <c r="DX52">
        <v>100</v>
      </c>
      <c r="EE52">
        <v>16510488</v>
      </c>
      <c r="EF52">
        <v>2</v>
      </c>
      <c r="EG52" t="s">
        <v>48</v>
      </c>
      <c r="EH52">
        <v>0</v>
      </c>
      <c r="EI52" t="s">
        <v>6</v>
      </c>
      <c r="EJ52">
        <v>1</v>
      </c>
      <c r="EK52">
        <v>11001</v>
      </c>
      <c r="EL52" t="s">
        <v>21</v>
      </c>
      <c r="EM52" t="s">
        <v>73</v>
      </c>
      <c r="EO52" t="s">
        <v>6</v>
      </c>
      <c r="EQ52">
        <v>0</v>
      </c>
      <c r="ER52">
        <v>128</v>
      </c>
      <c r="ES52">
        <v>128</v>
      </c>
      <c r="ET52">
        <v>0</v>
      </c>
      <c r="EU52">
        <v>0</v>
      </c>
      <c r="EV52">
        <v>0</v>
      </c>
      <c r="EW52">
        <v>0</v>
      </c>
      <c r="EX52">
        <v>0</v>
      </c>
      <c r="FQ52">
        <v>0</v>
      </c>
      <c r="FR52">
        <f t="shared" si="52"/>
        <v>0</v>
      </c>
      <c r="FS52">
        <v>0</v>
      </c>
      <c r="FT52" t="s">
        <v>51</v>
      </c>
      <c r="FU52" t="s">
        <v>52</v>
      </c>
      <c r="FX52">
        <v>110.7</v>
      </c>
      <c r="FY52">
        <v>63.75</v>
      </c>
      <c r="GA52" t="s">
        <v>6</v>
      </c>
      <c r="GD52">
        <v>0</v>
      </c>
      <c r="GF52">
        <v>1508644261</v>
      </c>
      <c r="GG52">
        <v>1</v>
      </c>
      <c r="GH52">
        <v>1</v>
      </c>
      <c r="GI52">
        <v>4</v>
      </c>
      <c r="GJ52">
        <v>0</v>
      </c>
      <c r="GK52">
        <f>ROUND(R52*(R12)/100,2)</f>
        <v>0</v>
      </c>
      <c r="GL52">
        <f t="shared" si="53"/>
        <v>0</v>
      </c>
      <c r="GM52">
        <f t="shared" si="54"/>
        <v>68.709999999999994</v>
      </c>
      <c r="GN52">
        <f t="shared" si="55"/>
        <v>68.709999999999994</v>
      </c>
      <c r="GO52">
        <f t="shared" si="56"/>
        <v>0</v>
      </c>
      <c r="GP52">
        <f t="shared" si="57"/>
        <v>0</v>
      </c>
      <c r="GR52">
        <v>0</v>
      </c>
      <c r="GS52">
        <v>0</v>
      </c>
      <c r="GT52">
        <v>0</v>
      </c>
      <c r="GU52" t="s">
        <v>6</v>
      </c>
      <c r="GV52">
        <f t="shared" si="58"/>
        <v>0</v>
      </c>
      <c r="GW52">
        <v>1</v>
      </c>
      <c r="GX52">
        <f t="shared" si="59"/>
        <v>0</v>
      </c>
      <c r="HA52">
        <v>0</v>
      </c>
      <c r="HB52">
        <v>0</v>
      </c>
      <c r="HC52">
        <f t="shared" si="60"/>
        <v>0</v>
      </c>
      <c r="IK52">
        <v>0</v>
      </c>
    </row>
    <row r="53" spans="1:245" x14ac:dyDescent="0.2">
      <c r="A53">
        <v>18</v>
      </c>
      <c r="B53">
        <v>1</v>
      </c>
      <c r="C53">
        <v>66</v>
      </c>
      <c r="E53" t="s">
        <v>140</v>
      </c>
      <c r="F53" t="s">
        <v>141</v>
      </c>
      <c r="G53" t="s">
        <v>142</v>
      </c>
      <c r="H53" t="s">
        <v>126</v>
      </c>
      <c r="I53">
        <f>I45*J53</f>
        <v>0.08</v>
      </c>
      <c r="J53">
        <v>6.3765343535788305E-2</v>
      </c>
      <c r="O53">
        <f t="shared" si="21"/>
        <v>68.709999999999994</v>
      </c>
      <c r="P53">
        <f t="shared" si="22"/>
        <v>68.709999999999994</v>
      </c>
      <c r="Q53">
        <f t="shared" si="23"/>
        <v>0</v>
      </c>
      <c r="R53">
        <f t="shared" si="24"/>
        <v>0</v>
      </c>
      <c r="S53">
        <f t="shared" si="25"/>
        <v>0</v>
      </c>
      <c r="T53">
        <f t="shared" si="26"/>
        <v>0</v>
      </c>
      <c r="U53">
        <f t="shared" si="27"/>
        <v>0</v>
      </c>
      <c r="V53">
        <f t="shared" si="28"/>
        <v>0</v>
      </c>
      <c r="W53">
        <f t="shared" si="29"/>
        <v>0</v>
      </c>
      <c r="X53">
        <f t="shared" si="30"/>
        <v>0</v>
      </c>
      <c r="Y53">
        <f t="shared" si="31"/>
        <v>0</v>
      </c>
      <c r="AA53">
        <v>16802145</v>
      </c>
      <c r="AB53">
        <f t="shared" si="32"/>
        <v>128</v>
      </c>
      <c r="AC53">
        <f t="shared" si="61"/>
        <v>128</v>
      </c>
      <c r="AD53">
        <f t="shared" si="64"/>
        <v>0</v>
      </c>
      <c r="AE53">
        <f t="shared" si="65"/>
        <v>0</v>
      </c>
      <c r="AF53">
        <f t="shared" si="66"/>
        <v>0</v>
      </c>
      <c r="AG53">
        <f t="shared" si="37"/>
        <v>0</v>
      </c>
      <c r="AH53">
        <f t="shared" si="67"/>
        <v>0</v>
      </c>
      <c r="AI53">
        <f t="shared" si="68"/>
        <v>0</v>
      </c>
      <c r="AJ53">
        <f t="shared" si="40"/>
        <v>0</v>
      </c>
      <c r="AK53">
        <v>128</v>
      </c>
      <c r="AL53">
        <v>128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111</v>
      </c>
      <c r="AU53">
        <v>64</v>
      </c>
      <c r="AV53">
        <v>1</v>
      </c>
      <c r="AW53">
        <v>1</v>
      </c>
      <c r="AZ53">
        <v>6.71</v>
      </c>
      <c r="BA53">
        <v>1</v>
      </c>
      <c r="BB53">
        <v>1</v>
      </c>
      <c r="BC53">
        <v>6.71</v>
      </c>
      <c r="BD53" t="s">
        <v>6</v>
      </c>
      <c r="BE53" t="s">
        <v>6</v>
      </c>
      <c r="BF53" t="s">
        <v>6</v>
      </c>
      <c r="BG53" t="s">
        <v>6</v>
      </c>
      <c r="BH53">
        <v>3</v>
      </c>
      <c r="BI53">
        <v>1</v>
      </c>
      <c r="BJ53" t="s">
        <v>143</v>
      </c>
      <c r="BM53">
        <v>11001</v>
      </c>
      <c r="BN53">
        <v>0</v>
      </c>
      <c r="BO53" t="s">
        <v>6</v>
      </c>
      <c r="BP53">
        <v>0</v>
      </c>
      <c r="BQ53">
        <v>2</v>
      </c>
      <c r="BR53">
        <v>0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6</v>
      </c>
      <c r="BZ53">
        <v>123</v>
      </c>
      <c r="CA53">
        <v>75</v>
      </c>
      <c r="CE53">
        <v>0</v>
      </c>
      <c r="CF53">
        <v>0</v>
      </c>
      <c r="CG53">
        <v>0</v>
      </c>
      <c r="CM53">
        <v>0</v>
      </c>
      <c r="CN53" t="s">
        <v>6</v>
      </c>
      <c r="CO53">
        <v>0</v>
      </c>
      <c r="CP53">
        <f t="shared" si="41"/>
        <v>68.709999999999994</v>
      </c>
      <c r="CQ53">
        <f t="shared" si="42"/>
        <v>858.88</v>
      </c>
      <c r="CR53">
        <f t="shared" si="43"/>
        <v>0</v>
      </c>
      <c r="CS53">
        <f t="shared" si="44"/>
        <v>0</v>
      </c>
      <c r="CT53">
        <f t="shared" si="45"/>
        <v>0</v>
      </c>
      <c r="CU53">
        <f t="shared" si="46"/>
        <v>0</v>
      </c>
      <c r="CV53">
        <f t="shared" si="47"/>
        <v>0</v>
      </c>
      <c r="CW53">
        <f t="shared" si="48"/>
        <v>0</v>
      </c>
      <c r="CX53">
        <f t="shared" si="49"/>
        <v>0</v>
      </c>
      <c r="CY53">
        <f t="shared" si="50"/>
        <v>0</v>
      </c>
      <c r="CZ53">
        <f t="shared" si="51"/>
        <v>0</v>
      </c>
      <c r="DC53" t="s">
        <v>6</v>
      </c>
      <c r="DD53" t="s">
        <v>6</v>
      </c>
      <c r="DE53" t="s">
        <v>6</v>
      </c>
      <c r="DF53" t="s">
        <v>6</v>
      </c>
      <c r="DG53" t="s">
        <v>6</v>
      </c>
      <c r="DH53" t="s">
        <v>6</v>
      </c>
      <c r="DI53" t="s">
        <v>6</v>
      </c>
      <c r="DJ53" t="s">
        <v>6</v>
      </c>
      <c r="DK53" t="s">
        <v>6</v>
      </c>
      <c r="DL53" t="s">
        <v>6</v>
      </c>
      <c r="DM53" t="s">
        <v>6</v>
      </c>
      <c r="DN53">
        <v>0</v>
      </c>
      <c r="DO53">
        <v>0</v>
      </c>
      <c r="DP53">
        <v>1</v>
      </c>
      <c r="DQ53">
        <v>1</v>
      </c>
      <c r="DU53">
        <v>1010</v>
      </c>
      <c r="DV53" t="s">
        <v>126</v>
      </c>
      <c r="DW53" t="s">
        <v>126</v>
      </c>
      <c r="DX53">
        <v>100</v>
      </c>
      <c r="EE53">
        <v>16510488</v>
      </c>
      <c r="EF53">
        <v>2</v>
      </c>
      <c r="EG53" t="s">
        <v>48</v>
      </c>
      <c r="EH53">
        <v>0</v>
      </c>
      <c r="EI53" t="s">
        <v>6</v>
      </c>
      <c r="EJ53">
        <v>1</v>
      </c>
      <c r="EK53">
        <v>11001</v>
      </c>
      <c r="EL53" t="s">
        <v>21</v>
      </c>
      <c r="EM53" t="s">
        <v>73</v>
      </c>
      <c r="EO53" t="s">
        <v>6</v>
      </c>
      <c r="EQ53">
        <v>0</v>
      </c>
      <c r="ER53">
        <v>128</v>
      </c>
      <c r="ES53">
        <v>128</v>
      </c>
      <c r="ET53">
        <v>0</v>
      </c>
      <c r="EU53">
        <v>0</v>
      </c>
      <c r="EV53">
        <v>0</v>
      </c>
      <c r="EW53">
        <v>0</v>
      </c>
      <c r="EX53">
        <v>0</v>
      </c>
      <c r="FQ53">
        <v>0</v>
      </c>
      <c r="FR53">
        <f t="shared" si="52"/>
        <v>0</v>
      </c>
      <c r="FS53">
        <v>0</v>
      </c>
      <c r="FT53" t="s">
        <v>51</v>
      </c>
      <c r="FU53" t="s">
        <v>52</v>
      </c>
      <c r="FX53">
        <v>110.7</v>
      </c>
      <c r="FY53">
        <v>63.75</v>
      </c>
      <c r="GA53" t="s">
        <v>6</v>
      </c>
      <c r="GD53">
        <v>0</v>
      </c>
      <c r="GF53">
        <v>-1530028590</v>
      </c>
      <c r="GG53">
        <v>1</v>
      </c>
      <c r="GH53">
        <v>1</v>
      </c>
      <c r="GI53">
        <v>4</v>
      </c>
      <c r="GJ53">
        <v>0</v>
      </c>
      <c r="GK53">
        <f>ROUND(R53*(R12)/100,2)</f>
        <v>0</v>
      </c>
      <c r="GL53">
        <f t="shared" si="53"/>
        <v>0</v>
      </c>
      <c r="GM53">
        <f t="shared" si="54"/>
        <v>68.709999999999994</v>
      </c>
      <c r="GN53">
        <f t="shared" si="55"/>
        <v>68.709999999999994</v>
      </c>
      <c r="GO53">
        <f t="shared" si="56"/>
        <v>0</v>
      </c>
      <c r="GP53">
        <f t="shared" si="57"/>
        <v>0</v>
      </c>
      <c r="GR53">
        <v>0</v>
      </c>
      <c r="GS53">
        <v>0</v>
      </c>
      <c r="GT53">
        <v>0</v>
      </c>
      <c r="GU53" t="s">
        <v>6</v>
      </c>
      <c r="GV53">
        <f t="shared" si="58"/>
        <v>0</v>
      </c>
      <c r="GW53">
        <v>1</v>
      </c>
      <c r="GX53">
        <f t="shared" si="59"/>
        <v>0</v>
      </c>
      <c r="HA53">
        <v>0</v>
      </c>
      <c r="HB53">
        <v>0</v>
      </c>
      <c r="HC53">
        <f t="shared" si="60"/>
        <v>0</v>
      </c>
      <c r="IK53">
        <v>0</v>
      </c>
    </row>
    <row r="54" spans="1:245" x14ac:dyDescent="0.2">
      <c r="A54">
        <v>18</v>
      </c>
      <c r="B54">
        <v>1</v>
      </c>
      <c r="C54">
        <v>58</v>
      </c>
      <c r="E54" t="s">
        <v>144</v>
      </c>
      <c r="F54" t="s">
        <v>121</v>
      </c>
      <c r="G54" t="s">
        <v>145</v>
      </c>
      <c r="H54" t="s">
        <v>42</v>
      </c>
      <c r="I54">
        <f>I45*J54</f>
        <v>8</v>
      </c>
      <c r="J54">
        <v>6.3765343535788306</v>
      </c>
      <c r="O54">
        <f t="shared" si="21"/>
        <v>0</v>
      </c>
      <c r="P54">
        <f t="shared" si="22"/>
        <v>0</v>
      </c>
      <c r="Q54">
        <f t="shared" si="23"/>
        <v>0</v>
      </c>
      <c r="R54">
        <f t="shared" si="24"/>
        <v>0</v>
      </c>
      <c r="S54">
        <f t="shared" si="25"/>
        <v>0</v>
      </c>
      <c r="T54">
        <f t="shared" si="26"/>
        <v>0</v>
      </c>
      <c r="U54">
        <f t="shared" si="27"/>
        <v>0</v>
      </c>
      <c r="V54">
        <f t="shared" si="28"/>
        <v>0</v>
      </c>
      <c r="W54">
        <f t="shared" si="29"/>
        <v>0</v>
      </c>
      <c r="X54">
        <f t="shared" si="30"/>
        <v>0</v>
      </c>
      <c r="Y54">
        <f t="shared" si="31"/>
        <v>0</v>
      </c>
      <c r="AA54">
        <v>16802145</v>
      </c>
      <c r="AB54">
        <f t="shared" si="32"/>
        <v>0</v>
      </c>
      <c r="AC54">
        <f t="shared" si="61"/>
        <v>0</v>
      </c>
      <c r="AD54">
        <f t="shared" si="64"/>
        <v>0</v>
      </c>
      <c r="AE54">
        <f t="shared" si="65"/>
        <v>0</v>
      </c>
      <c r="AF54">
        <f t="shared" si="66"/>
        <v>0</v>
      </c>
      <c r="AG54">
        <f t="shared" si="37"/>
        <v>0</v>
      </c>
      <c r="AH54">
        <f t="shared" si="67"/>
        <v>0</v>
      </c>
      <c r="AI54">
        <f t="shared" si="68"/>
        <v>0</v>
      </c>
      <c r="AJ54">
        <f t="shared" si="40"/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111</v>
      </c>
      <c r="AU54">
        <v>64</v>
      </c>
      <c r="AV54">
        <v>1</v>
      </c>
      <c r="AW54">
        <v>1</v>
      </c>
      <c r="AZ54">
        <v>6.71</v>
      </c>
      <c r="BA54">
        <v>1</v>
      </c>
      <c r="BB54">
        <v>1</v>
      </c>
      <c r="BC54">
        <v>6.71</v>
      </c>
      <c r="BD54" t="s">
        <v>6</v>
      </c>
      <c r="BE54" t="s">
        <v>6</v>
      </c>
      <c r="BF54" t="s">
        <v>6</v>
      </c>
      <c r="BG54" t="s">
        <v>6</v>
      </c>
      <c r="BH54">
        <v>3</v>
      </c>
      <c r="BI54">
        <v>1</v>
      </c>
      <c r="BJ54" t="s">
        <v>6</v>
      </c>
      <c r="BM54">
        <v>11001</v>
      </c>
      <c r="BN54">
        <v>0</v>
      </c>
      <c r="BO54" t="s">
        <v>6</v>
      </c>
      <c r="BP54">
        <v>0</v>
      </c>
      <c r="BQ54">
        <v>2</v>
      </c>
      <c r="BR54">
        <v>0</v>
      </c>
      <c r="BS54">
        <v>1</v>
      </c>
      <c r="BT54">
        <v>1</v>
      </c>
      <c r="BU54">
        <v>1</v>
      </c>
      <c r="BV54">
        <v>1</v>
      </c>
      <c r="BW54">
        <v>1</v>
      </c>
      <c r="BX54">
        <v>1</v>
      </c>
      <c r="BY54" t="s">
        <v>6</v>
      </c>
      <c r="BZ54">
        <v>123</v>
      </c>
      <c r="CA54">
        <v>75</v>
      </c>
      <c r="CE54">
        <v>0</v>
      </c>
      <c r="CF54">
        <v>0</v>
      </c>
      <c r="CG54">
        <v>0</v>
      </c>
      <c r="CM54">
        <v>0</v>
      </c>
      <c r="CN54" t="s">
        <v>6</v>
      </c>
      <c r="CO54">
        <v>0</v>
      </c>
      <c r="CP54">
        <f t="shared" si="41"/>
        <v>0</v>
      </c>
      <c r="CQ54">
        <f t="shared" si="42"/>
        <v>0</v>
      </c>
      <c r="CR54">
        <f t="shared" si="43"/>
        <v>0</v>
      </c>
      <c r="CS54">
        <f t="shared" si="44"/>
        <v>0</v>
      </c>
      <c r="CT54">
        <f t="shared" si="45"/>
        <v>0</v>
      </c>
      <c r="CU54">
        <f t="shared" si="46"/>
        <v>0</v>
      </c>
      <c r="CV54">
        <f t="shared" si="47"/>
        <v>0</v>
      </c>
      <c r="CW54">
        <f t="shared" si="48"/>
        <v>0</v>
      </c>
      <c r="CX54">
        <f t="shared" si="49"/>
        <v>0</v>
      </c>
      <c r="CY54">
        <f t="shared" si="50"/>
        <v>0</v>
      </c>
      <c r="CZ54">
        <f t="shared" si="51"/>
        <v>0</v>
      </c>
      <c r="DC54" t="s">
        <v>6</v>
      </c>
      <c r="DD54" t="s">
        <v>6</v>
      </c>
      <c r="DE54" t="s">
        <v>6</v>
      </c>
      <c r="DF54" t="s">
        <v>6</v>
      </c>
      <c r="DG54" t="s">
        <v>6</v>
      </c>
      <c r="DH54" t="s">
        <v>6</v>
      </c>
      <c r="DI54" t="s">
        <v>6</v>
      </c>
      <c r="DJ54" t="s">
        <v>6</v>
      </c>
      <c r="DK54" t="s">
        <v>6</v>
      </c>
      <c r="DL54" t="s">
        <v>6</v>
      </c>
      <c r="DM54" t="s">
        <v>6</v>
      </c>
      <c r="DN54">
        <v>0</v>
      </c>
      <c r="DO54">
        <v>0</v>
      </c>
      <c r="DP54">
        <v>1</v>
      </c>
      <c r="DQ54">
        <v>1</v>
      </c>
      <c r="DU54">
        <v>1010</v>
      </c>
      <c r="DV54" t="s">
        <v>42</v>
      </c>
      <c r="DW54" t="s">
        <v>42</v>
      </c>
      <c r="DX54">
        <v>1</v>
      </c>
      <c r="EE54">
        <v>16510488</v>
      </c>
      <c r="EF54">
        <v>2</v>
      </c>
      <c r="EG54" t="s">
        <v>48</v>
      </c>
      <c r="EH54">
        <v>0</v>
      </c>
      <c r="EI54" t="s">
        <v>6</v>
      </c>
      <c r="EJ54">
        <v>1</v>
      </c>
      <c r="EK54">
        <v>11001</v>
      </c>
      <c r="EL54" t="s">
        <v>21</v>
      </c>
      <c r="EM54" t="s">
        <v>73</v>
      </c>
      <c r="EO54" t="s">
        <v>6</v>
      </c>
      <c r="EQ54">
        <v>0</v>
      </c>
      <c r="ER54">
        <v>0</v>
      </c>
      <c r="ES54">
        <v>0</v>
      </c>
      <c r="ET54">
        <v>0</v>
      </c>
      <c r="EU54">
        <v>0</v>
      </c>
      <c r="EV54">
        <v>0</v>
      </c>
      <c r="EW54">
        <v>0</v>
      </c>
      <c r="EX54">
        <v>0</v>
      </c>
      <c r="FQ54">
        <v>0</v>
      </c>
      <c r="FR54">
        <f t="shared" si="52"/>
        <v>0</v>
      </c>
      <c r="FS54">
        <v>0</v>
      </c>
      <c r="FT54" t="s">
        <v>51</v>
      </c>
      <c r="FU54" t="s">
        <v>52</v>
      </c>
      <c r="FX54">
        <v>110.7</v>
      </c>
      <c r="FY54">
        <v>63.75</v>
      </c>
      <c r="GA54" t="s">
        <v>6</v>
      </c>
      <c r="GD54">
        <v>0</v>
      </c>
      <c r="GF54">
        <v>119324816</v>
      </c>
      <c r="GG54">
        <v>1</v>
      </c>
      <c r="GH54">
        <v>1</v>
      </c>
      <c r="GI54">
        <v>4</v>
      </c>
      <c r="GJ54">
        <v>0</v>
      </c>
      <c r="GK54">
        <f>ROUND(R54*(R12)/100,2)</f>
        <v>0</v>
      </c>
      <c r="GL54">
        <f t="shared" si="53"/>
        <v>0</v>
      </c>
      <c r="GM54">
        <f t="shared" si="54"/>
        <v>0</v>
      </c>
      <c r="GN54">
        <f t="shared" si="55"/>
        <v>0</v>
      </c>
      <c r="GO54">
        <f t="shared" si="56"/>
        <v>0</v>
      </c>
      <c r="GP54">
        <f t="shared" si="57"/>
        <v>0</v>
      </c>
      <c r="GR54">
        <v>0</v>
      </c>
      <c r="GS54">
        <v>3</v>
      </c>
      <c r="GT54">
        <v>0</v>
      </c>
      <c r="GU54" t="s">
        <v>6</v>
      </c>
      <c r="GV54">
        <f t="shared" si="58"/>
        <v>0</v>
      </c>
      <c r="GW54">
        <v>1</v>
      </c>
      <c r="GX54">
        <f t="shared" si="59"/>
        <v>0</v>
      </c>
      <c r="HA54">
        <v>0</v>
      </c>
      <c r="HB54">
        <v>0</v>
      </c>
      <c r="HC54">
        <f t="shared" si="60"/>
        <v>0</v>
      </c>
      <c r="IK54">
        <v>0</v>
      </c>
    </row>
    <row r="55" spans="1:245" x14ac:dyDescent="0.2">
      <c r="A55">
        <v>18</v>
      </c>
      <c r="B55">
        <v>1</v>
      </c>
      <c r="C55">
        <v>59</v>
      </c>
      <c r="E55" t="s">
        <v>146</v>
      </c>
      <c r="F55" t="s">
        <v>121</v>
      </c>
      <c r="G55" t="s">
        <v>147</v>
      </c>
      <c r="H55" t="s">
        <v>42</v>
      </c>
      <c r="I55">
        <f>I45*J55</f>
        <v>50</v>
      </c>
      <c r="J55">
        <v>39.85333970986769</v>
      </c>
      <c r="O55">
        <f t="shared" si="21"/>
        <v>0</v>
      </c>
      <c r="P55">
        <f t="shared" si="22"/>
        <v>0</v>
      </c>
      <c r="Q55">
        <f t="shared" si="23"/>
        <v>0</v>
      </c>
      <c r="R55">
        <f t="shared" si="24"/>
        <v>0</v>
      </c>
      <c r="S55">
        <f t="shared" si="25"/>
        <v>0</v>
      </c>
      <c r="T55">
        <f t="shared" si="26"/>
        <v>0</v>
      </c>
      <c r="U55">
        <f t="shared" si="27"/>
        <v>0</v>
      </c>
      <c r="V55">
        <f t="shared" si="28"/>
        <v>0</v>
      </c>
      <c r="W55">
        <f t="shared" si="29"/>
        <v>0</v>
      </c>
      <c r="X55">
        <f t="shared" si="30"/>
        <v>0</v>
      </c>
      <c r="Y55">
        <f t="shared" si="31"/>
        <v>0</v>
      </c>
      <c r="AA55">
        <v>16802145</v>
      </c>
      <c r="AB55">
        <f t="shared" si="32"/>
        <v>0</v>
      </c>
      <c r="AC55">
        <f t="shared" si="61"/>
        <v>0</v>
      </c>
      <c r="AD55">
        <f t="shared" si="64"/>
        <v>0</v>
      </c>
      <c r="AE55">
        <f t="shared" si="65"/>
        <v>0</v>
      </c>
      <c r="AF55">
        <f t="shared" si="66"/>
        <v>0</v>
      </c>
      <c r="AG55">
        <f t="shared" si="37"/>
        <v>0</v>
      </c>
      <c r="AH55">
        <f t="shared" si="67"/>
        <v>0</v>
      </c>
      <c r="AI55">
        <f t="shared" si="68"/>
        <v>0</v>
      </c>
      <c r="AJ55">
        <f t="shared" si="40"/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111</v>
      </c>
      <c r="AU55">
        <v>64</v>
      </c>
      <c r="AV55">
        <v>1</v>
      </c>
      <c r="AW55">
        <v>1</v>
      </c>
      <c r="AZ55">
        <v>6.71</v>
      </c>
      <c r="BA55">
        <v>1</v>
      </c>
      <c r="BB55">
        <v>1</v>
      </c>
      <c r="BC55">
        <v>6.71</v>
      </c>
      <c r="BD55" t="s">
        <v>6</v>
      </c>
      <c r="BE55" t="s">
        <v>6</v>
      </c>
      <c r="BF55" t="s">
        <v>6</v>
      </c>
      <c r="BG55" t="s">
        <v>6</v>
      </c>
      <c r="BH55">
        <v>3</v>
      </c>
      <c r="BI55">
        <v>1</v>
      </c>
      <c r="BJ55" t="s">
        <v>6</v>
      </c>
      <c r="BM55">
        <v>11001</v>
      </c>
      <c r="BN55">
        <v>0</v>
      </c>
      <c r="BO55" t="s">
        <v>6</v>
      </c>
      <c r="BP55">
        <v>0</v>
      </c>
      <c r="BQ55">
        <v>2</v>
      </c>
      <c r="BR55">
        <v>0</v>
      </c>
      <c r="BS55">
        <v>1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6</v>
      </c>
      <c r="BZ55">
        <v>123</v>
      </c>
      <c r="CA55">
        <v>75</v>
      </c>
      <c r="CE55">
        <v>0</v>
      </c>
      <c r="CF55">
        <v>0</v>
      </c>
      <c r="CG55">
        <v>0</v>
      </c>
      <c r="CM55">
        <v>0</v>
      </c>
      <c r="CN55" t="s">
        <v>6</v>
      </c>
      <c r="CO55">
        <v>0</v>
      </c>
      <c r="CP55">
        <f t="shared" si="41"/>
        <v>0</v>
      </c>
      <c r="CQ55">
        <f t="shared" si="42"/>
        <v>0</v>
      </c>
      <c r="CR55">
        <f t="shared" si="43"/>
        <v>0</v>
      </c>
      <c r="CS55">
        <f t="shared" si="44"/>
        <v>0</v>
      </c>
      <c r="CT55">
        <f t="shared" si="45"/>
        <v>0</v>
      </c>
      <c r="CU55">
        <f t="shared" si="46"/>
        <v>0</v>
      </c>
      <c r="CV55">
        <f t="shared" si="47"/>
        <v>0</v>
      </c>
      <c r="CW55">
        <f t="shared" si="48"/>
        <v>0</v>
      </c>
      <c r="CX55">
        <f t="shared" si="49"/>
        <v>0</v>
      </c>
      <c r="CY55">
        <f t="shared" si="50"/>
        <v>0</v>
      </c>
      <c r="CZ55">
        <f t="shared" si="51"/>
        <v>0</v>
      </c>
      <c r="DC55" t="s">
        <v>6</v>
      </c>
      <c r="DD55" t="s">
        <v>6</v>
      </c>
      <c r="DE55" t="s">
        <v>6</v>
      </c>
      <c r="DF55" t="s">
        <v>6</v>
      </c>
      <c r="DG55" t="s">
        <v>6</v>
      </c>
      <c r="DH55" t="s">
        <v>6</v>
      </c>
      <c r="DI55" t="s">
        <v>6</v>
      </c>
      <c r="DJ55" t="s">
        <v>6</v>
      </c>
      <c r="DK55" t="s">
        <v>6</v>
      </c>
      <c r="DL55" t="s">
        <v>6</v>
      </c>
      <c r="DM55" t="s">
        <v>6</v>
      </c>
      <c r="DN55">
        <v>0</v>
      </c>
      <c r="DO55">
        <v>0</v>
      </c>
      <c r="DP55">
        <v>1</v>
      </c>
      <c r="DQ55">
        <v>1</v>
      </c>
      <c r="DU55">
        <v>1010</v>
      </c>
      <c r="DV55" t="s">
        <v>42</v>
      </c>
      <c r="DW55" t="s">
        <v>42</v>
      </c>
      <c r="DX55">
        <v>1</v>
      </c>
      <c r="EE55">
        <v>16510488</v>
      </c>
      <c r="EF55">
        <v>2</v>
      </c>
      <c r="EG55" t="s">
        <v>48</v>
      </c>
      <c r="EH55">
        <v>0</v>
      </c>
      <c r="EI55" t="s">
        <v>6</v>
      </c>
      <c r="EJ55">
        <v>1</v>
      </c>
      <c r="EK55">
        <v>11001</v>
      </c>
      <c r="EL55" t="s">
        <v>21</v>
      </c>
      <c r="EM55" t="s">
        <v>73</v>
      </c>
      <c r="EO55" t="s">
        <v>6</v>
      </c>
      <c r="EQ55">
        <v>0</v>
      </c>
      <c r="ER55">
        <v>0</v>
      </c>
      <c r="ES55">
        <v>0</v>
      </c>
      <c r="ET55">
        <v>0</v>
      </c>
      <c r="EU55">
        <v>0</v>
      </c>
      <c r="EV55">
        <v>0</v>
      </c>
      <c r="EW55">
        <v>0</v>
      </c>
      <c r="EX55">
        <v>0</v>
      </c>
      <c r="FQ55">
        <v>0</v>
      </c>
      <c r="FR55">
        <f t="shared" si="52"/>
        <v>0</v>
      </c>
      <c r="FS55">
        <v>0</v>
      </c>
      <c r="FT55" t="s">
        <v>51</v>
      </c>
      <c r="FU55" t="s">
        <v>52</v>
      </c>
      <c r="FX55">
        <v>110.7</v>
      </c>
      <c r="FY55">
        <v>63.75</v>
      </c>
      <c r="GA55" t="s">
        <v>6</v>
      </c>
      <c r="GD55">
        <v>0</v>
      </c>
      <c r="GF55">
        <v>2133044040</v>
      </c>
      <c r="GG55">
        <v>1</v>
      </c>
      <c r="GH55">
        <v>1</v>
      </c>
      <c r="GI55">
        <v>4</v>
      </c>
      <c r="GJ55">
        <v>0</v>
      </c>
      <c r="GK55">
        <f>ROUND(R55*(R12)/100,2)</f>
        <v>0</v>
      </c>
      <c r="GL55">
        <f t="shared" si="53"/>
        <v>0</v>
      </c>
      <c r="GM55">
        <f t="shared" si="54"/>
        <v>0</v>
      </c>
      <c r="GN55">
        <f t="shared" si="55"/>
        <v>0</v>
      </c>
      <c r="GO55">
        <f t="shared" si="56"/>
        <v>0</v>
      </c>
      <c r="GP55">
        <f t="shared" si="57"/>
        <v>0</v>
      </c>
      <c r="GR55">
        <v>0</v>
      </c>
      <c r="GS55">
        <v>3</v>
      </c>
      <c r="GT55">
        <v>0</v>
      </c>
      <c r="GU55" t="s">
        <v>6</v>
      </c>
      <c r="GV55">
        <f t="shared" si="58"/>
        <v>0</v>
      </c>
      <c r="GW55">
        <v>1</v>
      </c>
      <c r="GX55">
        <f t="shared" si="59"/>
        <v>0</v>
      </c>
      <c r="HA55">
        <v>0</v>
      </c>
      <c r="HB55">
        <v>0</v>
      </c>
      <c r="HC55">
        <f t="shared" si="60"/>
        <v>0</v>
      </c>
      <c r="IK55">
        <v>0</v>
      </c>
    </row>
    <row r="56" spans="1:245" x14ac:dyDescent="0.2">
      <c r="A56">
        <v>18</v>
      </c>
      <c r="B56">
        <v>1</v>
      </c>
      <c r="C56">
        <v>60</v>
      </c>
      <c r="E56" t="s">
        <v>148</v>
      </c>
      <c r="F56" t="s">
        <v>121</v>
      </c>
      <c r="G56" t="s">
        <v>149</v>
      </c>
      <c r="H56" t="s">
        <v>42</v>
      </c>
      <c r="I56">
        <f>I45*J56</f>
        <v>10</v>
      </c>
      <c r="J56">
        <v>7.970667941973538</v>
      </c>
      <c r="O56">
        <f t="shared" si="21"/>
        <v>0</v>
      </c>
      <c r="P56">
        <f t="shared" si="22"/>
        <v>0</v>
      </c>
      <c r="Q56">
        <f t="shared" si="23"/>
        <v>0</v>
      </c>
      <c r="R56">
        <f t="shared" si="24"/>
        <v>0</v>
      </c>
      <c r="S56">
        <f t="shared" si="25"/>
        <v>0</v>
      </c>
      <c r="T56">
        <f t="shared" si="26"/>
        <v>0</v>
      </c>
      <c r="U56">
        <f t="shared" si="27"/>
        <v>0</v>
      </c>
      <c r="V56">
        <f t="shared" si="28"/>
        <v>0</v>
      </c>
      <c r="W56">
        <f t="shared" si="29"/>
        <v>0</v>
      </c>
      <c r="X56">
        <f t="shared" si="30"/>
        <v>0</v>
      </c>
      <c r="Y56">
        <f t="shared" si="31"/>
        <v>0</v>
      </c>
      <c r="AA56">
        <v>16802145</v>
      </c>
      <c r="AB56">
        <f t="shared" si="32"/>
        <v>0</v>
      </c>
      <c r="AC56">
        <f t="shared" si="61"/>
        <v>0</v>
      </c>
      <c r="AD56">
        <f t="shared" si="64"/>
        <v>0</v>
      </c>
      <c r="AE56">
        <f t="shared" si="65"/>
        <v>0</v>
      </c>
      <c r="AF56">
        <f t="shared" si="66"/>
        <v>0</v>
      </c>
      <c r="AG56">
        <f t="shared" si="37"/>
        <v>0</v>
      </c>
      <c r="AH56">
        <f t="shared" si="67"/>
        <v>0</v>
      </c>
      <c r="AI56">
        <f t="shared" si="68"/>
        <v>0</v>
      </c>
      <c r="AJ56">
        <f t="shared" si="40"/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111</v>
      </c>
      <c r="AU56">
        <v>64</v>
      </c>
      <c r="AV56">
        <v>1</v>
      </c>
      <c r="AW56">
        <v>1</v>
      </c>
      <c r="AZ56">
        <v>6.71</v>
      </c>
      <c r="BA56">
        <v>1</v>
      </c>
      <c r="BB56">
        <v>1</v>
      </c>
      <c r="BC56">
        <v>6.71</v>
      </c>
      <c r="BD56" t="s">
        <v>6</v>
      </c>
      <c r="BE56" t="s">
        <v>6</v>
      </c>
      <c r="BF56" t="s">
        <v>6</v>
      </c>
      <c r="BG56" t="s">
        <v>6</v>
      </c>
      <c r="BH56">
        <v>3</v>
      </c>
      <c r="BI56">
        <v>1</v>
      </c>
      <c r="BJ56" t="s">
        <v>6</v>
      </c>
      <c r="BM56">
        <v>11001</v>
      </c>
      <c r="BN56">
        <v>0</v>
      </c>
      <c r="BO56" t="s">
        <v>6</v>
      </c>
      <c r="BP56">
        <v>0</v>
      </c>
      <c r="BQ56">
        <v>2</v>
      </c>
      <c r="BR56">
        <v>0</v>
      </c>
      <c r="BS56">
        <v>1</v>
      </c>
      <c r="BT56">
        <v>1</v>
      </c>
      <c r="BU56">
        <v>1</v>
      </c>
      <c r="BV56">
        <v>1</v>
      </c>
      <c r="BW56">
        <v>1</v>
      </c>
      <c r="BX56">
        <v>1</v>
      </c>
      <c r="BY56" t="s">
        <v>6</v>
      </c>
      <c r="BZ56">
        <v>123</v>
      </c>
      <c r="CA56">
        <v>75</v>
      </c>
      <c r="CE56">
        <v>0</v>
      </c>
      <c r="CF56">
        <v>0</v>
      </c>
      <c r="CG56">
        <v>0</v>
      </c>
      <c r="CM56">
        <v>0</v>
      </c>
      <c r="CN56" t="s">
        <v>6</v>
      </c>
      <c r="CO56">
        <v>0</v>
      </c>
      <c r="CP56">
        <f t="shared" si="41"/>
        <v>0</v>
      </c>
      <c r="CQ56">
        <f t="shared" si="42"/>
        <v>0</v>
      </c>
      <c r="CR56">
        <f t="shared" si="43"/>
        <v>0</v>
      </c>
      <c r="CS56">
        <f t="shared" si="44"/>
        <v>0</v>
      </c>
      <c r="CT56">
        <f t="shared" si="45"/>
        <v>0</v>
      </c>
      <c r="CU56">
        <f t="shared" si="46"/>
        <v>0</v>
      </c>
      <c r="CV56">
        <f t="shared" si="47"/>
        <v>0</v>
      </c>
      <c r="CW56">
        <f t="shared" si="48"/>
        <v>0</v>
      </c>
      <c r="CX56">
        <f t="shared" si="49"/>
        <v>0</v>
      </c>
      <c r="CY56">
        <f t="shared" si="50"/>
        <v>0</v>
      </c>
      <c r="CZ56">
        <f t="shared" si="51"/>
        <v>0</v>
      </c>
      <c r="DC56" t="s">
        <v>6</v>
      </c>
      <c r="DD56" t="s">
        <v>6</v>
      </c>
      <c r="DE56" t="s">
        <v>6</v>
      </c>
      <c r="DF56" t="s">
        <v>6</v>
      </c>
      <c r="DG56" t="s">
        <v>6</v>
      </c>
      <c r="DH56" t="s">
        <v>6</v>
      </c>
      <c r="DI56" t="s">
        <v>6</v>
      </c>
      <c r="DJ56" t="s">
        <v>6</v>
      </c>
      <c r="DK56" t="s">
        <v>6</v>
      </c>
      <c r="DL56" t="s">
        <v>6</v>
      </c>
      <c r="DM56" t="s">
        <v>6</v>
      </c>
      <c r="DN56">
        <v>0</v>
      </c>
      <c r="DO56">
        <v>0</v>
      </c>
      <c r="DP56">
        <v>1</v>
      </c>
      <c r="DQ56">
        <v>1</v>
      </c>
      <c r="DU56">
        <v>1010</v>
      </c>
      <c r="DV56" t="s">
        <v>42</v>
      </c>
      <c r="DW56" t="s">
        <v>42</v>
      </c>
      <c r="DX56">
        <v>1</v>
      </c>
      <c r="EE56">
        <v>16510488</v>
      </c>
      <c r="EF56">
        <v>2</v>
      </c>
      <c r="EG56" t="s">
        <v>48</v>
      </c>
      <c r="EH56">
        <v>0</v>
      </c>
      <c r="EI56" t="s">
        <v>6</v>
      </c>
      <c r="EJ56">
        <v>1</v>
      </c>
      <c r="EK56">
        <v>11001</v>
      </c>
      <c r="EL56" t="s">
        <v>21</v>
      </c>
      <c r="EM56" t="s">
        <v>73</v>
      </c>
      <c r="EO56" t="s">
        <v>6</v>
      </c>
      <c r="EQ56">
        <v>0</v>
      </c>
      <c r="ER56">
        <v>0</v>
      </c>
      <c r="ES56">
        <v>0</v>
      </c>
      <c r="ET56">
        <v>0</v>
      </c>
      <c r="EU56">
        <v>0</v>
      </c>
      <c r="EV56">
        <v>0</v>
      </c>
      <c r="EW56">
        <v>0</v>
      </c>
      <c r="EX56">
        <v>0</v>
      </c>
      <c r="FQ56">
        <v>0</v>
      </c>
      <c r="FR56">
        <f t="shared" si="52"/>
        <v>0</v>
      </c>
      <c r="FS56">
        <v>0</v>
      </c>
      <c r="FT56" t="s">
        <v>51</v>
      </c>
      <c r="FU56" t="s">
        <v>52</v>
      </c>
      <c r="FX56">
        <v>110.7</v>
      </c>
      <c r="FY56">
        <v>63.75</v>
      </c>
      <c r="GA56" t="s">
        <v>6</v>
      </c>
      <c r="GD56">
        <v>0</v>
      </c>
      <c r="GF56">
        <v>1953413105</v>
      </c>
      <c r="GG56">
        <v>1</v>
      </c>
      <c r="GH56">
        <v>1</v>
      </c>
      <c r="GI56">
        <v>4</v>
      </c>
      <c r="GJ56">
        <v>0</v>
      </c>
      <c r="GK56">
        <f>ROUND(R56*(R12)/100,2)</f>
        <v>0</v>
      </c>
      <c r="GL56">
        <f t="shared" si="53"/>
        <v>0</v>
      </c>
      <c r="GM56">
        <f t="shared" si="54"/>
        <v>0</v>
      </c>
      <c r="GN56">
        <f t="shared" si="55"/>
        <v>0</v>
      </c>
      <c r="GO56">
        <f t="shared" si="56"/>
        <v>0</v>
      </c>
      <c r="GP56">
        <f t="shared" si="57"/>
        <v>0</v>
      </c>
      <c r="GR56">
        <v>0</v>
      </c>
      <c r="GS56">
        <v>3</v>
      </c>
      <c r="GT56">
        <v>0</v>
      </c>
      <c r="GU56" t="s">
        <v>6</v>
      </c>
      <c r="GV56">
        <f t="shared" si="58"/>
        <v>0</v>
      </c>
      <c r="GW56">
        <v>1</v>
      </c>
      <c r="GX56">
        <f t="shared" si="59"/>
        <v>0</v>
      </c>
      <c r="HA56">
        <v>0</v>
      </c>
      <c r="HB56">
        <v>0</v>
      </c>
      <c r="HC56">
        <f t="shared" si="60"/>
        <v>0</v>
      </c>
      <c r="IK56">
        <v>0</v>
      </c>
    </row>
    <row r="57" spans="1:245" x14ac:dyDescent="0.2">
      <c r="A57">
        <v>18</v>
      </c>
      <c r="B57">
        <v>1</v>
      </c>
      <c r="C57">
        <v>61</v>
      </c>
      <c r="E57" t="s">
        <v>150</v>
      </c>
      <c r="F57" t="s">
        <v>121</v>
      </c>
      <c r="G57" t="s">
        <v>151</v>
      </c>
      <c r="H57" t="s">
        <v>42</v>
      </c>
      <c r="I57">
        <f>I45*J57</f>
        <v>10</v>
      </c>
      <c r="J57">
        <v>7.970667941973538</v>
      </c>
      <c r="O57">
        <f t="shared" si="21"/>
        <v>0</v>
      </c>
      <c r="P57">
        <f t="shared" si="22"/>
        <v>0</v>
      </c>
      <c r="Q57">
        <f t="shared" si="23"/>
        <v>0</v>
      </c>
      <c r="R57">
        <f t="shared" si="24"/>
        <v>0</v>
      </c>
      <c r="S57">
        <f t="shared" si="25"/>
        <v>0</v>
      </c>
      <c r="T57">
        <f t="shared" si="26"/>
        <v>0</v>
      </c>
      <c r="U57">
        <f t="shared" si="27"/>
        <v>0</v>
      </c>
      <c r="V57">
        <f t="shared" si="28"/>
        <v>0</v>
      </c>
      <c r="W57">
        <f t="shared" si="29"/>
        <v>0</v>
      </c>
      <c r="X57">
        <f t="shared" si="30"/>
        <v>0</v>
      </c>
      <c r="Y57">
        <f t="shared" si="31"/>
        <v>0</v>
      </c>
      <c r="AA57">
        <v>16802145</v>
      </c>
      <c r="AB57">
        <f t="shared" si="32"/>
        <v>0</v>
      </c>
      <c r="AC57">
        <f t="shared" si="61"/>
        <v>0</v>
      </c>
      <c r="AD57">
        <f t="shared" si="64"/>
        <v>0</v>
      </c>
      <c r="AE57">
        <f t="shared" si="65"/>
        <v>0</v>
      </c>
      <c r="AF57">
        <f t="shared" si="66"/>
        <v>0</v>
      </c>
      <c r="AG57">
        <f t="shared" si="37"/>
        <v>0</v>
      </c>
      <c r="AH57">
        <f t="shared" si="67"/>
        <v>0</v>
      </c>
      <c r="AI57">
        <f t="shared" si="68"/>
        <v>0</v>
      </c>
      <c r="AJ57">
        <f t="shared" si="40"/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111</v>
      </c>
      <c r="AU57">
        <v>64</v>
      </c>
      <c r="AV57">
        <v>1</v>
      </c>
      <c r="AW57">
        <v>1</v>
      </c>
      <c r="AZ57">
        <v>6.71</v>
      </c>
      <c r="BA57">
        <v>1</v>
      </c>
      <c r="BB57">
        <v>1</v>
      </c>
      <c r="BC57">
        <v>6.71</v>
      </c>
      <c r="BD57" t="s">
        <v>6</v>
      </c>
      <c r="BE57" t="s">
        <v>6</v>
      </c>
      <c r="BF57" t="s">
        <v>6</v>
      </c>
      <c r="BG57" t="s">
        <v>6</v>
      </c>
      <c r="BH57">
        <v>3</v>
      </c>
      <c r="BI57">
        <v>1</v>
      </c>
      <c r="BJ57" t="s">
        <v>6</v>
      </c>
      <c r="BM57">
        <v>11001</v>
      </c>
      <c r="BN57">
        <v>0</v>
      </c>
      <c r="BO57" t="s">
        <v>6</v>
      </c>
      <c r="BP57">
        <v>0</v>
      </c>
      <c r="BQ57">
        <v>2</v>
      </c>
      <c r="BR57">
        <v>0</v>
      </c>
      <c r="BS57">
        <v>1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6</v>
      </c>
      <c r="BZ57">
        <v>123</v>
      </c>
      <c r="CA57">
        <v>75</v>
      </c>
      <c r="CE57">
        <v>0</v>
      </c>
      <c r="CF57">
        <v>0</v>
      </c>
      <c r="CG57">
        <v>0</v>
      </c>
      <c r="CM57">
        <v>0</v>
      </c>
      <c r="CN57" t="s">
        <v>6</v>
      </c>
      <c r="CO57">
        <v>0</v>
      </c>
      <c r="CP57">
        <f t="shared" si="41"/>
        <v>0</v>
      </c>
      <c r="CQ57">
        <f t="shared" si="42"/>
        <v>0</v>
      </c>
      <c r="CR57">
        <f t="shared" si="43"/>
        <v>0</v>
      </c>
      <c r="CS57">
        <f t="shared" si="44"/>
        <v>0</v>
      </c>
      <c r="CT57">
        <f t="shared" si="45"/>
        <v>0</v>
      </c>
      <c r="CU57">
        <f t="shared" si="46"/>
        <v>0</v>
      </c>
      <c r="CV57">
        <f t="shared" si="47"/>
        <v>0</v>
      </c>
      <c r="CW57">
        <f t="shared" si="48"/>
        <v>0</v>
      </c>
      <c r="CX57">
        <f t="shared" si="49"/>
        <v>0</v>
      </c>
      <c r="CY57">
        <f t="shared" si="50"/>
        <v>0</v>
      </c>
      <c r="CZ57">
        <f t="shared" si="51"/>
        <v>0</v>
      </c>
      <c r="DC57" t="s">
        <v>6</v>
      </c>
      <c r="DD57" t="s">
        <v>6</v>
      </c>
      <c r="DE57" t="s">
        <v>6</v>
      </c>
      <c r="DF57" t="s">
        <v>6</v>
      </c>
      <c r="DG57" t="s">
        <v>6</v>
      </c>
      <c r="DH57" t="s">
        <v>6</v>
      </c>
      <c r="DI57" t="s">
        <v>6</v>
      </c>
      <c r="DJ57" t="s">
        <v>6</v>
      </c>
      <c r="DK57" t="s">
        <v>6</v>
      </c>
      <c r="DL57" t="s">
        <v>6</v>
      </c>
      <c r="DM57" t="s">
        <v>6</v>
      </c>
      <c r="DN57">
        <v>0</v>
      </c>
      <c r="DO57">
        <v>0</v>
      </c>
      <c r="DP57">
        <v>1</v>
      </c>
      <c r="DQ57">
        <v>1</v>
      </c>
      <c r="DU57">
        <v>1010</v>
      </c>
      <c r="DV57" t="s">
        <v>42</v>
      </c>
      <c r="DW57" t="s">
        <v>42</v>
      </c>
      <c r="DX57">
        <v>1</v>
      </c>
      <c r="EE57">
        <v>16510488</v>
      </c>
      <c r="EF57">
        <v>2</v>
      </c>
      <c r="EG57" t="s">
        <v>48</v>
      </c>
      <c r="EH57">
        <v>0</v>
      </c>
      <c r="EI57" t="s">
        <v>6</v>
      </c>
      <c r="EJ57">
        <v>1</v>
      </c>
      <c r="EK57">
        <v>11001</v>
      </c>
      <c r="EL57" t="s">
        <v>21</v>
      </c>
      <c r="EM57" t="s">
        <v>73</v>
      </c>
      <c r="EO57" t="s">
        <v>6</v>
      </c>
      <c r="EQ57">
        <v>0</v>
      </c>
      <c r="ER57">
        <v>0</v>
      </c>
      <c r="ES57">
        <v>0</v>
      </c>
      <c r="ET57">
        <v>0</v>
      </c>
      <c r="EU57">
        <v>0</v>
      </c>
      <c r="EV57">
        <v>0</v>
      </c>
      <c r="EW57">
        <v>0</v>
      </c>
      <c r="EX57">
        <v>0</v>
      </c>
      <c r="FQ57">
        <v>0</v>
      </c>
      <c r="FR57">
        <f t="shared" si="52"/>
        <v>0</v>
      </c>
      <c r="FS57">
        <v>0</v>
      </c>
      <c r="FT57" t="s">
        <v>51</v>
      </c>
      <c r="FU57" t="s">
        <v>52</v>
      </c>
      <c r="FX57">
        <v>110.7</v>
      </c>
      <c r="FY57">
        <v>63.75</v>
      </c>
      <c r="GA57" t="s">
        <v>6</v>
      </c>
      <c r="GD57">
        <v>0</v>
      </c>
      <c r="GF57">
        <v>-333106949</v>
      </c>
      <c r="GG57">
        <v>1</v>
      </c>
      <c r="GH57">
        <v>1</v>
      </c>
      <c r="GI57">
        <v>4</v>
      </c>
      <c r="GJ57">
        <v>0</v>
      </c>
      <c r="GK57">
        <f>ROUND(R57*(R12)/100,2)</f>
        <v>0</v>
      </c>
      <c r="GL57">
        <f t="shared" si="53"/>
        <v>0</v>
      </c>
      <c r="GM57">
        <f t="shared" si="54"/>
        <v>0</v>
      </c>
      <c r="GN57">
        <f t="shared" si="55"/>
        <v>0</v>
      </c>
      <c r="GO57">
        <f t="shared" si="56"/>
        <v>0</v>
      </c>
      <c r="GP57">
        <f t="shared" si="57"/>
        <v>0</v>
      </c>
      <c r="GR57">
        <v>0</v>
      </c>
      <c r="GS57">
        <v>3</v>
      </c>
      <c r="GT57">
        <v>0</v>
      </c>
      <c r="GU57" t="s">
        <v>6</v>
      </c>
      <c r="GV57">
        <f t="shared" si="58"/>
        <v>0</v>
      </c>
      <c r="GW57">
        <v>1</v>
      </c>
      <c r="GX57">
        <f t="shared" si="59"/>
        <v>0</v>
      </c>
      <c r="HA57">
        <v>0</v>
      </c>
      <c r="HB57">
        <v>0</v>
      </c>
      <c r="HC57">
        <f t="shared" si="60"/>
        <v>0</v>
      </c>
      <c r="IK57">
        <v>0</v>
      </c>
    </row>
    <row r="58" spans="1:245" x14ac:dyDescent="0.2">
      <c r="A58">
        <v>17</v>
      </c>
      <c r="B58">
        <v>1</v>
      </c>
      <c r="C58">
        <f>ROW(SmtRes!A71)</f>
        <v>71</v>
      </c>
      <c r="D58">
        <f>ROW(EtalonRes!A66)</f>
        <v>66</v>
      </c>
      <c r="E58" t="s">
        <v>152</v>
      </c>
      <c r="F58" t="s">
        <v>153</v>
      </c>
      <c r="G58" t="s">
        <v>154</v>
      </c>
      <c r="H58" t="s">
        <v>18</v>
      </c>
      <c r="I58">
        <f>ROUND(2.7/100,9)</f>
        <v>2.7E-2</v>
      </c>
      <c r="J58">
        <v>0</v>
      </c>
      <c r="O58">
        <f t="shared" si="21"/>
        <v>44.87</v>
      </c>
      <c r="P58">
        <f t="shared" si="22"/>
        <v>14.57</v>
      </c>
      <c r="Q58">
        <f t="shared" si="23"/>
        <v>0</v>
      </c>
      <c r="R58">
        <f t="shared" si="24"/>
        <v>0</v>
      </c>
      <c r="S58">
        <f t="shared" si="25"/>
        <v>30.3</v>
      </c>
      <c r="T58">
        <f t="shared" si="26"/>
        <v>0</v>
      </c>
      <c r="U58">
        <f t="shared" si="27"/>
        <v>0.51667200000000002</v>
      </c>
      <c r="V58">
        <f t="shared" si="28"/>
        <v>0</v>
      </c>
      <c r="W58">
        <f t="shared" si="29"/>
        <v>0</v>
      </c>
      <c r="X58">
        <f t="shared" si="30"/>
        <v>33.630000000000003</v>
      </c>
      <c r="Y58">
        <f t="shared" si="31"/>
        <v>19.39</v>
      </c>
      <c r="AA58">
        <v>16802145</v>
      </c>
      <c r="AB58">
        <f t="shared" si="32"/>
        <v>247.64</v>
      </c>
      <c r="AC58">
        <f t="shared" si="61"/>
        <v>80.400000000000006</v>
      </c>
      <c r="AD58">
        <f>ROUND(((((ET58*1.25))-((EU58*1.25)))+AE58),2)</f>
        <v>0</v>
      </c>
      <c r="AE58">
        <f>ROUND(((EU58*1.25)),2)</f>
        <v>0</v>
      </c>
      <c r="AF58">
        <f>ROUND(((EV58*1.15)),2)</f>
        <v>167.24</v>
      </c>
      <c r="AG58">
        <f t="shared" si="37"/>
        <v>0</v>
      </c>
      <c r="AH58">
        <f>((EW58*1.15))</f>
        <v>19.135999999999999</v>
      </c>
      <c r="AI58">
        <f>((EX58*1.25))</f>
        <v>0</v>
      </c>
      <c r="AJ58">
        <f t="shared" si="40"/>
        <v>0</v>
      </c>
      <c r="AK58">
        <v>225.83</v>
      </c>
      <c r="AL58">
        <v>80.400000000000006</v>
      </c>
      <c r="AM58">
        <v>0</v>
      </c>
      <c r="AN58">
        <v>0</v>
      </c>
      <c r="AO58">
        <v>145.43</v>
      </c>
      <c r="AP58">
        <v>0</v>
      </c>
      <c r="AQ58">
        <v>16.64</v>
      </c>
      <c r="AR58">
        <v>0</v>
      </c>
      <c r="AS58">
        <v>0</v>
      </c>
      <c r="AT58">
        <v>111</v>
      </c>
      <c r="AU58">
        <v>64</v>
      </c>
      <c r="AV58">
        <v>1</v>
      </c>
      <c r="AW58">
        <v>1</v>
      </c>
      <c r="AZ58">
        <v>6.71</v>
      </c>
      <c r="BA58">
        <v>6.71</v>
      </c>
      <c r="BB58">
        <v>6.71</v>
      </c>
      <c r="BC58">
        <v>6.71</v>
      </c>
      <c r="BD58" t="s">
        <v>6</v>
      </c>
      <c r="BE58" t="s">
        <v>6</v>
      </c>
      <c r="BF58" t="s">
        <v>6</v>
      </c>
      <c r="BG58" t="s">
        <v>6</v>
      </c>
      <c r="BH58">
        <v>0</v>
      </c>
      <c r="BI58">
        <v>1</v>
      </c>
      <c r="BJ58" t="s">
        <v>155</v>
      </c>
      <c r="BM58">
        <v>11001</v>
      </c>
      <c r="BN58">
        <v>0</v>
      </c>
      <c r="BO58" t="s">
        <v>6</v>
      </c>
      <c r="BP58">
        <v>0</v>
      </c>
      <c r="BQ58">
        <v>2</v>
      </c>
      <c r="BR58">
        <v>0</v>
      </c>
      <c r="BS58">
        <v>6.71</v>
      </c>
      <c r="BT58">
        <v>1</v>
      </c>
      <c r="BU58">
        <v>1</v>
      </c>
      <c r="BV58">
        <v>1</v>
      </c>
      <c r="BW58">
        <v>1</v>
      </c>
      <c r="BX58">
        <v>1</v>
      </c>
      <c r="BY58" t="s">
        <v>6</v>
      </c>
      <c r="BZ58">
        <v>123</v>
      </c>
      <c r="CA58">
        <v>75</v>
      </c>
      <c r="CE58">
        <v>0</v>
      </c>
      <c r="CF58">
        <v>0</v>
      </c>
      <c r="CG58">
        <v>0</v>
      </c>
      <c r="CM58">
        <v>0</v>
      </c>
      <c r="CN58" t="s">
        <v>959</v>
      </c>
      <c r="CO58">
        <v>0</v>
      </c>
      <c r="CP58">
        <f t="shared" si="41"/>
        <v>44.870000000000005</v>
      </c>
      <c r="CQ58">
        <f t="shared" si="42"/>
        <v>539.48400000000004</v>
      </c>
      <c r="CR58">
        <f t="shared" si="43"/>
        <v>0</v>
      </c>
      <c r="CS58">
        <f t="shared" si="44"/>
        <v>0</v>
      </c>
      <c r="CT58">
        <f t="shared" si="45"/>
        <v>1122.1804</v>
      </c>
      <c r="CU58">
        <f t="shared" si="46"/>
        <v>0</v>
      </c>
      <c r="CV58">
        <f t="shared" si="47"/>
        <v>19.135999999999999</v>
      </c>
      <c r="CW58">
        <f t="shared" si="48"/>
        <v>0</v>
      </c>
      <c r="CX58">
        <f t="shared" si="49"/>
        <v>0</v>
      </c>
      <c r="CY58">
        <f t="shared" si="50"/>
        <v>33.633000000000003</v>
      </c>
      <c r="CZ58">
        <f t="shared" si="51"/>
        <v>19.391999999999999</v>
      </c>
      <c r="DC58" t="s">
        <v>6</v>
      </c>
      <c r="DD58" t="s">
        <v>6</v>
      </c>
      <c r="DE58" t="s">
        <v>71</v>
      </c>
      <c r="DF58" t="s">
        <v>71</v>
      </c>
      <c r="DG58" t="s">
        <v>72</v>
      </c>
      <c r="DH58" t="s">
        <v>6</v>
      </c>
      <c r="DI58" t="s">
        <v>72</v>
      </c>
      <c r="DJ58" t="s">
        <v>71</v>
      </c>
      <c r="DK58" t="s">
        <v>6</v>
      </c>
      <c r="DL58" t="s">
        <v>6</v>
      </c>
      <c r="DM58" t="s">
        <v>6</v>
      </c>
      <c r="DN58">
        <v>0</v>
      </c>
      <c r="DO58">
        <v>0</v>
      </c>
      <c r="DP58">
        <v>1</v>
      </c>
      <c r="DQ58">
        <v>1</v>
      </c>
      <c r="DU58">
        <v>1003</v>
      </c>
      <c r="DV58" t="s">
        <v>18</v>
      </c>
      <c r="DW58" t="s">
        <v>18</v>
      </c>
      <c r="DX58">
        <v>100</v>
      </c>
      <c r="EE58">
        <v>16510488</v>
      </c>
      <c r="EF58">
        <v>2</v>
      </c>
      <c r="EG58" t="s">
        <v>48</v>
      </c>
      <c r="EH58">
        <v>0</v>
      </c>
      <c r="EI58" t="s">
        <v>6</v>
      </c>
      <c r="EJ58">
        <v>1</v>
      </c>
      <c r="EK58">
        <v>11001</v>
      </c>
      <c r="EL58" t="s">
        <v>21</v>
      </c>
      <c r="EM58" t="s">
        <v>73</v>
      </c>
      <c r="EO58" t="s">
        <v>74</v>
      </c>
      <c r="EQ58">
        <v>131072</v>
      </c>
      <c r="ER58">
        <v>225.83</v>
      </c>
      <c r="ES58">
        <v>80.400000000000006</v>
      </c>
      <c r="ET58">
        <v>0</v>
      </c>
      <c r="EU58">
        <v>0</v>
      </c>
      <c r="EV58">
        <v>145.43</v>
      </c>
      <c r="EW58">
        <v>16.64</v>
      </c>
      <c r="EX58">
        <v>0</v>
      </c>
      <c r="EY58">
        <v>0</v>
      </c>
      <c r="FQ58">
        <v>0</v>
      </c>
      <c r="FR58">
        <f t="shared" si="52"/>
        <v>0</v>
      </c>
      <c r="FS58">
        <v>0</v>
      </c>
      <c r="FT58" t="s">
        <v>51</v>
      </c>
      <c r="FU58" t="s">
        <v>52</v>
      </c>
      <c r="FX58">
        <v>110.7</v>
      </c>
      <c r="FY58">
        <v>63.75</v>
      </c>
      <c r="GA58" t="s">
        <v>6</v>
      </c>
      <c r="GD58">
        <v>0</v>
      </c>
      <c r="GF58">
        <v>30217037</v>
      </c>
      <c r="GG58">
        <v>1</v>
      </c>
      <c r="GH58">
        <v>1</v>
      </c>
      <c r="GI58">
        <v>4</v>
      </c>
      <c r="GJ58">
        <v>0</v>
      </c>
      <c r="GK58">
        <f>ROUND(R58*(R12)/100,2)</f>
        <v>0</v>
      </c>
      <c r="GL58">
        <f t="shared" si="53"/>
        <v>0</v>
      </c>
      <c r="GM58">
        <f t="shared" si="54"/>
        <v>97.89</v>
      </c>
      <c r="GN58">
        <f t="shared" si="55"/>
        <v>97.89</v>
      </c>
      <c r="GO58">
        <f t="shared" si="56"/>
        <v>0</v>
      </c>
      <c r="GP58">
        <f t="shared" si="57"/>
        <v>0</v>
      </c>
      <c r="GR58">
        <v>0</v>
      </c>
      <c r="GS58">
        <v>0</v>
      </c>
      <c r="GT58">
        <v>0</v>
      </c>
      <c r="GU58" t="s">
        <v>6</v>
      </c>
      <c r="GV58">
        <f t="shared" si="58"/>
        <v>0</v>
      </c>
      <c r="GW58">
        <v>1</v>
      </c>
      <c r="GX58">
        <f t="shared" si="59"/>
        <v>0</v>
      </c>
      <c r="HA58">
        <v>0</v>
      </c>
      <c r="HB58">
        <v>0</v>
      </c>
      <c r="HC58">
        <f t="shared" si="60"/>
        <v>0</v>
      </c>
      <c r="IK58">
        <v>0</v>
      </c>
    </row>
    <row r="59" spans="1:245" x14ac:dyDescent="0.2">
      <c r="A59">
        <v>18</v>
      </c>
      <c r="B59">
        <v>1</v>
      </c>
      <c r="C59">
        <v>71</v>
      </c>
      <c r="E59" t="s">
        <v>156</v>
      </c>
      <c r="F59" t="s">
        <v>157</v>
      </c>
      <c r="G59" t="s">
        <v>158</v>
      </c>
      <c r="H59" t="s">
        <v>42</v>
      </c>
      <c r="I59">
        <f>I58*J59</f>
        <v>1</v>
      </c>
      <c r="J59">
        <v>37.037037037037038</v>
      </c>
      <c r="O59">
        <f t="shared" si="21"/>
        <v>209.89</v>
      </c>
      <c r="P59">
        <f t="shared" si="22"/>
        <v>209.89</v>
      </c>
      <c r="Q59">
        <f t="shared" si="23"/>
        <v>0</v>
      </c>
      <c r="R59">
        <f t="shared" si="24"/>
        <v>0</v>
      </c>
      <c r="S59">
        <f t="shared" si="25"/>
        <v>0</v>
      </c>
      <c r="T59">
        <f t="shared" si="26"/>
        <v>0</v>
      </c>
      <c r="U59">
        <f t="shared" si="27"/>
        <v>0</v>
      </c>
      <c r="V59">
        <f t="shared" si="28"/>
        <v>0</v>
      </c>
      <c r="W59">
        <f t="shared" si="29"/>
        <v>0</v>
      </c>
      <c r="X59">
        <f t="shared" si="30"/>
        <v>0</v>
      </c>
      <c r="Y59">
        <f t="shared" si="31"/>
        <v>0</v>
      </c>
      <c r="AA59">
        <v>16802145</v>
      </c>
      <c r="AB59">
        <f t="shared" si="32"/>
        <v>31.28</v>
      </c>
      <c r="AC59">
        <f t="shared" si="61"/>
        <v>31.28</v>
      </c>
      <c r="AD59">
        <f>ROUND((((ET59)-(EU59))+AE59),2)</f>
        <v>0</v>
      </c>
      <c r="AE59">
        <f t="shared" ref="AE59:AF61" si="69">ROUND((EU59),2)</f>
        <v>0</v>
      </c>
      <c r="AF59">
        <f t="shared" si="69"/>
        <v>0</v>
      </c>
      <c r="AG59">
        <f t="shared" si="37"/>
        <v>0</v>
      </c>
      <c r="AH59">
        <f t="shared" ref="AH59:AI61" si="70">(EW59)</f>
        <v>0</v>
      </c>
      <c r="AI59">
        <f t="shared" si="70"/>
        <v>0</v>
      </c>
      <c r="AJ59">
        <f t="shared" si="40"/>
        <v>0</v>
      </c>
      <c r="AK59">
        <v>31.28</v>
      </c>
      <c r="AL59">
        <v>31.28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111</v>
      </c>
      <c r="AU59">
        <v>64</v>
      </c>
      <c r="AV59">
        <v>1</v>
      </c>
      <c r="AW59">
        <v>1</v>
      </c>
      <c r="AZ59">
        <v>6.71</v>
      </c>
      <c r="BA59">
        <v>1</v>
      </c>
      <c r="BB59">
        <v>1</v>
      </c>
      <c r="BC59">
        <v>6.71</v>
      </c>
      <c r="BD59" t="s">
        <v>6</v>
      </c>
      <c r="BE59" t="s">
        <v>6</v>
      </c>
      <c r="BF59" t="s">
        <v>6</v>
      </c>
      <c r="BG59" t="s">
        <v>6</v>
      </c>
      <c r="BH59">
        <v>3</v>
      </c>
      <c r="BI59">
        <v>1</v>
      </c>
      <c r="BJ59" t="s">
        <v>159</v>
      </c>
      <c r="BM59">
        <v>11001</v>
      </c>
      <c r="BN59">
        <v>0</v>
      </c>
      <c r="BO59" t="s">
        <v>6</v>
      </c>
      <c r="BP59">
        <v>0</v>
      </c>
      <c r="BQ59">
        <v>2</v>
      </c>
      <c r="BR59">
        <v>0</v>
      </c>
      <c r="BS59">
        <v>1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6</v>
      </c>
      <c r="BZ59">
        <v>123</v>
      </c>
      <c r="CA59">
        <v>75</v>
      </c>
      <c r="CE59">
        <v>0</v>
      </c>
      <c r="CF59">
        <v>0</v>
      </c>
      <c r="CG59">
        <v>0</v>
      </c>
      <c r="CM59">
        <v>0</v>
      </c>
      <c r="CN59" t="s">
        <v>6</v>
      </c>
      <c r="CO59">
        <v>0</v>
      </c>
      <c r="CP59">
        <f t="shared" si="41"/>
        <v>209.89</v>
      </c>
      <c r="CQ59">
        <f t="shared" si="42"/>
        <v>209.8888</v>
      </c>
      <c r="CR59">
        <f t="shared" si="43"/>
        <v>0</v>
      </c>
      <c r="CS59">
        <f t="shared" si="44"/>
        <v>0</v>
      </c>
      <c r="CT59">
        <f t="shared" si="45"/>
        <v>0</v>
      </c>
      <c r="CU59">
        <f t="shared" si="46"/>
        <v>0</v>
      </c>
      <c r="CV59">
        <f t="shared" si="47"/>
        <v>0</v>
      </c>
      <c r="CW59">
        <f t="shared" si="48"/>
        <v>0</v>
      </c>
      <c r="CX59">
        <f t="shared" si="49"/>
        <v>0</v>
      </c>
      <c r="CY59">
        <f t="shared" si="50"/>
        <v>0</v>
      </c>
      <c r="CZ59">
        <f t="shared" si="51"/>
        <v>0</v>
      </c>
      <c r="DC59" t="s">
        <v>6</v>
      </c>
      <c r="DD59" t="s">
        <v>6</v>
      </c>
      <c r="DE59" t="s">
        <v>6</v>
      </c>
      <c r="DF59" t="s">
        <v>6</v>
      </c>
      <c r="DG59" t="s">
        <v>6</v>
      </c>
      <c r="DH59" t="s">
        <v>6</v>
      </c>
      <c r="DI59" t="s">
        <v>6</v>
      </c>
      <c r="DJ59" t="s">
        <v>6</v>
      </c>
      <c r="DK59" t="s">
        <v>6</v>
      </c>
      <c r="DL59" t="s">
        <v>6</v>
      </c>
      <c r="DM59" t="s">
        <v>6</v>
      </c>
      <c r="DN59">
        <v>0</v>
      </c>
      <c r="DO59">
        <v>0</v>
      </c>
      <c r="DP59">
        <v>1</v>
      </c>
      <c r="DQ59">
        <v>1</v>
      </c>
      <c r="DU59">
        <v>1010</v>
      </c>
      <c r="DV59" t="s">
        <v>42</v>
      </c>
      <c r="DW59" t="s">
        <v>42</v>
      </c>
      <c r="DX59">
        <v>1</v>
      </c>
      <c r="EE59">
        <v>16510488</v>
      </c>
      <c r="EF59">
        <v>2</v>
      </c>
      <c r="EG59" t="s">
        <v>48</v>
      </c>
      <c r="EH59">
        <v>0</v>
      </c>
      <c r="EI59" t="s">
        <v>6</v>
      </c>
      <c r="EJ59">
        <v>1</v>
      </c>
      <c r="EK59">
        <v>11001</v>
      </c>
      <c r="EL59" t="s">
        <v>21</v>
      </c>
      <c r="EM59" t="s">
        <v>73</v>
      </c>
      <c r="EO59" t="s">
        <v>6</v>
      </c>
      <c r="EQ59">
        <v>0</v>
      </c>
      <c r="ER59">
        <v>31.28</v>
      </c>
      <c r="ES59">
        <v>31.28</v>
      </c>
      <c r="ET59">
        <v>0</v>
      </c>
      <c r="EU59">
        <v>0</v>
      </c>
      <c r="EV59">
        <v>0</v>
      </c>
      <c r="EW59">
        <v>0</v>
      </c>
      <c r="EX59">
        <v>0</v>
      </c>
      <c r="FQ59">
        <v>0</v>
      </c>
      <c r="FR59">
        <f t="shared" si="52"/>
        <v>0</v>
      </c>
      <c r="FS59">
        <v>0</v>
      </c>
      <c r="FT59" t="s">
        <v>51</v>
      </c>
      <c r="FU59" t="s">
        <v>52</v>
      </c>
      <c r="FX59">
        <v>110.7</v>
      </c>
      <c r="FY59">
        <v>63.75</v>
      </c>
      <c r="GA59" t="s">
        <v>6</v>
      </c>
      <c r="GD59">
        <v>0</v>
      </c>
      <c r="GF59">
        <v>577992781</v>
      </c>
      <c r="GG59">
        <v>1</v>
      </c>
      <c r="GH59">
        <v>1</v>
      </c>
      <c r="GI59">
        <v>4</v>
      </c>
      <c r="GJ59">
        <v>0</v>
      </c>
      <c r="GK59">
        <f>ROUND(R59*(R12)/100,2)</f>
        <v>0</v>
      </c>
      <c r="GL59">
        <f t="shared" si="53"/>
        <v>0</v>
      </c>
      <c r="GM59">
        <f t="shared" si="54"/>
        <v>209.89</v>
      </c>
      <c r="GN59">
        <f t="shared" si="55"/>
        <v>209.89</v>
      </c>
      <c r="GO59">
        <f t="shared" si="56"/>
        <v>0</v>
      </c>
      <c r="GP59">
        <f t="shared" si="57"/>
        <v>0</v>
      </c>
      <c r="GR59">
        <v>0</v>
      </c>
      <c r="GS59">
        <v>0</v>
      </c>
      <c r="GT59">
        <v>0</v>
      </c>
      <c r="GU59" t="s">
        <v>6</v>
      </c>
      <c r="GV59">
        <f t="shared" si="58"/>
        <v>0</v>
      </c>
      <c r="GW59">
        <v>1</v>
      </c>
      <c r="GX59">
        <f t="shared" si="59"/>
        <v>0</v>
      </c>
      <c r="HA59">
        <v>0</v>
      </c>
      <c r="HB59">
        <v>0</v>
      </c>
      <c r="HC59">
        <f t="shared" si="60"/>
        <v>0</v>
      </c>
      <c r="IK59">
        <v>0</v>
      </c>
    </row>
    <row r="60" spans="1:245" x14ac:dyDescent="0.2">
      <c r="A60">
        <v>18</v>
      </c>
      <c r="B60">
        <v>1</v>
      </c>
      <c r="C60">
        <v>70</v>
      </c>
      <c r="E60" t="s">
        <v>160</v>
      </c>
      <c r="F60" t="s">
        <v>161</v>
      </c>
      <c r="G60" t="s">
        <v>162</v>
      </c>
      <c r="H60" t="s">
        <v>42</v>
      </c>
      <c r="I60">
        <f>I58*J60</f>
        <v>4</v>
      </c>
      <c r="J60">
        <v>148.14814814814815</v>
      </c>
      <c r="O60">
        <f t="shared" ref="O60:O85" si="71">ROUND(CP60,2)</f>
        <v>404.48</v>
      </c>
      <c r="P60">
        <f t="shared" ref="P60:P85" si="72">ROUND(CQ60*I60,2)</f>
        <v>404.48</v>
      </c>
      <c r="Q60">
        <f t="shared" ref="Q60:Q85" si="73">ROUND(CR60*I60,2)</f>
        <v>0</v>
      </c>
      <c r="R60">
        <f t="shared" ref="R60:R85" si="74">ROUND(CS60*I60,2)</f>
        <v>0</v>
      </c>
      <c r="S60">
        <f t="shared" ref="S60:S85" si="75">ROUND(CT60*I60,2)</f>
        <v>0</v>
      </c>
      <c r="T60">
        <f t="shared" ref="T60:T85" si="76">ROUND(CU60*I60,2)</f>
        <v>0</v>
      </c>
      <c r="U60">
        <f t="shared" ref="U60:U85" si="77">CV60*I60</f>
        <v>0</v>
      </c>
      <c r="V60">
        <f t="shared" ref="V60:V85" si="78">CW60*I60</f>
        <v>0</v>
      </c>
      <c r="W60">
        <f t="shared" ref="W60:W85" si="79">ROUND(CX60*I60,2)</f>
        <v>0</v>
      </c>
      <c r="X60">
        <f t="shared" ref="X60:X85" si="80">ROUND(CY60,2)</f>
        <v>0</v>
      </c>
      <c r="Y60">
        <f t="shared" ref="Y60:Y85" si="81">ROUND(CZ60,2)</f>
        <v>0</v>
      </c>
      <c r="AA60">
        <v>16802145</v>
      </c>
      <c r="AB60">
        <f t="shared" ref="AB60:AB85" si="82">ROUND((AC60+AD60+AF60),2)</f>
        <v>15.07</v>
      </c>
      <c r="AC60">
        <f t="shared" si="61"/>
        <v>15.07</v>
      </c>
      <c r="AD60">
        <f>ROUND((((ET60)-(EU60))+AE60),2)</f>
        <v>0</v>
      </c>
      <c r="AE60">
        <f t="shared" si="69"/>
        <v>0</v>
      </c>
      <c r="AF60">
        <f t="shared" si="69"/>
        <v>0</v>
      </c>
      <c r="AG60">
        <f t="shared" ref="AG60:AG85" si="83">ROUND((AP60),2)</f>
        <v>0</v>
      </c>
      <c r="AH60">
        <f t="shared" si="70"/>
        <v>0</v>
      </c>
      <c r="AI60">
        <f t="shared" si="70"/>
        <v>0</v>
      </c>
      <c r="AJ60">
        <f t="shared" ref="AJ60:AJ85" si="84">(AS60)</f>
        <v>0</v>
      </c>
      <c r="AK60">
        <v>15.07</v>
      </c>
      <c r="AL60">
        <v>15.07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111</v>
      </c>
      <c r="AU60">
        <v>64</v>
      </c>
      <c r="AV60">
        <v>1</v>
      </c>
      <c r="AW60">
        <v>1</v>
      </c>
      <c r="AZ60">
        <v>6.71</v>
      </c>
      <c r="BA60">
        <v>1</v>
      </c>
      <c r="BB60">
        <v>1</v>
      </c>
      <c r="BC60">
        <v>6.71</v>
      </c>
      <c r="BD60" t="s">
        <v>6</v>
      </c>
      <c r="BE60" t="s">
        <v>6</v>
      </c>
      <c r="BF60" t="s">
        <v>6</v>
      </c>
      <c r="BG60" t="s">
        <v>6</v>
      </c>
      <c r="BH60">
        <v>3</v>
      </c>
      <c r="BI60">
        <v>1</v>
      </c>
      <c r="BJ60" t="s">
        <v>163</v>
      </c>
      <c r="BM60">
        <v>11001</v>
      </c>
      <c r="BN60">
        <v>0</v>
      </c>
      <c r="BO60" t="s">
        <v>6</v>
      </c>
      <c r="BP60">
        <v>0</v>
      </c>
      <c r="BQ60">
        <v>2</v>
      </c>
      <c r="BR60">
        <v>0</v>
      </c>
      <c r="BS60">
        <v>1</v>
      </c>
      <c r="BT60">
        <v>1</v>
      </c>
      <c r="BU60">
        <v>1</v>
      </c>
      <c r="BV60">
        <v>1</v>
      </c>
      <c r="BW60">
        <v>1</v>
      </c>
      <c r="BX60">
        <v>1</v>
      </c>
      <c r="BY60" t="s">
        <v>6</v>
      </c>
      <c r="BZ60">
        <v>123</v>
      </c>
      <c r="CA60">
        <v>75</v>
      </c>
      <c r="CE60">
        <v>0</v>
      </c>
      <c r="CF60">
        <v>0</v>
      </c>
      <c r="CG60">
        <v>0</v>
      </c>
      <c r="CM60">
        <v>0</v>
      </c>
      <c r="CN60" t="s">
        <v>6</v>
      </c>
      <c r="CO60">
        <v>0</v>
      </c>
      <c r="CP60">
        <f t="shared" ref="CP60:CP85" si="85">(P60+Q60+S60)</f>
        <v>404.48</v>
      </c>
      <c r="CQ60">
        <f t="shared" ref="CQ60:CQ85" si="86">AC60*BC60</f>
        <v>101.11969999999999</v>
      </c>
      <c r="CR60">
        <f t="shared" ref="CR60:CR85" si="87">AD60*BB60</f>
        <v>0</v>
      </c>
      <c r="CS60">
        <f t="shared" ref="CS60:CS85" si="88">AE60*BS60</f>
        <v>0</v>
      </c>
      <c r="CT60">
        <f t="shared" ref="CT60:CT85" si="89">AF60*BA60</f>
        <v>0</v>
      </c>
      <c r="CU60">
        <f t="shared" ref="CU60:CU85" si="90">AG60</f>
        <v>0</v>
      </c>
      <c r="CV60">
        <f t="shared" ref="CV60:CV85" si="91">AH60</f>
        <v>0</v>
      </c>
      <c r="CW60">
        <f t="shared" ref="CW60:CW85" si="92">AI60</f>
        <v>0</v>
      </c>
      <c r="CX60">
        <f t="shared" ref="CX60:CX85" si="93">AJ60</f>
        <v>0</v>
      </c>
      <c r="CY60">
        <f t="shared" ref="CY60:CY85" si="94">(((S60+R60)*AT60)/100)</f>
        <v>0</v>
      </c>
      <c r="CZ60">
        <f t="shared" ref="CZ60:CZ85" si="95">(((S60+R60)*AU60)/100)</f>
        <v>0</v>
      </c>
      <c r="DC60" t="s">
        <v>6</v>
      </c>
      <c r="DD60" t="s">
        <v>6</v>
      </c>
      <c r="DE60" t="s">
        <v>6</v>
      </c>
      <c r="DF60" t="s">
        <v>6</v>
      </c>
      <c r="DG60" t="s">
        <v>6</v>
      </c>
      <c r="DH60" t="s">
        <v>6</v>
      </c>
      <c r="DI60" t="s">
        <v>6</v>
      </c>
      <c r="DJ60" t="s">
        <v>6</v>
      </c>
      <c r="DK60" t="s">
        <v>6</v>
      </c>
      <c r="DL60" t="s">
        <v>6</v>
      </c>
      <c r="DM60" t="s">
        <v>6</v>
      </c>
      <c r="DN60">
        <v>0</v>
      </c>
      <c r="DO60">
        <v>0</v>
      </c>
      <c r="DP60">
        <v>1</v>
      </c>
      <c r="DQ60">
        <v>1</v>
      </c>
      <c r="DU60">
        <v>1010</v>
      </c>
      <c r="DV60" t="s">
        <v>42</v>
      </c>
      <c r="DW60" t="s">
        <v>42</v>
      </c>
      <c r="DX60">
        <v>1</v>
      </c>
      <c r="EE60">
        <v>16510488</v>
      </c>
      <c r="EF60">
        <v>2</v>
      </c>
      <c r="EG60" t="s">
        <v>48</v>
      </c>
      <c r="EH60">
        <v>0</v>
      </c>
      <c r="EI60" t="s">
        <v>6</v>
      </c>
      <c r="EJ60">
        <v>1</v>
      </c>
      <c r="EK60">
        <v>11001</v>
      </c>
      <c r="EL60" t="s">
        <v>21</v>
      </c>
      <c r="EM60" t="s">
        <v>73</v>
      </c>
      <c r="EO60" t="s">
        <v>6</v>
      </c>
      <c r="EQ60">
        <v>0</v>
      </c>
      <c r="ER60">
        <v>15.07</v>
      </c>
      <c r="ES60">
        <v>15.07</v>
      </c>
      <c r="ET60">
        <v>0</v>
      </c>
      <c r="EU60">
        <v>0</v>
      </c>
      <c r="EV60">
        <v>0</v>
      </c>
      <c r="EW60">
        <v>0</v>
      </c>
      <c r="EX60">
        <v>0</v>
      </c>
      <c r="FQ60">
        <v>0</v>
      </c>
      <c r="FR60">
        <f t="shared" ref="FR60:FR87" si="96">ROUND(IF(AND(BH60=3,BI60=3),P60,0),2)</f>
        <v>0</v>
      </c>
      <c r="FS60">
        <v>0</v>
      </c>
      <c r="FT60" t="s">
        <v>51</v>
      </c>
      <c r="FU60" t="s">
        <v>52</v>
      </c>
      <c r="FX60">
        <v>110.7</v>
      </c>
      <c r="FY60">
        <v>63.75</v>
      </c>
      <c r="GA60" t="s">
        <v>6</v>
      </c>
      <c r="GD60">
        <v>0</v>
      </c>
      <c r="GF60">
        <v>-1858633972</v>
      </c>
      <c r="GG60">
        <v>1</v>
      </c>
      <c r="GH60">
        <v>1</v>
      </c>
      <c r="GI60">
        <v>4</v>
      </c>
      <c r="GJ60">
        <v>0</v>
      </c>
      <c r="GK60">
        <f>ROUND(R60*(R12)/100,2)</f>
        <v>0</v>
      </c>
      <c r="GL60">
        <f t="shared" ref="GL60:GL87" si="97">ROUND(IF(AND(BH60=3,BI60=3,FS60&lt;&gt;0),P60,0),2)</f>
        <v>0</v>
      </c>
      <c r="GM60">
        <f t="shared" ref="GM60:GM85" si="98">ROUND(O60+X60+Y60+GK60,2)+GX60</f>
        <v>404.48</v>
      </c>
      <c r="GN60">
        <f t="shared" ref="GN60:GN85" si="99">IF(OR(BI60=0,BI60=1),ROUND(O60+X60+Y60+GK60,2),0)</f>
        <v>404.48</v>
      </c>
      <c r="GO60">
        <f t="shared" ref="GO60:GO85" si="100">IF(BI60=2,ROUND(O60+X60+Y60+GK60,2),0)</f>
        <v>0</v>
      </c>
      <c r="GP60">
        <f t="shared" ref="GP60:GP85" si="101">IF(BI60=4,ROUND(O60+X60+Y60+GK60,2)+GX60,0)</f>
        <v>0</v>
      </c>
      <c r="GR60">
        <v>0</v>
      </c>
      <c r="GS60">
        <v>0</v>
      </c>
      <c r="GT60">
        <v>0</v>
      </c>
      <c r="GU60" t="s">
        <v>6</v>
      </c>
      <c r="GV60">
        <f t="shared" ref="GV60:GV85" si="102">ROUND((GT60),2)</f>
        <v>0</v>
      </c>
      <c r="GW60">
        <v>1</v>
      </c>
      <c r="GX60">
        <f t="shared" ref="GX60:GX85" si="103">ROUND(HC60*I60,2)</f>
        <v>0</v>
      </c>
      <c r="HA60">
        <v>0</v>
      </c>
      <c r="HB60">
        <v>0</v>
      </c>
      <c r="HC60">
        <f t="shared" ref="HC60:HC85" si="104">GV60*GW60</f>
        <v>0</v>
      </c>
      <c r="IK60">
        <v>0</v>
      </c>
    </row>
    <row r="61" spans="1:245" x14ac:dyDescent="0.2">
      <c r="A61">
        <v>18</v>
      </c>
      <c r="B61">
        <v>1</v>
      </c>
      <c r="C61">
        <v>69</v>
      </c>
      <c r="E61" t="s">
        <v>164</v>
      </c>
      <c r="F61" t="s">
        <v>165</v>
      </c>
      <c r="G61" t="s">
        <v>166</v>
      </c>
      <c r="H61" t="s">
        <v>115</v>
      </c>
      <c r="I61">
        <f>I58*J61</f>
        <v>2.835</v>
      </c>
      <c r="J61">
        <v>105</v>
      </c>
      <c r="O61">
        <f t="shared" si="71"/>
        <v>0</v>
      </c>
      <c r="P61">
        <f t="shared" si="72"/>
        <v>0</v>
      </c>
      <c r="Q61">
        <f t="shared" si="73"/>
        <v>0</v>
      </c>
      <c r="R61">
        <f t="shared" si="74"/>
        <v>0</v>
      </c>
      <c r="S61">
        <f t="shared" si="75"/>
        <v>0</v>
      </c>
      <c r="T61">
        <f t="shared" si="76"/>
        <v>0</v>
      </c>
      <c r="U61">
        <f t="shared" si="77"/>
        <v>0</v>
      </c>
      <c r="V61">
        <f t="shared" si="78"/>
        <v>0</v>
      </c>
      <c r="W61">
        <f t="shared" si="79"/>
        <v>0</v>
      </c>
      <c r="X61">
        <f t="shared" si="80"/>
        <v>0</v>
      </c>
      <c r="Y61">
        <f t="shared" si="81"/>
        <v>0</v>
      </c>
      <c r="AA61">
        <v>16802145</v>
      </c>
      <c r="AB61">
        <f t="shared" si="82"/>
        <v>0</v>
      </c>
      <c r="AC61">
        <f t="shared" si="61"/>
        <v>0</v>
      </c>
      <c r="AD61">
        <f>ROUND((((ET61)-(EU61))+AE61),2)</f>
        <v>0</v>
      </c>
      <c r="AE61">
        <f t="shared" si="69"/>
        <v>0</v>
      </c>
      <c r="AF61">
        <f t="shared" si="69"/>
        <v>0</v>
      </c>
      <c r="AG61">
        <f t="shared" si="83"/>
        <v>0</v>
      </c>
      <c r="AH61">
        <f t="shared" si="70"/>
        <v>0</v>
      </c>
      <c r="AI61">
        <f t="shared" si="70"/>
        <v>0</v>
      </c>
      <c r="AJ61">
        <f t="shared" si="84"/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111</v>
      </c>
      <c r="AU61">
        <v>64</v>
      </c>
      <c r="AV61">
        <v>1</v>
      </c>
      <c r="AW61">
        <v>1</v>
      </c>
      <c r="AZ61">
        <v>6.71</v>
      </c>
      <c r="BA61">
        <v>1</v>
      </c>
      <c r="BB61">
        <v>1</v>
      </c>
      <c r="BC61">
        <v>6.71</v>
      </c>
      <c r="BD61" t="s">
        <v>6</v>
      </c>
      <c r="BE61" t="s">
        <v>6</v>
      </c>
      <c r="BF61" t="s">
        <v>6</v>
      </c>
      <c r="BG61" t="s">
        <v>6</v>
      </c>
      <c r="BH61">
        <v>3</v>
      </c>
      <c r="BI61">
        <v>1</v>
      </c>
      <c r="BJ61" t="s">
        <v>6</v>
      </c>
      <c r="BM61">
        <v>11001</v>
      </c>
      <c r="BN61">
        <v>0</v>
      </c>
      <c r="BO61" t="s">
        <v>6</v>
      </c>
      <c r="BP61">
        <v>0</v>
      </c>
      <c r="BQ61">
        <v>2</v>
      </c>
      <c r="BR61">
        <v>0</v>
      </c>
      <c r="BS61">
        <v>1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6</v>
      </c>
      <c r="BZ61">
        <v>123</v>
      </c>
      <c r="CA61">
        <v>75</v>
      </c>
      <c r="CE61">
        <v>0</v>
      </c>
      <c r="CF61">
        <v>0</v>
      </c>
      <c r="CG61">
        <v>0</v>
      </c>
      <c r="CM61">
        <v>0</v>
      </c>
      <c r="CN61" t="s">
        <v>6</v>
      </c>
      <c r="CO61">
        <v>0</v>
      </c>
      <c r="CP61">
        <f t="shared" si="85"/>
        <v>0</v>
      </c>
      <c r="CQ61">
        <f t="shared" si="86"/>
        <v>0</v>
      </c>
      <c r="CR61">
        <f t="shared" si="87"/>
        <v>0</v>
      </c>
      <c r="CS61">
        <f t="shared" si="88"/>
        <v>0</v>
      </c>
      <c r="CT61">
        <f t="shared" si="89"/>
        <v>0</v>
      </c>
      <c r="CU61">
        <f t="shared" si="90"/>
        <v>0</v>
      </c>
      <c r="CV61">
        <f t="shared" si="91"/>
        <v>0</v>
      </c>
      <c r="CW61">
        <f t="shared" si="92"/>
        <v>0</v>
      </c>
      <c r="CX61">
        <f t="shared" si="93"/>
        <v>0</v>
      </c>
      <c r="CY61">
        <f t="shared" si="94"/>
        <v>0</v>
      </c>
      <c r="CZ61">
        <f t="shared" si="95"/>
        <v>0</v>
      </c>
      <c r="DC61" t="s">
        <v>6</v>
      </c>
      <c r="DD61" t="s">
        <v>6</v>
      </c>
      <c r="DE61" t="s">
        <v>6</v>
      </c>
      <c r="DF61" t="s">
        <v>6</v>
      </c>
      <c r="DG61" t="s">
        <v>6</v>
      </c>
      <c r="DH61" t="s">
        <v>6</v>
      </c>
      <c r="DI61" t="s">
        <v>6</v>
      </c>
      <c r="DJ61" t="s">
        <v>6</v>
      </c>
      <c r="DK61" t="s">
        <v>6</v>
      </c>
      <c r="DL61" t="s">
        <v>6</v>
      </c>
      <c r="DM61" t="s">
        <v>6</v>
      </c>
      <c r="DN61">
        <v>0</v>
      </c>
      <c r="DO61">
        <v>0</v>
      </c>
      <c r="DP61">
        <v>1</v>
      </c>
      <c r="DQ61">
        <v>1</v>
      </c>
      <c r="DU61">
        <v>1003</v>
      </c>
      <c r="DV61" t="s">
        <v>115</v>
      </c>
      <c r="DW61" t="s">
        <v>115</v>
      </c>
      <c r="DX61">
        <v>1</v>
      </c>
      <c r="EE61">
        <v>16510488</v>
      </c>
      <c r="EF61">
        <v>2</v>
      </c>
      <c r="EG61" t="s">
        <v>48</v>
      </c>
      <c r="EH61">
        <v>0</v>
      </c>
      <c r="EI61" t="s">
        <v>6</v>
      </c>
      <c r="EJ61">
        <v>1</v>
      </c>
      <c r="EK61">
        <v>11001</v>
      </c>
      <c r="EL61" t="s">
        <v>21</v>
      </c>
      <c r="EM61" t="s">
        <v>73</v>
      </c>
      <c r="EO61" t="s">
        <v>6</v>
      </c>
      <c r="EQ61">
        <v>0</v>
      </c>
      <c r="ER61">
        <v>0</v>
      </c>
      <c r="ES61">
        <v>0</v>
      </c>
      <c r="ET61">
        <v>0</v>
      </c>
      <c r="EU61">
        <v>0</v>
      </c>
      <c r="EV61">
        <v>0</v>
      </c>
      <c r="EW61">
        <v>0</v>
      </c>
      <c r="EX61">
        <v>0</v>
      </c>
      <c r="FQ61">
        <v>0</v>
      </c>
      <c r="FR61">
        <f t="shared" si="96"/>
        <v>0</v>
      </c>
      <c r="FS61">
        <v>0</v>
      </c>
      <c r="FT61" t="s">
        <v>51</v>
      </c>
      <c r="FU61" t="s">
        <v>52</v>
      </c>
      <c r="FX61">
        <v>110.7</v>
      </c>
      <c r="FY61">
        <v>63.75</v>
      </c>
      <c r="GA61" t="s">
        <v>6</v>
      </c>
      <c r="GD61">
        <v>0</v>
      </c>
      <c r="GF61">
        <v>2101938969</v>
      </c>
      <c r="GG61">
        <v>1</v>
      </c>
      <c r="GH61">
        <v>1</v>
      </c>
      <c r="GI61">
        <v>4</v>
      </c>
      <c r="GJ61">
        <v>0</v>
      </c>
      <c r="GK61">
        <f>ROUND(R61*(R12)/100,2)</f>
        <v>0</v>
      </c>
      <c r="GL61">
        <f t="shared" si="97"/>
        <v>0</v>
      </c>
      <c r="GM61">
        <f t="shared" si="98"/>
        <v>0</v>
      </c>
      <c r="GN61">
        <f t="shared" si="99"/>
        <v>0</v>
      </c>
      <c r="GO61">
        <f t="shared" si="100"/>
        <v>0</v>
      </c>
      <c r="GP61">
        <f t="shared" si="101"/>
        <v>0</v>
      </c>
      <c r="GR61">
        <v>0</v>
      </c>
      <c r="GS61">
        <v>3</v>
      </c>
      <c r="GT61">
        <v>0</v>
      </c>
      <c r="GU61" t="s">
        <v>6</v>
      </c>
      <c r="GV61">
        <f t="shared" si="102"/>
        <v>0</v>
      </c>
      <c r="GW61">
        <v>1</v>
      </c>
      <c r="GX61">
        <f t="shared" si="103"/>
        <v>0</v>
      </c>
      <c r="HA61">
        <v>0</v>
      </c>
      <c r="HB61">
        <v>0</v>
      </c>
      <c r="HC61">
        <f t="shared" si="104"/>
        <v>0</v>
      </c>
      <c r="IK61">
        <v>0</v>
      </c>
    </row>
    <row r="62" spans="1:245" x14ac:dyDescent="0.2">
      <c r="A62">
        <v>17</v>
      </c>
      <c r="B62">
        <v>1</v>
      </c>
      <c r="C62">
        <f>ROW(SmtRes!A80)</f>
        <v>80</v>
      </c>
      <c r="D62">
        <f>ROW(EtalonRes!A74)</f>
        <v>74</v>
      </c>
      <c r="E62" t="s">
        <v>167</v>
      </c>
      <c r="F62" t="s">
        <v>168</v>
      </c>
      <c r="G62" t="s">
        <v>169</v>
      </c>
      <c r="H62" t="s">
        <v>26</v>
      </c>
      <c r="I62">
        <f>ROUND(111.1/100,9)</f>
        <v>1.111</v>
      </c>
      <c r="J62">
        <v>0</v>
      </c>
      <c r="O62">
        <f t="shared" si="71"/>
        <v>2543.87</v>
      </c>
      <c r="P62">
        <f t="shared" si="72"/>
        <v>9.24</v>
      </c>
      <c r="Q62">
        <f t="shared" si="73"/>
        <v>158.71</v>
      </c>
      <c r="R62">
        <f t="shared" si="74"/>
        <v>93.93</v>
      </c>
      <c r="S62">
        <f t="shared" si="75"/>
        <v>2375.92</v>
      </c>
      <c r="T62">
        <f t="shared" si="76"/>
        <v>0</v>
      </c>
      <c r="U62">
        <f t="shared" si="77"/>
        <v>41.510848500000002</v>
      </c>
      <c r="V62">
        <f t="shared" si="78"/>
        <v>1.2915375</v>
      </c>
      <c r="W62">
        <f t="shared" si="79"/>
        <v>0</v>
      </c>
      <c r="X62">
        <f t="shared" si="80"/>
        <v>2346.36</v>
      </c>
      <c r="Y62">
        <f t="shared" si="81"/>
        <v>1160.83</v>
      </c>
      <c r="AA62">
        <v>16802145</v>
      </c>
      <c r="AB62">
        <f t="shared" si="82"/>
        <v>341.24</v>
      </c>
      <c r="AC62">
        <f t="shared" si="61"/>
        <v>1.24</v>
      </c>
      <c r="AD62">
        <f>ROUND(((((ET62*1.25))-((EU62*1.25)))+AE62),2)</f>
        <v>21.29</v>
      </c>
      <c r="AE62">
        <f>ROUND(((EU62*1.25)),2)</f>
        <v>12.6</v>
      </c>
      <c r="AF62">
        <f>ROUND(((EV62*1.15)),2)</f>
        <v>318.70999999999998</v>
      </c>
      <c r="AG62">
        <f t="shared" si="83"/>
        <v>0</v>
      </c>
      <c r="AH62">
        <f>((EW62*1.15))</f>
        <v>37.363500000000002</v>
      </c>
      <c r="AI62">
        <f>((EX62*1.25))</f>
        <v>1.1625000000000001</v>
      </c>
      <c r="AJ62">
        <f t="shared" si="84"/>
        <v>0</v>
      </c>
      <c r="AK62">
        <v>295.41000000000003</v>
      </c>
      <c r="AL62">
        <v>1.24</v>
      </c>
      <c r="AM62">
        <v>17.03</v>
      </c>
      <c r="AN62">
        <v>10.08</v>
      </c>
      <c r="AO62">
        <v>277.14</v>
      </c>
      <c r="AP62">
        <v>0</v>
      </c>
      <c r="AQ62">
        <v>32.49</v>
      </c>
      <c r="AR62">
        <v>0.93</v>
      </c>
      <c r="AS62">
        <v>0</v>
      </c>
      <c r="AT62">
        <v>95</v>
      </c>
      <c r="AU62">
        <v>47</v>
      </c>
      <c r="AV62">
        <v>1</v>
      </c>
      <c r="AW62">
        <v>1</v>
      </c>
      <c r="AZ62">
        <v>6.71</v>
      </c>
      <c r="BA62">
        <v>6.71</v>
      </c>
      <c r="BB62">
        <v>6.71</v>
      </c>
      <c r="BC62">
        <v>6.71</v>
      </c>
      <c r="BD62" t="s">
        <v>6</v>
      </c>
      <c r="BE62" t="s">
        <v>6</v>
      </c>
      <c r="BF62" t="s">
        <v>6</v>
      </c>
      <c r="BG62" t="s">
        <v>6</v>
      </c>
      <c r="BH62">
        <v>0</v>
      </c>
      <c r="BI62">
        <v>1</v>
      </c>
      <c r="BJ62" t="s">
        <v>170</v>
      </c>
      <c r="BM62">
        <v>15001</v>
      </c>
      <c r="BN62">
        <v>0</v>
      </c>
      <c r="BO62" t="s">
        <v>6</v>
      </c>
      <c r="BP62">
        <v>0</v>
      </c>
      <c r="BQ62">
        <v>2</v>
      </c>
      <c r="BR62">
        <v>0</v>
      </c>
      <c r="BS62">
        <v>6.71</v>
      </c>
      <c r="BT62">
        <v>1</v>
      </c>
      <c r="BU62">
        <v>1</v>
      </c>
      <c r="BV62">
        <v>1</v>
      </c>
      <c r="BW62">
        <v>1</v>
      </c>
      <c r="BX62">
        <v>1</v>
      </c>
      <c r="BY62" t="s">
        <v>6</v>
      </c>
      <c r="BZ62">
        <v>105</v>
      </c>
      <c r="CA62">
        <v>55</v>
      </c>
      <c r="CE62">
        <v>0</v>
      </c>
      <c r="CF62">
        <v>0</v>
      </c>
      <c r="CG62">
        <v>0</v>
      </c>
      <c r="CM62">
        <v>0</v>
      </c>
      <c r="CN62" t="s">
        <v>959</v>
      </c>
      <c r="CO62">
        <v>0</v>
      </c>
      <c r="CP62">
        <f t="shared" si="85"/>
        <v>2543.87</v>
      </c>
      <c r="CQ62">
        <f t="shared" si="86"/>
        <v>8.3203999999999994</v>
      </c>
      <c r="CR62">
        <f t="shared" si="87"/>
        <v>142.85589999999999</v>
      </c>
      <c r="CS62">
        <f t="shared" si="88"/>
        <v>84.545999999999992</v>
      </c>
      <c r="CT62">
        <f t="shared" si="89"/>
        <v>2138.5441000000001</v>
      </c>
      <c r="CU62">
        <f t="shared" si="90"/>
        <v>0</v>
      </c>
      <c r="CV62">
        <f t="shared" si="91"/>
        <v>37.363500000000002</v>
      </c>
      <c r="CW62">
        <f t="shared" si="92"/>
        <v>1.1625000000000001</v>
      </c>
      <c r="CX62">
        <f t="shared" si="93"/>
        <v>0</v>
      </c>
      <c r="CY62">
        <f t="shared" si="94"/>
        <v>2346.3575000000001</v>
      </c>
      <c r="CZ62">
        <f t="shared" si="95"/>
        <v>1160.8295000000001</v>
      </c>
      <c r="DC62" t="s">
        <v>6</v>
      </c>
      <c r="DD62" t="s">
        <v>6</v>
      </c>
      <c r="DE62" t="s">
        <v>71</v>
      </c>
      <c r="DF62" t="s">
        <v>71</v>
      </c>
      <c r="DG62" t="s">
        <v>72</v>
      </c>
      <c r="DH62" t="s">
        <v>6</v>
      </c>
      <c r="DI62" t="s">
        <v>72</v>
      </c>
      <c r="DJ62" t="s">
        <v>71</v>
      </c>
      <c r="DK62" t="s">
        <v>6</v>
      </c>
      <c r="DL62" t="s">
        <v>6</v>
      </c>
      <c r="DM62" t="s">
        <v>6</v>
      </c>
      <c r="DN62">
        <v>0</v>
      </c>
      <c r="DO62">
        <v>0</v>
      </c>
      <c r="DP62">
        <v>1</v>
      </c>
      <c r="DQ62">
        <v>1</v>
      </c>
      <c r="DU62">
        <v>1005</v>
      </c>
      <c r="DV62" t="s">
        <v>26</v>
      </c>
      <c r="DW62" t="s">
        <v>26</v>
      </c>
      <c r="DX62">
        <v>100</v>
      </c>
      <c r="EE62">
        <v>16510513</v>
      </c>
      <c r="EF62">
        <v>2</v>
      </c>
      <c r="EG62" t="s">
        <v>48</v>
      </c>
      <c r="EH62">
        <v>0</v>
      </c>
      <c r="EI62" t="s">
        <v>6</v>
      </c>
      <c r="EJ62">
        <v>1</v>
      </c>
      <c r="EK62">
        <v>15001</v>
      </c>
      <c r="EL62" t="s">
        <v>86</v>
      </c>
      <c r="EM62" t="s">
        <v>87</v>
      </c>
      <c r="EO62" t="s">
        <v>74</v>
      </c>
      <c r="EQ62">
        <v>0</v>
      </c>
      <c r="ER62">
        <v>295.41000000000003</v>
      </c>
      <c r="ES62">
        <v>1.24</v>
      </c>
      <c r="ET62">
        <v>17.03</v>
      </c>
      <c r="EU62">
        <v>10.08</v>
      </c>
      <c r="EV62">
        <v>277.14</v>
      </c>
      <c r="EW62">
        <v>32.49</v>
      </c>
      <c r="EX62">
        <v>0.93</v>
      </c>
      <c r="EY62">
        <v>0</v>
      </c>
      <c r="FQ62">
        <v>0</v>
      </c>
      <c r="FR62">
        <f t="shared" si="96"/>
        <v>0</v>
      </c>
      <c r="FS62">
        <v>0</v>
      </c>
      <c r="FT62" t="s">
        <v>51</v>
      </c>
      <c r="FU62" t="s">
        <v>52</v>
      </c>
      <c r="FX62">
        <v>94.5</v>
      </c>
      <c r="FY62">
        <v>46.75</v>
      </c>
      <c r="GA62" t="s">
        <v>6</v>
      </c>
      <c r="GD62">
        <v>0</v>
      </c>
      <c r="GF62">
        <v>-357803777</v>
      </c>
      <c r="GG62">
        <v>1</v>
      </c>
      <c r="GH62">
        <v>1</v>
      </c>
      <c r="GI62">
        <v>4</v>
      </c>
      <c r="GJ62">
        <v>0</v>
      </c>
      <c r="GK62">
        <f>ROUND(R62*(R12)/100,2)</f>
        <v>0</v>
      </c>
      <c r="GL62">
        <f t="shared" si="97"/>
        <v>0</v>
      </c>
      <c r="GM62">
        <f t="shared" si="98"/>
        <v>6051.06</v>
      </c>
      <c r="GN62">
        <f t="shared" si="99"/>
        <v>6051.06</v>
      </c>
      <c r="GO62">
        <f t="shared" si="100"/>
        <v>0</v>
      </c>
      <c r="GP62">
        <f t="shared" si="101"/>
        <v>0</v>
      </c>
      <c r="GR62">
        <v>0</v>
      </c>
      <c r="GS62">
        <v>3</v>
      </c>
      <c r="GT62">
        <v>0</v>
      </c>
      <c r="GU62" t="s">
        <v>6</v>
      </c>
      <c r="GV62">
        <f t="shared" si="102"/>
        <v>0</v>
      </c>
      <c r="GW62">
        <v>1</v>
      </c>
      <c r="GX62">
        <f t="shared" si="103"/>
        <v>0</v>
      </c>
      <c r="HA62">
        <v>0</v>
      </c>
      <c r="HB62">
        <v>0</v>
      </c>
      <c r="HC62">
        <f t="shared" si="104"/>
        <v>0</v>
      </c>
      <c r="IK62">
        <v>0</v>
      </c>
    </row>
    <row r="63" spans="1:245" x14ac:dyDescent="0.2">
      <c r="A63">
        <v>18</v>
      </c>
      <c r="B63">
        <v>1</v>
      </c>
      <c r="C63">
        <v>79</v>
      </c>
      <c r="E63" t="s">
        <v>171</v>
      </c>
      <c r="F63" t="s">
        <v>172</v>
      </c>
      <c r="G63" t="s">
        <v>173</v>
      </c>
      <c r="H63" t="s">
        <v>65</v>
      </c>
      <c r="I63">
        <f>I62*J63</f>
        <v>0.94434999999999991</v>
      </c>
      <c r="J63">
        <v>0.85</v>
      </c>
      <c r="O63">
        <f t="shared" si="71"/>
        <v>0</v>
      </c>
      <c r="P63">
        <f t="shared" si="72"/>
        <v>0</v>
      </c>
      <c r="Q63">
        <f t="shared" si="73"/>
        <v>0</v>
      </c>
      <c r="R63">
        <f t="shared" si="74"/>
        <v>0</v>
      </c>
      <c r="S63">
        <f t="shared" si="75"/>
        <v>0</v>
      </c>
      <c r="T63">
        <f t="shared" si="76"/>
        <v>0</v>
      </c>
      <c r="U63">
        <f t="shared" si="77"/>
        <v>0</v>
      </c>
      <c r="V63">
        <f t="shared" si="78"/>
        <v>0</v>
      </c>
      <c r="W63">
        <f t="shared" si="79"/>
        <v>0</v>
      </c>
      <c r="X63">
        <f t="shared" si="80"/>
        <v>0</v>
      </c>
      <c r="Y63">
        <f t="shared" si="81"/>
        <v>0</v>
      </c>
      <c r="AA63">
        <v>16802145</v>
      </c>
      <c r="AB63">
        <f t="shared" si="82"/>
        <v>0</v>
      </c>
      <c r="AC63">
        <f t="shared" si="61"/>
        <v>0</v>
      </c>
      <c r="AD63">
        <f>ROUND((((ET63)-(EU63))+AE63),2)</f>
        <v>0</v>
      </c>
      <c r="AE63">
        <f t="shared" ref="AE63:AF65" si="105">ROUND((EU63),2)</f>
        <v>0</v>
      </c>
      <c r="AF63">
        <f t="shared" si="105"/>
        <v>0</v>
      </c>
      <c r="AG63">
        <f t="shared" si="83"/>
        <v>0</v>
      </c>
      <c r="AH63">
        <f t="shared" ref="AH63:AI65" si="106">(EW63)</f>
        <v>0</v>
      </c>
      <c r="AI63">
        <f t="shared" si="106"/>
        <v>0</v>
      </c>
      <c r="AJ63">
        <f t="shared" si="84"/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95</v>
      </c>
      <c r="AU63">
        <v>47</v>
      </c>
      <c r="AV63">
        <v>1</v>
      </c>
      <c r="AW63">
        <v>1</v>
      </c>
      <c r="AZ63">
        <v>6.71</v>
      </c>
      <c r="BA63">
        <v>1</v>
      </c>
      <c r="BB63">
        <v>1</v>
      </c>
      <c r="BC63">
        <v>6.71</v>
      </c>
      <c r="BD63" t="s">
        <v>6</v>
      </c>
      <c r="BE63" t="s">
        <v>6</v>
      </c>
      <c r="BF63" t="s">
        <v>6</v>
      </c>
      <c r="BG63" t="s">
        <v>6</v>
      </c>
      <c r="BH63">
        <v>3</v>
      </c>
      <c r="BI63">
        <v>1</v>
      </c>
      <c r="BJ63" t="s">
        <v>6</v>
      </c>
      <c r="BM63">
        <v>15001</v>
      </c>
      <c r="BN63">
        <v>0</v>
      </c>
      <c r="BO63" t="s">
        <v>6</v>
      </c>
      <c r="BP63">
        <v>0</v>
      </c>
      <c r="BQ63">
        <v>2</v>
      </c>
      <c r="BR63">
        <v>0</v>
      </c>
      <c r="BS63">
        <v>1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6</v>
      </c>
      <c r="BZ63">
        <v>105</v>
      </c>
      <c r="CA63">
        <v>55</v>
      </c>
      <c r="CE63">
        <v>0</v>
      </c>
      <c r="CF63">
        <v>0</v>
      </c>
      <c r="CG63">
        <v>0</v>
      </c>
      <c r="CM63">
        <v>0</v>
      </c>
      <c r="CN63" t="s">
        <v>6</v>
      </c>
      <c r="CO63">
        <v>0</v>
      </c>
      <c r="CP63">
        <f t="shared" si="85"/>
        <v>0</v>
      </c>
      <c r="CQ63">
        <f t="shared" si="86"/>
        <v>0</v>
      </c>
      <c r="CR63">
        <f t="shared" si="87"/>
        <v>0</v>
      </c>
      <c r="CS63">
        <f t="shared" si="88"/>
        <v>0</v>
      </c>
      <c r="CT63">
        <f t="shared" si="89"/>
        <v>0</v>
      </c>
      <c r="CU63">
        <f t="shared" si="90"/>
        <v>0</v>
      </c>
      <c r="CV63">
        <f t="shared" si="91"/>
        <v>0</v>
      </c>
      <c r="CW63">
        <f t="shared" si="92"/>
        <v>0</v>
      </c>
      <c r="CX63">
        <f t="shared" si="93"/>
        <v>0</v>
      </c>
      <c r="CY63">
        <f t="shared" si="94"/>
        <v>0</v>
      </c>
      <c r="CZ63">
        <f t="shared" si="95"/>
        <v>0</v>
      </c>
      <c r="DC63" t="s">
        <v>6</v>
      </c>
      <c r="DD63" t="s">
        <v>6</v>
      </c>
      <c r="DE63" t="s">
        <v>6</v>
      </c>
      <c r="DF63" t="s">
        <v>6</v>
      </c>
      <c r="DG63" t="s">
        <v>6</v>
      </c>
      <c r="DH63" t="s">
        <v>6</v>
      </c>
      <c r="DI63" t="s">
        <v>6</v>
      </c>
      <c r="DJ63" t="s">
        <v>6</v>
      </c>
      <c r="DK63" t="s">
        <v>6</v>
      </c>
      <c r="DL63" t="s">
        <v>6</v>
      </c>
      <c r="DM63" t="s">
        <v>6</v>
      </c>
      <c r="DN63">
        <v>0</v>
      </c>
      <c r="DO63">
        <v>0</v>
      </c>
      <c r="DP63">
        <v>1</v>
      </c>
      <c r="DQ63">
        <v>1</v>
      </c>
      <c r="DU63">
        <v>1009</v>
      </c>
      <c r="DV63" t="s">
        <v>65</v>
      </c>
      <c r="DW63" t="s">
        <v>65</v>
      </c>
      <c r="DX63">
        <v>1000</v>
      </c>
      <c r="EE63">
        <v>16510513</v>
      </c>
      <c r="EF63">
        <v>2</v>
      </c>
      <c r="EG63" t="s">
        <v>48</v>
      </c>
      <c r="EH63">
        <v>0</v>
      </c>
      <c r="EI63" t="s">
        <v>6</v>
      </c>
      <c r="EJ63">
        <v>1</v>
      </c>
      <c r="EK63">
        <v>15001</v>
      </c>
      <c r="EL63" t="s">
        <v>86</v>
      </c>
      <c r="EM63" t="s">
        <v>87</v>
      </c>
      <c r="EO63" t="s">
        <v>6</v>
      </c>
      <c r="EQ63">
        <v>0</v>
      </c>
      <c r="ER63">
        <v>0</v>
      </c>
      <c r="ES63">
        <v>0</v>
      </c>
      <c r="ET63">
        <v>0</v>
      </c>
      <c r="EU63">
        <v>0</v>
      </c>
      <c r="EV63">
        <v>0</v>
      </c>
      <c r="EW63">
        <v>0</v>
      </c>
      <c r="EX63">
        <v>0</v>
      </c>
      <c r="FQ63">
        <v>0</v>
      </c>
      <c r="FR63">
        <f t="shared" si="96"/>
        <v>0</v>
      </c>
      <c r="FS63">
        <v>0</v>
      </c>
      <c r="FT63" t="s">
        <v>51</v>
      </c>
      <c r="FU63" t="s">
        <v>52</v>
      </c>
      <c r="FX63">
        <v>94.5</v>
      </c>
      <c r="FY63">
        <v>46.75</v>
      </c>
      <c r="GA63" t="s">
        <v>6</v>
      </c>
      <c r="GD63">
        <v>0</v>
      </c>
      <c r="GF63">
        <v>1880203204</v>
      </c>
      <c r="GG63">
        <v>1</v>
      </c>
      <c r="GH63">
        <v>1</v>
      </c>
      <c r="GI63">
        <v>4</v>
      </c>
      <c r="GJ63">
        <v>0</v>
      </c>
      <c r="GK63">
        <f>ROUND(R63*(R12)/100,2)</f>
        <v>0</v>
      </c>
      <c r="GL63">
        <f t="shared" si="97"/>
        <v>0</v>
      </c>
      <c r="GM63">
        <f t="shared" si="98"/>
        <v>0</v>
      </c>
      <c r="GN63">
        <f t="shared" si="99"/>
        <v>0</v>
      </c>
      <c r="GO63">
        <f t="shared" si="100"/>
        <v>0</v>
      </c>
      <c r="GP63">
        <f t="shared" si="101"/>
        <v>0</v>
      </c>
      <c r="GR63">
        <v>0</v>
      </c>
      <c r="GS63">
        <v>3</v>
      </c>
      <c r="GT63">
        <v>0</v>
      </c>
      <c r="GU63" t="s">
        <v>6</v>
      </c>
      <c r="GV63">
        <f t="shared" si="102"/>
        <v>0</v>
      </c>
      <c r="GW63">
        <v>1</v>
      </c>
      <c r="GX63">
        <f t="shared" si="103"/>
        <v>0</v>
      </c>
      <c r="HA63">
        <v>0</v>
      </c>
      <c r="HB63">
        <v>0</v>
      </c>
      <c r="HC63">
        <f t="shared" si="104"/>
        <v>0</v>
      </c>
      <c r="IK63">
        <v>0</v>
      </c>
    </row>
    <row r="64" spans="1:245" x14ac:dyDescent="0.2">
      <c r="A64">
        <v>18</v>
      </c>
      <c r="B64">
        <v>1</v>
      </c>
      <c r="C64">
        <v>78</v>
      </c>
      <c r="E64" t="s">
        <v>174</v>
      </c>
      <c r="F64" t="s">
        <v>175</v>
      </c>
      <c r="G64" t="s">
        <v>176</v>
      </c>
      <c r="H64" t="s">
        <v>103</v>
      </c>
      <c r="I64">
        <f>I62*J64</f>
        <v>944.35</v>
      </c>
      <c r="J64">
        <v>850</v>
      </c>
      <c r="O64">
        <f t="shared" si="71"/>
        <v>13116.74</v>
      </c>
      <c r="P64">
        <f t="shared" si="72"/>
        <v>13116.74</v>
      </c>
      <c r="Q64">
        <f t="shared" si="73"/>
        <v>0</v>
      </c>
      <c r="R64">
        <f t="shared" si="74"/>
        <v>0</v>
      </c>
      <c r="S64">
        <f t="shared" si="75"/>
        <v>0</v>
      </c>
      <c r="T64">
        <f t="shared" si="76"/>
        <v>0</v>
      </c>
      <c r="U64">
        <f t="shared" si="77"/>
        <v>0</v>
      </c>
      <c r="V64">
        <f t="shared" si="78"/>
        <v>0</v>
      </c>
      <c r="W64">
        <f t="shared" si="79"/>
        <v>0</v>
      </c>
      <c r="X64">
        <f t="shared" si="80"/>
        <v>0</v>
      </c>
      <c r="Y64">
        <f t="shared" si="81"/>
        <v>0</v>
      </c>
      <c r="AA64">
        <v>16802145</v>
      </c>
      <c r="AB64">
        <f t="shared" si="82"/>
        <v>2.0699999999999998</v>
      </c>
      <c r="AC64">
        <f t="shared" si="61"/>
        <v>2.0699999999999998</v>
      </c>
      <c r="AD64">
        <f>ROUND((((ET64)-(EU64))+AE64),2)</f>
        <v>0</v>
      </c>
      <c r="AE64">
        <f t="shared" si="105"/>
        <v>0</v>
      </c>
      <c r="AF64">
        <f t="shared" si="105"/>
        <v>0</v>
      </c>
      <c r="AG64">
        <f t="shared" si="83"/>
        <v>0</v>
      </c>
      <c r="AH64">
        <f t="shared" si="106"/>
        <v>0</v>
      </c>
      <c r="AI64">
        <f t="shared" si="106"/>
        <v>0</v>
      </c>
      <c r="AJ64">
        <f t="shared" si="84"/>
        <v>0</v>
      </c>
      <c r="AK64">
        <v>2.0699999999999998</v>
      </c>
      <c r="AL64">
        <v>2.0699999999999998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79</v>
      </c>
      <c r="AU64">
        <v>50</v>
      </c>
      <c r="AV64">
        <v>1</v>
      </c>
      <c r="AW64">
        <v>1</v>
      </c>
      <c r="AZ64">
        <v>6.71</v>
      </c>
      <c r="BA64">
        <v>1</v>
      </c>
      <c r="BB64">
        <v>1</v>
      </c>
      <c r="BC64">
        <v>6.71</v>
      </c>
      <c r="BD64" t="s">
        <v>6</v>
      </c>
      <c r="BE64" t="s">
        <v>6</v>
      </c>
      <c r="BF64" t="s">
        <v>6</v>
      </c>
      <c r="BG64" t="s">
        <v>6</v>
      </c>
      <c r="BH64">
        <v>3</v>
      </c>
      <c r="BI64">
        <v>1</v>
      </c>
      <c r="BJ64" t="s">
        <v>177</v>
      </c>
      <c r="BM64">
        <v>61001</v>
      </c>
      <c r="BN64">
        <v>0</v>
      </c>
      <c r="BO64" t="s">
        <v>6</v>
      </c>
      <c r="BP64">
        <v>0</v>
      </c>
      <c r="BQ64">
        <v>6</v>
      </c>
      <c r="BR64">
        <v>0</v>
      </c>
      <c r="BS64">
        <v>1</v>
      </c>
      <c r="BT64">
        <v>1</v>
      </c>
      <c r="BU64">
        <v>1</v>
      </c>
      <c r="BV64">
        <v>1</v>
      </c>
      <c r="BW64">
        <v>1</v>
      </c>
      <c r="BX64">
        <v>1</v>
      </c>
      <c r="BY64" t="s">
        <v>6</v>
      </c>
      <c r="BZ64">
        <v>79</v>
      </c>
      <c r="CA64">
        <v>50</v>
      </c>
      <c r="CE64">
        <v>0</v>
      </c>
      <c r="CF64">
        <v>0</v>
      </c>
      <c r="CG64">
        <v>0</v>
      </c>
      <c r="CM64">
        <v>0</v>
      </c>
      <c r="CN64" t="s">
        <v>6</v>
      </c>
      <c r="CO64">
        <v>0</v>
      </c>
      <c r="CP64">
        <f t="shared" si="85"/>
        <v>13116.74</v>
      </c>
      <c r="CQ64">
        <f t="shared" si="86"/>
        <v>13.889699999999999</v>
      </c>
      <c r="CR64">
        <f t="shared" si="87"/>
        <v>0</v>
      </c>
      <c r="CS64">
        <f t="shared" si="88"/>
        <v>0</v>
      </c>
      <c r="CT64">
        <f t="shared" si="89"/>
        <v>0</v>
      </c>
      <c r="CU64">
        <f t="shared" si="90"/>
        <v>0</v>
      </c>
      <c r="CV64">
        <f t="shared" si="91"/>
        <v>0</v>
      </c>
      <c r="CW64">
        <f t="shared" si="92"/>
        <v>0</v>
      </c>
      <c r="CX64">
        <f t="shared" si="93"/>
        <v>0</v>
      </c>
      <c r="CY64">
        <f t="shared" si="94"/>
        <v>0</v>
      </c>
      <c r="CZ64">
        <f t="shared" si="95"/>
        <v>0</v>
      </c>
      <c r="DC64" t="s">
        <v>6</v>
      </c>
      <c r="DD64" t="s">
        <v>6</v>
      </c>
      <c r="DE64" t="s">
        <v>6</v>
      </c>
      <c r="DF64" t="s">
        <v>6</v>
      </c>
      <c r="DG64" t="s">
        <v>6</v>
      </c>
      <c r="DH64" t="s">
        <v>6</v>
      </c>
      <c r="DI64" t="s">
        <v>6</v>
      </c>
      <c r="DJ64" t="s">
        <v>6</v>
      </c>
      <c r="DK64" t="s">
        <v>6</v>
      </c>
      <c r="DL64" t="s">
        <v>6</v>
      </c>
      <c r="DM64" t="s">
        <v>6</v>
      </c>
      <c r="DN64">
        <v>0</v>
      </c>
      <c r="DO64">
        <v>0</v>
      </c>
      <c r="DP64">
        <v>1</v>
      </c>
      <c r="DQ64">
        <v>1</v>
      </c>
      <c r="DU64">
        <v>1009</v>
      </c>
      <c r="DV64" t="s">
        <v>103</v>
      </c>
      <c r="DW64" t="s">
        <v>103</v>
      </c>
      <c r="DX64">
        <v>1</v>
      </c>
      <c r="EE64">
        <v>16510570</v>
      </c>
      <c r="EF64">
        <v>6</v>
      </c>
      <c r="EG64" t="s">
        <v>20</v>
      </c>
      <c r="EH64">
        <v>0</v>
      </c>
      <c r="EI64" t="s">
        <v>6</v>
      </c>
      <c r="EJ64">
        <v>1</v>
      </c>
      <c r="EK64">
        <v>61001</v>
      </c>
      <c r="EL64" t="s">
        <v>178</v>
      </c>
      <c r="EM64" t="s">
        <v>179</v>
      </c>
      <c r="EO64" t="s">
        <v>6</v>
      </c>
      <c r="EQ64">
        <v>0</v>
      </c>
      <c r="ER64">
        <v>2.0699999999999998</v>
      </c>
      <c r="ES64">
        <v>2.0699999999999998</v>
      </c>
      <c r="ET64">
        <v>0</v>
      </c>
      <c r="EU64">
        <v>0</v>
      </c>
      <c r="EV64">
        <v>0</v>
      </c>
      <c r="EW64">
        <v>0</v>
      </c>
      <c r="EX64">
        <v>0</v>
      </c>
      <c r="FQ64">
        <v>0</v>
      </c>
      <c r="FR64">
        <f t="shared" si="96"/>
        <v>0</v>
      </c>
      <c r="FS64">
        <v>0</v>
      </c>
      <c r="FX64">
        <v>79</v>
      </c>
      <c r="FY64">
        <v>50</v>
      </c>
      <c r="GA64" t="s">
        <v>6</v>
      </c>
      <c r="GD64">
        <v>0</v>
      </c>
      <c r="GF64">
        <v>-60067644</v>
      </c>
      <c r="GG64">
        <v>1</v>
      </c>
      <c r="GH64">
        <v>1</v>
      </c>
      <c r="GI64">
        <v>4</v>
      </c>
      <c r="GJ64">
        <v>0</v>
      </c>
      <c r="GK64">
        <f>ROUND(R64*(R12)/100,2)</f>
        <v>0</v>
      </c>
      <c r="GL64">
        <f t="shared" si="97"/>
        <v>0</v>
      </c>
      <c r="GM64">
        <f t="shared" si="98"/>
        <v>13116.74</v>
      </c>
      <c r="GN64">
        <f t="shared" si="99"/>
        <v>13116.74</v>
      </c>
      <c r="GO64">
        <f t="shared" si="100"/>
        <v>0</v>
      </c>
      <c r="GP64">
        <f t="shared" si="101"/>
        <v>0</v>
      </c>
      <c r="GR64">
        <v>0</v>
      </c>
      <c r="GS64">
        <v>0</v>
      </c>
      <c r="GT64">
        <v>0</v>
      </c>
      <c r="GU64" t="s">
        <v>6</v>
      </c>
      <c r="GV64">
        <f t="shared" si="102"/>
        <v>0</v>
      </c>
      <c r="GW64">
        <v>1</v>
      </c>
      <c r="GX64">
        <f t="shared" si="103"/>
        <v>0</v>
      </c>
      <c r="HA64">
        <v>0</v>
      </c>
      <c r="HB64">
        <v>0</v>
      </c>
      <c r="HC64">
        <f t="shared" si="104"/>
        <v>0</v>
      </c>
      <c r="IK64">
        <v>0</v>
      </c>
    </row>
    <row r="65" spans="1:245" x14ac:dyDescent="0.2">
      <c r="A65">
        <v>18</v>
      </c>
      <c r="B65">
        <v>1</v>
      </c>
      <c r="C65">
        <v>80</v>
      </c>
      <c r="E65" t="s">
        <v>180</v>
      </c>
      <c r="F65" t="s">
        <v>181</v>
      </c>
      <c r="G65" t="s">
        <v>182</v>
      </c>
      <c r="H65" t="s">
        <v>103</v>
      </c>
      <c r="I65">
        <f>I62*J65</f>
        <v>1.4442999999999999E-2</v>
      </c>
      <c r="J65">
        <v>1.2999999999999999E-2</v>
      </c>
      <c r="O65">
        <f t="shared" si="71"/>
        <v>1.46</v>
      </c>
      <c r="P65">
        <f t="shared" si="72"/>
        <v>1.46</v>
      </c>
      <c r="Q65">
        <f t="shared" si="73"/>
        <v>0</v>
      </c>
      <c r="R65">
        <f t="shared" si="74"/>
        <v>0</v>
      </c>
      <c r="S65">
        <f t="shared" si="75"/>
        <v>0</v>
      </c>
      <c r="T65">
        <f t="shared" si="76"/>
        <v>0</v>
      </c>
      <c r="U65">
        <f t="shared" si="77"/>
        <v>0</v>
      </c>
      <c r="V65">
        <f t="shared" si="78"/>
        <v>0</v>
      </c>
      <c r="W65">
        <f t="shared" si="79"/>
        <v>0</v>
      </c>
      <c r="X65">
        <f t="shared" si="80"/>
        <v>0</v>
      </c>
      <c r="Y65">
        <f t="shared" si="81"/>
        <v>0</v>
      </c>
      <c r="AA65">
        <v>16802145</v>
      </c>
      <c r="AB65">
        <f t="shared" si="82"/>
        <v>15.09</v>
      </c>
      <c r="AC65">
        <f t="shared" si="61"/>
        <v>15.09</v>
      </c>
      <c r="AD65">
        <f>ROUND((((ET65)-(EU65))+AE65),2)</f>
        <v>0</v>
      </c>
      <c r="AE65">
        <f t="shared" si="105"/>
        <v>0</v>
      </c>
      <c r="AF65">
        <f t="shared" si="105"/>
        <v>0</v>
      </c>
      <c r="AG65">
        <f t="shared" si="83"/>
        <v>0</v>
      </c>
      <c r="AH65">
        <f t="shared" si="106"/>
        <v>0</v>
      </c>
      <c r="AI65">
        <f t="shared" si="106"/>
        <v>0</v>
      </c>
      <c r="AJ65">
        <f t="shared" si="84"/>
        <v>0</v>
      </c>
      <c r="AK65">
        <v>15.09</v>
      </c>
      <c r="AL65">
        <v>15.09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95</v>
      </c>
      <c r="AU65">
        <v>47</v>
      </c>
      <c r="AV65">
        <v>1</v>
      </c>
      <c r="AW65">
        <v>1</v>
      </c>
      <c r="AZ65">
        <v>6.71</v>
      </c>
      <c r="BA65">
        <v>1</v>
      </c>
      <c r="BB65">
        <v>1</v>
      </c>
      <c r="BC65">
        <v>6.71</v>
      </c>
      <c r="BD65" t="s">
        <v>6</v>
      </c>
      <c r="BE65" t="s">
        <v>6</v>
      </c>
      <c r="BF65" t="s">
        <v>6</v>
      </c>
      <c r="BG65" t="s">
        <v>6</v>
      </c>
      <c r="BH65">
        <v>3</v>
      </c>
      <c r="BI65">
        <v>1</v>
      </c>
      <c r="BJ65" t="s">
        <v>183</v>
      </c>
      <c r="BM65">
        <v>15001</v>
      </c>
      <c r="BN65">
        <v>0</v>
      </c>
      <c r="BO65" t="s">
        <v>6</v>
      </c>
      <c r="BP65">
        <v>0</v>
      </c>
      <c r="BQ65">
        <v>2</v>
      </c>
      <c r="BR65">
        <v>0</v>
      </c>
      <c r="BS65">
        <v>1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6</v>
      </c>
      <c r="BZ65">
        <v>105</v>
      </c>
      <c r="CA65">
        <v>55</v>
      </c>
      <c r="CE65">
        <v>0</v>
      </c>
      <c r="CF65">
        <v>0</v>
      </c>
      <c r="CG65">
        <v>0</v>
      </c>
      <c r="CM65">
        <v>0</v>
      </c>
      <c r="CN65" t="s">
        <v>6</v>
      </c>
      <c r="CO65">
        <v>0</v>
      </c>
      <c r="CP65">
        <f t="shared" si="85"/>
        <v>1.46</v>
      </c>
      <c r="CQ65">
        <f t="shared" si="86"/>
        <v>101.2539</v>
      </c>
      <c r="CR65">
        <f t="shared" si="87"/>
        <v>0</v>
      </c>
      <c r="CS65">
        <f t="shared" si="88"/>
        <v>0</v>
      </c>
      <c r="CT65">
        <f t="shared" si="89"/>
        <v>0</v>
      </c>
      <c r="CU65">
        <f t="shared" si="90"/>
        <v>0</v>
      </c>
      <c r="CV65">
        <f t="shared" si="91"/>
        <v>0</v>
      </c>
      <c r="CW65">
        <f t="shared" si="92"/>
        <v>0</v>
      </c>
      <c r="CX65">
        <f t="shared" si="93"/>
        <v>0</v>
      </c>
      <c r="CY65">
        <f t="shared" si="94"/>
        <v>0</v>
      </c>
      <c r="CZ65">
        <f t="shared" si="95"/>
        <v>0</v>
      </c>
      <c r="DC65" t="s">
        <v>6</v>
      </c>
      <c r="DD65" t="s">
        <v>6</v>
      </c>
      <c r="DE65" t="s">
        <v>6</v>
      </c>
      <c r="DF65" t="s">
        <v>6</v>
      </c>
      <c r="DG65" t="s">
        <v>6</v>
      </c>
      <c r="DH65" t="s">
        <v>6</v>
      </c>
      <c r="DI65" t="s">
        <v>6</v>
      </c>
      <c r="DJ65" t="s">
        <v>6</v>
      </c>
      <c r="DK65" t="s">
        <v>6</v>
      </c>
      <c r="DL65" t="s">
        <v>6</v>
      </c>
      <c r="DM65" t="s">
        <v>6</v>
      </c>
      <c r="DN65">
        <v>0</v>
      </c>
      <c r="DO65">
        <v>0</v>
      </c>
      <c r="DP65">
        <v>1</v>
      </c>
      <c r="DQ65">
        <v>1</v>
      </c>
      <c r="DU65">
        <v>1009</v>
      </c>
      <c r="DV65" t="s">
        <v>103</v>
      </c>
      <c r="DW65" t="s">
        <v>103</v>
      </c>
      <c r="DX65">
        <v>1</v>
      </c>
      <c r="EE65">
        <v>16510513</v>
      </c>
      <c r="EF65">
        <v>2</v>
      </c>
      <c r="EG65" t="s">
        <v>48</v>
      </c>
      <c r="EH65">
        <v>0</v>
      </c>
      <c r="EI65" t="s">
        <v>6</v>
      </c>
      <c r="EJ65">
        <v>1</v>
      </c>
      <c r="EK65">
        <v>15001</v>
      </c>
      <c r="EL65" t="s">
        <v>86</v>
      </c>
      <c r="EM65" t="s">
        <v>87</v>
      </c>
      <c r="EO65" t="s">
        <v>6</v>
      </c>
      <c r="EQ65">
        <v>0</v>
      </c>
      <c r="ER65">
        <v>15.09</v>
      </c>
      <c r="ES65">
        <v>15.09</v>
      </c>
      <c r="ET65">
        <v>0</v>
      </c>
      <c r="EU65">
        <v>0</v>
      </c>
      <c r="EV65">
        <v>0</v>
      </c>
      <c r="EW65">
        <v>0</v>
      </c>
      <c r="EX65">
        <v>0</v>
      </c>
      <c r="FQ65">
        <v>0</v>
      </c>
      <c r="FR65">
        <f t="shared" si="96"/>
        <v>0</v>
      </c>
      <c r="FS65">
        <v>0</v>
      </c>
      <c r="FT65" t="s">
        <v>51</v>
      </c>
      <c r="FU65" t="s">
        <v>52</v>
      </c>
      <c r="FX65">
        <v>94.5</v>
      </c>
      <c r="FY65">
        <v>46.75</v>
      </c>
      <c r="GA65" t="s">
        <v>6</v>
      </c>
      <c r="GD65">
        <v>0</v>
      </c>
      <c r="GF65">
        <v>1453462043</v>
      </c>
      <c r="GG65">
        <v>1</v>
      </c>
      <c r="GH65">
        <v>1</v>
      </c>
      <c r="GI65">
        <v>4</v>
      </c>
      <c r="GJ65">
        <v>0</v>
      </c>
      <c r="GK65">
        <f>ROUND(R65*(R12)/100,2)</f>
        <v>0</v>
      </c>
      <c r="GL65">
        <f t="shared" si="97"/>
        <v>0</v>
      </c>
      <c r="GM65">
        <f t="shared" si="98"/>
        <v>1.46</v>
      </c>
      <c r="GN65">
        <f t="shared" si="99"/>
        <v>1.46</v>
      </c>
      <c r="GO65">
        <f t="shared" si="100"/>
        <v>0</v>
      </c>
      <c r="GP65">
        <f t="shared" si="101"/>
        <v>0</v>
      </c>
      <c r="GR65">
        <v>0</v>
      </c>
      <c r="GS65">
        <v>3</v>
      </c>
      <c r="GT65">
        <v>0</v>
      </c>
      <c r="GU65" t="s">
        <v>6</v>
      </c>
      <c r="GV65">
        <f t="shared" si="102"/>
        <v>0</v>
      </c>
      <c r="GW65">
        <v>1</v>
      </c>
      <c r="GX65">
        <f t="shared" si="103"/>
        <v>0</v>
      </c>
      <c r="HA65">
        <v>0</v>
      </c>
      <c r="HB65">
        <v>0</v>
      </c>
      <c r="HC65">
        <f t="shared" si="104"/>
        <v>0</v>
      </c>
      <c r="IK65">
        <v>0</v>
      </c>
    </row>
    <row r="66" spans="1:245" x14ac:dyDescent="0.2">
      <c r="A66">
        <v>17</v>
      </c>
      <c r="B66">
        <v>1</v>
      </c>
      <c r="C66">
        <f>ROW(SmtRes!A88)</f>
        <v>88</v>
      </c>
      <c r="D66">
        <f>ROW(EtalonRes!A81)</f>
        <v>81</v>
      </c>
      <c r="E66" t="s">
        <v>184</v>
      </c>
      <c r="F66" t="s">
        <v>185</v>
      </c>
      <c r="G66" t="s">
        <v>186</v>
      </c>
      <c r="H66" t="s">
        <v>26</v>
      </c>
      <c r="I66">
        <f>ROUND(111.1/100,9)</f>
        <v>1.111</v>
      </c>
      <c r="J66">
        <v>0</v>
      </c>
      <c r="O66">
        <f t="shared" si="71"/>
        <v>2432.29</v>
      </c>
      <c r="P66">
        <f t="shared" si="72"/>
        <v>8.9499999999999993</v>
      </c>
      <c r="Q66">
        <f t="shared" si="73"/>
        <v>156.63</v>
      </c>
      <c r="R66">
        <f t="shared" si="74"/>
        <v>92.29</v>
      </c>
      <c r="S66">
        <f t="shared" si="75"/>
        <v>2266.71</v>
      </c>
      <c r="T66">
        <f t="shared" si="76"/>
        <v>0</v>
      </c>
      <c r="U66">
        <f t="shared" si="77"/>
        <v>39.607149999999997</v>
      </c>
      <c r="V66">
        <f t="shared" si="78"/>
        <v>1.2498750000000001</v>
      </c>
      <c r="W66">
        <f t="shared" si="79"/>
        <v>0</v>
      </c>
      <c r="X66">
        <f t="shared" si="80"/>
        <v>2241.0500000000002</v>
      </c>
      <c r="Y66">
        <f t="shared" si="81"/>
        <v>1108.73</v>
      </c>
      <c r="AA66">
        <v>16802145</v>
      </c>
      <c r="AB66">
        <f t="shared" si="82"/>
        <v>326.27</v>
      </c>
      <c r="AC66">
        <f>ROUND(((ES66*10)),2)</f>
        <v>1.2</v>
      </c>
      <c r="AD66">
        <f>ROUND(((((ET66*1.25*10))-((EU66*1.25*10)))+AE66),2)</f>
        <v>21.01</v>
      </c>
      <c r="AE66">
        <f>ROUND(((EU66*1.25*10)),2)</f>
        <v>12.38</v>
      </c>
      <c r="AF66">
        <f>ROUND(((EV66*1.15*10)),2)</f>
        <v>304.06</v>
      </c>
      <c r="AG66">
        <f t="shared" si="83"/>
        <v>0</v>
      </c>
      <c r="AH66">
        <f>((EW66*1.15*10))</f>
        <v>35.65</v>
      </c>
      <c r="AI66">
        <f>((EX66*1.25*10))</f>
        <v>1.125</v>
      </c>
      <c r="AJ66">
        <f t="shared" si="84"/>
        <v>0</v>
      </c>
      <c r="AK66">
        <v>28.24</v>
      </c>
      <c r="AL66">
        <v>0.12</v>
      </c>
      <c r="AM66">
        <v>1.68</v>
      </c>
      <c r="AN66">
        <v>0.99</v>
      </c>
      <c r="AO66">
        <v>26.44</v>
      </c>
      <c r="AP66">
        <v>0</v>
      </c>
      <c r="AQ66">
        <v>3.1</v>
      </c>
      <c r="AR66">
        <v>0.09</v>
      </c>
      <c r="AS66">
        <v>0</v>
      </c>
      <c r="AT66">
        <v>95</v>
      </c>
      <c r="AU66">
        <v>47</v>
      </c>
      <c r="AV66">
        <v>1</v>
      </c>
      <c r="AW66">
        <v>1</v>
      </c>
      <c r="AZ66">
        <v>6.71</v>
      </c>
      <c r="BA66">
        <v>6.71</v>
      </c>
      <c r="BB66">
        <v>6.71</v>
      </c>
      <c r="BC66">
        <v>6.71</v>
      </c>
      <c r="BD66" t="s">
        <v>6</v>
      </c>
      <c r="BE66" t="s">
        <v>6</v>
      </c>
      <c r="BF66" t="s">
        <v>6</v>
      </c>
      <c r="BG66" t="s">
        <v>6</v>
      </c>
      <c r="BH66">
        <v>0</v>
      </c>
      <c r="BI66">
        <v>1</v>
      </c>
      <c r="BJ66" t="s">
        <v>187</v>
      </c>
      <c r="BM66">
        <v>15001</v>
      </c>
      <c r="BN66">
        <v>0</v>
      </c>
      <c r="BO66" t="s">
        <v>6</v>
      </c>
      <c r="BP66">
        <v>0</v>
      </c>
      <c r="BQ66">
        <v>2</v>
      </c>
      <c r="BR66">
        <v>0</v>
      </c>
      <c r="BS66">
        <v>6.71</v>
      </c>
      <c r="BT66">
        <v>1</v>
      </c>
      <c r="BU66">
        <v>1</v>
      </c>
      <c r="BV66">
        <v>1</v>
      </c>
      <c r="BW66">
        <v>1</v>
      </c>
      <c r="BX66">
        <v>1</v>
      </c>
      <c r="BY66" t="s">
        <v>6</v>
      </c>
      <c r="BZ66">
        <v>105</v>
      </c>
      <c r="CA66">
        <v>55</v>
      </c>
      <c r="CE66">
        <v>0</v>
      </c>
      <c r="CF66">
        <v>0</v>
      </c>
      <c r="CG66">
        <v>0</v>
      </c>
      <c r="CM66">
        <v>0</v>
      </c>
      <c r="CN66" t="s">
        <v>959</v>
      </c>
      <c r="CO66">
        <v>0</v>
      </c>
      <c r="CP66">
        <f t="shared" si="85"/>
        <v>2432.29</v>
      </c>
      <c r="CQ66">
        <f t="shared" si="86"/>
        <v>8.0519999999999996</v>
      </c>
      <c r="CR66">
        <f t="shared" si="87"/>
        <v>140.97710000000001</v>
      </c>
      <c r="CS66">
        <f t="shared" si="88"/>
        <v>83.069800000000001</v>
      </c>
      <c r="CT66">
        <f t="shared" si="89"/>
        <v>2040.2426</v>
      </c>
      <c r="CU66">
        <f t="shared" si="90"/>
        <v>0</v>
      </c>
      <c r="CV66">
        <f t="shared" si="91"/>
        <v>35.65</v>
      </c>
      <c r="CW66">
        <f t="shared" si="92"/>
        <v>1.125</v>
      </c>
      <c r="CX66">
        <f t="shared" si="93"/>
        <v>0</v>
      </c>
      <c r="CY66">
        <f t="shared" si="94"/>
        <v>2241.0500000000002</v>
      </c>
      <c r="CZ66">
        <f t="shared" si="95"/>
        <v>1108.73</v>
      </c>
      <c r="DC66" t="s">
        <v>6</v>
      </c>
      <c r="DD66" t="s">
        <v>188</v>
      </c>
      <c r="DE66" t="s">
        <v>189</v>
      </c>
      <c r="DF66" t="s">
        <v>189</v>
      </c>
      <c r="DG66" t="s">
        <v>190</v>
      </c>
      <c r="DH66" t="s">
        <v>6</v>
      </c>
      <c r="DI66" t="s">
        <v>190</v>
      </c>
      <c r="DJ66" t="s">
        <v>189</v>
      </c>
      <c r="DK66" t="s">
        <v>6</v>
      </c>
      <c r="DL66" t="s">
        <v>6</v>
      </c>
      <c r="DM66" t="s">
        <v>6</v>
      </c>
      <c r="DN66">
        <v>0</v>
      </c>
      <c r="DO66">
        <v>0</v>
      </c>
      <c r="DP66">
        <v>1</v>
      </c>
      <c r="DQ66">
        <v>1</v>
      </c>
      <c r="DU66">
        <v>1005</v>
      </c>
      <c r="DV66" t="s">
        <v>26</v>
      </c>
      <c r="DW66" t="s">
        <v>26</v>
      </c>
      <c r="DX66">
        <v>100</v>
      </c>
      <c r="EE66">
        <v>16510513</v>
      </c>
      <c r="EF66">
        <v>2</v>
      </c>
      <c r="EG66" t="s">
        <v>48</v>
      </c>
      <c r="EH66">
        <v>0</v>
      </c>
      <c r="EI66" t="s">
        <v>6</v>
      </c>
      <c r="EJ66">
        <v>1</v>
      </c>
      <c r="EK66">
        <v>15001</v>
      </c>
      <c r="EL66" t="s">
        <v>86</v>
      </c>
      <c r="EM66" t="s">
        <v>87</v>
      </c>
      <c r="EO66" t="s">
        <v>74</v>
      </c>
      <c r="EQ66">
        <v>0</v>
      </c>
      <c r="ER66">
        <v>28.24</v>
      </c>
      <c r="ES66">
        <v>0.12</v>
      </c>
      <c r="ET66">
        <v>1.68</v>
      </c>
      <c r="EU66">
        <v>0.99</v>
      </c>
      <c r="EV66">
        <v>26.44</v>
      </c>
      <c r="EW66">
        <v>3.1</v>
      </c>
      <c r="EX66">
        <v>0.09</v>
      </c>
      <c r="EY66">
        <v>0</v>
      </c>
      <c r="FQ66">
        <v>0</v>
      </c>
      <c r="FR66">
        <f t="shared" si="96"/>
        <v>0</v>
      </c>
      <c r="FS66">
        <v>0</v>
      </c>
      <c r="FT66" t="s">
        <v>51</v>
      </c>
      <c r="FU66" t="s">
        <v>52</v>
      </c>
      <c r="FX66">
        <v>94.5</v>
      </c>
      <c r="FY66">
        <v>46.75</v>
      </c>
      <c r="GA66" t="s">
        <v>6</v>
      </c>
      <c r="GD66">
        <v>0</v>
      </c>
      <c r="GF66">
        <v>-1315765899</v>
      </c>
      <c r="GG66">
        <v>1</v>
      </c>
      <c r="GH66">
        <v>1</v>
      </c>
      <c r="GI66">
        <v>4</v>
      </c>
      <c r="GJ66">
        <v>0</v>
      </c>
      <c r="GK66">
        <f>ROUND(R66*(R12)/100,2)</f>
        <v>0</v>
      </c>
      <c r="GL66">
        <f t="shared" si="97"/>
        <v>0</v>
      </c>
      <c r="GM66">
        <f t="shared" si="98"/>
        <v>5782.07</v>
      </c>
      <c r="GN66">
        <f t="shared" si="99"/>
        <v>5782.07</v>
      </c>
      <c r="GO66">
        <f t="shared" si="100"/>
        <v>0</v>
      </c>
      <c r="GP66">
        <f t="shared" si="101"/>
        <v>0</v>
      </c>
      <c r="GR66">
        <v>0</v>
      </c>
      <c r="GS66">
        <v>3</v>
      </c>
      <c r="GT66">
        <v>0</v>
      </c>
      <c r="GU66" t="s">
        <v>6</v>
      </c>
      <c r="GV66">
        <f t="shared" si="102"/>
        <v>0</v>
      </c>
      <c r="GW66">
        <v>1</v>
      </c>
      <c r="GX66">
        <f t="shared" si="103"/>
        <v>0</v>
      </c>
      <c r="HA66">
        <v>0</v>
      </c>
      <c r="HB66">
        <v>0</v>
      </c>
      <c r="HC66">
        <f t="shared" si="104"/>
        <v>0</v>
      </c>
      <c r="IK66">
        <v>0</v>
      </c>
    </row>
    <row r="67" spans="1:245" x14ac:dyDescent="0.2">
      <c r="A67">
        <v>18</v>
      </c>
      <c r="B67">
        <v>1</v>
      </c>
      <c r="C67">
        <v>88</v>
      </c>
      <c r="E67" t="s">
        <v>191</v>
      </c>
      <c r="F67" t="s">
        <v>172</v>
      </c>
      <c r="G67" t="s">
        <v>173</v>
      </c>
      <c r="H67" t="s">
        <v>65</v>
      </c>
      <c r="I67">
        <f>I66*J67</f>
        <v>0.94434999999999991</v>
      </c>
      <c r="J67">
        <v>0.85</v>
      </c>
      <c r="O67">
        <f t="shared" si="71"/>
        <v>0</v>
      </c>
      <c r="P67">
        <f t="shared" si="72"/>
        <v>0</v>
      </c>
      <c r="Q67">
        <f t="shared" si="73"/>
        <v>0</v>
      </c>
      <c r="R67">
        <f t="shared" si="74"/>
        <v>0</v>
      </c>
      <c r="S67">
        <f t="shared" si="75"/>
        <v>0</v>
      </c>
      <c r="T67">
        <f t="shared" si="76"/>
        <v>0</v>
      </c>
      <c r="U67">
        <f t="shared" si="77"/>
        <v>0</v>
      </c>
      <c r="V67">
        <f t="shared" si="78"/>
        <v>0</v>
      </c>
      <c r="W67">
        <f t="shared" si="79"/>
        <v>0</v>
      </c>
      <c r="X67">
        <f t="shared" si="80"/>
        <v>0</v>
      </c>
      <c r="Y67">
        <f t="shared" si="81"/>
        <v>0</v>
      </c>
      <c r="AA67">
        <v>16802145</v>
      </c>
      <c r="AB67">
        <f t="shared" si="82"/>
        <v>0</v>
      </c>
      <c r="AC67">
        <f t="shared" ref="AC67:AC77" si="107">ROUND((ES67),2)</f>
        <v>0</v>
      </c>
      <c r="AD67">
        <f>ROUND((((ET67)-(EU67))+AE67),2)</f>
        <v>0</v>
      </c>
      <c r="AE67">
        <f>ROUND((EU67),2)</f>
        <v>0</v>
      </c>
      <c r="AF67">
        <f>ROUND((EV67),2)</f>
        <v>0</v>
      </c>
      <c r="AG67">
        <f t="shared" si="83"/>
        <v>0</v>
      </c>
      <c r="AH67">
        <f>(EW67)</f>
        <v>0</v>
      </c>
      <c r="AI67">
        <f>(EX67)</f>
        <v>0</v>
      </c>
      <c r="AJ67">
        <f t="shared" si="84"/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95</v>
      </c>
      <c r="AU67">
        <v>47</v>
      </c>
      <c r="AV67">
        <v>1</v>
      </c>
      <c r="AW67">
        <v>1</v>
      </c>
      <c r="AZ67">
        <v>6.71</v>
      </c>
      <c r="BA67">
        <v>1</v>
      </c>
      <c r="BB67">
        <v>1</v>
      </c>
      <c r="BC67">
        <v>6.71</v>
      </c>
      <c r="BD67" t="s">
        <v>6</v>
      </c>
      <c r="BE67" t="s">
        <v>6</v>
      </c>
      <c r="BF67" t="s">
        <v>6</v>
      </c>
      <c r="BG67" t="s">
        <v>6</v>
      </c>
      <c r="BH67">
        <v>3</v>
      </c>
      <c r="BI67">
        <v>1</v>
      </c>
      <c r="BJ67" t="s">
        <v>6</v>
      </c>
      <c r="BM67">
        <v>15001</v>
      </c>
      <c r="BN67">
        <v>0</v>
      </c>
      <c r="BO67" t="s">
        <v>6</v>
      </c>
      <c r="BP67">
        <v>0</v>
      </c>
      <c r="BQ67">
        <v>2</v>
      </c>
      <c r="BR67">
        <v>0</v>
      </c>
      <c r="BS67">
        <v>1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6</v>
      </c>
      <c r="BZ67">
        <v>105</v>
      </c>
      <c r="CA67">
        <v>55</v>
      </c>
      <c r="CE67">
        <v>0</v>
      </c>
      <c r="CF67">
        <v>0</v>
      </c>
      <c r="CG67">
        <v>0</v>
      </c>
      <c r="CM67">
        <v>0</v>
      </c>
      <c r="CN67" t="s">
        <v>959</v>
      </c>
      <c r="CO67">
        <v>0</v>
      </c>
      <c r="CP67">
        <f t="shared" si="85"/>
        <v>0</v>
      </c>
      <c r="CQ67">
        <f t="shared" si="86"/>
        <v>0</v>
      </c>
      <c r="CR67">
        <f t="shared" si="87"/>
        <v>0</v>
      </c>
      <c r="CS67">
        <f t="shared" si="88"/>
        <v>0</v>
      </c>
      <c r="CT67">
        <f t="shared" si="89"/>
        <v>0</v>
      </c>
      <c r="CU67">
        <f t="shared" si="90"/>
        <v>0</v>
      </c>
      <c r="CV67">
        <f t="shared" si="91"/>
        <v>0</v>
      </c>
      <c r="CW67">
        <f t="shared" si="92"/>
        <v>0</v>
      </c>
      <c r="CX67">
        <f t="shared" si="93"/>
        <v>0</v>
      </c>
      <c r="CY67">
        <f t="shared" si="94"/>
        <v>0</v>
      </c>
      <c r="CZ67">
        <f t="shared" si="95"/>
        <v>0</v>
      </c>
      <c r="DC67" t="s">
        <v>6</v>
      </c>
      <c r="DD67" t="s">
        <v>6</v>
      </c>
      <c r="DE67" t="s">
        <v>6</v>
      </c>
      <c r="DF67" t="s">
        <v>6</v>
      </c>
      <c r="DG67" t="s">
        <v>6</v>
      </c>
      <c r="DH67" t="s">
        <v>6</v>
      </c>
      <c r="DI67" t="s">
        <v>6</v>
      </c>
      <c r="DJ67" t="s">
        <v>6</v>
      </c>
      <c r="DK67" t="s">
        <v>6</v>
      </c>
      <c r="DL67" t="s">
        <v>6</v>
      </c>
      <c r="DM67" t="s">
        <v>6</v>
      </c>
      <c r="DN67">
        <v>0</v>
      </c>
      <c r="DO67">
        <v>0</v>
      </c>
      <c r="DP67">
        <v>1</v>
      </c>
      <c r="DQ67">
        <v>1</v>
      </c>
      <c r="DU67">
        <v>1009</v>
      </c>
      <c r="DV67" t="s">
        <v>65</v>
      </c>
      <c r="DW67" t="s">
        <v>65</v>
      </c>
      <c r="DX67">
        <v>1000</v>
      </c>
      <c r="EE67">
        <v>16510513</v>
      </c>
      <c r="EF67">
        <v>2</v>
      </c>
      <c r="EG67" t="s">
        <v>48</v>
      </c>
      <c r="EH67">
        <v>0</v>
      </c>
      <c r="EI67" t="s">
        <v>6</v>
      </c>
      <c r="EJ67">
        <v>1</v>
      </c>
      <c r="EK67">
        <v>15001</v>
      </c>
      <c r="EL67" t="s">
        <v>86</v>
      </c>
      <c r="EM67" t="s">
        <v>87</v>
      </c>
      <c r="EO67" t="s">
        <v>74</v>
      </c>
      <c r="EQ67">
        <v>0</v>
      </c>
      <c r="ER67">
        <v>0</v>
      </c>
      <c r="ES67">
        <v>0</v>
      </c>
      <c r="ET67">
        <v>0</v>
      </c>
      <c r="EU67">
        <v>0</v>
      </c>
      <c r="EV67">
        <v>0</v>
      </c>
      <c r="EW67">
        <v>0</v>
      </c>
      <c r="EX67">
        <v>0</v>
      </c>
      <c r="FQ67">
        <v>0</v>
      </c>
      <c r="FR67">
        <f t="shared" si="96"/>
        <v>0</v>
      </c>
      <c r="FS67">
        <v>0</v>
      </c>
      <c r="FT67" t="s">
        <v>51</v>
      </c>
      <c r="FU67" t="s">
        <v>52</v>
      </c>
      <c r="FX67">
        <v>94.5</v>
      </c>
      <c r="FY67">
        <v>46.75</v>
      </c>
      <c r="GA67" t="s">
        <v>6</v>
      </c>
      <c r="GD67">
        <v>0</v>
      </c>
      <c r="GF67">
        <v>1880203204</v>
      </c>
      <c r="GG67">
        <v>1</v>
      </c>
      <c r="GH67">
        <v>1</v>
      </c>
      <c r="GI67">
        <v>4</v>
      </c>
      <c r="GJ67">
        <v>0</v>
      </c>
      <c r="GK67">
        <f>ROUND(R67*(R12)/100,2)</f>
        <v>0</v>
      </c>
      <c r="GL67">
        <f t="shared" si="97"/>
        <v>0</v>
      </c>
      <c r="GM67">
        <f t="shared" si="98"/>
        <v>0</v>
      </c>
      <c r="GN67">
        <f t="shared" si="99"/>
        <v>0</v>
      </c>
      <c r="GO67">
        <f t="shared" si="100"/>
        <v>0</v>
      </c>
      <c r="GP67">
        <f t="shared" si="101"/>
        <v>0</v>
      </c>
      <c r="GR67">
        <v>0</v>
      </c>
      <c r="GS67">
        <v>3</v>
      </c>
      <c r="GT67">
        <v>0</v>
      </c>
      <c r="GU67" t="s">
        <v>6</v>
      </c>
      <c r="GV67">
        <f t="shared" si="102"/>
        <v>0</v>
      </c>
      <c r="GW67">
        <v>1</v>
      </c>
      <c r="GX67">
        <f t="shared" si="103"/>
        <v>0</v>
      </c>
      <c r="HA67">
        <v>0</v>
      </c>
      <c r="HB67">
        <v>0</v>
      </c>
      <c r="HC67">
        <f t="shared" si="104"/>
        <v>0</v>
      </c>
      <c r="IK67">
        <v>0</v>
      </c>
    </row>
    <row r="68" spans="1:245" x14ac:dyDescent="0.2">
      <c r="A68">
        <v>18</v>
      </c>
      <c r="B68">
        <v>1</v>
      </c>
      <c r="C68">
        <v>87</v>
      </c>
      <c r="E68" t="s">
        <v>192</v>
      </c>
      <c r="F68" t="s">
        <v>175</v>
      </c>
      <c r="G68" t="s">
        <v>176</v>
      </c>
      <c r="H68" t="s">
        <v>103</v>
      </c>
      <c r="I68">
        <f>I66*J68</f>
        <v>9443.5</v>
      </c>
      <c r="J68">
        <v>8500</v>
      </c>
      <c r="O68">
        <f t="shared" si="71"/>
        <v>131167.38</v>
      </c>
      <c r="P68">
        <f t="shared" si="72"/>
        <v>131167.38</v>
      </c>
      <c r="Q68">
        <f t="shared" si="73"/>
        <v>0</v>
      </c>
      <c r="R68">
        <f t="shared" si="74"/>
        <v>0</v>
      </c>
      <c r="S68">
        <f t="shared" si="75"/>
        <v>0</v>
      </c>
      <c r="T68">
        <f t="shared" si="76"/>
        <v>0</v>
      </c>
      <c r="U68">
        <f t="shared" si="77"/>
        <v>0</v>
      </c>
      <c r="V68">
        <f t="shared" si="78"/>
        <v>0</v>
      </c>
      <c r="W68">
        <f t="shared" si="79"/>
        <v>0</v>
      </c>
      <c r="X68">
        <f t="shared" si="80"/>
        <v>0</v>
      </c>
      <c r="Y68">
        <f t="shared" si="81"/>
        <v>0</v>
      </c>
      <c r="AA68">
        <v>16802145</v>
      </c>
      <c r="AB68">
        <f t="shared" si="82"/>
        <v>2.0699999999999998</v>
      </c>
      <c r="AC68">
        <f t="shared" si="107"/>
        <v>2.0699999999999998</v>
      </c>
      <c r="AD68">
        <f>ROUND((((ET68)-(EU68))+AE68),2)</f>
        <v>0</v>
      </c>
      <c r="AE68">
        <f>ROUND((EU68),2)</f>
        <v>0</v>
      </c>
      <c r="AF68">
        <f>ROUND((EV68),2)</f>
        <v>0</v>
      </c>
      <c r="AG68">
        <f t="shared" si="83"/>
        <v>0</v>
      </c>
      <c r="AH68">
        <f>(EW68)</f>
        <v>0</v>
      </c>
      <c r="AI68">
        <f>(EX68)</f>
        <v>0</v>
      </c>
      <c r="AJ68">
        <f t="shared" si="84"/>
        <v>0</v>
      </c>
      <c r="AK68">
        <v>2.0699999999999998</v>
      </c>
      <c r="AL68">
        <v>2.0699999999999998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79</v>
      </c>
      <c r="AU68">
        <v>50</v>
      </c>
      <c r="AV68">
        <v>1</v>
      </c>
      <c r="AW68">
        <v>1</v>
      </c>
      <c r="AZ68">
        <v>6.71</v>
      </c>
      <c r="BA68">
        <v>1</v>
      </c>
      <c r="BB68">
        <v>1</v>
      </c>
      <c r="BC68">
        <v>6.71</v>
      </c>
      <c r="BD68" t="s">
        <v>6</v>
      </c>
      <c r="BE68" t="s">
        <v>6</v>
      </c>
      <c r="BF68" t="s">
        <v>6</v>
      </c>
      <c r="BG68" t="s">
        <v>6</v>
      </c>
      <c r="BH68">
        <v>3</v>
      </c>
      <c r="BI68">
        <v>1</v>
      </c>
      <c r="BJ68" t="s">
        <v>177</v>
      </c>
      <c r="BM68">
        <v>61001</v>
      </c>
      <c r="BN68">
        <v>0</v>
      </c>
      <c r="BO68" t="s">
        <v>6</v>
      </c>
      <c r="BP68">
        <v>0</v>
      </c>
      <c r="BQ68">
        <v>6</v>
      </c>
      <c r="BR68">
        <v>0</v>
      </c>
      <c r="BS68">
        <v>1</v>
      </c>
      <c r="BT68">
        <v>1</v>
      </c>
      <c r="BU68">
        <v>1</v>
      </c>
      <c r="BV68">
        <v>1</v>
      </c>
      <c r="BW68">
        <v>1</v>
      </c>
      <c r="BX68">
        <v>1</v>
      </c>
      <c r="BY68" t="s">
        <v>6</v>
      </c>
      <c r="BZ68">
        <v>79</v>
      </c>
      <c r="CA68">
        <v>50</v>
      </c>
      <c r="CE68">
        <v>0</v>
      </c>
      <c r="CF68">
        <v>0</v>
      </c>
      <c r="CG68">
        <v>0</v>
      </c>
      <c r="CM68">
        <v>0</v>
      </c>
      <c r="CN68" t="s">
        <v>959</v>
      </c>
      <c r="CO68">
        <v>0</v>
      </c>
      <c r="CP68">
        <f t="shared" si="85"/>
        <v>131167.38</v>
      </c>
      <c r="CQ68">
        <f t="shared" si="86"/>
        <v>13.889699999999999</v>
      </c>
      <c r="CR68">
        <f t="shared" si="87"/>
        <v>0</v>
      </c>
      <c r="CS68">
        <f t="shared" si="88"/>
        <v>0</v>
      </c>
      <c r="CT68">
        <f t="shared" si="89"/>
        <v>0</v>
      </c>
      <c r="CU68">
        <f t="shared" si="90"/>
        <v>0</v>
      </c>
      <c r="CV68">
        <f t="shared" si="91"/>
        <v>0</v>
      </c>
      <c r="CW68">
        <f t="shared" si="92"/>
        <v>0</v>
      </c>
      <c r="CX68">
        <f t="shared" si="93"/>
        <v>0</v>
      </c>
      <c r="CY68">
        <f t="shared" si="94"/>
        <v>0</v>
      </c>
      <c r="CZ68">
        <f t="shared" si="95"/>
        <v>0</v>
      </c>
      <c r="DC68" t="s">
        <v>6</v>
      </c>
      <c r="DD68" t="s">
        <v>6</v>
      </c>
      <c r="DE68" t="s">
        <v>6</v>
      </c>
      <c r="DF68" t="s">
        <v>6</v>
      </c>
      <c r="DG68" t="s">
        <v>6</v>
      </c>
      <c r="DH68" t="s">
        <v>6</v>
      </c>
      <c r="DI68" t="s">
        <v>6</v>
      </c>
      <c r="DJ68" t="s">
        <v>6</v>
      </c>
      <c r="DK68" t="s">
        <v>6</v>
      </c>
      <c r="DL68" t="s">
        <v>6</v>
      </c>
      <c r="DM68" t="s">
        <v>6</v>
      </c>
      <c r="DN68">
        <v>0</v>
      </c>
      <c r="DO68">
        <v>0</v>
      </c>
      <c r="DP68">
        <v>1</v>
      </c>
      <c r="DQ68">
        <v>1</v>
      </c>
      <c r="DU68">
        <v>1009</v>
      </c>
      <c r="DV68" t="s">
        <v>103</v>
      </c>
      <c r="DW68" t="s">
        <v>103</v>
      </c>
      <c r="DX68">
        <v>1</v>
      </c>
      <c r="EE68">
        <v>16510570</v>
      </c>
      <c r="EF68">
        <v>6</v>
      </c>
      <c r="EG68" t="s">
        <v>20</v>
      </c>
      <c r="EH68">
        <v>0</v>
      </c>
      <c r="EI68" t="s">
        <v>6</v>
      </c>
      <c r="EJ68">
        <v>1</v>
      </c>
      <c r="EK68">
        <v>61001</v>
      </c>
      <c r="EL68" t="s">
        <v>178</v>
      </c>
      <c r="EM68" t="s">
        <v>179</v>
      </c>
      <c r="EO68" t="s">
        <v>74</v>
      </c>
      <c r="EQ68">
        <v>0</v>
      </c>
      <c r="ER68">
        <v>2.0699999999999998</v>
      </c>
      <c r="ES68">
        <v>2.0699999999999998</v>
      </c>
      <c r="ET68">
        <v>0</v>
      </c>
      <c r="EU68">
        <v>0</v>
      </c>
      <c r="EV68">
        <v>0</v>
      </c>
      <c r="EW68">
        <v>0</v>
      </c>
      <c r="EX68">
        <v>0</v>
      </c>
      <c r="FQ68">
        <v>0</v>
      </c>
      <c r="FR68">
        <f t="shared" si="96"/>
        <v>0</v>
      </c>
      <c r="FS68">
        <v>0</v>
      </c>
      <c r="FX68">
        <v>79</v>
      </c>
      <c r="FY68">
        <v>50</v>
      </c>
      <c r="GA68" t="s">
        <v>6</v>
      </c>
      <c r="GD68">
        <v>0</v>
      </c>
      <c r="GF68">
        <v>-60067644</v>
      </c>
      <c r="GG68">
        <v>1</v>
      </c>
      <c r="GH68">
        <v>1</v>
      </c>
      <c r="GI68">
        <v>4</v>
      </c>
      <c r="GJ68">
        <v>0</v>
      </c>
      <c r="GK68">
        <f>ROUND(R68*(R12)/100,2)</f>
        <v>0</v>
      </c>
      <c r="GL68">
        <f t="shared" si="97"/>
        <v>0</v>
      </c>
      <c r="GM68">
        <f t="shared" si="98"/>
        <v>131167.38</v>
      </c>
      <c r="GN68">
        <f t="shared" si="99"/>
        <v>131167.38</v>
      </c>
      <c r="GO68">
        <f t="shared" si="100"/>
        <v>0</v>
      </c>
      <c r="GP68">
        <f t="shared" si="101"/>
        <v>0</v>
      </c>
      <c r="GR68">
        <v>0</v>
      </c>
      <c r="GS68">
        <v>0</v>
      </c>
      <c r="GT68">
        <v>0</v>
      </c>
      <c r="GU68" t="s">
        <v>6</v>
      </c>
      <c r="GV68">
        <f t="shared" si="102"/>
        <v>0</v>
      </c>
      <c r="GW68">
        <v>1</v>
      </c>
      <c r="GX68">
        <f t="shared" si="103"/>
        <v>0</v>
      </c>
      <c r="HA68">
        <v>0</v>
      </c>
      <c r="HB68">
        <v>0</v>
      </c>
      <c r="HC68">
        <f t="shared" si="104"/>
        <v>0</v>
      </c>
      <c r="IK68">
        <v>0</v>
      </c>
    </row>
    <row r="69" spans="1:245" x14ac:dyDescent="0.2">
      <c r="A69">
        <v>17</v>
      </c>
      <c r="B69">
        <v>1</v>
      </c>
      <c r="C69">
        <f>ROW(SmtRes!A93)</f>
        <v>93</v>
      </c>
      <c r="D69">
        <f>ROW(EtalonRes!A86)</f>
        <v>86</v>
      </c>
      <c r="E69" t="s">
        <v>193</v>
      </c>
      <c r="F69" t="s">
        <v>194</v>
      </c>
      <c r="G69" t="s">
        <v>195</v>
      </c>
      <c r="H69" t="s">
        <v>26</v>
      </c>
      <c r="I69">
        <f>ROUND(209.8/100,9)</f>
        <v>2.0979999999999999</v>
      </c>
      <c r="J69">
        <v>0</v>
      </c>
      <c r="O69">
        <f t="shared" si="71"/>
        <v>96415.66</v>
      </c>
      <c r="P69">
        <f t="shared" si="72"/>
        <v>75109.52</v>
      </c>
      <c r="Q69">
        <f t="shared" si="73"/>
        <v>5713.95</v>
      </c>
      <c r="R69">
        <f t="shared" si="74"/>
        <v>1115.51</v>
      </c>
      <c r="S69">
        <f t="shared" si="75"/>
        <v>15592.19</v>
      </c>
      <c r="T69">
        <f t="shared" si="76"/>
        <v>0</v>
      </c>
      <c r="U69">
        <f t="shared" si="77"/>
        <v>247.20524199999994</v>
      </c>
      <c r="V69">
        <f t="shared" si="78"/>
        <v>14.004149999999999</v>
      </c>
      <c r="W69">
        <f t="shared" si="79"/>
        <v>0</v>
      </c>
      <c r="X69">
        <f t="shared" si="80"/>
        <v>15872.32</v>
      </c>
      <c r="Y69">
        <f t="shared" si="81"/>
        <v>7852.62</v>
      </c>
      <c r="AA69">
        <v>16802145</v>
      </c>
      <c r="AB69">
        <f t="shared" si="82"/>
        <v>6848.88</v>
      </c>
      <c r="AC69">
        <f t="shared" si="107"/>
        <v>5335.4</v>
      </c>
      <c r="AD69">
        <f>ROUND(((((ET69*1.25))-((EU69*1.25)))+AE69),2)</f>
        <v>405.89</v>
      </c>
      <c r="AE69">
        <f>ROUND(((EU69*1.25)),2)</f>
        <v>79.239999999999995</v>
      </c>
      <c r="AF69">
        <f>ROUND(((EV69*1.15)),2)</f>
        <v>1107.5899999999999</v>
      </c>
      <c r="AG69">
        <f t="shared" si="83"/>
        <v>0</v>
      </c>
      <c r="AH69">
        <f>((EW69*1.15))</f>
        <v>117.82899999999998</v>
      </c>
      <c r="AI69">
        <f>((EX69*1.25))</f>
        <v>6.6749999999999998</v>
      </c>
      <c r="AJ69">
        <f t="shared" si="84"/>
        <v>0</v>
      </c>
      <c r="AK69">
        <v>6623.23</v>
      </c>
      <c r="AL69">
        <v>5335.4</v>
      </c>
      <c r="AM69">
        <v>324.70999999999998</v>
      </c>
      <c r="AN69">
        <v>63.39</v>
      </c>
      <c r="AO69">
        <v>963.12</v>
      </c>
      <c r="AP69">
        <v>0</v>
      </c>
      <c r="AQ69">
        <v>102.46</v>
      </c>
      <c r="AR69">
        <v>5.34</v>
      </c>
      <c r="AS69">
        <v>0</v>
      </c>
      <c r="AT69">
        <v>95</v>
      </c>
      <c r="AU69">
        <v>47</v>
      </c>
      <c r="AV69">
        <v>1</v>
      </c>
      <c r="AW69">
        <v>1</v>
      </c>
      <c r="AZ69">
        <v>6.71</v>
      </c>
      <c r="BA69">
        <v>6.71</v>
      </c>
      <c r="BB69">
        <v>6.71</v>
      </c>
      <c r="BC69">
        <v>6.71</v>
      </c>
      <c r="BD69" t="s">
        <v>6</v>
      </c>
      <c r="BE69" t="s">
        <v>6</v>
      </c>
      <c r="BF69" t="s">
        <v>6</v>
      </c>
      <c r="BG69" t="s">
        <v>6</v>
      </c>
      <c r="BH69">
        <v>0</v>
      </c>
      <c r="BI69">
        <v>1</v>
      </c>
      <c r="BJ69" t="s">
        <v>196</v>
      </c>
      <c r="BM69">
        <v>15001</v>
      </c>
      <c r="BN69">
        <v>0</v>
      </c>
      <c r="BO69" t="s">
        <v>6</v>
      </c>
      <c r="BP69">
        <v>0</v>
      </c>
      <c r="BQ69">
        <v>2</v>
      </c>
      <c r="BR69">
        <v>0</v>
      </c>
      <c r="BS69">
        <v>6.71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6</v>
      </c>
      <c r="BZ69">
        <v>105</v>
      </c>
      <c r="CA69">
        <v>55</v>
      </c>
      <c r="CE69">
        <v>0</v>
      </c>
      <c r="CF69">
        <v>0</v>
      </c>
      <c r="CG69">
        <v>0</v>
      </c>
      <c r="CM69">
        <v>0</v>
      </c>
      <c r="CN69" t="s">
        <v>959</v>
      </c>
      <c r="CO69">
        <v>0</v>
      </c>
      <c r="CP69">
        <f t="shared" si="85"/>
        <v>96415.66</v>
      </c>
      <c r="CQ69">
        <f t="shared" si="86"/>
        <v>35800.534</v>
      </c>
      <c r="CR69">
        <f t="shared" si="87"/>
        <v>2723.5218999999997</v>
      </c>
      <c r="CS69">
        <f t="shared" si="88"/>
        <v>531.70039999999995</v>
      </c>
      <c r="CT69">
        <f t="shared" si="89"/>
        <v>7431.928899999999</v>
      </c>
      <c r="CU69">
        <f t="shared" si="90"/>
        <v>0</v>
      </c>
      <c r="CV69">
        <f t="shared" si="91"/>
        <v>117.82899999999998</v>
      </c>
      <c r="CW69">
        <f t="shared" si="92"/>
        <v>6.6749999999999998</v>
      </c>
      <c r="CX69">
        <f t="shared" si="93"/>
        <v>0</v>
      </c>
      <c r="CY69">
        <f t="shared" si="94"/>
        <v>15872.315000000001</v>
      </c>
      <c r="CZ69">
        <f t="shared" si="95"/>
        <v>7852.6190000000006</v>
      </c>
      <c r="DC69" t="s">
        <v>6</v>
      </c>
      <c r="DD69" t="s">
        <v>6</v>
      </c>
      <c r="DE69" t="s">
        <v>71</v>
      </c>
      <c r="DF69" t="s">
        <v>71</v>
      </c>
      <c r="DG69" t="s">
        <v>72</v>
      </c>
      <c r="DH69" t="s">
        <v>6</v>
      </c>
      <c r="DI69" t="s">
        <v>72</v>
      </c>
      <c r="DJ69" t="s">
        <v>71</v>
      </c>
      <c r="DK69" t="s">
        <v>6</v>
      </c>
      <c r="DL69" t="s">
        <v>6</v>
      </c>
      <c r="DM69" t="s">
        <v>6</v>
      </c>
      <c r="DN69">
        <v>0</v>
      </c>
      <c r="DO69">
        <v>0</v>
      </c>
      <c r="DP69">
        <v>1</v>
      </c>
      <c r="DQ69">
        <v>1</v>
      </c>
      <c r="DU69">
        <v>1005</v>
      </c>
      <c r="DV69" t="s">
        <v>26</v>
      </c>
      <c r="DW69" t="s">
        <v>26</v>
      </c>
      <c r="DX69">
        <v>100</v>
      </c>
      <c r="EE69">
        <v>16510513</v>
      </c>
      <c r="EF69">
        <v>2</v>
      </c>
      <c r="EG69" t="s">
        <v>48</v>
      </c>
      <c r="EH69">
        <v>0</v>
      </c>
      <c r="EI69" t="s">
        <v>6</v>
      </c>
      <c r="EJ69">
        <v>1</v>
      </c>
      <c r="EK69">
        <v>15001</v>
      </c>
      <c r="EL69" t="s">
        <v>86</v>
      </c>
      <c r="EM69" t="s">
        <v>87</v>
      </c>
      <c r="EO69" t="s">
        <v>74</v>
      </c>
      <c r="EQ69">
        <v>131072</v>
      </c>
      <c r="ER69">
        <v>6623.23</v>
      </c>
      <c r="ES69">
        <v>5335.4</v>
      </c>
      <c r="ET69">
        <v>324.70999999999998</v>
      </c>
      <c r="EU69">
        <v>63.39</v>
      </c>
      <c r="EV69">
        <v>963.12</v>
      </c>
      <c r="EW69">
        <v>102.46</v>
      </c>
      <c r="EX69">
        <v>5.34</v>
      </c>
      <c r="EY69">
        <v>0</v>
      </c>
      <c r="FQ69">
        <v>0</v>
      </c>
      <c r="FR69">
        <f t="shared" si="96"/>
        <v>0</v>
      </c>
      <c r="FS69">
        <v>0</v>
      </c>
      <c r="FT69" t="s">
        <v>51</v>
      </c>
      <c r="FU69" t="s">
        <v>52</v>
      </c>
      <c r="FX69">
        <v>94.5</v>
      </c>
      <c r="FY69">
        <v>46.75</v>
      </c>
      <c r="GA69" t="s">
        <v>6</v>
      </c>
      <c r="GD69">
        <v>0</v>
      </c>
      <c r="GF69">
        <v>-59192285</v>
      </c>
      <c r="GG69">
        <v>1</v>
      </c>
      <c r="GH69">
        <v>1</v>
      </c>
      <c r="GI69">
        <v>4</v>
      </c>
      <c r="GJ69">
        <v>0</v>
      </c>
      <c r="GK69">
        <f>ROUND(R69*(R12)/100,2)</f>
        <v>0</v>
      </c>
      <c r="GL69">
        <f t="shared" si="97"/>
        <v>0</v>
      </c>
      <c r="GM69">
        <f t="shared" si="98"/>
        <v>120140.6</v>
      </c>
      <c r="GN69">
        <f t="shared" si="99"/>
        <v>120140.6</v>
      </c>
      <c r="GO69">
        <f t="shared" si="100"/>
        <v>0</v>
      </c>
      <c r="GP69">
        <f t="shared" si="101"/>
        <v>0</v>
      </c>
      <c r="GR69">
        <v>0</v>
      </c>
      <c r="GS69">
        <v>0</v>
      </c>
      <c r="GT69">
        <v>0</v>
      </c>
      <c r="GU69" t="s">
        <v>6</v>
      </c>
      <c r="GV69">
        <f t="shared" si="102"/>
        <v>0</v>
      </c>
      <c r="GW69">
        <v>1</v>
      </c>
      <c r="GX69">
        <f t="shared" si="103"/>
        <v>0</v>
      </c>
      <c r="HA69">
        <v>0</v>
      </c>
      <c r="HB69">
        <v>0</v>
      </c>
      <c r="HC69">
        <f t="shared" si="104"/>
        <v>0</v>
      </c>
      <c r="IK69">
        <v>0</v>
      </c>
    </row>
    <row r="70" spans="1:245" x14ac:dyDescent="0.2">
      <c r="A70">
        <v>17</v>
      </c>
      <c r="B70">
        <v>1</v>
      </c>
      <c r="C70">
        <f>ROW(SmtRes!A99)</f>
        <v>99</v>
      </c>
      <c r="D70">
        <f>ROW(EtalonRes!A92)</f>
        <v>92</v>
      </c>
      <c r="E70" t="s">
        <v>197</v>
      </c>
      <c r="F70" t="s">
        <v>198</v>
      </c>
      <c r="G70" t="s">
        <v>199</v>
      </c>
      <c r="H70" t="s">
        <v>26</v>
      </c>
      <c r="I70">
        <f>ROUND(222.1/100,9)</f>
        <v>2.2210000000000001</v>
      </c>
      <c r="J70">
        <v>0</v>
      </c>
      <c r="O70">
        <f t="shared" si="71"/>
        <v>19876.900000000001</v>
      </c>
      <c r="P70">
        <f t="shared" si="72"/>
        <v>12368.37</v>
      </c>
      <c r="Q70">
        <f t="shared" si="73"/>
        <v>270.19</v>
      </c>
      <c r="R70">
        <f t="shared" si="74"/>
        <v>116.69</v>
      </c>
      <c r="S70">
        <f t="shared" si="75"/>
        <v>7238.34</v>
      </c>
      <c r="T70">
        <f t="shared" si="76"/>
        <v>0</v>
      </c>
      <c r="U70">
        <f t="shared" si="77"/>
        <v>128.72915999999998</v>
      </c>
      <c r="V70">
        <f t="shared" si="78"/>
        <v>1.2881799999999999</v>
      </c>
      <c r="W70">
        <f t="shared" si="79"/>
        <v>0</v>
      </c>
      <c r="X70">
        <f t="shared" si="80"/>
        <v>5810.47</v>
      </c>
      <c r="Y70">
        <f t="shared" si="81"/>
        <v>3677.52</v>
      </c>
      <c r="AA70">
        <v>16802145</v>
      </c>
      <c r="AB70">
        <f t="shared" si="82"/>
        <v>1333.76</v>
      </c>
      <c r="AC70">
        <f t="shared" si="107"/>
        <v>829.93</v>
      </c>
      <c r="AD70">
        <f>ROUND((((ET70)-(EU70))+AE70),2)</f>
        <v>18.13</v>
      </c>
      <c r="AE70">
        <f>ROUND((EU70),2)</f>
        <v>7.83</v>
      </c>
      <c r="AF70">
        <f>ROUND(((EV70*1.15)),2)</f>
        <v>485.7</v>
      </c>
      <c r="AG70">
        <f t="shared" si="83"/>
        <v>0</v>
      </c>
      <c r="AH70">
        <f>((EW70*1.15))</f>
        <v>57.959999999999994</v>
      </c>
      <c r="AI70">
        <f>(EX70)</f>
        <v>0.57999999999999996</v>
      </c>
      <c r="AJ70">
        <f t="shared" si="84"/>
        <v>0</v>
      </c>
      <c r="AK70">
        <v>1270.4100000000001</v>
      </c>
      <c r="AL70">
        <v>829.93</v>
      </c>
      <c r="AM70">
        <v>18.13</v>
      </c>
      <c r="AN70">
        <v>7.83</v>
      </c>
      <c r="AO70">
        <v>422.35</v>
      </c>
      <c r="AP70">
        <v>0</v>
      </c>
      <c r="AQ70">
        <v>50.4</v>
      </c>
      <c r="AR70">
        <v>0.57999999999999996</v>
      </c>
      <c r="AS70">
        <v>0</v>
      </c>
      <c r="AT70">
        <v>79</v>
      </c>
      <c r="AU70">
        <v>50</v>
      </c>
      <c r="AV70">
        <v>1</v>
      </c>
      <c r="AW70">
        <v>1</v>
      </c>
      <c r="AZ70">
        <v>6.71</v>
      </c>
      <c r="BA70">
        <v>6.71</v>
      </c>
      <c r="BB70">
        <v>6.71</v>
      </c>
      <c r="BC70">
        <v>6.71</v>
      </c>
      <c r="BD70" t="s">
        <v>6</v>
      </c>
      <c r="BE70" t="s">
        <v>6</v>
      </c>
      <c r="BF70" t="s">
        <v>6</v>
      </c>
      <c r="BG70" t="s">
        <v>6</v>
      </c>
      <c r="BH70">
        <v>0</v>
      </c>
      <c r="BI70">
        <v>1</v>
      </c>
      <c r="BJ70" t="s">
        <v>200</v>
      </c>
      <c r="BM70">
        <v>61001</v>
      </c>
      <c r="BN70">
        <v>0</v>
      </c>
      <c r="BO70" t="s">
        <v>6</v>
      </c>
      <c r="BP70">
        <v>0</v>
      </c>
      <c r="BQ70">
        <v>6</v>
      </c>
      <c r="BR70">
        <v>0</v>
      </c>
      <c r="BS70">
        <v>6.71</v>
      </c>
      <c r="BT70">
        <v>1</v>
      </c>
      <c r="BU70">
        <v>1</v>
      </c>
      <c r="BV70">
        <v>1</v>
      </c>
      <c r="BW70">
        <v>1</v>
      </c>
      <c r="BX70">
        <v>1</v>
      </c>
      <c r="BY70" t="s">
        <v>6</v>
      </c>
      <c r="BZ70">
        <v>79</v>
      </c>
      <c r="CA70">
        <v>50</v>
      </c>
      <c r="CE70">
        <v>0</v>
      </c>
      <c r="CF70">
        <v>0</v>
      </c>
      <c r="CG70">
        <v>0</v>
      </c>
      <c r="CM70">
        <v>0</v>
      </c>
      <c r="CN70" t="s">
        <v>960</v>
      </c>
      <c r="CO70">
        <v>0</v>
      </c>
      <c r="CP70">
        <f t="shared" si="85"/>
        <v>19876.900000000001</v>
      </c>
      <c r="CQ70">
        <f t="shared" si="86"/>
        <v>5568.8302999999996</v>
      </c>
      <c r="CR70">
        <f t="shared" si="87"/>
        <v>121.6523</v>
      </c>
      <c r="CS70">
        <f t="shared" si="88"/>
        <v>52.539299999999997</v>
      </c>
      <c r="CT70">
        <f t="shared" si="89"/>
        <v>3259.047</v>
      </c>
      <c r="CU70">
        <f t="shared" si="90"/>
        <v>0</v>
      </c>
      <c r="CV70">
        <f t="shared" si="91"/>
        <v>57.959999999999994</v>
      </c>
      <c r="CW70">
        <f t="shared" si="92"/>
        <v>0.57999999999999996</v>
      </c>
      <c r="CX70">
        <f t="shared" si="93"/>
        <v>0</v>
      </c>
      <c r="CY70">
        <f t="shared" si="94"/>
        <v>5810.4736999999996</v>
      </c>
      <c r="CZ70">
        <f t="shared" si="95"/>
        <v>3677.5149999999999</v>
      </c>
      <c r="DC70" t="s">
        <v>6</v>
      </c>
      <c r="DD70" t="s">
        <v>6</v>
      </c>
      <c r="DE70" t="s">
        <v>6</v>
      </c>
      <c r="DF70" t="s">
        <v>6</v>
      </c>
      <c r="DG70" t="s">
        <v>72</v>
      </c>
      <c r="DH70" t="s">
        <v>6</v>
      </c>
      <c r="DI70" t="s">
        <v>72</v>
      </c>
      <c r="DJ70" t="s">
        <v>6</v>
      </c>
      <c r="DK70" t="s">
        <v>6</v>
      </c>
      <c r="DL70" t="s">
        <v>6</v>
      </c>
      <c r="DM70" t="s">
        <v>6</v>
      </c>
      <c r="DN70">
        <v>0</v>
      </c>
      <c r="DO70">
        <v>0</v>
      </c>
      <c r="DP70">
        <v>1</v>
      </c>
      <c r="DQ70">
        <v>1</v>
      </c>
      <c r="DU70">
        <v>1005</v>
      </c>
      <c r="DV70" t="s">
        <v>26</v>
      </c>
      <c r="DW70" t="s">
        <v>26</v>
      </c>
      <c r="DX70">
        <v>100</v>
      </c>
      <c r="EE70">
        <v>16510570</v>
      </c>
      <c r="EF70">
        <v>6</v>
      </c>
      <c r="EG70" t="s">
        <v>20</v>
      </c>
      <c r="EH70">
        <v>0</v>
      </c>
      <c r="EI70" t="s">
        <v>6</v>
      </c>
      <c r="EJ70">
        <v>1</v>
      </c>
      <c r="EK70">
        <v>61001</v>
      </c>
      <c r="EL70" t="s">
        <v>178</v>
      </c>
      <c r="EM70" t="s">
        <v>179</v>
      </c>
      <c r="EO70" t="s">
        <v>201</v>
      </c>
      <c r="EQ70">
        <v>0</v>
      </c>
      <c r="ER70">
        <v>1270.4100000000001</v>
      </c>
      <c r="ES70">
        <v>829.93</v>
      </c>
      <c r="ET70">
        <v>18.13</v>
      </c>
      <c r="EU70">
        <v>7.83</v>
      </c>
      <c r="EV70">
        <v>422.35</v>
      </c>
      <c r="EW70">
        <v>50.4</v>
      </c>
      <c r="EX70">
        <v>0.57999999999999996</v>
      </c>
      <c r="EY70">
        <v>0</v>
      </c>
      <c r="FQ70">
        <v>0</v>
      </c>
      <c r="FR70">
        <f t="shared" si="96"/>
        <v>0</v>
      </c>
      <c r="FS70">
        <v>0</v>
      </c>
      <c r="FX70">
        <v>79</v>
      </c>
      <c r="FY70">
        <v>50</v>
      </c>
      <c r="GA70" t="s">
        <v>6</v>
      </c>
      <c r="GD70">
        <v>0</v>
      </c>
      <c r="GF70">
        <v>-2033257016</v>
      </c>
      <c r="GG70">
        <v>1</v>
      </c>
      <c r="GH70">
        <v>1</v>
      </c>
      <c r="GI70">
        <v>4</v>
      </c>
      <c r="GJ70">
        <v>0</v>
      </c>
      <c r="GK70">
        <f>ROUND(R70*(R12)/100,2)</f>
        <v>0</v>
      </c>
      <c r="GL70">
        <f t="shared" si="97"/>
        <v>0</v>
      </c>
      <c r="GM70">
        <f t="shared" si="98"/>
        <v>29364.89</v>
      </c>
      <c r="GN70">
        <f t="shared" si="99"/>
        <v>29364.89</v>
      </c>
      <c r="GO70">
        <f t="shared" si="100"/>
        <v>0</v>
      </c>
      <c r="GP70">
        <f t="shared" si="101"/>
        <v>0</v>
      </c>
      <c r="GR70">
        <v>0</v>
      </c>
      <c r="GS70">
        <v>3</v>
      </c>
      <c r="GT70">
        <v>0</v>
      </c>
      <c r="GU70" t="s">
        <v>6</v>
      </c>
      <c r="GV70">
        <f t="shared" si="102"/>
        <v>0</v>
      </c>
      <c r="GW70">
        <v>1</v>
      </c>
      <c r="GX70">
        <f t="shared" si="103"/>
        <v>0</v>
      </c>
      <c r="HA70">
        <v>0</v>
      </c>
      <c r="HB70">
        <v>0</v>
      </c>
      <c r="HC70">
        <f t="shared" si="104"/>
        <v>0</v>
      </c>
      <c r="IK70">
        <v>0</v>
      </c>
    </row>
    <row r="71" spans="1:245" x14ac:dyDescent="0.2">
      <c r="A71">
        <v>18</v>
      </c>
      <c r="B71">
        <v>1</v>
      </c>
      <c r="C71">
        <v>99</v>
      </c>
      <c r="E71" t="s">
        <v>202</v>
      </c>
      <c r="F71" t="s">
        <v>175</v>
      </c>
      <c r="G71" t="s">
        <v>176</v>
      </c>
      <c r="H71" t="s">
        <v>103</v>
      </c>
      <c r="I71">
        <f>I70*J71</f>
        <v>2520.835</v>
      </c>
      <c r="J71">
        <v>1135</v>
      </c>
      <c r="O71">
        <f t="shared" si="71"/>
        <v>35013.64</v>
      </c>
      <c r="P71">
        <f t="shared" si="72"/>
        <v>35013.64</v>
      </c>
      <c r="Q71">
        <f t="shared" si="73"/>
        <v>0</v>
      </c>
      <c r="R71">
        <f t="shared" si="74"/>
        <v>0</v>
      </c>
      <c r="S71">
        <f t="shared" si="75"/>
        <v>0</v>
      </c>
      <c r="T71">
        <f t="shared" si="76"/>
        <v>0</v>
      </c>
      <c r="U71">
        <f t="shared" si="77"/>
        <v>0</v>
      </c>
      <c r="V71">
        <f t="shared" si="78"/>
        <v>0</v>
      </c>
      <c r="W71">
        <f t="shared" si="79"/>
        <v>0</v>
      </c>
      <c r="X71">
        <f t="shared" si="80"/>
        <v>0</v>
      </c>
      <c r="Y71">
        <f t="shared" si="81"/>
        <v>0</v>
      </c>
      <c r="AA71">
        <v>16802145</v>
      </c>
      <c r="AB71">
        <f t="shared" si="82"/>
        <v>2.0699999999999998</v>
      </c>
      <c r="AC71">
        <f t="shared" si="107"/>
        <v>2.0699999999999998</v>
      </c>
      <c r="AD71">
        <f>ROUND((((ET71)-(EU71))+AE71),2)</f>
        <v>0</v>
      </c>
      <c r="AE71">
        <f>ROUND((EU71),2)</f>
        <v>0</v>
      </c>
      <c r="AF71">
        <f>ROUND((EV71),2)</f>
        <v>0</v>
      </c>
      <c r="AG71">
        <f t="shared" si="83"/>
        <v>0</v>
      </c>
      <c r="AH71">
        <f>(EW71)</f>
        <v>0</v>
      </c>
      <c r="AI71">
        <f>(EX71)</f>
        <v>0</v>
      </c>
      <c r="AJ71">
        <f t="shared" si="84"/>
        <v>0</v>
      </c>
      <c r="AK71">
        <v>2.0699999999999998</v>
      </c>
      <c r="AL71">
        <v>2.0699999999999998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79</v>
      </c>
      <c r="AU71">
        <v>50</v>
      </c>
      <c r="AV71">
        <v>1</v>
      </c>
      <c r="AW71">
        <v>1</v>
      </c>
      <c r="AZ71">
        <v>6.71</v>
      </c>
      <c r="BA71">
        <v>1</v>
      </c>
      <c r="BB71">
        <v>1</v>
      </c>
      <c r="BC71">
        <v>6.71</v>
      </c>
      <c r="BD71" t="s">
        <v>6</v>
      </c>
      <c r="BE71" t="s">
        <v>6</v>
      </c>
      <c r="BF71" t="s">
        <v>6</v>
      </c>
      <c r="BG71" t="s">
        <v>6</v>
      </c>
      <c r="BH71">
        <v>3</v>
      </c>
      <c r="BI71">
        <v>1</v>
      </c>
      <c r="BJ71" t="s">
        <v>177</v>
      </c>
      <c r="BM71">
        <v>61001</v>
      </c>
      <c r="BN71">
        <v>0</v>
      </c>
      <c r="BO71" t="s">
        <v>6</v>
      </c>
      <c r="BP71">
        <v>0</v>
      </c>
      <c r="BQ71">
        <v>6</v>
      </c>
      <c r="BR71">
        <v>0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6</v>
      </c>
      <c r="BZ71">
        <v>79</v>
      </c>
      <c r="CA71">
        <v>50</v>
      </c>
      <c r="CE71">
        <v>0</v>
      </c>
      <c r="CF71">
        <v>0</v>
      </c>
      <c r="CG71">
        <v>0</v>
      </c>
      <c r="CM71">
        <v>0</v>
      </c>
      <c r="CN71" t="s">
        <v>6</v>
      </c>
      <c r="CO71">
        <v>0</v>
      </c>
      <c r="CP71">
        <f t="shared" si="85"/>
        <v>35013.64</v>
      </c>
      <c r="CQ71">
        <f t="shared" si="86"/>
        <v>13.889699999999999</v>
      </c>
      <c r="CR71">
        <f t="shared" si="87"/>
        <v>0</v>
      </c>
      <c r="CS71">
        <f t="shared" si="88"/>
        <v>0</v>
      </c>
      <c r="CT71">
        <f t="shared" si="89"/>
        <v>0</v>
      </c>
      <c r="CU71">
        <f t="shared" si="90"/>
        <v>0</v>
      </c>
      <c r="CV71">
        <f t="shared" si="91"/>
        <v>0</v>
      </c>
      <c r="CW71">
        <f t="shared" si="92"/>
        <v>0</v>
      </c>
      <c r="CX71">
        <f t="shared" si="93"/>
        <v>0</v>
      </c>
      <c r="CY71">
        <f t="shared" si="94"/>
        <v>0</v>
      </c>
      <c r="CZ71">
        <f t="shared" si="95"/>
        <v>0</v>
      </c>
      <c r="DC71" t="s">
        <v>6</v>
      </c>
      <c r="DD71" t="s">
        <v>6</v>
      </c>
      <c r="DE71" t="s">
        <v>6</v>
      </c>
      <c r="DF71" t="s">
        <v>6</v>
      </c>
      <c r="DG71" t="s">
        <v>6</v>
      </c>
      <c r="DH71" t="s">
        <v>6</v>
      </c>
      <c r="DI71" t="s">
        <v>6</v>
      </c>
      <c r="DJ71" t="s">
        <v>6</v>
      </c>
      <c r="DK71" t="s">
        <v>6</v>
      </c>
      <c r="DL71" t="s">
        <v>6</v>
      </c>
      <c r="DM71" t="s">
        <v>6</v>
      </c>
      <c r="DN71">
        <v>0</v>
      </c>
      <c r="DO71">
        <v>0</v>
      </c>
      <c r="DP71">
        <v>1</v>
      </c>
      <c r="DQ71">
        <v>1</v>
      </c>
      <c r="DU71">
        <v>1009</v>
      </c>
      <c r="DV71" t="s">
        <v>103</v>
      </c>
      <c r="DW71" t="s">
        <v>103</v>
      </c>
      <c r="DX71">
        <v>1</v>
      </c>
      <c r="EE71">
        <v>16510570</v>
      </c>
      <c r="EF71">
        <v>6</v>
      </c>
      <c r="EG71" t="s">
        <v>20</v>
      </c>
      <c r="EH71">
        <v>0</v>
      </c>
      <c r="EI71" t="s">
        <v>6</v>
      </c>
      <c r="EJ71">
        <v>1</v>
      </c>
      <c r="EK71">
        <v>61001</v>
      </c>
      <c r="EL71" t="s">
        <v>178</v>
      </c>
      <c r="EM71" t="s">
        <v>179</v>
      </c>
      <c r="EO71" t="s">
        <v>6</v>
      </c>
      <c r="EQ71">
        <v>0</v>
      </c>
      <c r="ER71">
        <v>2.0699999999999998</v>
      </c>
      <c r="ES71">
        <v>2.0699999999999998</v>
      </c>
      <c r="ET71">
        <v>0</v>
      </c>
      <c r="EU71">
        <v>0</v>
      </c>
      <c r="EV71">
        <v>0</v>
      </c>
      <c r="EW71">
        <v>0</v>
      </c>
      <c r="EX71">
        <v>0</v>
      </c>
      <c r="FQ71">
        <v>0</v>
      </c>
      <c r="FR71">
        <f t="shared" si="96"/>
        <v>0</v>
      </c>
      <c r="FS71">
        <v>0</v>
      </c>
      <c r="FX71">
        <v>79</v>
      </c>
      <c r="FY71">
        <v>50</v>
      </c>
      <c r="GA71" t="s">
        <v>6</v>
      </c>
      <c r="GD71">
        <v>0</v>
      </c>
      <c r="GF71">
        <v>-60067644</v>
      </c>
      <c r="GG71">
        <v>1</v>
      </c>
      <c r="GH71">
        <v>1</v>
      </c>
      <c r="GI71">
        <v>4</v>
      </c>
      <c r="GJ71">
        <v>0</v>
      </c>
      <c r="GK71">
        <f>ROUND(R71*(R12)/100,2)</f>
        <v>0</v>
      </c>
      <c r="GL71">
        <f t="shared" si="97"/>
        <v>0</v>
      </c>
      <c r="GM71">
        <f t="shared" si="98"/>
        <v>35013.64</v>
      </c>
      <c r="GN71">
        <f t="shared" si="99"/>
        <v>35013.64</v>
      </c>
      <c r="GO71">
        <f t="shared" si="100"/>
        <v>0</v>
      </c>
      <c r="GP71">
        <f t="shared" si="101"/>
        <v>0</v>
      </c>
      <c r="GR71">
        <v>0</v>
      </c>
      <c r="GS71">
        <v>0</v>
      </c>
      <c r="GT71">
        <v>0</v>
      </c>
      <c r="GU71" t="s">
        <v>6</v>
      </c>
      <c r="GV71">
        <f t="shared" si="102"/>
        <v>0</v>
      </c>
      <c r="GW71">
        <v>1</v>
      </c>
      <c r="GX71">
        <f t="shared" si="103"/>
        <v>0</v>
      </c>
      <c r="HA71">
        <v>0</v>
      </c>
      <c r="HB71">
        <v>0</v>
      </c>
      <c r="HC71">
        <f t="shared" si="104"/>
        <v>0</v>
      </c>
      <c r="IK71">
        <v>0</v>
      </c>
    </row>
    <row r="72" spans="1:245" x14ac:dyDescent="0.2">
      <c r="A72">
        <v>17</v>
      </c>
      <c r="B72">
        <v>1</v>
      </c>
      <c r="C72">
        <f>ROW(SmtRes!A108)</f>
        <v>108</v>
      </c>
      <c r="D72">
        <f>ROW(EtalonRes!A100)</f>
        <v>100</v>
      </c>
      <c r="E72" t="s">
        <v>203</v>
      </c>
      <c r="F72" t="s">
        <v>204</v>
      </c>
      <c r="G72" t="s">
        <v>205</v>
      </c>
      <c r="H72" t="s">
        <v>26</v>
      </c>
      <c r="I72">
        <f>ROUND(333.2/100,9)</f>
        <v>3.3319999999999999</v>
      </c>
      <c r="J72">
        <v>0</v>
      </c>
      <c r="O72">
        <f t="shared" si="71"/>
        <v>16453.939999999999</v>
      </c>
      <c r="P72">
        <f t="shared" si="72"/>
        <v>6266.87</v>
      </c>
      <c r="Q72">
        <f t="shared" si="73"/>
        <v>293.11</v>
      </c>
      <c r="R72">
        <f t="shared" si="74"/>
        <v>56.12</v>
      </c>
      <c r="S72">
        <f t="shared" si="75"/>
        <v>9893.9599999999991</v>
      </c>
      <c r="T72">
        <f t="shared" si="76"/>
        <v>0</v>
      </c>
      <c r="U72">
        <f t="shared" si="77"/>
        <v>164.38421999999997</v>
      </c>
      <c r="V72">
        <f t="shared" si="78"/>
        <v>0.70805000000000007</v>
      </c>
      <c r="W72">
        <f t="shared" si="79"/>
        <v>0</v>
      </c>
      <c r="X72">
        <f t="shared" si="80"/>
        <v>9452.58</v>
      </c>
      <c r="Y72">
        <f t="shared" si="81"/>
        <v>4676.54</v>
      </c>
      <c r="AA72">
        <v>16802145</v>
      </c>
      <c r="AB72">
        <f t="shared" si="82"/>
        <v>735.94</v>
      </c>
      <c r="AC72">
        <f t="shared" si="107"/>
        <v>280.3</v>
      </c>
      <c r="AD72">
        <f>ROUND(((((ET72*1.25))-((EU72*1.25)))+AE72),2)</f>
        <v>13.11</v>
      </c>
      <c r="AE72">
        <f>ROUND(((EU72*1.25)),2)</f>
        <v>2.5099999999999998</v>
      </c>
      <c r="AF72">
        <f>ROUND(((EV72*1.15)),2)</f>
        <v>442.53</v>
      </c>
      <c r="AG72">
        <f t="shared" si="83"/>
        <v>0</v>
      </c>
      <c r="AH72">
        <f>((EW72*1.15))</f>
        <v>49.334999999999994</v>
      </c>
      <c r="AI72">
        <f>((EX72*1.25))</f>
        <v>0.21250000000000002</v>
      </c>
      <c r="AJ72">
        <f t="shared" si="84"/>
        <v>0</v>
      </c>
      <c r="AK72">
        <v>675.6</v>
      </c>
      <c r="AL72">
        <v>280.3</v>
      </c>
      <c r="AM72">
        <v>10.49</v>
      </c>
      <c r="AN72">
        <v>2.0099999999999998</v>
      </c>
      <c r="AO72">
        <v>384.81</v>
      </c>
      <c r="AP72">
        <v>0</v>
      </c>
      <c r="AQ72">
        <v>42.9</v>
      </c>
      <c r="AR72">
        <v>0.17</v>
      </c>
      <c r="AS72">
        <v>0</v>
      </c>
      <c r="AT72">
        <v>95</v>
      </c>
      <c r="AU72">
        <v>47</v>
      </c>
      <c r="AV72">
        <v>1</v>
      </c>
      <c r="AW72">
        <v>1</v>
      </c>
      <c r="AZ72">
        <v>6.71</v>
      </c>
      <c r="BA72">
        <v>6.71</v>
      </c>
      <c r="BB72">
        <v>6.71</v>
      </c>
      <c r="BC72">
        <v>6.71</v>
      </c>
      <c r="BD72" t="s">
        <v>6</v>
      </c>
      <c r="BE72" t="s">
        <v>6</v>
      </c>
      <c r="BF72" t="s">
        <v>6</v>
      </c>
      <c r="BG72" t="s">
        <v>6</v>
      </c>
      <c r="BH72">
        <v>0</v>
      </c>
      <c r="BI72">
        <v>1</v>
      </c>
      <c r="BJ72" t="s">
        <v>206</v>
      </c>
      <c r="BM72">
        <v>15001</v>
      </c>
      <c r="BN72">
        <v>0</v>
      </c>
      <c r="BO72" t="s">
        <v>6</v>
      </c>
      <c r="BP72">
        <v>0</v>
      </c>
      <c r="BQ72">
        <v>2</v>
      </c>
      <c r="BR72">
        <v>0</v>
      </c>
      <c r="BS72">
        <v>6.71</v>
      </c>
      <c r="BT72">
        <v>1</v>
      </c>
      <c r="BU72">
        <v>1</v>
      </c>
      <c r="BV72">
        <v>1</v>
      </c>
      <c r="BW72">
        <v>1</v>
      </c>
      <c r="BX72">
        <v>1</v>
      </c>
      <c r="BY72" t="s">
        <v>6</v>
      </c>
      <c r="BZ72">
        <v>105</v>
      </c>
      <c r="CA72">
        <v>55</v>
      </c>
      <c r="CE72">
        <v>0</v>
      </c>
      <c r="CF72">
        <v>0</v>
      </c>
      <c r="CG72">
        <v>0</v>
      </c>
      <c r="CM72">
        <v>0</v>
      </c>
      <c r="CN72" t="s">
        <v>959</v>
      </c>
      <c r="CO72">
        <v>0</v>
      </c>
      <c r="CP72">
        <f t="shared" si="85"/>
        <v>16453.939999999999</v>
      </c>
      <c r="CQ72">
        <f t="shared" si="86"/>
        <v>1880.8130000000001</v>
      </c>
      <c r="CR72">
        <f t="shared" si="87"/>
        <v>87.968099999999993</v>
      </c>
      <c r="CS72">
        <f t="shared" si="88"/>
        <v>16.842099999999999</v>
      </c>
      <c r="CT72">
        <f t="shared" si="89"/>
        <v>2969.3762999999999</v>
      </c>
      <c r="CU72">
        <f t="shared" si="90"/>
        <v>0</v>
      </c>
      <c r="CV72">
        <f t="shared" si="91"/>
        <v>49.334999999999994</v>
      </c>
      <c r="CW72">
        <f t="shared" si="92"/>
        <v>0.21250000000000002</v>
      </c>
      <c r="CX72">
        <f t="shared" si="93"/>
        <v>0</v>
      </c>
      <c r="CY72">
        <f t="shared" si="94"/>
        <v>9452.5759999999991</v>
      </c>
      <c r="CZ72">
        <f t="shared" si="95"/>
        <v>4676.5375999999997</v>
      </c>
      <c r="DC72" t="s">
        <v>6</v>
      </c>
      <c r="DD72" t="s">
        <v>6</v>
      </c>
      <c r="DE72" t="s">
        <v>71</v>
      </c>
      <c r="DF72" t="s">
        <v>71</v>
      </c>
      <c r="DG72" t="s">
        <v>72</v>
      </c>
      <c r="DH72" t="s">
        <v>6</v>
      </c>
      <c r="DI72" t="s">
        <v>72</v>
      </c>
      <c r="DJ72" t="s">
        <v>71</v>
      </c>
      <c r="DK72" t="s">
        <v>6</v>
      </c>
      <c r="DL72" t="s">
        <v>6</v>
      </c>
      <c r="DM72" t="s">
        <v>6</v>
      </c>
      <c r="DN72">
        <v>0</v>
      </c>
      <c r="DO72">
        <v>0</v>
      </c>
      <c r="DP72">
        <v>1</v>
      </c>
      <c r="DQ72">
        <v>1</v>
      </c>
      <c r="DU72">
        <v>1005</v>
      </c>
      <c r="DV72" t="s">
        <v>26</v>
      </c>
      <c r="DW72" t="s">
        <v>26</v>
      </c>
      <c r="DX72">
        <v>100</v>
      </c>
      <c r="EE72">
        <v>16510513</v>
      </c>
      <c r="EF72">
        <v>2</v>
      </c>
      <c r="EG72" t="s">
        <v>48</v>
      </c>
      <c r="EH72">
        <v>0</v>
      </c>
      <c r="EI72" t="s">
        <v>6</v>
      </c>
      <c r="EJ72">
        <v>1</v>
      </c>
      <c r="EK72">
        <v>15001</v>
      </c>
      <c r="EL72" t="s">
        <v>86</v>
      </c>
      <c r="EM72" t="s">
        <v>87</v>
      </c>
      <c r="EO72" t="s">
        <v>74</v>
      </c>
      <c r="EQ72">
        <v>131072</v>
      </c>
      <c r="ER72">
        <v>675.6</v>
      </c>
      <c r="ES72">
        <v>280.3</v>
      </c>
      <c r="ET72">
        <v>10.49</v>
      </c>
      <c r="EU72">
        <v>2.0099999999999998</v>
      </c>
      <c r="EV72">
        <v>384.81</v>
      </c>
      <c r="EW72">
        <v>42.9</v>
      </c>
      <c r="EX72">
        <v>0.17</v>
      </c>
      <c r="EY72">
        <v>0</v>
      </c>
      <c r="FQ72">
        <v>0</v>
      </c>
      <c r="FR72">
        <f t="shared" si="96"/>
        <v>0</v>
      </c>
      <c r="FS72">
        <v>0</v>
      </c>
      <c r="FT72" t="s">
        <v>51</v>
      </c>
      <c r="FU72" t="s">
        <v>52</v>
      </c>
      <c r="FX72">
        <v>94.5</v>
      </c>
      <c r="FY72">
        <v>46.75</v>
      </c>
      <c r="GA72" t="s">
        <v>6</v>
      </c>
      <c r="GD72">
        <v>0</v>
      </c>
      <c r="GF72">
        <v>-61998032</v>
      </c>
      <c r="GG72">
        <v>1</v>
      </c>
      <c r="GH72">
        <v>1</v>
      </c>
      <c r="GI72">
        <v>4</v>
      </c>
      <c r="GJ72">
        <v>0</v>
      </c>
      <c r="GK72">
        <f>ROUND(R72*(R12)/100,2)</f>
        <v>0</v>
      </c>
      <c r="GL72">
        <f t="shared" si="97"/>
        <v>0</v>
      </c>
      <c r="GM72">
        <f t="shared" si="98"/>
        <v>30583.06</v>
      </c>
      <c r="GN72">
        <f t="shared" si="99"/>
        <v>30583.06</v>
      </c>
      <c r="GO72">
        <f t="shared" si="100"/>
        <v>0</v>
      </c>
      <c r="GP72">
        <f t="shared" si="101"/>
        <v>0</v>
      </c>
      <c r="GR72">
        <v>0</v>
      </c>
      <c r="GS72">
        <v>0</v>
      </c>
      <c r="GT72">
        <v>0</v>
      </c>
      <c r="GU72" t="s">
        <v>6</v>
      </c>
      <c r="GV72">
        <f t="shared" si="102"/>
        <v>0</v>
      </c>
      <c r="GW72">
        <v>1</v>
      </c>
      <c r="GX72">
        <f t="shared" si="103"/>
        <v>0</v>
      </c>
      <c r="HA72">
        <v>0</v>
      </c>
      <c r="HB72">
        <v>0</v>
      </c>
      <c r="HC72">
        <f t="shared" si="104"/>
        <v>0</v>
      </c>
      <c r="IK72">
        <v>0</v>
      </c>
    </row>
    <row r="73" spans="1:245" x14ac:dyDescent="0.2">
      <c r="A73">
        <v>18</v>
      </c>
      <c r="B73">
        <v>1</v>
      </c>
      <c r="C73">
        <v>106</v>
      </c>
      <c r="E73" t="s">
        <v>207</v>
      </c>
      <c r="F73" t="s">
        <v>208</v>
      </c>
      <c r="G73" t="s">
        <v>209</v>
      </c>
      <c r="H73" t="s">
        <v>65</v>
      </c>
      <c r="I73">
        <f>I72*J73</f>
        <v>0.20991599999999999</v>
      </c>
      <c r="J73">
        <v>6.3E-2</v>
      </c>
      <c r="O73">
        <f t="shared" si="71"/>
        <v>0</v>
      </c>
      <c r="P73">
        <f t="shared" si="72"/>
        <v>0</v>
      </c>
      <c r="Q73">
        <f t="shared" si="73"/>
        <v>0</v>
      </c>
      <c r="R73">
        <f t="shared" si="74"/>
        <v>0</v>
      </c>
      <c r="S73">
        <f t="shared" si="75"/>
        <v>0</v>
      </c>
      <c r="T73">
        <f t="shared" si="76"/>
        <v>0</v>
      </c>
      <c r="U73">
        <f t="shared" si="77"/>
        <v>0</v>
      </c>
      <c r="V73">
        <f t="shared" si="78"/>
        <v>0</v>
      </c>
      <c r="W73">
        <f t="shared" si="79"/>
        <v>0</v>
      </c>
      <c r="X73">
        <f t="shared" si="80"/>
        <v>0</v>
      </c>
      <c r="Y73">
        <f t="shared" si="81"/>
        <v>0</v>
      </c>
      <c r="AA73">
        <v>16802145</v>
      </c>
      <c r="AB73">
        <f t="shared" si="82"/>
        <v>0</v>
      </c>
      <c r="AC73">
        <f t="shared" si="107"/>
        <v>0</v>
      </c>
      <c r="AD73">
        <f>ROUND((((ET73)-(EU73))+AE73),2)</f>
        <v>0</v>
      </c>
      <c r="AE73">
        <f>ROUND((EU73),2)</f>
        <v>0</v>
      </c>
      <c r="AF73">
        <f>ROUND((EV73),2)</f>
        <v>0</v>
      </c>
      <c r="AG73">
        <f t="shared" si="83"/>
        <v>0</v>
      </c>
      <c r="AH73">
        <f>(EW73)</f>
        <v>0</v>
      </c>
      <c r="AI73">
        <f>(EX73)</f>
        <v>0</v>
      </c>
      <c r="AJ73">
        <f t="shared" si="84"/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95</v>
      </c>
      <c r="AU73">
        <v>47</v>
      </c>
      <c r="AV73">
        <v>1</v>
      </c>
      <c r="AW73">
        <v>1</v>
      </c>
      <c r="AZ73">
        <v>6.71</v>
      </c>
      <c r="BA73">
        <v>1</v>
      </c>
      <c r="BB73">
        <v>1</v>
      </c>
      <c r="BC73">
        <v>6.71</v>
      </c>
      <c r="BD73" t="s">
        <v>6</v>
      </c>
      <c r="BE73" t="s">
        <v>6</v>
      </c>
      <c r="BF73" t="s">
        <v>6</v>
      </c>
      <c r="BG73" t="s">
        <v>6</v>
      </c>
      <c r="BH73">
        <v>3</v>
      </c>
      <c r="BI73">
        <v>1</v>
      </c>
      <c r="BJ73" t="s">
        <v>6</v>
      </c>
      <c r="BM73">
        <v>15001</v>
      </c>
      <c r="BN73">
        <v>0</v>
      </c>
      <c r="BO73" t="s">
        <v>6</v>
      </c>
      <c r="BP73">
        <v>0</v>
      </c>
      <c r="BQ73">
        <v>2</v>
      </c>
      <c r="BR73">
        <v>0</v>
      </c>
      <c r="BS73">
        <v>1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6</v>
      </c>
      <c r="BZ73">
        <v>105</v>
      </c>
      <c r="CA73">
        <v>55</v>
      </c>
      <c r="CE73">
        <v>0</v>
      </c>
      <c r="CF73">
        <v>0</v>
      </c>
      <c r="CG73">
        <v>0</v>
      </c>
      <c r="CM73">
        <v>0</v>
      </c>
      <c r="CN73" t="s">
        <v>6</v>
      </c>
      <c r="CO73">
        <v>0</v>
      </c>
      <c r="CP73">
        <f t="shared" si="85"/>
        <v>0</v>
      </c>
      <c r="CQ73">
        <f t="shared" si="86"/>
        <v>0</v>
      </c>
      <c r="CR73">
        <f t="shared" si="87"/>
        <v>0</v>
      </c>
      <c r="CS73">
        <f t="shared" si="88"/>
        <v>0</v>
      </c>
      <c r="CT73">
        <f t="shared" si="89"/>
        <v>0</v>
      </c>
      <c r="CU73">
        <f t="shared" si="90"/>
        <v>0</v>
      </c>
      <c r="CV73">
        <f t="shared" si="91"/>
        <v>0</v>
      </c>
      <c r="CW73">
        <f t="shared" si="92"/>
        <v>0</v>
      </c>
      <c r="CX73">
        <f t="shared" si="93"/>
        <v>0</v>
      </c>
      <c r="CY73">
        <f t="shared" si="94"/>
        <v>0</v>
      </c>
      <c r="CZ73">
        <f t="shared" si="95"/>
        <v>0</v>
      </c>
      <c r="DC73" t="s">
        <v>6</v>
      </c>
      <c r="DD73" t="s">
        <v>6</v>
      </c>
      <c r="DE73" t="s">
        <v>6</v>
      </c>
      <c r="DF73" t="s">
        <v>6</v>
      </c>
      <c r="DG73" t="s">
        <v>6</v>
      </c>
      <c r="DH73" t="s">
        <v>6</v>
      </c>
      <c r="DI73" t="s">
        <v>6</v>
      </c>
      <c r="DJ73" t="s">
        <v>6</v>
      </c>
      <c r="DK73" t="s">
        <v>6</v>
      </c>
      <c r="DL73" t="s">
        <v>6</v>
      </c>
      <c r="DM73" t="s">
        <v>6</v>
      </c>
      <c r="DN73">
        <v>0</v>
      </c>
      <c r="DO73">
        <v>0</v>
      </c>
      <c r="DP73">
        <v>1</v>
      </c>
      <c r="DQ73">
        <v>1</v>
      </c>
      <c r="DU73">
        <v>1009</v>
      </c>
      <c r="DV73" t="s">
        <v>65</v>
      </c>
      <c r="DW73" t="s">
        <v>65</v>
      </c>
      <c r="DX73">
        <v>1000</v>
      </c>
      <c r="EE73">
        <v>16510513</v>
      </c>
      <c r="EF73">
        <v>2</v>
      </c>
      <c r="EG73" t="s">
        <v>48</v>
      </c>
      <c r="EH73">
        <v>0</v>
      </c>
      <c r="EI73" t="s">
        <v>6</v>
      </c>
      <c r="EJ73">
        <v>1</v>
      </c>
      <c r="EK73">
        <v>15001</v>
      </c>
      <c r="EL73" t="s">
        <v>86</v>
      </c>
      <c r="EM73" t="s">
        <v>87</v>
      </c>
      <c r="EO73" t="s">
        <v>6</v>
      </c>
      <c r="EQ73">
        <v>0</v>
      </c>
      <c r="ER73">
        <v>0</v>
      </c>
      <c r="ES73">
        <v>0</v>
      </c>
      <c r="ET73">
        <v>0</v>
      </c>
      <c r="EU73">
        <v>0</v>
      </c>
      <c r="EV73">
        <v>0</v>
      </c>
      <c r="EW73">
        <v>0</v>
      </c>
      <c r="EX73">
        <v>0</v>
      </c>
      <c r="FQ73">
        <v>0</v>
      </c>
      <c r="FR73">
        <f t="shared" si="96"/>
        <v>0</v>
      </c>
      <c r="FS73">
        <v>0</v>
      </c>
      <c r="FT73" t="s">
        <v>51</v>
      </c>
      <c r="FU73" t="s">
        <v>52</v>
      </c>
      <c r="FX73">
        <v>94.5</v>
      </c>
      <c r="FY73">
        <v>46.75</v>
      </c>
      <c r="GA73" t="s">
        <v>6</v>
      </c>
      <c r="GD73">
        <v>0</v>
      </c>
      <c r="GF73">
        <v>1891904026</v>
      </c>
      <c r="GG73">
        <v>1</v>
      </c>
      <c r="GH73">
        <v>1</v>
      </c>
      <c r="GI73">
        <v>4</v>
      </c>
      <c r="GJ73">
        <v>0</v>
      </c>
      <c r="GK73">
        <f>ROUND(R73*(R12)/100,2)</f>
        <v>0</v>
      </c>
      <c r="GL73">
        <f t="shared" si="97"/>
        <v>0</v>
      </c>
      <c r="GM73">
        <f t="shared" si="98"/>
        <v>0</v>
      </c>
      <c r="GN73">
        <f t="shared" si="99"/>
        <v>0</v>
      </c>
      <c r="GO73">
        <f t="shared" si="100"/>
        <v>0</v>
      </c>
      <c r="GP73">
        <f t="shared" si="101"/>
        <v>0</v>
      </c>
      <c r="GR73">
        <v>0</v>
      </c>
      <c r="GS73">
        <v>3</v>
      </c>
      <c r="GT73">
        <v>0</v>
      </c>
      <c r="GU73" t="s">
        <v>6</v>
      </c>
      <c r="GV73">
        <f t="shared" si="102"/>
        <v>0</v>
      </c>
      <c r="GW73">
        <v>1</v>
      </c>
      <c r="GX73">
        <f t="shared" si="103"/>
        <v>0</v>
      </c>
      <c r="HA73">
        <v>0</v>
      </c>
      <c r="HB73">
        <v>0</v>
      </c>
      <c r="HC73">
        <f t="shared" si="104"/>
        <v>0</v>
      </c>
      <c r="IK73">
        <v>0</v>
      </c>
    </row>
    <row r="74" spans="1:245" x14ac:dyDescent="0.2">
      <c r="A74">
        <v>18</v>
      </c>
      <c r="B74">
        <v>1</v>
      </c>
      <c r="C74">
        <v>107</v>
      </c>
      <c r="E74" t="s">
        <v>210</v>
      </c>
      <c r="F74" t="s">
        <v>211</v>
      </c>
      <c r="G74" t="s">
        <v>212</v>
      </c>
      <c r="H74" t="s">
        <v>65</v>
      </c>
      <c r="I74">
        <f>I72*J74</f>
        <v>0.20991599999999999</v>
      </c>
      <c r="J74">
        <v>6.3E-2</v>
      </c>
      <c r="O74">
        <f t="shared" si="71"/>
        <v>28133.64</v>
      </c>
      <c r="P74">
        <f t="shared" si="72"/>
        <v>28133.64</v>
      </c>
      <c r="Q74">
        <f t="shared" si="73"/>
        <v>0</v>
      </c>
      <c r="R74">
        <f t="shared" si="74"/>
        <v>0</v>
      </c>
      <c r="S74">
        <f t="shared" si="75"/>
        <v>0</v>
      </c>
      <c r="T74">
        <f t="shared" si="76"/>
        <v>0</v>
      </c>
      <c r="U74">
        <f t="shared" si="77"/>
        <v>0</v>
      </c>
      <c r="V74">
        <f t="shared" si="78"/>
        <v>0</v>
      </c>
      <c r="W74">
        <f t="shared" si="79"/>
        <v>0</v>
      </c>
      <c r="X74">
        <f t="shared" si="80"/>
        <v>0</v>
      </c>
      <c r="Y74">
        <f t="shared" si="81"/>
        <v>0</v>
      </c>
      <c r="AA74">
        <v>16802145</v>
      </c>
      <c r="AB74">
        <f t="shared" si="82"/>
        <v>19973.669999999998</v>
      </c>
      <c r="AC74">
        <f t="shared" si="107"/>
        <v>19973.669999999998</v>
      </c>
      <c r="AD74">
        <f>ROUND((((ET74)-(EU74))+AE74),2)</f>
        <v>0</v>
      </c>
      <c r="AE74">
        <f>ROUND((EU74),2)</f>
        <v>0</v>
      </c>
      <c r="AF74">
        <f>ROUND((EV74),2)</f>
        <v>0</v>
      </c>
      <c r="AG74">
        <f t="shared" si="83"/>
        <v>0</v>
      </c>
      <c r="AH74">
        <f>(EW74)</f>
        <v>0</v>
      </c>
      <c r="AI74">
        <f>(EX74)</f>
        <v>0</v>
      </c>
      <c r="AJ74">
        <f t="shared" si="84"/>
        <v>0</v>
      </c>
      <c r="AK74">
        <v>19973.669999999998</v>
      </c>
      <c r="AL74">
        <v>19973.669999999998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95</v>
      </c>
      <c r="AU74">
        <v>47</v>
      </c>
      <c r="AV74">
        <v>1</v>
      </c>
      <c r="AW74">
        <v>1</v>
      </c>
      <c r="AZ74">
        <v>6.71</v>
      </c>
      <c r="BA74">
        <v>1</v>
      </c>
      <c r="BB74">
        <v>1</v>
      </c>
      <c r="BC74">
        <v>6.71</v>
      </c>
      <c r="BD74" t="s">
        <v>6</v>
      </c>
      <c r="BE74" t="s">
        <v>6</v>
      </c>
      <c r="BF74" t="s">
        <v>6</v>
      </c>
      <c r="BG74" t="s">
        <v>6</v>
      </c>
      <c r="BH74">
        <v>3</v>
      </c>
      <c r="BI74">
        <v>1</v>
      </c>
      <c r="BJ74" t="s">
        <v>213</v>
      </c>
      <c r="BM74">
        <v>15001</v>
      </c>
      <c r="BN74">
        <v>0</v>
      </c>
      <c r="BO74" t="s">
        <v>6</v>
      </c>
      <c r="BP74">
        <v>0</v>
      </c>
      <c r="BQ74">
        <v>2</v>
      </c>
      <c r="BR74">
        <v>0</v>
      </c>
      <c r="BS74">
        <v>1</v>
      </c>
      <c r="BT74">
        <v>1</v>
      </c>
      <c r="BU74">
        <v>1</v>
      </c>
      <c r="BV74">
        <v>1</v>
      </c>
      <c r="BW74">
        <v>1</v>
      </c>
      <c r="BX74">
        <v>1</v>
      </c>
      <c r="BY74" t="s">
        <v>6</v>
      </c>
      <c r="BZ74">
        <v>105</v>
      </c>
      <c r="CA74">
        <v>55</v>
      </c>
      <c r="CE74">
        <v>0</v>
      </c>
      <c r="CF74">
        <v>0</v>
      </c>
      <c r="CG74">
        <v>0</v>
      </c>
      <c r="CM74">
        <v>0</v>
      </c>
      <c r="CN74" t="s">
        <v>6</v>
      </c>
      <c r="CO74">
        <v>0</v>
      </c>
      <c r="CP74">
        <f t="shared" si="85"/>
        <v>28133.64</v>
      </c>
      <c r="CQ74">
        <f t="shared" si="86"/>
        <v>134023.32569999999</v>
      </c>
      <c r="CR74">
        <f t="shared" si="87"/>
        <v>0</v>
      </c>
      <c r="CS74">
        <f t="shared" si="88"/>
        <v>0</v>
      </c>
      <c r="CT74">
        <f t="shared" si="89"/>
        <v>0</v>
      </c>
      <c r="CU74">
        <f t="shared" si="90"/>
        <v>0</v>
      </c>
      <c r="CV74">
        <f t="shared" si="91"/>
        <v>0</v>
      </c>
      <c r="CW74">
        <f t="shared" si="92"/>
        <v>0</v>
      </c>
      <c r="CX74">
        <f t="shared" si="93"/>
        <v>0</v>
      </c>
      <c r="CY74">
        <f t="shared" si="94"/>
        <v>0</v>
      </c>
      <c r="CZ74">
        <f t="shared" si="95"/>
        <v>0</v>
      </c>
      <c r="DC74" t="s">
        <v>6</v>
      </c>
      <c r="DD74" t="s">
        <v>6</v>
      </c>
      <c r="DE74" t="s">
        <v>6</v>
      </c>
      <c r="DF74" t="s">
        <v>6</v>
      </c>
      <c r="DG74" t="s">
        <v>6</v>
      </c>
      <c r="DH74" t="s">
        <v>6</v>
      </c>
      <c r="DI74" t="s">
        <v>6</v>
      </c>
      <c r="DJ74" t="s">
        <v>6</v>
      </c>
      <c r="DK74" t="s">
        <v>6</v>
      </c>
      <c r="DL74" t="s">
        <v>6</v>
      </c>
      <c r="DM74" t="s">
        <v>6</v>
      </c>
      <c r="DN74">
        <v>0</v>
      </c>
      <c r="DO74">
        <v>0</v>
      </c>
      <c r="DP74">
        <v>1</v>
      </c>
      <c r="DQ74">
        <v>1</v>
      </c>
      <c r="DU74">
        <v>1009</v>
      </c>
      <c r="DV74" t="s">
        <v>65</v>
      </c>
      <c r="DW74" t="s">
        <v>65</v>
      </c>
      <c r="DX74">
        <v>1000</v>
      </c>
      <c r="EE74">
        <v>16510513</v>
      </c>
      <c r="EF74">
        <v>2</v>
      </c>
      <c r="EG74" t="s">
        <v>48</v>
      </c>
      <c r="EH74">
        <v>0</v>
      </c>
      <c r="EI74" t="s">
        <v>6</v>
      </c>
      <c r="EJ74">
        <v>1</v>
      </c>
      <c r="EK74">
        <v>15001</v>
      </c>
      <c r="EL74" t="s">
        <v>86</v>
      </c>
      <c r="EM74" t="s">
        <v>87</v>
      </c>
      <c r="EO74" t="s">
        <v>6</v>
      </c>
      <c r="EQ74">
        <v>0</v>
      </c>
      <c r="ER74">
        <v>19973.669999999998</v>
      </c>
      <c r="ES74">
        <v>19973.669999999998</v>
      </c>
      <c r="ET74">
        <v>0</v>
      </c>
      <c r="EU74">
        <v>0</v>
      </c>
      <c r="EV74">
        <v>0</v>
      </c>
      <c r="EW74">
        <v>0</v>
      </c>
      <c r="EX74">
        <v>0</v>
      </c>
      <c r="FQ74">
        <v>0</v>
      </c>
      <c r="FR74">
        <f t="shared" si="96"/>
        <v>0</v>
      </c>
      <c r="FS74">
        <v>0</v>
      </c>
      <c r="FT74" t="s">
        <v>51</v>
      </c>
      <c r="FU74" t="s">
        <v>52</v>
      </c>
      <c r="FX74">
        <v>94.5</v>
      </c>
      <c r="FY74">
        <v>46.75</v>
      </c>
      <c r="GA74" t="s">
        <v>6</v>
      </c>
      <c r="GD74">
        <v>0</v>
      </c>
      <c r="GF74">
        <v>772632804</v>
      </c>
      <c r="GG74">
        <v>1</v>
      </c>
      <c r="GH74">
        <v>1</v>
      </c>
      <c r="GI74">
        <v>4</v>
      </c>
      <c r="GJ74">
        <v>0</v>
      </c>
      <c r="GK74">
        <f>ROUND(R74*(R12)/100,2)</f>
        <v>0</v>
      </c>
      <c r="GL74">
        <f t="shared" si="97"/>
        <v>0</v>
      </c>
      <c r="GM74">
        <f t="shared" si="98"/>
        <v>28133.64</v>
      </c>
      <c r="GN74">
        <f t="shared" si="99"/>
        <v>28133.64</v>
      </c>
      <c r="GO74">
        <f t="shared" si="100"/>
        <v>0</v>
      </c>
      <c r="GP74">
        <f t="shared" si="101"/>
        <v>0</v>
      </c>
      <c r="GR74">
        <v>0</v>
      </c>
      <c r="GS74">
        <v>0</v>
      </c>
      <c r="GT74">
        <v>0</v>
      </c>
      <c r="GU74" t="s">
        <v>6</v>
      </c>
      <c r="GV74">
        <f t="shared" si="102"/>
        <v>0</v>
      </c>
      <c r="GW74">
        <v>1</v>
      </c>
      <c r="GX74">
        <f t="shared" si="103"/>
        <v>0</v>
      </c>
      <c r="HA74">
        <v>0</v>
      </c>
      <c r="HB74">
        <v>0</v>
      </c>
      <c r="HC74">
        <f t="shared" si="104"/>
        <v>0</v>
      </c>
      <c r="IK74">
        <v>0</v>
      </c>
    </row>
    <row r="75" spans="1:245" x14ac:dyDescent="0.2">
      <c r="A75">
        <v>17</v>
      </c>
      <c r="B75">
        <v>1</v>
      </c>
      <c r="C75">
        <f>ROW(SmtRes!A115)</f>
        <v>115</v>
      </c>
      <c r="D75">
        <f>ROW(EtalonRes!A106)</f>
        <v>106</v>
      </c>
      <c r="E75" t="s">
        <v>214</v>
      </c>
      <c r="F75" t="s">
        <v>215</v>
      </c>
      <c r="G75" t="s">
        <v>216</v>
      </c>
      <c r="H75" t="s">
        <v>26</v>
      </c>
      <c r="I75">
        <f>ROUND(333.2/100,9)</f>
        <v>3.3319999999999999</v>
      </c>
      <c r="J75">
        <v>0</v>
      </c>
      <c r="O75">
        <f t="shared" si="71"/>
        <v>1651.34</v>
      </c>
      <c r="P75">
        <f t="shared" si="72"/>
        <v>4.0199999999999996</v>
      </c>
      <c r="Q75">
        <f t="shared" si="73"/>
        <v>27.28</v>
      </c>
      <c r="R75">
        <f t="shared" si="74"/>
        <v>7.38</v>
      </c>
      <c r="S75">
        <f t="shared" si="75"/>
        <v>1620.04</v>
      </c>
      <c r="T75">
        <f t="shared" si="76"/>
        <v>0</v>
      </c>
      <c r="U75">
        <f t="shared" si="77"/>
        <v>25.098289999999995</v>
      </c>
      <c r="V75">
        <f t="shared" si="78"/>
        <v>8.3299999999999999E-2</v>
      </c>
      <c r="W75">
        <f t="shared" si="79"/>
        <v>0</v>
      </c>
      <c r="X75">
        <f t="shared" si="80"/>
        <v>1546.05</v>
      </c>
      <c r="Y75">
        <f t="shared" si="81"/>
        <v>764.89</v>
      </c>
      <c r="AA75">
        <v>16802145</v>
      </c>
      <c r="AB75">
        <f t="shared" si="82"/>
        <v>73.86</v>
      </c>
      <c r="AC75">
        <f t="shared" si="107"/>
        <v>0.18</v>
      </c>
      <c r="AD75">
        <f>ROUND(((((ET75*1.25))-((EU75*1.25)))+AE75),2)</f>
        <v>1.22</v>
      </c>
      <c r="AE75">
        <f>ROUND(((EU75*1.25)),2)</f>
        <v>0.33</v>
      </c>
      <c r="AF75">
        <f>ROUND(((EV75*1.15)),2)</f>
        <v>72.459999999999994</v>
      </c>
      <c r="AG75">
        <f t="shared" si="83"/>
        <v>0</v>
      </c>
      <c r="AH75">
        <f>((EW75*1.15))</f>
        <v>7.5324999999999989</v>
      </c>
      <c r="AI75">
        <f>((EX75*1.25))</f>
        <v>2.5000000000000001E-2</v>
      </c>
      <c r="AJ75">
        <f t="shared" si="84"/>
        <v>0</v>
      </c>
      <c r="AK75">
        <v>64.16</v>
      </c>
      <c r="AL75">
        <v>0.18</v>
      </c>
      <c r="AM75">
        <v>0.97</v>
      </c>
      <c r="AN75">
        <v>0.26</v>
      </c>
      <c r="AO75">
        <v>63.01</v>
      </c>
      <c r="AP75">
        <v>0</v>
      </c>
      <c r="AQ75">
        <v>6.55</v>
      </c>
      <c r="AR75">
        <v>0.02</v>
      </c>
      <c r="AS75">
        <v>0</v>
      </c>
      <c r="AT75">
        <v>95</v>
      </c>
      <c r="AU75">
        <v>47</v>
      </c>
      <c r="AV75">
        <v>1</v>
      </c>
      <c r="AW75">
        <v>1</v>
      </c>
      <c r="AZ75">
        <v>6.71</v>
      </c>
      <c r="BA75">
        <v>6.71</v>
      </c>
      <c r="BB75">
        <v>6.71</v>
      </c>
      <c r="BC75">
        <v>6.71</v>
      </c>
      <c r="BD75" t="s">
        <v>6</v>
      </c>
      <c r="BE75" t="s">
        <v>6</v>
      </c>
      <c r="BF75" t="s">
        <v>6</v>
      </c>
      <c r="BG75" t="s">
        <v>6</v>
      </c>
      <c r="BH75">
        <v>0</v>
      </c>
      <c r="BI75">
        <v>1</v>
      </c>
      <c r="BJ75" t="s">
        <v>217</v>
      </c>
      <c r="BM75">
        <v>15001</v>
      </c>
      <c r="BN75">
        <v>0</v>
      </c>
      <c r="BO75" t="s">
        <v>6</v>
      </c>
      <c r="BP75">
        <v>0</v>
      </c>
      <c r="BQ75">
        <v>2</v>
      </c>
      <c r="BR75">
        <v>0</v>
      </c>
      <c r="BS75">
        <v>6.71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6</v>
      </c>
      <c r="BZ75">
        <v>105</v>
      </c>
      <c r="CA75">
        <v>55</v>
      </c>
      <c r="CE75">
        <v>0</v>
      </c>
      <c r="CF75">
        <v>0</v>
      </c>
      <c r="CG75">
        <v>0</v>
      </c>
      <c r="CM75">
        <v>0</v>
      </c>
      <c r="CN75" t="s">
        <v>959</v>
      </c>
      <c r="CO75">
        <v>0</v>
      </c>
      <c r="CP75">
        <f t="shared" si="85"/>
        <v>1651.34</v>
      </c>
      <c r="CQ75">
        <f t="shared" si="86"/>
        <v>1.2078</v>
      </c>
      <c r="CR75">
        <f t="shared" si="87"/>
        <v>8.1861999999999995</v>
      </c>
      <c r="CS75">
        <f t="shared" si="88"/>
        <v>2.2143000000000002</v>
      </c>
      <c r="CT75">
        <f t="shared" si="89"/>
        <v>486.20659999999998</v>
      </c>
      <c r="CU75">
        <f t="shared" si="90"/>
        <v>0</v>
      </c>
      <c r="CV75">
        <f t="shared" si="91"/>
        <v>7.5324999999999989</v>
      </c>
      <c r="CW75">
        <f t="shared" si="92"/>
        <v>2.5000000000000001E-2</v>
      </c>
      <c r="CX75">
        <f t="shared" si="93"/>
        <v>0</v>
      </c>
      <c r="CY75">
        <f t="shared" si="94"/>
        <v>1546.049</v>
      </c>
      <c r="CZ75">
        <f t="shared" si="95"/>
        <v>764.88740000000007</v>
      </c>
      <c r="DC75" t="s">
        <v>6</v>
      </c>
      <c r="DD75" t="s">
        <v>6</v>
      </c>
      <c r="DE75" t="s">
        <v>71</v>
      </c>
      <c r="DF75" t="s">
        <v>71</v>
      </c>
      <c r="DG75" t="s">
        <v>72</v>
      </c>
      <c r="DH75" t="s">
        <v>6</v>
      </c>
      <c r="DI75" t="s">
        <v>72</v>
      </c>
      <c r="DJ75" t="s">
        <v>71</v>
      </c>
      <c r="DK75" t="s">
        <v>6</v>
      </c>
      <c r="DL75" t="s">
        <v>6</v>
      </c>
      <c r="DM75" t="s">
        <v>6</v>
      </c>
      <c r="DN75">
        <v>0</v>
      </c>
      <c r="DO75">
        <v>0</v>
      </c>
      <c r="DP75">
        <v>1</v>
      </c>
      <c r="DQ75">
        <v>1</v>
      </c>
      <c r="DU75">
        <v>1005</v>
      </c>
      <c r="DV75" t="s">
        <v>26</v>
      </c>
      <c r="DW75" t="s">
        <v>26</v>
      </c>
      <c r="DX75">
        <v>100</v>
      </c>
      <c r="EE75">
        <v>16510513</v>
      </c>
      <c r="EF75">
        <v>2</v>
      </c>
      <c r="EG75" t="s">
        <v>48</v>
      </c>
      <c r="EH75">
        <v>0</v>
      </c>
      <c r="EI75" t="s">
        <v>6</v>
      </c>
      <c r="EJ75">
        <v>1</v>
      </c>
      <c r="EK75">
        <v>15001</v>
      </c>
      <c r="EL75" t="s">
        <v>86</v>
      </c>
      <c r="EM75" t="s">
        <v>87</v>
      </c>
      <c r="EO75" t="s">
        <v>74</v>
      </c>
      <c r="EQ75">
        <v>0</v>
      </c>
      <c r="ER75">
        <v>64.16</v>
      </c>
      <c r="ES75">
        <v>0.18</v>
      </c>
      <c r="ET75">
        <v>0.97</v>
      </c>
      <c r="EU75">
        <v>0.26</v>
      </c>
      <c r="EV75">
        <v>63.01</v>
      </c>
      <c r="EW75">
        <v>6.55</v>
      </c>
      <c r="EX75">
        <v>0.02</v>
      </c>
      <c r="EY75">
        <v>0</v>
      </c>
      <c r="FQ75">
        <v>0</v>
      </c>
      <c r="FR75">
        <f t="shared" si="96"/>
        <v>0</v>
      </c>
      <c r="FS75">
        <v>0</v>
      </c>
      <c r="FT75" t="s">
        <v>51</v>
      </c>
      <c r="FU75" t="s">
        <v>52</v>
      </c>
      <c r="FX75">
        <v>94.5</v>
      </c>
      <c r="FY75">
        <v>46.75</v>
      </c>
      <c r="GA75" t="s">
        <v>6</v>
      </c>
      <c r="GD75">
        <v>0</v>
      </c>
      <c r="GF75">
        <v>-2014629731</v>
      </c>
      <c r="GG75">
        <v>1</v>
      </c>
      <c r="GH75">
        <v>1</v>
      </c>
      <c r="GI75">
        <v>4</v>
      </c>
      <c r="GJ75">
        <v>0</v>
      </c>
      <c r="GK75">
        <f>ROUND(R75*(R12)/100,2)</f>
        <v>0</v>
      </c>
      <c r="GL75">
        <f t="shared" si="97"/>
        <v>0</v>
      </c>
      <c r="GM75">
        <f t="shared" si="98"/>
        <v>3962.28</v>
      </c>
      <c r="GN75">
        <f t="shared" si="99"/>
        <v>3962.28</v>
      </c>
      <c r="GO75">
        <f t="shared" si="100"/>
        <v>0</v>
      </c>
      <c r="GP75">
        <f t="shared" si="101"/>
        <v>0</v>
      </c>
      <c r="GR75">
        <v>0</v>
      </c>
      <c r="GS75">
        <v>3</v>
      </c>
      <c r="GT75">
        <v>0</v>
      </c>
      <c r="GU75" t="s">
        <v>6</v>
      </c>
      <c r="GV75">
        <f t="shared" si="102"/>
        <v>0</v>
      </c>
      <c r="GW75">
        <v>1</v>
      </c>
      <c r="GX75">
        <f t="shared" si="103"/>
        <v>0</v>
      </c>
      <c r="HA75">
        <v>0</v>
      </c>
      <c r="HB75">
        <v>0</v>
      </c>
      <c r="HC75">
        <f t="shared" si="104"/>
        <v>0</v>
      </c>
      <c r="IK75">
        <v>0</v>
      </c>
    </row>
    <row r="76" spans="1:245" x14ac:dyDescent="0.2">
      <c r="A76">
        <v>18</v>
      </c>
      <c r="B76">
        <v>1</v>
      </c>
      <c r="C76">
        <v>115</v>
      </c>
      <c r="E76" t="s">
        <v>218</v>
      </c>
      <c r="F76" t="s">
        <v>219</v>
      </c>
      <c r="G76" t="s">
        <v>220</v>
      </c>
      <c r="H76" t="s">
        <v>65</v>
      </c>
      <c r="I76">
        <f>I75*J76</f>
        <v>4.3316E-2</v>
      </c>
      <c r="J76">
        <v>1.3000000000000001E-2</v>
      </c>
      <c r="O76">
        <f t="shared" si="71"/>
        <v>0</v>
      </c>
      <c r="P76">
        <f t="shared" si="72"/>
        <v>0</v>
      </c>
      <c r="Q76">
        <f t="shared" si="73"/>
        <v>0</v>
      </c>
      <c r="R76">
        <f t="shared" si="74"/>
        <v>0</v>
      </c>
      <c r="S76">
        <f t="shared" si="75"/>
        <v>0</v>
      </c>
      <c r="T76">
        <f t="shared" si="76"/>
        <v>0</v>
      </c>
      <c r="U76">
        <f t="shared" si="77"/>
        <v>0</v>
      </c>
      <c r="V76">
        <f t="shared" si="78"/>
        <v>0</v>
      </c>
      <c r="W76">
        <f t="shared" si="79"/>
        <v>0</v>
      </c>
      <c r="X76">
        <f t="shared" si="80"/>
        <v>0</v>
      </c>
      <c r="Y76">
        <f t="shared" si="81"/>
        <v>0</v>
      </c>
      <c r="AA76">
        <v>16802145</v>
      </c>
      <c r="AB76">
        <f t="shared" si="82"/>
        <v>0</v>
      </c>
      <c r="AC76">
        <f t="shared" si="107"/>
        <v>0</v>
      </c>
      <c r="AD76">
        <f>ROUND((((ET76)-(EU76))+AE76),2)</f>
        <v>0</v>
      </c>
      <c r="AE76">
        <f>ROUND((EU76),2)</f>
        <v>0</v>
      </c>
      <c r="AF76">
        <f>ROUND((EV76),2)</f>
        <v>0</v>
      </c>
      <c r="AG76">
        <f t="shared" si="83"/>
        <v>0</v>
      </c>
      <c r="AH76">
        <f>(EW76)</f>
        <v>0</v>
      </c>
      <c r="AI76">
        <f>(EX76)</f>
        <v>0</v>
      </c>
      <c r="AJ76">
        <f t="shared" si="84"/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95</v>
      </c>
      <c r="AU76">
        <v>47</v>
      </c>
      <c r="AV76">
        <v>1</v>
      </c>
      <c r="AW76">
        <v>1</v>
      </c>
      <c r="AZ76">
        <v>6.71</v>
      </c>
      <c r="BA76">
        <v>1</v>
      </c>
      <c r="BB76">
        <v>1</v>
      </c>
      <c r="BC76">
        <v>6.71</v>
      </c>
      <c r="BD76" t="s">
        <v>6</v>
      </c>
      <c r="BE76" t="s">
        <v>6</v>
      </c>
      <c r="BF76" t="s">
        <v>6</v>
      </c>
      <c r="BG76" t="s">
        <v>6</v>
      </c>
      <c r="BH76">
        <v>3</v>
      </c>
      <c r="BI76">
        <v>1</v>
      </c>
      <c r="BJ76" t="s">
        <v>6</v>
      </c>
      <c r="BM76">
        <v>15001</v>
      </c>
      <c r="BN76">
        <v>0</v>
      </c>
      <c r="BO76" t="s">
        <v>6</v>
      </c>
      <c r="BP76">
        <v>0</v>
      </c>
      <c r="BQ76">
        <v>2</v>
      </c>
      <c r="BR76">
        <v>0</v>
      </c>
      <c r="BS76">
        <v>1</v>
      </c>
      <c r="BT76">
        <v>1</v>
      </c>
      <c r="BU76">
        <v>1</v>
      </c>
      <c r="BV76">
        <v>1</v>
      </c>
      <c r="BW76">
        <v>1</v>
      </c>
      <c r="BX76">
        <v>1</v>
      </c>
      <c r="BY76" t="s">
        <v>6</v>
      </c>
      <c r="BZ76">
        <v>105</v>
      </c>
      <c r="CA76">
        <v>55</v>
      </c>
      <c r="CE76">
        <v>0</v>
      </c>
      <c r="CF76">
        <v>0</v>
      </c>
      <c r="CG76">
        <v>0</v>
      </c>
      <c r="CM76">
        <v>0</v>
      </c>
      <c r="CN76" t="s">
        <v>6</v>
      </c>
      <c r="CO76">
        <v>0</v>
      </c>
      <c r="CP76">
        <f t="shared" si="85"/>
        <v>0</v>
      </c>
      <c r="CQ76">
        <f t="shared" si="86"/>
        <v>0</v>
      </c>
      <c r="CR76">
        <f t="shared" si="87"/>
        <v>0</v>
      </c>
      <c r="CS76">
        <f t="shared" si="88"/>
        <v>0</v>
      </c>
      <c r="CT76">
        <f t="shared" si="89"/>
        <v>0</v>
      </c>
      <c r="CU76">
        <f t="shared" si="90"/>
        <v>0</v>
      </c>
      <c r="CV76">
        <f t="shared" si="91"/>
        <v>0</v>
      </c>
      <c r="CW76">
        <f t="shared" si="92"/>
        <v>0</v>
      </c>
      <c r="CX76">
        <f t="shared" si="93"/>
        <v>0</v>
      </c>
      <c r="CY76">
        <f t="shared" si="94"/>
        <v>0</v>
      </c>
      <c r="CZ76">
        <f t="shared" si="95"/>
        <v>0</v>
      </c>
      <c r="DC76" t="s">
        <v>6</v>
      </c>
      <c r="DD76" t="s">
        <v>6</v>
      </c>
      <c r="DE76" t="s">
        <v>6</v>
      </c>
      <c r="DF76" t="s">
        <v>6</v>
      </c>
      <c r="DG76" t="s">
        <v>6</v>
      </c>
      <c r="DH76" t="s">
        <v>6</v>
      </c>
      <c r="DI76" t="s">
        <v>6</v>
      </c>
      <c r="DJ76" t="s">
        <v>6</v>
      </c>
      <c r="DK76" t="s">
        <v>6</v>
      </c>
      <c r="DL76" t="s">
        <v>6</v>
      </c>
      <c r="DM76" t="s">
        <v>6</v>
      </c>
      <c r="DN76">
        <v>0</v>
      </c>
      <c r="DO76">
        <v>0</v>
      </c>
      <c r="DP76">
        <v>1</v>
      </c>
      <c r="DQ76">
        <v>1</v>
      </c>
      <c r="DU76">
        <v>1009</v>
      </c>
      <c r="DV76" t="s">
        <v>65</v>
      </c>
      <c r="DW76" t="s">
        <v>65</v>
      </c>
      <c r="DX76">
        <v>1000</v>
      </c>
      <c r="EE76">
        <v>16510513</v>
      </c>
      <c r="EF76">
        <v>2</v>
      </c>
      <c r="EG76" t="s">
        <v>48</v>
      </c>
      <c r="EH76">
        <v>0</v>
      </c>
      <c r="EI76" t="s">
        <v>6</v>
      </c>
      <c r="EJ76">
        <v>1</v>
      </c>
      <c r="EK76">
        <v>15001</v>
      </c>
      <c r="EL76" t="s">
        <v>86</v>
      </c>
      <c r="EM76" t="s">
        <v>87</v>
      </c>
      <c r="EO76" t="s">
        <v>6</v>
      </c>
      <c r="EQ76">
        <v>0</v>
      </c>
      <c r="ER76">
        <v>0</v>
      </c>
      <c r="ES76">
        <v>0</v>
      </c>
      <c r="ET76">
        <v>0</v>
      </c>
      <c r="EU76">
        <v>0</v>
      </c>
      <c r="EV76">
        <v>0</v>
      </c>
      <c r="EW76">
        <v>0</v>
      </c>
      <c r="EX76">
        <v>0</v>
      </c>
      <c r="FQ76">
        <v>0</v>
      </c>
      <c r="FR76">
        <f t="shared" si="96"/>
        <v>0</v>
      </c>
      <c r="FS76">
        <v>0</v>
      </c>
      <c r="FT76" t="s">
        <v>51</v>
      </c>
      <c r="FU76" t="s">
        <v>52</v>
      </c>
      <c r="FX76">
        <v>94.5</v>
      </c>
      <c r="FY76">
        <v>46.75</v>
      </c>
      <c r="GA76" t="s">
        <v>6</v>
      </c>
      <c r="GD76">
        <v>0</v>
      </c>
      <c r="GF76">
        <v>-1212923053</v>
      </c>
      <c r="GG76">
        <v>1</v>
      </c>
      <c r="GH76">
        <v>1</v>
      </c>
      <c r="GI76">
        <v>4</v>
      </c>
      <c r="GJ76">
        <v>0</v>
      </c>
      <c r="GK76">
        <f>ROUND(R76*(R12)/100,2)</f>
        <v>0</v>
      </c>
      <c r="GL76">
        <f t="shared" si="97"/>
        <v>0</v>
      </c>
      <c r="GM76">
        <f t="shared" si="98"/>
        <v>0</v>
      </c>
      <c r="GN76">
        <f t="shared" si="99"/>
        <v>0</v>
      </c>
      <c r="GO76">
        <f t="shared" si="100"/>
        <v>0</v>
      </c>
      <c r="GP76">
        <f t="shared" si="101"/>
        <v>0</v>
      </c>
      <c r="GR76">
        <v>0</v>
      </c>
      <c r="GS76">
        <v>3</v>
      </c>
      <c r="GT76">
        <v>0</v>
      </c>
      <c r="GU76" t="s">
        <v>6</v>
      </c>
      <c r="GV76">
        <f t="shared" si="102"/>
        <v>0</v>
      </c>
      <c r="GW76">
        <v>1</v>
      </c>
      <c r="GX76">
        <f t="shared" si="103"/>
        <v>0</v>
      </c>
      <c r="HA76">
        <v>0</v>
      </c>
      <c r="HB76">
        <v>0</v>
      </c>
      <c r="HC76">
        <f t="shared" si="104"/>
        <v>0</v>
      </c>
      <c r="IK76">
        <v>0</v>
      </c>
    </row>
    <row r="77" spans="1:245" x14ac:dyDescent="0.2">
      <c r="A77">
        <v>18</v>
      </c>
      <c r="B77">
        <v>1</v>
      </c>
      <c r="C77">
        <v>114</v>
      </c>
      <c r="E77" t="s">
        <v>221</v>
      </c>
      <c r="F77" t="s">
        <v>181</v>
      </c>
      <c r="G77" t="s">
        <v>182</v>
      </c>
      <c r="H77" t="s">
        <v>103</v>
      </c>
      <c r="I77">
        <f>I75*J77</f>
        <v>43.316000000000003</v>
      </c>
      <c r="J77">
        <v>13.000000000000002</v>
      </c>
      <c r="O77">
        <f t="shared" si="71"/>
        <v>4385.91</v>
      </c>
      <c r="P77">
        <f t="shared" si="72"/>
        <v>4385.91</v>
      </c>
      <c r="Q77">
        <f t="shared" si="73"/>
        <v>0</v>
      </c>
      <c r="R77">
        <f t="shared" si="74"/>
        <v>0</v>
      </c>
      <c r="S77">
        <f t="shared" si="75"/>
        <v>0</v>
      </c>
      <c r="T77">
        <f t="shared" si="76"/>
        <v>0</v>
      </c>
      <c r="U77">
        <f t="shared" si="77"/>
        <v>0</v>
      </c>
      <c r="V77">
        <f t="shared" si="78"/>
        <v>0</v>
      </c>
      <c r="W77">
        <f t="shared" si="79"/>
        <v>0</v>
      </c>
      <c r="X77">
        <f t="shared" si="80"/>
        <v>0</v>
      </c>
      <c r="Y77">
        <f t="shared" si="81"/>
        <v>0</v>
      </c>
      <c r="AA77">
        <v>16802145</v>
      </c>
      <c r="AB77">
        <f t="shared" si="82"/>
        <v>15.09</v>
      </c>
      <c r="AC77">
        <f t="shared" si="107"/>
        <v>15.09</v>
      </c>
      <c r="AD77">
        <f>ROUND((((ET77)-(EU77))+AE77),2)</f>
        <v>0</v>
      </c>
      <c r="AE77">
        <f>ROUND((EU77),2)</f>
        <v>0</v>
      </c>
      <c r="AF77">
        <f>ROUND((EV77),2)</f>
        <v>0</v>
      </c>
      <c r="AG77">
        <f t="shared" si="83"/>
        <v>0</v>
      </c>
      <c r="AH77">
        <f>(EW77)</f>
        <v>0</v>
      </c>
      <c r="AI77">
        <f>(EX77)</f>
        <v>0</v>
      </c>
      <c r="AJ77">
        <f t="shared" si="84"/>
        <v>0</v>
      </c>
      <c r="AK77">
        <v>15.09</v>
      </c>
      <c r="AL77">
        <v>15.09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95</v>
      </c>
      <c r="AU77">
        <v>47</v>
      </c>
      <c r="AV77">
        <v>1</v>
      </c>
      <c r="AW77">
        <v>1</v>
      </c>
      <c r="AZ77">
        <v>6.71</v>
      </c>
      <c r="BA77">
        <v>1</v>
      </c>
      <c r="BB77">
        <v>1</v>
      </c>
      <c r="BC77">
        <v>6.71</v>
      </c>
      <c r="BD77" t="s">
        <v>6</v>
      </c>
      <c r="BE77" t="s">
        <v>6</v>
      </c>
      <c r="BF77" t="s">
        <v>6</v>
      </c>
      <c r="BG77" t="s">
        <v>6</v>
      </c>
      <c r="BH77">
        <v>3</v>
      </c>
      <c r="BI77">
        <v>1</v>
      </c>
      <c r="BJ77" t="s">
        <v>183</v>
      </c>
      <c r="BM77">
        <v>15001</v>
      </c>
      <c r="BN77">
        <v>0</v>
      </c>
      <c r="BO77" t="s">
        <v>6</v>
      </c>
      <c r="BP77">
        <v>0</v>
      </c>
      <c r="BQ77">
        <v>2</v>
      </c>
      <c r="BR77">
        <v>0</v>
      </c>
      <c r="BS77">
        <v>1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6</v>
      </c>
      <c r="BZ77">
        <v>105</v>
      </c>
      <c r="CA77">
        <v>55</v>
      </c>
      <c r="CE77">
        <v>0</v>
      </c>
      <c r="CF77">
        <v>0</v>
      </c>
      <c r="CG77">
        <v>0</v>
      </c>
      <c r="CM77">
        <v>0</v>
      </c>
      <c r="CN77" t="s">
        <v>6</v>
      </c>
      <c r="CO77">
        <v>0</v>
      </c>
      <c r="CP77">
        <f t="shared" si="85"/>
        <v>4385.91</v>
      </c>
      <c r="CQ77">
        <f t="shared" si="86"/>
        <v>101.2539</v>
      </c>
      <c r="CR77">
        <f t="shared" si="87"/>
        <v>0</v>
      </c>
      <c r="CS77">
        <f t="shared" si="88"/>
        <v>0</v>
      </c>
      <c r="CT77">
        <f t="shared" si="89"/>
        <v>0</v>
      </c>
      <c r="CU77">
        <f t="shared" si="90"/>
        <v>0</v>
      </c>
      <c r="CV77">
        <f t="shared" si="91"/>
        <v>0</v>
      </c>
      <c r="CW77">
        <f t="shared" si="92"/>
        <v>0</v>
      </c>
      <c r="CX77">
        <f t="shared" si="93"/>
        <v>0</v>
      </c>
      <c r="CY77">
        <f t="shared" si="94"/>
        <v>0</v>
      </c>
      <c r="CZ77">
        <f t="shared" si="95"/>
        <v>0</v>
      </c>
      <c r="DC77" t="s">
        <v>6</v>
      </c>
      <c r="DD77" t="s">
        <v>6</v>
      </c>
      <c r="DE77" t="s">
        <v>6</v>
      </c>
      <c r="DF77" t="s">
        <v>6</v>
      </c>
      <c r="DG77" t="s">
        <v>6</v>
      </c>
      <c r="DH77" t="s">
        <v>6</v>
      </c>
      <c r="DI77" t="s">
        <v>6</v>
      </c>
      <c r="DJ77" t="s">
        <v>6</v>
      </c>
      <c r="DK77" t="s">
        <v>6</v>
      </c>
      <c r="DL77" t="s">
        <v>6</v>
      </c>
      <c r="DM77" t="s">
        <v>6</v>
      </c>
      <c r="DN77">
        <v>0</v>
      </c>
      <c r="DO77">
        <v>0</v>
      </c>
      <c r="DP77">
        <v>1</v>
      </c>
      <c r="DQ77">
        <v>1</v>
      </c>
      <c r="DU77">
        <v>1009</v>
      </c>
      <c r="DV77" t="s">
        <v>103</v>
      </c>
      <c r="DW77" t="s">
        <v>103</v>
      </c>
      <c r="DX77">
        <v>1</v>
      </c>
      <c r="EE77">
        <v>16510513</v>
      </c>
      <c r="EF77">
        <v>2</v>
      </c>
      <c r="EG77" t="s">
        <v>48</v>
      </c>
      <c r="EH77">
        <v>0</v>
      </c>
      <c r="EI77" t="s">
        <v>6</v>
      </c>
      <c r="EJ77">
        <v>1</v>
      </c>
      <c r="EK77">
        <v>15001</v>
      </c>
      <c r="EL77" t="s">
        <v>86</v>
      </c>
      <c r="EM77" t="s">
        <v>87</v>
      </c>
      <c r="EO77" t="s">
        <v>6</v>
      </c>
      <c r="EQ77">
        <v>0</v>
      </c>
      <c r="ER77">
        <v>15.09</v>
      </c>
      <c r="ES77">
        <v>15.09</v>
      </c>
      <c r="ET77">
        <v>0</v>
      </c>
      <c r="EU77">
        <v>0</v>
      </c>
      <c r="EV77">
        <v>0</v>
      </c>
      <c r="EW77">
        <v>0</v>
      </c>
      <c r="EX77">
        <v>0</v>
      </c>
      <c r="FQ77">
        <v>0</v>
      </c>
      <c r="FR77">
        <f t="shared" si="96"/>
        <v>0</v>
      </c>
      <c r="FS77">
        <v>0</v>
      </c>
      <c r="FT77" t="s">
        <v>51</v>
      </c>
      <c r="FU77" t="s">
        <v>52</v>
      </c>
      <c r="FX77">
        <v>94.5</v>
      </c>
      <c r="FY77">
        <v>46.75</v>
      </c>
      <c r="GA77" t="s">
        <v>6</v>
      </c>
      <c r="GD77">
        <v>0</v>
      </c>
      <c r="GF77">
        <v>1453462043</v>
      </c>
      <c r="GG77">
        <v>1</v>
      </c>
      <c r="GH77">
        <v>1</v>
      </c>
      <c r="GI77">
        <v>4</v>
      </c>
      <c r="GJ77">
        <v>0</v>
      </c>
      <c r="GK77">
        <f>ROUND(R77*(R12)/100,2)</f>
        <v>0</v>
      </c>
      <c r="GL77">
        <f t="shared" si="97"/>
        <v>0</v>
      </c>
      <c r="GM77">
        <f t="shared" si="98"/>
        <v>4385.91</v>
      </c>
      <c r="GN77">
        <f t="shared" si="99"/>
        <v>4385.91</v>
      </c>
      <c r="GO77">
        <f t="shared" si="100"/>
        <v>0</v>
      </c>
      <c r="GP77">
        <f t="shared" si="101"/>
        <v>0</v>
      </c>
      <c r="GR77">
        <v>0</v>
      </c>
      <c r="GS77">
        <v>3</v>
      </c>
      <c r="GT77">
        <v>0</v>
      </c>
      <c r="GU77" t="s">
        <v>6</v>
      </c>
      <c r="GV77">
        <f t="shared" si="102"/>
        <v>0</v>
      </c>
      <c r="GW77">
        <v>1</v>
      </c>
      <c r="GX77">
        <f t="shared" si="103"/>
        <v>0</v>
      </c>
      <c r="HA77">
        <v>0</v>
      </c>
      <c r="HB77">
        <v>0</v>
      </c>
      <c r="HC77">
        <f t="shared" si="104"/>
        <v>0</v>
      </c>
      <c r="IK77">
        <v>0</v>
      </c>
    </row>
    <row r="78" spans="1:245" x14ac:dyDescent="0.2">
      <c r="A78">
        <v>17</v>
      </c>
      <c r="B78">
        <v>1</v>
      </c>
      <c r="C78">
        <f>ROW(SmtRes!A124)</f>
        <v>124</v>
      </c>
      <c r="D78">
        <f>ROW(EtalonRes!A116)</f>
        <v>116</v>
      </c>
      <c r="E78" t="s">
        <v>222</v>
      </c>
      <c r="F78" t="s">
        <v>223</v>
      </c>
      <c r="G78" t="s">
        <v>224</v>
      </c>
      <c r="H78" t="s">
        <v>26</v>
      </c>
      <c r="I78">
        <f>ROUND(22.5/100,9)</f>
        <v>0.22500000000000001</v>
      </c>
      <c r="J78">
        <v>0</v>
      </c>
      <c r="O78">
        <f t="shared" si="71"/>
        <v>684.75</v>
      </c>
      <c r="P78">
        <f t="shared" si="72"/>
        <v>0</v>
      </c>
      <c r="Q78">
        <f t="shared" si="73"/>
        <v>103.54</v>
      </c>
      <c r="R78">
        <f t="shared" si="74"/>
        <v>20.399999999999999</v>
      </c>
      <c r="S78">
        <f t="shared" si="75"/>
        <v>581.21</v>
      </c>
      <c r="T78">
        <f t="shared" si="76"/>
        <v>0</v>
      </c>
      <c r="U78">
        <f t="shared" si="77"/>
        <v>9.1080000000000005</v>
      </c>
      <c r="V78">
        <f t="shared" si="78"/>
        <v>0.25559999999999999</v>
      </c>
      <c r="W78">
        <f t="shared" si="79"/>
        <v>0</v>
      </c>
      <c r="X78">
        <f t="shared" si="80"/>
        <v>571.53</v>
      </c>
      <c r="Y78">
        <f t="shared" si="81"/>
        <v>282.76</v>
      </c>
      <c r="AA78">
        <v>16802145</v>
      </c>
      <c r="AB78">
        <f t="shared" si="82"/>
        <v>453.55</v>
      </c>
      <c r="AC78">
        <f>ROUND(((ES78*0)),2)</f>
        <v>0</v>
      </c>
      <c r="AD78">
        <f>ROUND(((((ET78*0.8))-((EU78*0.8)))+AE78),2)</f>
        <v>68.58</v>
      </c>
      <c r="AE78">
        <f>ROUND(((EU78*0.8)),2)</f>
        <v>13.51</v>
      </c>
      <c r="AF78">
        <f>ROUND(((EV78*0.8)),2)</f>
        <v>384.97</v>
      </c>
      <c r="AG78">
        <f t="shared" si="83"/>
        <v>0</v>
      </c>
      <c r="AH78">
        <f>((EW78*0.8))</f>
        <v>40.480000000000004</v>
      </c>
      <c r="AI78">
        <f>((EX78*0.8))</f>
        <v>1.1359999999999999</v>
      </c>
      <c r="AJ78">
        <f t="shared" si="84"/>
        <v>0</v>
      </c>
      <c r="AK78">
        <v>686.77</v>
      </c>
      <c r="AL78">
        <v>119.83</v>
      </c>
      <c r="AM78">
        <v>85.73</v>
      </c>
      <c r="AN78">
        <v>16.89</v>
      </c>
      <c r="AO78">
        <v>481.21</v>
      </c>
      <c r="AP78">
        <v>0</v>
      </c>
      <c r="AQ78">
        <v>50.6</v>
      </c>
      <c r="AR78">
        <v>1.42</v>
      </c>
      <c r="AS78">
        <v>0</v>
      </c>
      <c r="AT78">
        <v>95</v>
      </c>
      <c r="AU78">
        <v>47</v>
      </c>
      <c r="AV78">
        <v>1</v>
      </c>
      <c r="AW78">
        <v>1</v>
      </c>
      <c r="AZ78">
        <v>6.71</v>
      </c>
      <c r="BA78">
        <v>6.71</v>
      </c>
      <c r="BB78">
        <v>6.71</v>
      </c>
      <c r="BC78">
        <v>6.71</v>
      </c>
      <c r="BD78" t="s">
        <v>6</v>
      </c>
      <c r="BE78" t="s">
        <v>6</v>
      </c>
      <c r="BF78" t="s">
        <v>6</v>
      </c>
      <c r="BG78" t="s">
        <v>6</v>
      </c>
      <c r="BH78">
        <v>0</v>
      </c>
      <c r="BI78">
        <v>1</v>
      </c>
      <c r="BJ78" t="s">
        <v>225</v>
      </c>
      <c r="BM78">
        <v>15001</v>
      </c>
      <c r="BN78">
        <v>0</v>
      </c>
      <c r="BO78" t="s">
        <v>6</v>
      </c>
      <c r="BP78">
        <v>0</v>
      </c>
      <c r="BQ78">
        <v>2</v>
      </c>
      <c r="BR78">
        <v>0</v>
      </c>
      <c r="BS78">
        <v>6.71</v>
      </c>
      <c r="BT78">
        <v>1</v>
      </c>
      <c r="BU78">
        <v>1</v>
      </c>
      <c r="BV78">
        <v>1</v>
      </c>
      <c r="BW78">
        <v>1</v>
      </c>
      <c r="BX78">
        <v>1</v>
      </c>
      <c r="BY78" t="s">
        <v>6</v>
      </c>
      <c r="BZ78">
        <v>105</v>
      </c>
      <c r="CA78">
        <v>55</v>
      </c>
      <c r="CE78">
        <v>0</v>
      </c>
      <c r="CF78">
        <v>0</v>
      </c>
      <c r="CG78">
        <v>0</v>
      </c>
      <c r="CM78">
        <v>0</v>
      </c>
      <c r="CN78" t="s">
        <v>226</v>
      </c>
      <c r="CO78">
        <v>0</v>
      </c>
      <c r="CP78">
        <f t="shared" si="85"/>
        <v>684.75</v>
      </c>
      <c r="CQ78">
        <f t="shared" si="86"/>
        <v>0</v>
      </c>
      <c r="CR78">
        <f t="shared" si="87"/>
        <v>460.17179999999996</v>
      </c>
      <c r="CS78">
        <f t="shared" si="88"/>
        <v>90.652100000000004</v>
      </c>
      <c r="CT78">
        <f t="shared" si="89"/>
        <v>2583.1487000000002</v>
      </c>
      <c r="CU78">
        <f t="shared" si="90"/>
        <v>0</v>
      </c>
      <c r="CV78">
        <f t="shared" si="91"/>
        <v>40.480000000000004</v>
      </c>
      <c r="CW78">
        <f t="shared" si="92"/>
        <v>1.1359999999999999</v>
      </c>
      <c r="CX78">
        <f t="shared" si="93"/>
        <v>0</v>
      </c>
      <c r="CY78">
        <f t="shared" si="94"/>
        <v>571.5295000000001</v>
      </c>
      <c r="CZ78">
        <f t="shared" si="95"/>
        <v>282.75670000000002</v>
      </c>
      <c r="DC78" t="s">
        <v>6</v>
      </c>
      <c r="DD78" t="s">
        <v>227</v>
      </c>
      <c r="DE78" t="s">
        <v>228</v>
      </c>
      <c r="DF78" t="s">
        <v>228</v>
      </c>
      <c r="DG78" t="s">
        <v>228</v>
      </c>
      <c r="DH78" t="s">
        <v>6</v>
      </c>
      <c r="DI78" t="s">
        <v>228</v>
      </c>
      <c r="DJ78" t="s">
        <v>228</v>
      </c>
      <c r="DK78" t="s">
        <v>6</v>
      </c>
      <c r="DL78" t="s">
        <v>6</v>
      </c>
      <c r="DM78" t="s">
        <v>6</v>
      </c>
      <c r="DN78">
        <v>0</v>
      </c>
      <c r="DO78">
        <v>0</v>
      </c>
      <c r="DP78">
        <v>1</v>
      </c>
      <c r="DQ78">
        <v>1</v>
      </c>
      <c r="DU78">
        <v>1005</v>
      </c>
      <c r="DV78" t="s">
        <v>26</v>
      </c>
      <c r="DW78" t="s">
        <v>26</v>
      </c>
      <c r="DX78">
        <v>100</v>
      </c>
      <c r="EE78">
        <v>16510513</v>
      </c>
      <c r="EF78">
        <v>2</v>
      </c>
      <c r="EG78" t="s">
        <v>48</v>
      </c>
      <c r="EH78">
        <v>0</v>
      </c>
      <c r="EI78" t="s">
        <v>6</v>
      </c>
      <c r="EJ78">
        <v>1</v>
      </c>
      <c r="EK78">
        <v>15001</v>
      </c>
      <c r="EL78" t="s">
        <v>86</v>
      </c>
      <c r="EM78" t="s">
        <v>87</v>
      </c>
      <c r="EO78" t="s">
        <v>229</v>
      </c>
      <c r="EQ78">
        <v>131072</v>
      </c>
      <c r="ER78">
        <v>686.77</v>
      </c>
      <c r="ES78">
        <v>119.83</v>
      </c>
      <c r="ET78">
        <v>85.73</v>
      </c>
      <c r="EU78">
        <v>16.89</v>
      </c>
      <c r="EV78">
        <v>481.21</v>
      </c>
      <c r="EW78">
        <v>50.6</v>
      </c>
      <c r="EX78">
        <v>1.42</v>
      </c>
      <c r="EY78">
        <v>0</v>
      </c>
      <c r="FQ78">
        <v>0</v>
      </c>
      <c r="FR78">
        <f t="shared" si="96"/>
        <v>0</v>
      </c>
      <c r="FS78">
        <v>0</v>
      </c>
      <c r="FT78" t="s">
        <v>51</v>
      </c>
      <c r="FU78" t="s">
        <v>52</v>
      </c>
      <c r="FX78">
        <v>94.5</v>
      </c>
      <c r="FY78">
        <v>46.75</v>
      </c>
      <c r="GA78" t="s">
        <v>6</v>
      </c>
      <c r="GD78">
        <v>0</v>
      </c>
      <c r="GF78">
        <v>-1924098841</v>
      </c>
      <c r="GG78">
        <v>1</v>
      </c>
      <c r="GH78">
        <v>1</v>
      </c>
      <c r="GI78">
        <v>4</v>
      </c>
      <c r="GJ78">
        <v>0</v>
      </c>
      <c r="GK78">
        <f>ROUND(R78*(R12)/100,2)</f>
        <v>0</v>
      </c>
      <c r="GL78">
        <f t="shared" si="97"/>
        <v>0</v>
      </c>
      <c r="GM78">
        <f t="shared" si="98"/>
        <v>1539.04</v>
      </c>
      <c r="GN78">
        <f t="shared" si="99"/>
        <v>1539.04</v>
      </c>
      <c r="GO78">
        <f t="shared" si="100"/>
        <v>0</v>
      </c>
      <c r="GP78">
        <f t="shared" si="101"/>
        <v>0</v>
      </c>
      <c r="GR78">
        <v>0</v>
      </c>
      <c r="GS78">
        <v>3</v>
      </c>
      <c r="GT78">
        <v>0</v>
      </c>
      <c r="GU78" t="s">
        <v>6</v>
      </c>
      <c r="GV78">
        <f t="shared" si="102"/>
        <v>0</v>
      </c>
      <c r="GW78">
        <v>1</v>
      </c>
      <c r="GX78">
        <f t="shared" si="103"/>
        <v>0</v>
      </c>
      <c r="HA78">
        <v>0</v>
      </c>
      <c r="HB78">
        <v>0</v>
      </c>
      <c r="HC78">
        <f t="shared" si="104"/>
        <v>0</v>
      </c>
      <c r="IK78">
        <v>0</v>
      </c>
    </row>
    <row r="79" spans="1:245" x14ac:dyDescent="0.2">
      <c r="A79">
        <v>17</v>
      </c>
      <c r="B79">
        <v>1</v>
      </c>
      <c r="C79">
        <f>ROW(SmtRes!A133)</f>
        <v>133</v>
      </c>
      <c r="D79">
        <f>ROW(EtalonRes!A126)</f>
        <v>126</v>
      </c>
      <c r="E79" t="s">
        <v>230</v>
      </c>
      <c r="F79" t="s">
        <v>223</v>
      </c>
      <c r="G79" t="s">
        <v>231</v>
      </c>
      <c r="H79" t="s">
        <v>26</v>
      </c>
      <c r="I79">
        <f>ROUND(22.5/100,9)</f>
        <v>0.22500000000000001</v>
      </c>
      <c r="J79">
        <v>0</v>
      </c>
      <c r="O79">
        <f t="shared" si="71"/>
        <v>684.75</v>
      </c>
      <c r="P79">
        <f t="shared" si="72"/>
        <v>0</v>
      </c>
      <c r="Q79">
        <f t="shared" si="73"/>
        <v>103.54</v>
      </c>
      <c r="R79">
        <f t="shared" si="74"/>
        <v>20.399999999999999</v>
      </c>
      <c r="S79">
        <f t="shared" si="75"/>
        <v>581.21</v>
      </c>
      <c r="T79">
        <f t="shared" si="76"/>
        <v>0</v>
      </c>
      <c r="U79">
        <f t="shared" si="77"/>
        <v>9.1080000000000005</v>
      </c>
      <c r="V79">
        <f t="shared" si="78"/>
        <v>0.25559999999999999</v>
      </c>
      <c r="W79">
        <f t="shared" si="79"/>
        <v>0</v>
      </c>
      <c r="X79">
        <f t="shared" si="80"/>
        <v>571.53</v>
      </c>
      <c r="Y79">
        <f t="shared" si="81"/>
        <v>282.76</v>
      </c>
      <c r="AA79">
        <v>16802145</v>
      </c>
      <c r="AB79">
        <f t="shared" si="82"/>
        <v>453.55</v>
      </c>
      <c r="AC79">
        <f>ROUND(((ES79*0)),2)</f>
        <v>0</v>
      </c>
      <c r="AD79">
        <f>ROUND(((((ET79*0.8))-((EU79*0.8)))+AE79),2)</f>
        <v>68.58</v>
      </c>
      <c r="AE79">
        <f>ROUND(((EU79*0.8)),2)</f>
        <v>13.51</v>
      </c>
      <c r="AF79">
        <f>ROUND(((EV79*0.8)),2)</f>
        <v>384.97</v>
      </c>
      <c r="AG79">
        <f t="shared" si="83"/>
        <v>0</v>
      </c>
      <c r="AH79">
        <f>((EW79*0.8))</f>
        <v>40.480000000000004</v>
      </c>
      <c r="AI79">
        <f>((EX79*0.8))</f>
        <v>1.1359999999999999</v>
      </c>
      <c r="AJ79">
        <f t="shared" si="84"/>
        <v>0</v>
      </c>
      <c r="AK79">
        <v>686.77</v>
      </c>
      <c r="AL79">
        <v>119.83</v>
      </c>
      <c r="AM79">
        <v>85.73</v>
      </c>
      <c r="AN79">
        <v>16.89</v>
      </c>
      <c r="AO79">
        <v>481.21</v>
      </c>
      <c r="AP79">
        <v>0</v>
      </c>
      <c r="AQ79">
        <v>50.6</v>
      </c>
      <c r="AR79">
        <v>1.42</v>
      </c>
      <c r="AS79">
        <v>0</v>
      </c>
      <c r="AT79">
        <v>95</v>
      </c>
      <c r="AU79">
        <v>47</v>
      </c>
      <c r="AV79">
        <v>1</v>
      </c>
      <c r="AW79">
        <v>1</v>
      </c>
      <c r="AZ79">
        <v>6.71</v>
      </c>
      <c r="BA79">
        <v>6.71</v>
      </c>
      <c r="BB79">
        <v>6.71</v>
      </c>
      <c r="BC79">
        <v>6.71</v>
      </c>
      <c r="BD79" t="s">
        <v>6</v>
      </c>
      <c r="BE79" t="s">
        <v>6</v>
      </c>
      <c r="BF79" t="s">
        <v>6</v>
      </c>
      <c r="BG79" t="s">
        <v>6</v>
      </c>
      <c r="BH79">
        <v>0</v>
      </c>
      <c r="BI79">
        <v>1</v>
      </c>
      <c r="BJ79" t="s">
        <v>225</v>
      </c>
      <c r="BM79">
        <v>15001</v>
      </c>
      <c r="BN79">
        <v>0</v>
      </c>
      <c r="BO79" t="s">
        <v>6</v>
      </c>
      <c r="BP79">
        <v>0</v>
      </c>
      <c r="BQ79">
        <v>2</v>
      </c>
      <c r="BR79">
        <v>0</v>
      </c>
      <c r="BS79">
        <v>6.71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6</v>
      </c>
      <c r="BZ79">
        <v>105</v>
      </c>
      <c r="CA79">
        <v>55</v>
      </c>
      <c r="CE79">
        <v>0</v>
      </c>
      <c r="CF79">
        <v>0</v>
      </c>
      <c r="CG79">
        <v>0</v>
      </c>
      <c r="CM79">
        <v>0</v>
      </c>
      <c r="CN79" t="s">
        <v>226</v>
      </c>
      <c r="CO79">
        <v>0</v>
      </c>
      <c r="CP79">
        <f t="shared" si="85"/>
        <v>684.75</v>
      </c>
      <c r="CQ79">
        <f t="shared" si="86"/>
        <v>0</v>
      </c>
      <c r="CR79">
        <f t="shared" si="87"/>
        <v>460.17179999999996</v>
      </c>
      <c r="CS79">
        <f t="shared" si="88"/>
        <v>90.652100000000004</v>
      </c>
      <c r="CT79">
        <f t="shared" si="89"/>
        <v>2583.1487000000002</v>
      </c>
      <c r="CU79">
        <f t="shared" si="90"/>
        <v>0</v>
      </c>
      <c r="CV79">
        <f t="shared" si="91"/>
        <v>40.480000000000004</v>
      </c>
      <c r="CW79">
        <f t="shared" si="92"/>
        <v>1.1359999999999999</v>
      </c>
      <c r="CX79">
        <f t="shared" si="93"/>
        <v>0</v>
      </c>
      <c r="CY79">
        <f t="shared" si="94"/>
        <v>571.5295000000001</v>
      </c>
      <c r="CZ79">
        <f t="shared" si="95"/>
        <v>282.75670000000002</v>
      </c>
      <c r="DC79" t="s">
        <v>6</v>
      </c>
      <c r="DD79" t="s">
        <v>227</v>
      </c>
      <c r="DE79" t="s">
        <v>228</v>
      </c>
      <c r="DF79" t="s">
        <v>228</v>
      </c>
      <c r="DG79" t="s">
        <v>228</v>
      </c>
      <c r="DH79" t="s">
        <v>6</v>
      </c>
      <c r="DI79" t="s">
        <v>228</v>
      </c>
      <c r="DJ79" t="s">
        <v>228</v>
      </c>
      <c r="DK79" t="s">
        <v>6</v>
      </c>
      <c r="DL79" t="s">
        <v>6</v>
      </c>
      <c r="DM79" t="s">
        <v>6</v>
      </c>
      <c r="DN79">
        <v>0</v>
      </c>
      <c r="DO79">
        <v>0</v>
      </c>
      <c r="DP79">
        <v>1</v>
      </c>
      <c r="DQ79">
        <v>1</v>
      </c>
      <c r="DU79">
        <v>1005</v>
      </c>
      <c r="DV79" t="s">
        <v>26</v>
      </c>
      <c r="DW79" t="s">
        <v>26</v>
      </c>
      <c r="DX79">
        <v>100</v>
      </c>
      <c r="EE79">
        <v>16510513</v>
      </c>
      <c r="EF79">
        <v>2</v>
      </c>
      <c r="EG79" t="s">
        <v>48</v>
      </c>
      <c r="EH79">
        <v>0</v>
      </c>
      <c r="EI79" t="s">
        <v>6</v>
      </c>
      <c r="EJ79">
        <v>1</v>
      </c>
      <c r="EK79">
        <v>15001</v>
      </c>
      <c r="EL79" t="s">
        <v>86</v>
      </c>
      <c r="EM79" t="s">
        <v>87</v>
      </c>
      <c r="EO79" t="s">
        <v>229</v>
      </c>
      <c r="EQ79">
        <v>131072</v>
      </c>
      <c r="ER79">
        <v>686.77</v>
      </c>
      <c r="ES79">
        <v>119.83</v>
      </c>
      <c r="ET79">
        <v>85.73</v>
      </c>
      <c r="EU79">
        <v>16.89</v>
      </c>
      <c r="EV79">
        <v>481.21</v>
      </c>
      <c r="EW79">
        <v>50.6</v>
      </c>
      <c r="EX79">
        <v>1.42</v>
      </c>
      <c r="EY79">
        <v>0</v>
      </c>
      <c r="FQ79">
        <v>0</v>
      </c>
      <c r="FR79">
        <f t="shared" si="96"/>
        <v>0</v>
      </c>
      <c r="FS79">
        <v>0</v>
      </c>
      <c r="FT79" t="s">
        <v>51</v>
      </c>
      <c r="FU79" t="s">
        <v>52</v>
      </c>
      <c r="FX79">
        <v>94.5</v>
      </c>
      <c r="FY79">
        <v>46.75</v>
      </c>
      <c r="GA79" t="s">
        <v>6</v>
      </c>
      <c r="GD79">
        <v>0</v>
      </c>
      <c r="GF79">
        <v>-850644404</v>
      </c>
      <c r="GG79">
        <v>1</v>
      </c>
      <c r="GH79">
        <v>1</v>
      </c>
      <c r="GI79">
        <v>4</v>
      </c>
      <c r="GJ79">
        <v>0</v>
      </c>
      <c r="GK79">
        <f>ROUND(R79*(R12)/100,2)</f>
        <v>0</v>
      </c>
      <c r="GL79">
        <f t="shared" si="97"/>
        <v>0</v>
      </c>
      <c r="GM79">
        <f t="shared" si="98"/>
        <v>1539.04</v>
      </c>
      <c r="GN79">
        <f t="shared" si="99"/>
        <v>1539.04</v>
      </c>
      <c r="GO79">
        <f t="shared" si="100"/>
        <v>0</v>
      </c>
      <c r="GP79">
        <f t="shared" si="101"/>
        <v>0</v>
      </c>
      <c r="GR79">
        <v>0</v>
      </c>
      <c r="GS79">
        <v>3</v>
      </c>
      <c r="GT79">
        <v>0</v>
      </c>
      <c r="GU79" t="s">
        <v>6</v>
      </c>
      <c r="GV79">
        <f t="shared" si="102"/>
        <v>0</v>
      </c>
      <c r="GW79">
        <v>1</v>
      </c>
      <c r="GX79">
        <f t="shared" si="103"/>
        <v>0</v>
      </c>
      <c r="HA79">
        <v>0</v>
      </c>
      <c r="HB79">
        <v>0</v>
      </c>
      <c r="HC79">
        <f t="shared" si="104"/>
        <v>0</v>
      </c>
      <c r="IK79">
        <v>0</v>
      </c>
    </row>
    <row r="80" spans="1:245" x14ac:dyDescent="0.2">
      <c r="A80">
        <v>17</v>
      </c>
      <c r="B80">
        <v>1</v>
      </c>
      <c r="C80">
        <f>ROW(SmtRes!A135)</f>
        <v>135</v>
      </c>
      <c r="D80">
        <f>ROW(EtalonRes!A131)</f>
        <v>131</v>
      </c>
      <c r="E80" t="s">
        <v>232</v>
      </c>
      <c r="F80" t="s">
        <v>233</v>
      </c>
      <c r="G80" t="s">
        <v>234</v>
      </c>
      <c r="H80" t="s">
        <v>235</v>
      </c>
      <c r="I80">
        <f>ROUND(5/10,9)</f>
        <v>0.5</v>
      </c>
      <c r="J80">
        <v>0</v>
      </c>
      <c r="O80">
        <f t="shared" si="71"/>
        <v>36.17</v>
      </c>
      <c r="P80">
        <f t="shared" si="72"/>
        <v>0</v>
      </c>
      <c r="Q80">
        <f t="shared" si="73"/>
        <v>0</v>
      </c>
      <c r="R80">
        <f t="shared" si="74"/>
        <v>0</v>
      </c>
      <c r="S80">
        <f t="shared" si="75"/>
        <v>36.17</v>
      </c>
      <c r="T80">
        <f t="shared" si="76"/>
        <v>0</v>
      </c>
      <c r="U80">
        <f t="shared" si="77"/>
        <v>0.55999999999999994</v>
      </c>
      <c r="V80">
        <f t="shared" si="78"/>
        <v>0</v>
      </c>
      <c r="W80">
        <f t="shared" si="79"/>
        <v>0</v>
      </c>
      <c r="X80">
        <f t="shared" si="80"/>
        <v>41.6</v>
      </c>
      <c r="Y80">
        <f t="shared" si="81"/>
        <v>25.68</v>
      </c>
      <c r="AA80">
        <v>16802145</v>
      </c>
      <c r="AB80">
        <f t="shared" si="82"/>
        <v>10.78</v>
      </c>
      <c r="AC80">
        <f>ROUND(((ES80*0)),2)</f>
        <v>0</v>
      </c>
      <c r="AD80">
        <f>ROUND(((((ET80*0.4))-((EU80*0.4)))+AE80),2)</f>
        <v>0</v>
      </c>
      <c r="AE80">
        <f>ROUND(((EU80*0.4)),2)</f>
        <v>0</v>
      </c>
      <c r="AF80">
        <f>ROUND(((EV80*0.4)),2)</f>
        <v>10.78</v>
      </c>
      <c r="AG80">
        <f t="shared" si="83"/>
        <v>0</v>
      </c>
      <c r="AH80">
        <f>((EW80*0.4))</f>
        <v>1.1199999999999999</v>
      </c>
      <c r="AI80">
        <f>((EX80*0.4))</f>
        <v>0</v>
      </c>
      <c r="AJ80">
        <f t="shared" si="84"/>
        <v>0</v>
      </c>
      <c r="AK80">
        <v>27.54</v>
      </c>
      <c r="AL80">
        <v>0.6</v>
      </c>
      <c r="AM80">
        <v>0</v>
      </c>
      <c r="AN80">
        <v>0</v>
      </c>
      <c r="AO80">
        <v>26.94</v>
      </c>
      <c r="AP80">
        <v>0</v>
      </c>
      <c r="AQ80">
        <v>2.8</v>
      </c>
      <c r="AR80">
        <v>0</v>
      </c>
      <c r="AS80">
        <v>0</v>
      </c>
      <c r="AT80">
        <v>115</v>
      </c>
      <c r="AU80">
        <v>71</v>
      </c>
      <c r="AV80">
        <v>1</v>
      </c>
      <c r="AW80">
        <v>1</v>
      </c>
      <c r="AZ80">
        <v>6.71</v>
      </c>
      <c r="BA80">
        <v>6.71</v>
      </c>
      <c r="BB80">
        <v>6.71</v>
      </c>
      <c r="BC80">
        <v>6.71</v>
      </c>
      <c r="BD80" t="s">
        <v>6</v>
      </c>
      <c r="BE80" t="s">
        <v>6</v>
      </c>
      <c r="BF80" t="s">
        <v>6</v>
      </c>
      <c r="BG80" t="s">
        <v>6</v>
      </c>
      <c r="BH80">
        <v>0</v>
      </c>
      <c r="BI80">
        <v>1</v>
      </c>
      <c r="BJ80" t="s">
        <v>236</v>
      </c>
      <c r="BM80">
        <v>17001</v>
      </c>
      <c r="BN80">
        <v>0</v>
      </c>
      <c r="BO80" t="s">
        <v>6</v>
      </c>
      <c r="BP80">
        <v>0</v>
      </c>
      <c r="BQ80">
        <v>2</v>
      </c>
      <c r="BR80">
        <v>0</v>
      </c>
      <c r="BS80">
        <v>6.71</v>
      </c>
      <c r="BT80">
        <v>1</v>
      </c>
      <c r="BU80">
        <v>1</v>
      </c>
      <c r="BV80">
        <v>1</v>
      </c>
      <c r="BW80">
        <v>1</v>
      </c>
      <c r="BX80">
        <v>1</v>
      </c>
      <c r="BY80" t="s">
        <v>6</v>
      </c>
      <c r="BZ80">
        <v>128</v>
      </c>
      <c r="CA80">
        <v>83</v>
      </c>
      <c r="CE80">
        <v>0</v>
      </c>
      <c r="CF80">
        <v>0</v>
      </c>
      <c r="CG80">
        <v>0</v>
      </c>
      <c r="CM80">
        <v>0</v>
      </c>
      <c r="CN80" t="s">
        <v>237</v>
      </c>
      <c r="CO80">
        <v>0</v>
      </c>
      <c r="CP80">
        <f t="shared" si="85"/>
        <v>36.17</v>
      </c>
      <c r="CQ80">
        <f t="shared" si="86"/>
        <v>0</v>
      </c>
      <c r="CR80">
        <f t="shared" si="87"/>
        <v>0</v>
      </c>
      <c r="CS80">
        <f t="shared" si="88"/>
        <v>0</v>
      </c>
      <c r="CT80">
        <f t="shared" si="89"/>
        <v>72.333799999999997</v>
      </c>
      <c r="CU80">
        <f t="shared" si="90"/>
        <v>0</v>
      </c>
      <c r="CV80">
        <f t="shared" si="91"/>
        <v>1.1199999999999999</v>
      </c>
      <c r="CW80">
        <f t="shared" si="92"/>
        <v>0</v>
      </c>
      <c r="CX80">
        <f t="shared" si="93"/>
        <v>0</v>
      </c>
      <c r="CY80">
        <f t="shared" si="94"/>
        <v>41.595500000000001</v>
      </c>
      <c r="CZ80">
        <f t="shared" si="95"/>
        <v>25.680700000000002</v>
      </c>
      <c r="DC80" t="s">
        <v>6</v>
      </c>
      <c r="DD80" t="s">
        <v>227</v>
      </c>
      <c r="DE80" t="s">
        <v>238</v>
      </c>
      <c r="DF80" t="s">
        <v>238</v>
      </c>
      <c r="DG80" t="s">
        <v>238</v>
      </c>
      <c r="DH80" t="s">
        <v>6</v>
      </c>
      <c r="DI80" t="s">
        <v>238</v>
      </c>
      <c r="DJ80" t="s">
        <v>238</v>
      </c>
      <c r="DK80" t="s">
        <v>6</v>
      </c>
      <c r="DL80" t="s">
        <v>6</v>
      </c>
      <c r="DM80" t="s">
        <v>6</v>
      </c>
      <c r="DN80">
        <v>0</v>
      </c>
      <c r="DO80">
        <v>0</v>
      </c>
      <c r="DP80">
        <v>1</v>
      </c>
      <c r="DQ80">
        <v>1</v>
      </c>
      <c r="DU80">
        <v>1013</v>
      </c>
      <c r="DV80" t="s">
        <v>235</v>
      </c>
      <c r="DW80" t="s">
        <v>235</v>
      </c>
      <c r="DX80">
        <v>1</v>
      </c>
      <c r="EE80">
        <v>16510515</v>
      </c>
      <c r="EF80">
        <v>2</v>
      </c>
      <c r="EG80" t="s">
        <v>48</v>
      </c>
      <c r="EH80">
        <v>0</v>
      </c>
      <c r="EI80" t="s">
        <v>6</v>
      </c>
      <c r="EJ80">
        <v>1</v>
      </c>
      <c r="EK80">
        <v>17001</v>
      </c>
      <c r="EL80" t="s">
        <v>239</v>
      </c>
      <c r="EM80" t="s">
        <v>240</v>
      </c>
      <c r="EO80" t="s">
        <v>241</v>
      </c>
      <c r="EQ80">
        <v>131072</v>
      </c>
      <c r="ER80">
        <v>27.54</v>
      </c>
      <c r="ES80">
        <v>0.6</v>
      </c>
      <c r="ET80">
        <v>0</v>
      </c>
      <c r="EU80">
        <v>0</v>
      </c>
      <c r="EV80">
        <v>26.94</v>
      </c>
      <c r="EW80">
        <v>2.8</v>
      </c>
      <c r="EX80">
        <v>0</v>
      </c>
      <c r="EY80">
        <v>0</v>
      </c>
      <c r="FQ80">
        <v>0</v>
      </c>
      <c r="FR80">
        <f t="shared" si="96"/>
        <v>0</v>
      </c>
      <c r="FS80">
        <v>0</v>
      </c>
      <c r="FT80" t="s">
        <v>51</v>
      </c>
      <c r="FU80" t="s">
        <v>52</v>
      </c>
      <c r="FX80">
        <v>115.2</v>
      </c>
      <c r="FY80">
        <v>70.55</v>
      </c>
      <c r="GA80" t="s">
        <v>6</v>
      </c>
      <c r="GD80">
        <v>0</v>
      </c>
      <c r="GF80">
        <v>-1335911278</v>
      </c>
      <c r="GG80">
        <v>1</v>
      </c>
      <c r="GH80">
        <v>1</v>
      </c>
      <c r="GI80">
        <v>4</v>
      </c>
      <c r="GJ80">
        <v>0</v>
      </c>
      <c r="GK80">
        <f>ROUND(R80*(R12)/100,2)</f>
        <v>0</v>
      </c>
      <c r="GL80">
        <f t="shared" si="97"/>
        <v>0</v>
      </c>
      <c r="GM80">
        <f t="shared" si="98"/>
        <v>103.45</v>
      </c>
      <c r="GN80">
        <f t="shared" si="99"/>
        <v>103.45</v>
      </c>
      <c r="GO80">
        <f t="shared" si="100"/>
        <v>0</v>
      </c>
      <c r="GP80">
        <f t="shared" si="101"/>
        <v>0</v>
      </c>
      <c r="GR80">
        <v>0</v>
      </c>
      <c r="GS80">
        <v>3</v>
      </c>
      <c r="GT80">
        <v>0</v>
      </c>
      <c r="GU80" t="s">
        <v>6</v>
      </c>
      <c r="GV80">
        <f t="shared" si="102"/>
        <v>0</v>
      </c>
      <c r="GW80">
        <v>1</v>
      </c>
      <c r="GX80">
        <f t="shared" si="103"/>
        <v>0</v>
      </c>
      <c r="HA80">
        <v>0</v>
      </c>
      <c r="HB80">
        <v>0</v>
      </c>
      <c r="HC80">
        <f t="shared" si="104"/>
        <v>0</v>
      </c>
      <c r="IK80">
        <v>0</v>
      </c>
    </row>
    <row r="81" spans="1:245" x14ac:dyDescent="0.2">
      <c r="A81">
        <v>17</v>
      </c>
      <c r="B81">
        <v>1</v>
      </c>
      <c r="C81">
        <f>ROW(SmtRes!A138)</f>
        <v>138</v>
      </c>
      <c r="D81">
        <f>ROW(EtalonRes!A136)</f>
        <v>136</v>
      </c>
      <c r="E81" t="s">
        <v>242</v>
      </c>
      <c r="F81" t="s">
        <v>233</v>
      </c>
      <c r="G81" t="s">
        <v>243</v>
      </c>
      <c r="H81" t="s">
        <v>235</v>
      </c>
      <c r="I81">
        <f>ROUND(5/10,9)</f>
        <v>0.5</v>
      </c>
      <c r="J81">
        <v>0</v>
      </c>
      <c r="O81">
        <f t="shared" si="71"/>
        <v>92.39</v>
      </c>
      <c r="P81">
        <f t="shared" si="72"/>
        <v>2.0099999999999998</v>
      </c>
      <c r="Q81">
        <f t="shared" si="73"/>
        <v>0</v>
      </c>
      <c r="R81">
        <f t="shared" si="74"/>
        <v>0</v>
      </c>
      <c r="S81">
        <f t="shared" si="75"/>
        <v>90.38</v>
      </c>
      <c r="T81">
        <f t="shared" si="76"/>
        <v>0</v>
      </c>
      <c r="U81">
        <f t="shared" si="77"/>
        <v>1.4</v>
      </c>
      <c r="V81">
        <f t="shared" si="78"/>
        <v>0</v>
      </c>
      <c r="W81">
        <f t="shared" si="79"/>
        <v>0</v>
      </c>
      <c r="X81">
        <f t="shared" si="80"/>
        <v>103.94</v>
      </c>
      <c r="Y81">
        <f t="shared" si="81"/>
        <v>64.17</v>
      </c>
      <c r="AA81">
        <v>16802145</v>
      </c>
      <c r="AB81">
        <f t="shared" si="82"/>
        <v>27.54</v>
      </c>
      <c r="AC81">
        <f>ROUND((ES81),2)</f>
        <v>0.6</v>
      </c>
      <c r="AD81">
        <f>ROUND((((ET81)-(EU81))+AE81),2)</f>
        <v>0</v>
      </c>
      <c r="AE81">
        <f t="shared" ref="AE81:AF85" si="108">ROUND((EU81),2)</f>
        <v>0</v>
      </c>
      <c r="AF81">
        <f t="shared" si="108"/>
        <v>26.94</v>
      </c>
      <c r="AG81">
        <f t="shared" si="83"/>
        <v>0</v>
      </c>
      <c r="AH81">
        <f t="shared" ref="AH81:AI85" si="109">(EW81)</f>
        <v>2.8</v>
      </c>
      <c r="AI81">
        <f t="shared" si="109"/>
        <v>0</v>
      </c>
      <c r="AJ81">
        <f t="shared" si="84"/>
        <v>0</v>
      </c>
      <c r="AK81">
        <v>27.54</v>
      </c>
      <c r="AL81">
        <v>0.6</v>
      </c>
      <c r="AM81">
        <v>0</v>
      </c>
      <c r="AN81">
        <v>0</v>
      </c>
      <c r="AO81">
        <v>26.94</v>
      </c>
      <c r="AP81">
        <v>0</v>
      </c>
      <c r="AQ81">
        <v>2.8</v>
      </c>
      <c r="AR81">
        <v>0</v>
      </c>
      <c r="AS81">
        <v>0</v>
      </c>
      <c r="AT81">
        <v>115</v>
      </c>
      <c r="AU81">
        <v>71</v>
      </c>
      <c r="AV81">
        <v>1</v>
      </c>
      <c r="AW81">
        <v>1</v>
      </c>
      <c r="AZ81">
        <v>6.71</v>
      </c>
      <c r="BA81">
        <v>6.71</v>
      </c>
      <c r="BB81">
        <v>6.71</v>
      </c>
      <c r="BC81">
        <v>6.71</v>
      </c>
      <c r="BD81" t="s">
        <v>6</v>
      </c>
      <c r="BE81" t="s">
        <v>6</v>
      </c>
      <c r="BF81" t="s">
        <v>6</v>
      </c>
      <c r="BG81" t="s">
        <v>6</v>
      </c>
      <c r="BH81">
        <v>0</v>
      </c>
      <c r="BI81">
        <v>1</v>
      </c>
      <c r="BJ81" t="s">
        <v>236</v>
      </c>
      <c r="BM81">
        <v>17001</v>
      </c>
      <c r="BN81">
        <v>0</v>
      </c>
      <c r="BO81" t="s">
        <v>6</v>
      </c>
      <c r="BP81">
        <v>0</v>
      </c>
      <c r="BQ81">
        <v>2</v>
      </c>
      <c r="BR81">
        <v>0</v>
      </c>
      <c r="BS81">
        <v>6.71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6</v>
      </c>
      <c r="BZ81">
        <v>128</v>
      </c>
      <c r="CA81">
        <v>83</v>
      </c>
      <c r="CE81">
        <v>0</v>
      </c>
      <c r="CF81">
        <v>0</v>
      </c>
      <c r="CG81">
        <v>0</v>
      </c>
      <c r="CM81">
        <v>0</v>
      </c>
      <c r="CN81" t="s">
        <v>6</v>
      </c>
      <c r="CO81">
        <v>0</v>
      </c>
      <c r="CP81">
        <f t="shared" si="85"/>
        <v>92.39</v>
      </c>
      <c r="CQ81">
        <f t="shared" si="86"/>
        <v>4.0259999999999998</v>
      </c>
      <c r="CR81">
        <f t="shared" si="87"/>
        <v>0</v>
      </c>
      <c r="CS81">
        <f t="shared" si="88"/>
        <v>0</v>
      </c>
      <c r="CT81">
        <f t="shared" si="89"/>
        <v>180.76740000000001</v>
      </c>
      <c r="CU81">
        <f t="shared" si="90"/>
        <v>0</v>
      </c>
      <c r="CV81">
        <f t="shared" si="91"/>
        <v>2.8</v>
      </c>
      <c r="CW81">
        <f t="shared" si="92"/>
        <v>0</v>
      </c>
      <c r="CX81">
        <f t="shared" si="93"/>
        <v>0</v>
      </c>
      <c r="CY81">
        <f t="shared" si="94"/>
        <v>103.93699999999998</v>
      </c>
      <c r="CZ81">
        <f t="shared" si="95"/>
        <v>64.169799999999995</v>
      </c>
      <c r="DC81" t="s">
        <v>6</v>
      </c>
      <c r="DD81" t="s">
        <v>6</v>
      </c>
      <c r="DE81" t="s">
        <v>6</v>
      </c>
      <c r="DF81" t="s">
        <v>6</v>
      </c>
      <c r="DG81" t="s">
        <v>6</v>
      </c>
      <c r="DH81" t="s">
        <v>6</v>
      </c>
      <c r="DI81" t="s">
        <v>6</v>
      </c>
      <c r="DJ81" t="s">
        <v>6</v>
      </c>
      <c r="DK81" t="s">
        <v>6</v>
      </c>
      <c r="DL81" t="s">
        <v>6</v>
      </c>
      <c r="DM81" t="s">
        <v>6</v>
      </c>
      <c r="DN81">
        <v>0</v>
      </c>
      <c r="DO81">
        <v>0</v>
      </c>
      <c r="DP81">
        <v>1</v>
      </c>
      <c r="DQ81">
        <v>1</v>
      </c>
      <c r="DU81">
        <v>1013</v>
      </c>
      <c r="DV81" t="s">
        <v>235</v>
      </c>
      <c r="DW81" t="s">
        <v>235</v>
      </c>
      <c r="DX81">
        <v>1</v>
      </c>
      <c r="EE81">
        <v>16510515</v>
      </c>
      <c r="EF81">
        <v>2</v>
      </c>
      <c r="EG81" t="s">
        <v>48</v>
      </c>
      <c r="EH81">
        <v>0</v>
      </c>
      <c r="EI81" t="s">
        <v>6</v>
      </c>
      <c r="EJ81">
        <v>1</v>
      </c>
      <c r="EK81">
        <v>17001</v>
      </c>
      <c r="EL81" t="s">
        <v>239</v>
      </c>
      <c r="EM81" t="s">
        <v>240</v>
      </c>
      <c r="EO81" t="s">
        <v>6</v>
      </c>
      <c r="EQ81">
        <v>131072</v>
      </c>
      <c r="ER81">
        <v>27.54</v>
      </c>
      <c r="ES81">
        <v>0.6</v>
      </c>
      <c r="ET81">
        <v>0</v>
      </c>
      <c r="EU81">
        <v>0</v>
      </c>
      <c r="EV81">
        <v>26.94</v>
      </c>
      <c r="EW81">
        <v>2.8</v>
      </c>
      <c r="EX81">
        <v>0</v>
      </c>
      <c r="EY81">
        <v>0</v>
      </c>
      <c r="FQ81">
        <v>0</v>
      </c>
      <c r="FR81">
        <f t="shared" si="96"/>
        <v>0</v>
      </c>
      <c r="FS81">
        <v>0</v>
      </c>
      <c r="FT81" t="s">
        <v>51</v>
      </c>
      <c r="FU81" t="s">
        <v>52</v>
      </c>
      <c r="FX81">
        <v>115.2</v>
      </c>
      <c r="FY81">
        <v>70.55</v>
      </c>
      <c r="GA81" t="s">
        <v>6</v>
      </c>
      <c r="GD81">
        <v>0</v>
      </c>
      <c r="GF81">
        <v>-201499009</v>
      </c>
      <c r="GG81">
        <v>1</v>
      </c>
      <c r="GH81">
        <v>1</v>
      </c>
      <c r="GI81">
        <v>4</v>
      </c>
      <c r="GJ81">
        <v>0</v>
      </c>
      <c r="GK81">
        <f>ROUND(R81*(R12)/100,2)</f>
        <v>0</v>
      </c>
      <c r="GL81">
        <f t="shared" si="97"/>
        <v>0</v>
      </c>
      <c r="GM81">
        <f t="shared" si="98"/>
        <v>260.5</v>
      </c>
      <c r="GN81">
        <f t="shared" si="99"/>
        <v>260.5</v>
      </c>
      <c r="GO81">
        <f t="shared" si="100"/>
        <v>0</v>
      </c>
      <c r="GP81">
        <f t="shared" si="101"/>
        <v>0</v>
      </c>
      <c r="GR81">
        <v>0</v>
      </c>
      <c r="GS81">
        <v>3</v>
      </c>
      <c r="GT81">
        <v>0</v>
      </c>
      <c r="GU81" t="s">
        <v>6</v>
      </c>
      <c r="GV81">
        <f t="shared" si="102"/>
        <v>0</v>
      </c>
      <c r="GW81">
        <v>1</v>
      </c>
      <c r="GX81">
        <f t="shared" si="103"/>
        <v>0</v>
      </c>
      <c r="HA81">
        <v>0</v>
      </c>
      <c r="HB81">
        <v>0</v>
      </c>
      <c r="HC81">
        <f t="shared" si="104"/>
        <v>0</v>
      </c>
      <c r="IK81">
        <v>0</v>
      </c>
    </row>
    <row r="82" spans="1:245" x14ac:dyDescent="0.2">
      <c r="A82">
        <v>18</v>
      </c>
      <c r="B82">
        <v>1</v>
      </c>
      <c r="C82">
        <v>138</v>
      </c>
      <c r="E82" t="s">
        <v>244</v>
      </c>
      <c r="F82" t="s">
        <v>245</v>
      </c>
      <c r="G82" t="s">
        <v>246</v>
      </c>
      <c r="H82" t="s">
        <v>42</v>
      </c>
      <c r="I82">
        <f>I81*J82</f>
        <v>5</v>
      </c>
      <c r="J82">
        <v>10</v>
      </c>
      <c r="O82">
        <f t="shared" si="71"/>
        <v>125.48</v>
      </c>
      <c r="P82">
        <f t="shared" si="72"/>
        <v>125.48</v>
      </c>
      <c r="Q82">
        <f t="shared" si="73"/>
        <v>0</v>
      </c>
      <c r="R82">
        <f t="shared" si="74"/>
        <v>0</v>
      </c>
      <c r="S82">
        <f t="shared" si="75"/>
        <v>0</v>
      </c>
      <c r="T82">
        <f t="shared" si="76"/>
        <v>0</v>
      </c>
      <c r="U82">
        <f t="shared" si="77"/>
        <v>0</v>
      </c>
      <c r="V82">
        <f t="shared" si="78"/>
        <v>0</v>
      </c>
      <c r="W82">
        <f t="shared" si="79"/>
        <v>0</v>
      </c>
      <c r="X82">
        <f t="shared" si="80"/>
        <v>0</v>
      </c>
      <c r="Y82">
        <f t="shared" si="81"/>
        <v>0</v>
      </c>
      <c r="AA82">
        <v>16802145</v>
      </c>
      <c r="AB82">
        <f t="shared" si="82"/>
        <v>3.74</v>
      </c>
      <c r="AC82">
        <f>ROUND((ES82),2)</f>
        <v>3.74</v>
      </c>
      <c r="AD82">
        <f>ROUND((((ET82)-(EU82))+AE82),2)</f>
        <v>0</v>
      </c>
      <c r="AE82">
        <f t="shared" si="108"/>
        <v>0</v>
      </c>
      <c r="AF82">
        <f t="shared" si="108"/>
        <v>0</v>
      </c>
      <c r="AG82">
        <f t="shared" si="83"/>
        <v>0</v>
      </c>
      <c r="AH82">
        <f t="shared" si="109"/>
        <v>0</v>
      </c>
      <c r="AI82">
        <f t="shared" si="109"/>
        <v>0</v>
      </c>
      <c r="AJ82">
        <f t="shared" si="84"/>
        <v>0</v>
      </c>
      <c r="AK82">
        <v>3.74</v>
      </c>
      <c r="AL82">
        <v>3.74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115</v>
      </c>
      <c r="AU82">
        <v>71</v>
      </c>
      <c r="AV82">
        <v>1</v>
      </c>
      <c r="AW82">
        <v>1</v>
      </c>
      <c r="AZ82">
        <v>6.71</v>
      </c>
      <c r="BA82">
        <v>1</v>
      </c>
      <c r="BB82">
        <v>1</v>
      </c>
      <c r="BC82">
        <v>6.71</v>
      </c>
      <c r="BD82" t="s">
        <v>6</v>
      </c>
      <c r="BE82" t="s">
        <v>6</v>
      </c>
      <c r="BF82" t="s">
        <v>6</v>
      </c>
      <c r="BG82" t="s">
        <v>6</v>
      </c>
      <c r="BH82">
        <v>3</v>
      </c>
      <c r="BI82">
        <v>1</v>
      </c>
      <c r="BJ82" t="s">
        <v>247</v>
      </c>
      <c r="BM82">
        <v>17001</v>
      </c>
      <c r="BN82">
        <v>0</v>
      </c>
      <c r="BO82" t="s">
        <v>6</v>
      </c>
      <c r="BP82">
        <v>0</v>
      </c>
      <c r="BQ82">
        <v>2</v>
      </c>
      <c r="BR82">
        <v>0</v>
      </c>
      <c r="BS82">
        <v>1</v>
      </c>
      <c r="BT82">
        <v>1</v>
      </c>
      <c r="BU82">
        <v>1</v>
      </c>
      <c r="BV82">
        <v>1</v>
      </c>
      <c r="BW82">
        <v>1</v>
      </c>
      <c r="BX82">
        <v>1</v>
      </c>
      <c r="BY82" t="s">
        <v>6</v>
      </c>
      <c r="BZ82">
        <v>128</v>
      </c>
      <c r="CA82">
        <v>83</v>
      </c>
      <c r="CE82">
        <v>0</v>
      </c>
      <c r="CF82">
        <v>0</v>
      </c>
      <c r="CG82">
        <v>0</v>
      </c>
      <c r="CM82">
        <v>0</v>
      </c>
      <c r="CN82" t="s">
        <v>6</v>
      </c>
      <c r="CO82">
        <v>0</v>
      </c>
      <c r="CP82">
        <f t="shared" si="85"/>
        <v>125.48</v>
      </c>
      <c r="CQ82">
        <f t="shared" si="86"/>
        <v>25.095400000000001</v>
      </c>
      <c r="CR82">
        <f t="shared" si="87"/>
        <v>0</v>
      </c>
      <c r="CS82">
        <f t="shared" si="88"/>
        <v>0</v>
      </c>
      <c r="CT82">
        <f t="shared" si="89"/>
        <v>0</v>
      </c>
      <c r="CU82">
        <f t="shared" si="90"/>
        <v>0</v>
      </c>
      <c r="CV82">
        <f t="shared" si="91"/>
        <v>0</v>
      </c>
      <c r="CW82">
        <f t="shared" si="92"/>
        <v>0</v>
      </c>
      <c r="CX82">
        <f t="shared" si="93"/>
        <v>0</v>
      </c>
      <c r="CY82">
        <f t="shared" si="94"/>
        <v>0</v>
      </c>
      <c r="CZ82">
        <f t="shared" si="95"/>
        <v>0</v>
      </c>
      <c r="DC82" t="s">
        <v>6</v>
      </c>
      <c r="DD82" t="s">
        <v>6</v>
      </c>
      <c r="DE82" t="s">
        <v>6</v>
      </c>
      <c r="DF82" t="s">
        <v>6</v>
      </c>
      <c r="DG82" t="s">
        <v>6</v>
      </c>
      <c r="DH82" t="s">
        <v>6</v>
      </c>
      <c r="DI82" t="s">
        <v>6</v>
      </c>
      <c r="DJ82" t="s">
        <v>6</v>
      </c>
      <c r="DK82" t="s">
        <v>6</v>
      </c>
      <c r="DL82" t="s">
        <v>6</v>
      </c>
      <c r="DM82" t="s">
        <v>6</v>
      </c>
      <c r="DN82">
        <v>0</v>
      </c>
      <c r="DO82">
        <v>0</v>
      </c>
      <c r="DP82">
        <v>1</v>
      </c>
      <c r="DQ82">
        <v>1</v>
      </c>
      <c r="DU82">
        <v>1010</v>
      </c>
      <c r="DV82" t="s">
        <v>42</v>
      </c>
      <c r="DW82" t="s">
        <v>42</v>
      </c>
      <c r="DX82">
        <v>1</v>
      </c>
      <c r="EE82">
        <v>16510515</v>
      </c>
      <c r="EF82">
        <v>2</v>
      </c>
      <c r="EG82" t="s">
        <v>48</v>
      </c>
      <c r="EH82">
        <v>0</v>
      </c>
      <c r="EI82" t="s">
        <v>6</v>
      </c>
      <c r="EJ82">
        <v>1</v>
      </c>
      <c r="EK82">
        <v>17001</v>
      </c>
      <c r="EL82" t="s">
        <v>239</v>
      </c>
      <c r="EM82" t="s">
        <v>240</v>
      </c>
      <c r="EO82" t="s">
        <v>6</v>
      </c>
      <c r="EQ82">
        <v>0</v>
      </c>
      <c r="ER82">
        <v>3.74</v>
      </c>
      <c r="ES82">
        <v>3.74</v>
      </c>
      <c r="ET82">
        <v>0</v>
      </c>
      <c r="EU82">
        <v>0</v>
      </c>
      <c r="EV82">
        <v>0</v>
      </c>
      <c r="EW82">
        <v>0</v>
      </c>
      <c r="EX82">
        <v>0</v>
      </c>
      <c r="FQ82">
        <v>0</v>
      </c>
      <c r="FR82">
        <f t="shared" si="96"/>
        <v>0</v>
      </c>
      <c r="FS82">
        <v>0</v>
      </c>
      <c r="FT82" t="s">
        <v>51</v>
      </c>
      <c r="FU82" t="s">
        <v>52</v>
      </c>
      <c r="FX82">
        <v>115.2</v>
      </c>
      <c r="FY82">
        <v>70.55</v>
      </c>
      <c r="GA82" t="s">
        <v>6</v>
      </c>
      <c r="GD82">
        <v>0</v>
      </c>
      <c r="GF82">
        <v>2053814225</v>
      </c>
      <c r="GG82">
        <v>1</v>
      </c>
      <c r="GH82">
        <v>1</v>
      </c>
      <c r="GI82">
        <v>4</v>
      </c>
      <c r="GJ82">
        <v>0</v>
      </c>
      <c r="GK82">
        <f>ROUND(R82*(R12)/100,2)</f>
        <v>0</v>
      </c>
      <c r="GL82">
        <f t="shared" si="97"/>
        <v>0</v>
      </c>
      <c r="GM82">
        <f t="shared" si="98"/>
        <v>125.48</v>
      </c>
      <c r="GN82">
        <f t="shared" si="99"/>
        <v>125.48</v>
      </c>
      <c r="GO82">
        <f t="shared" si="100"/>
        <v>0</v>
      </c>
      <c r="GP82">
        <f t="shared" si="101"/>
        <v>0</v>
      </c>
      <c r="GR82">
        <v>0</v>
      </c>
      <c r="GS82">
        <v>0</v>
      </c>
      <c r="GT82">
        <v>0</v>
      </c>
      <c r="GU82" t="s">
        <v>6</v>
      </c>
      <c r="GV82">
        <f t="shared" si="102"/>
        <v>0</v>
      </c>
      <c r="GW82">
        <v>1</v>
      </c>
      <c r="GX82">
        <f t="shared" si="103"/>
        <v>0</v>
      </c>
      <c r="HA82">
        <v>0</v>
      </c>
      <c r="HB82">
        <v>0</v>
      </c>
      <c r="HC82">
        <f t="shared" si="104"/>
        <v>0</v>
      </c>
      <c r="IK82">
        <v>0</v>
      </c>
    </row>
    <row r="83" spans="1:245" x14ac:dyDescent="0.2">
      <c r="A83">
        <v>17</v>
      </c>
      <c r="B83">
        <v>1</v>
      </c>
      <c r="C83">
        <f>ROW(SmtRes!A151)</f>
        <v>151</v>
      </c>
      <c r="D83">
        <f>ROW(EtalonRes!A149)</f>
        <v>149</v>
      </c>
      <c r="E83" t="s">
        <v>248</v>
      </c>
      <c r="F83" t="s">
        <v>249</v>
      </c>
      <c r="G83" t="s">
        <v>250</v>
      </c>
      <c r="H83" t="s">
        <v>35</v>
      </c>
      <c r="I83">
        <f>ROUND(7/100,9)</f>
        <v>7.0000000000000007E-2</v>
      </c>
      <c r="J83">
        <v>0</v>
      </c>
      <c r="O83">
        <f t="shared" si="71"/>
        <v>3011.25</v>
      </c>
      <c r="P83">
        <f t="shared" si="72"/>
        <v>855.85</v>
      </c>
      <c r="Q83">
        <f t="shared" si="73"/>
        <v>4.01</v>
      </c>
      <c r="R83">
        <f t="shared" si="74"/>
        <v>0.71</v>
      </c>
      <c r="S83">
        <f t="shared" si="75"/>
        <v>2151.39</v>
      </c>
      <c r="T83">
        <f t="shared" si="76"/>
        <v>0</v>
      </c>
      <c r="U83">
        <f t="shared" si="77"/>
        <v>35.35</v>
      </c>
      <c r="V83">
        <f t="shared" si="78"/>
        <v>9.1000000000000004E-3</v>
      </c>
      <c r="W83">
        <f t="shared" si="79"/>
        <v>0</v>
      </c>
      <c r="X83">
        <f t="shared" si="80"/>
        <v>1764.72</v>
      </c>
      <c r="Y83">
        <f t="shared" si="81"/>
        <v>1334.3</v>
      </c>
      <c r="AA83">
        <v>16802145</v>
      </c>
      <c r="AB83">
        <f t="shared" si="82"/>
        <v>6411.01</v>
      </c>
      <c r="AC83">
        <f>ROUND((ES83),2)</f>
        <v>1822.12</v>
      </c>
      <c r="AD83">
        <f>ROUND((((ET83)-(EU83))+AE83),2)</f>
        <v>8.5399999999999991</v>
      </c>
      <c r="AE83">
        <f t="shared" si="108"/>
        <v>1.51</v>
      </c>
      <c r="AF83">
        <f t="shared" si="108"/>
        <v>4580.3500000000004</v>
      </c>
      <c r="AG83">
        <f t="shared" si="83"/>
        <v>0</v>
      </c>
      <c r="AH83">
        <f t="shared" si="109"/>
        <v>505</v>
      </c>
      <c r="AI83">
        <f t="shared" si="109"/>
        <v>0.13</v>
      </c>
      <c r="AJ83">
        <f t="shared" si="84"/>
        <v>0</v>
      </c>
      <c r="AK83">
        <v>6411.01</v>
      </c>
      <c r="AL83">
        <v>1822.12</v>
      </c>
      <c r="AM83">
        <v>8.5399999999999991</v>
      </c>
      <c r="AN83">
        <v>1.51</v>
      </c>
      <c r="AO83">
        <v>4580.3500000000004</v>
      </c>
      <c r="AP83">
        <v>0</v>
      </c>
      <c r="AQ83">
        <v>505</v>
      </c>
      <c r="AR83">
        <v>0.13</v>
      </c>
      <c r="AS83">
        <v>0</v>
      </c>
      <c r="AT83">
        <v>82</v>
      </c>
      <c r="AU83">
        <v>62</v>
      </c>
      <c r="AV83">
        <v>1</v>
      </c>
      <c r="AW83">
        <v>1</v>
      </c>
      <c r="AZ83">
        <v>6.71</v>
      </c>
      <c r="BA83">
        <v>6.71</v>
      </c>
      <c r="BB83">
        <v>6.71</v>
      </c>
      <c r="BC83">
        <v>6.71</v>
      </c>
      <c r="BD83" t="s">
        <v>6</v>
      </c>
      <c r="BE83" t="s">
        <v>6</v>
      </c>
      <c r="BF83" t="s">
        <v>6</v>
      </c>
      <c r="BG83" t="s">
        <v>6</v>
      </c>
      <c r="BH83">
        <v>0</v>
      </c>
      <c r="BI83">
        <v>1</v>
      </c>
      <c r="BJ83" t="s">
        <v>251</v>
      </c>
      <c r="BM83">
        <v>56001</v>
      </c>
      <c r="BN83">
        <v>0</v>
      </c>
      <c r="BO83" t="s">
        <v>6</v>
      </c>
      <c r="BP83">
        <v>0</v>
      </c>
      <c r="BQ83">
        <v>6</v>
      </c>
      <c r="BR83">
        <v>0</v>
      </c>
      <c r="BS83">
        <v>6.71</v>
      </c>
      <c r="BT83">
        <v>1</v>
      </c>
      <c r="BU83">
        <v>1</v>
      </c>
      <c r="BV83">
        <v>1</v>
      </c>
      <c r="BW83">
        <v>1</v>
      </c>
      <c r="BX83">
        <v>1</v>
      </c>
      <c r="BY83" t="s">
        <v>6</v>
      </c>
      <c r="BZ83">
        <v>82</v>
      </c>
      <c r="CA83">
        <v>62</v>
      </c>
      <c r="CE83">
        <v>0</v>
      </c>
      <c r="CF83">
        <v>0</v>
      </c>
      <c r="CG83">
        <v>0</v>
      </c>
      <c r="CM83">
        <v>0</v>
      </c>
      <c r="CN83" t="s">
        <v>6</v>
      </c>
      <c r="CO83">
        <v>0</v>
      </c>
      <c r="CP83">
        <f t="shared" si="85"/>
        <v>3011.25</v>
      </c>
      <c r="CQ83">
        <f t="shared" si="86"/>
        <v>12226.4252</v>
      </c>
      <c r="CR83">
        <f t="shared" si="87"/>
        <v>57.303399999999996</v>
      </c>
      <c r="CS83">
        <f t="shared" si="88"/>
        <v>10.132099999999999</v>
      </c>
      <c r="CT83">
        <f t="shared" si="89"/>
        <v>30734.148500000003</v>
      </c>
      <c r="CU83">
        <f t="shared" si="90"/>
        <v>0</v>
      </c>
      <c r="CV83">
        <f t="shared" si="91"/>
        <v>505</v>
      </c>
      <c r="CW83">
        <f t="shared" si="92"/>
        <v>0.13</v>
      </c>
      <c r="CX83">
        <f t="shared" si="93"/>
        <v>0</v>
      </c>
      <c r="CY83">
        <f t="shared" si="94"/>
        <v>1764.7219999999998</v>
      </c>
      <c r="CZ83">
        <f t="shared" si="95"/>
        <v>1334.3019999999999</v>
      </c>
      <c r="DC83" t="s">
        <v>6</v>
      </c>
      <c r="DD83" t="s">
        <v>6</v>
      </c>
      <c r="DE83" t="s">
        <v>6</v>
      </c>
      <c r="DF83" t="s">
        <v>6</v>
      </c>
      <c r="DG83" t="s">
        <v>6</v>
      </c>
      <c r="DH83" t="s">
        <v>6</v>
      </c>
      <c r="DI83" t="s">
        <v>6</v>
      </c>
      <c r="DJ83" t="s">
        <v>6</v>
      </c>
      <c r="DK83" t="s">
        <v>6</v>
      </c>
      <c r="DL83" t="s">
        <v>6</v>
      </c>
      <c r="DM83" t="s">
        <v>6</v>
      </c>
      <c r="DN83">
        <v>0</v>
      </c>
      <c r="DO83">
        <v>0</v>
      </c>
      <c r="DP83">
        <v>1</v>
      </c>
      <c r="DQ83">
        <v>1</v>
      </c>
      <c r="DU83">
        <v>1013</v>
      </c>
      <c r="DV83" t="s">
        <v>35</v>
      </c>
      <c r="DW83" t="s">
        <v>35</v>
      </c>
      <c r="DX83">
        <v>1</v>
      </c>
      <c r="EE83">
        <v>16510565</v>
      </c>
      <c r="EF83">
        <v>6</v>
      </c>
      <c r="EG83" t="s">
        <v>20</v>
      </c>
      <c r="EH83">
        <v>0</v>
      </c>
      <c r="EI83" t="s">
        <v>6</v>
      </c>
      <c r="EJ83">
        <v>1</v>
      </c>
      <c r="EK83">
        <v>56001</v>
      </c>
      <c r="EL83" t="s">
        <v>252</v>
      </c>
      <c r="EM83" t="s">
        <v>253</v>
      </c>
      <c r="EO83" t="s">
        <v>6</v>
      </c>
      <c r="EQ83">
        <v>131072</v>
      </c>
      <c r="ER83">
        <v>6411.01</v>
      </c>
      <c r="ES83">
        <v>1822.12</v>
      </c>
      <c r="ET83">
        <v>8.5399999999999991</v>
      </c>
      <c r="EU83">
        <v>1.51</v>
      </c>
      <c r="EV83">
        <v>4580.3500000000004</v>
      </c>
      <c r="EW83">
        <v>505</v>
      </c>
      <c r="EX83">
        <v>0.13</v>
      </c>
      <c r="EY83">
        <v>0</v>
      </c>
      <c r="FQ83">
        <v>0</v>
      </c>
      <c r="FR83">
        <f t="shared" si="96"/>
        <v>0</v>
      </c>
      <c r="FS83">
        <v>0</v>
      </c>
      <c r="FX83">
        <v>82</v>
      </c>
      <c r="FY83">
        <v>62</v>
      </c>
      <c r="GA83" t="s">
        <v>6</v>
      </c>
      <c r="GD83">
        <v>0</v>
      </c>
      <c r="GF83">
        <v>-717202646</v>
      </c>
      <c r="GG83">
        <v>1</v>
      </c>
      <c r="GH83">
        <v>1</v>
      </c>
      <c r="GI83">
        <v>4</v>
      </c>
      <c r="GJ83">
        <v>0</v>
      </c>
      <c r="GK83">
        <f>ROUND(R83*(R12)/100,2)</f>
        <v>0</v>
      </c>
      <c r="GL83">
        <f t="shared" si="97"/>
        <v>0</v>
      </c>
      <c r="GM83">
        <f t="shared" si="98"/>
        <v>6110.27</v>
      </c>
      <c r="GN83">
        <f t="shared" si="99"/>
        <v>6110.27</v>
      </c>
      <c r="GO83">
        <f t="shared" si="100"/>
        <v>0</v>
      </c>
      <c r="GP83">
        <f t="shared" si="101"/>
        <v>0</v>
      </c>
      <c r="GR83">
        <v>0</v>
      </c>
      <c r="GS83">
        <v>0</v>
      </c>
      <c r="GT83">
        <v>0</v>
      </c>
      <c r="GU83" t="s">
        <v>6</v>
      </c>
      <c r="GV83">
        <f t="shared" si="102"/>
        <v>0</v>
      </c>
      <c r="GW83">
        <v>1</v>
      </c>
      <c r="GX83">
        <f t="shared" si="103"/>
        <v>0</v>
      </c>
      <c r="HA83">
        <v>0</v>
      </c>
      <c r="HB83">
        <v>0</v>
      </c>
      <c r="HC83">
        <f t="shared" si="104"/>
        <v>0</v>
      </c>
      <c r="IK83">
        <v>0</v>
      </c>
    </row>
    <row r="84" spans="1:245" x14ac:dyDescent="0.2">
      <c r="A84">
        <v>18</v>
      </c>
      <c r="B84">
        <v>1</v>
      </c>
      <c r="C84">
        <v>146</v>
      </c>
      <c r="E84" t="s">
        <v>254</v>
      </c>
      <c r="F84" t="s">
        <v>255</v>
      </c>
      <c r="G84" t="s">
        <v>256</v>
      </c>
      <c r="H84" t="s">
        <v>115</v>
      </c>
      <c r="I84">
        <f>I83*J84</f>
        <v>7</v>
      </c>
      <c r="J84">
        <v>99.999999999999986</v>
      </c>
      <c r="O84">
        <f t="shared" si="71"/>
        <v>723.81</v>
      </c>
      <c r="P84">
        <f t="shared" si="72"/>
        <v>723.81</v>
      </c>
      <c r="Q84">
        <f t="shared" si="73"/>
        <v>0</v>
      </c>
      <c r="R84">
        <f t="shared" si="74"/>
        <v>0</v>
      </c>
      <c r="S84">
        <f t="shared" si="75"/>
        <v>0</v>
      </c>
      <c r="T84">
        <f t="shared" si="76"/>
        <v>0</v>
      </c>
      <c r="U84">
        <f t="shared" si="77"/>
        <v>0</v>
      </c>
      <c r="V84">
        <f t="shared" si="78"/>
        <v>0</v>
      </c>
      <c r="W84">
        <f t="shared" si="79"/>
        <v>0</v>
      </c>
      <c r="X84">
        <f t="shared" si="80"/>
        <v>0</v>
      </c>
      <c r="Y84">
        <f t="shared" si="81"/>
        <v>0</v>
      </c>
      <c r="AA84">
        <v>16802145</v>
      </c>
      <c r="AB84">
        <f t="shared" si="82"/>
        <v>15.41</v>
      </c>
      <c r="AC84">
        <f>ROUND((ES84),2)</f>
        <v>15.41</v>
      </c>
      <c r="AD84">
        <f>ROUND((((ET84)-(EU84))+AE84),2)</f>
        <v>0</v>
      </c>
      <c r="AE84">
        <f t="shared" si="108"/>
        <v>0</v>
      </c>
      <c r="AF84">
        <f t="shared" si="108"/>
        <v>0</v>
      </c>
      <c r="AG84">
        <f t="shared" si="83"/>
        <v>0</v>
      </c>
      <c r="AH84">
        <f t="shared" si="109"/>
        <v>0</v>
      </c>
      <c r="AI84">
        <f t="shared" si="109"/>
        <v>0</v>
      </c>
      <c r="AJ84">
        <f t="shared" si="84"/>
        <v>0</v>
      </c>
      <c r="AK84">
        <v>15.41</v>
      </c>
      <c r="AL84">
        <v>15.41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82</v>
      </c>
      <c r="AU84">
        <v>62</v>
      </c>
      <c r="AV84">
        <v>1</v>
      </c>
      <c r="AW84">
        <v>1</v>
      </c>
      <c r="AZ84">
        <v>6.71</v>
      </c>
      <c r="BA84">
        <v>1</v>
      </c>
      <c r="BB84">
        <v>1</v>
      </c>
      <c r="BC84">
        <v>6.71</v>
      </c>
      <c r="BD84" t="s">
        <v>6</v>
      </c>
      <c r="BE84" t="s">
        <v>6</v>
      </c>
      <c r="BF84" t="s">
        <v>6</v>
      </c>
      <c r="BG84" t="s">
        <v>6</v>
      </c>
      <c r="BH84">
        <v>3</v>
      </c>
      <c r="BI84">
        <v>1</v>
      </c>
      <c r="BJ84" t="s">
        <v>257</v>
      </c>
      <c r="BM84">
        <v>56001</v>
      </c>
      <c r="BN84">
        <v>0</v>
      </c>
      <c r="BO84" t="s">
        <v>6</v>
      </c>
      <c r="BP84">
        <v>0</v>
      </c>
      <c r="BQ84">
        <v>6</v>
      </c>
      <c r="BR84">
        <v>0</v>
      </c>
      <c r="BS84">
        <v>1</v>
      </c>
      <c r="BT84">
        <v>1</v>
      </c>
      <c r="BU84">
        <v>1</v>
      </c>
      <c r="BV84">
        <v>1</v>
      </c>
      <c r="BW84">
        <v>1</v>
      </c>
      <c r="BX84">
        <v>1</v>
      </c>
      <c r="BY84" t="s">
        <v>6</v>
      </c>
      <c r="BZ84">
        <v>82</v>
      </c>
      <c r="CA84">
        <v>62</v>
      </c>
      <c r="CE84">
        <v>0</v>
      </c>
      <c r="CF84">
        <v>0</v>
      </c>
      <c r="CG84">
        <v>0</v>
      </c>
      <c r="CM84">
        <v>0</v>
      </c>
      <c r="CN84" t="s">
        <v>6</v>
      </c>
      <c r="CO84">
        <v>0</v>
      </c>
      <c r="CP84">
        <f t="shared" si="85"/>
        <v>723.81</v>
      </c>
      <c r="CQ84">
        <f t="shared" si="86"/>
        <v>103.4011</v>
      </c>
      <c r="CR84">
        <f t="shared" si="87"/>
        <v>0</v>
      </c>
      <c r="CS84">
        <f t="shared" si="88"/>
        <v>0</v>
      </c>
      <c r="CT84">
        <f t="shared" si="89"/>
        <v>0</v>
      </c>
      <c r="CU84">
        <f t="shared" si="90"/>
        <v>0</v>
      </c>
      <c r="CV84">
        <f t="shared" si="91"/>
        <v>0</v>
      </c>
      <c r="CW84">
        <f t="shared" si="92"/>
        <v>0</v>
      </c>
      <c r="CX84">
        <f t="shared" si="93"/>
        <v>0</v>
      </c>
      <c r="CY84">
        <f t="shared" si="94"/>
        <v>0</v>
      </c>
      <c r="CZ84">
        <f t="shared" si="95"/>
        <v>0</v>
      </c>
      <c r="DC84" t="s">
        <v>6</v>
      </c>
      <c r="DD84" t="s">
        <v>6</v>
      </c>
      <c r="DE84" t="s">
        <v>6</v>
      </c>
      <c r="DF84" t="s">
        <v>6</v>
      </c>
      <c r="DG84" t="s">
        <v>6</v>
      </c>
      <c r="DH84" t="s">
        <v>6</v>
      </c>
      <c r="DI84" t="s">
        <v>6</v>
      </c>
      <c r="DJ84" t="s">
        <v>6</v>
      </c>
      <c r="DK84" t="s">
        <v>6</v>
      </c>
      <c r="DL84" t="s">
        <v>6</v>
      </c>
      <c r="DM84" t="s">
        <v>6</v>
      </c>
      <c r="DN84">
        <v>0</v>
      </c>
      <c r="DO84">
        <v>0</v>
      </c>
      <c r="DP84">
        <v>1</v>
      </c>
      <c r="DQ84">
        <v>1</v>
      </c>
      <c r="DU84">
        <v>1003</v>
      </c>
      <c r="DV84" t="s">
        <v>115</v>
      </c>
      <c r="DW84" t="s">
        <v>115</v>
      </c>
      <c r="DX84">
        <v>1</v>
      </c>
      <c r="EE84">
        <v>16510565</v>
      </c>
      <c r="EF84">
        <v>6</v>
      </c>
      <c r="EG84" t="s">
        <v>20</v>
      </c>
      <c r="EH84">
        <v>0</v>
      </c>
      <c r="EI84" t="s">
        <v>6</v>
      </c>
      <c r="EJ84">
        <v>1</v>
      </c>
      <c r="EK84">
        <v>56001</v>
      </c>
      <c r="EL84" t="s">
        <v>252</v>
      </c>
      <c r="EM84" t="s">
        <v>253</v>
      </c>
      <c r="EO84" t="s">
        <v>6</v>
      </c>
      <c r="EQ84">
        <v>0</v>
      </c>
      <c r="ER84">
        <v>15.41</v>
      </c>
      <c r="ES84">
        <v>15.41</v>
      </c>
      <c r="ET84">
        <v>0</v>
      </c>
      <c r="EU84">
        <v>0</v>
      </c>
      <c r="EV84">
        <v>0</v>
      </c>
      <c r="EW84">
        <v>0</v>
      </c>
      <c r="EX84">
        <v>0</v>
      </c>
      <c r="FQ84">
        <v>0</v>
      </c>
      <c r="FR84">
        <f t="shared" si="96"/>
        <v>0</v>
      </c>
      <c r="FS84">
        <v>0</v>
      </c>
      <c r="FX84">
        <v>82</v>
      </c>
      <c r="FY84">
        <v>62</v>
      </c>
      <c r="GA84" t="s">
        <v>6</v>
      </c>
      <c r="GD84">
        <v>0</v>
      </c>
      <c r="GF84">
        <v>2008626522</v>
      </c>
      <c r="GG84">
        <v>1</v>
      </c>
      <c r="GH84">
        <v>1</v>
      </c>
      <c r="GI84">
        <v>4</v>
      </c>
      <c r="GJ84">
        <v>0</v>
      </c>
      <c r="GK84">
        <f>ROUND(R84*(R12)/100,2)</f>
        <v>0</v>
      </c>
      <c r="GL84">
        <f t="shared" si="97"/>
        <v>0</v>
      </c>
      <c r="GM84">
        <f t="shared" si="98"/>
        <v>723.81</v>
      </c>
      <c r="GN84">
        <f t="shared" si="99"/>
        <v>723.81</v>
      </c>
      <c r="GO84">
        <f t="shared" si="100"/>
        <v>0</v>
      </c>
      <c r="GP84">
        <f t="shared" si="101"/>
        <v>0</v>
      </c>
      <c r="GR84">
        <v>0</v>
      </c>
      <c r="GS84">
        <v>3</v>
      </c>
      <c r="GT84">
        <v>0</v>
      </c>
      <c r="GU84" t="s">
        <v>6</v>
      </c>
      <c r="GV84">
        <f t="shared" si="102"/>
        <v>0</v>
      </c>
      <c r="GW84">
        <v>1</v>
      </c>
      <c r="GX84">
        <f t="shared" si="103"/>
        <v>0</v>
      </c>
      <c r="HA84">
        <v>0</v>
      </c>
      <c r="HB84">
        <v>0</v>
      </c>
      <c r="HC84">
        <f t="shared" si="104"/>
        <v>0</v>
      </c>
      <c r="IK84">
        <v>0</v>
      </c>
    </row>
    <row r="85" spans="1:245" x14ac:dyDescent="0.2">
      <c r="A85">
        <v>17</v>
      </c>
      <c r="B85">
        <v>1</v>
      </c>
      <c r="C85">
        <f>ROW(SmtRes!A153)</f>
        <v>153</v>
      </c>
      <c r="D85">
        <f>ROW(EtalonRes!A151)</f>
        <v>151</v>
      </c>
      <c r="E85" t="s">
        <v>258</v>
      </c>
      <c r="F85" t="s">
        <v>259</v>
      </c>
      <c r="G85" t="s">
        <v>260</v>
      </c>
      <c r="H85" t="s">
        <v>65</v>
      </c>
      <c r="I85">
        <v>24</v>
      </c>
      <c r="J85">
        <v>0</v>
      </c>
      <c r="O85">
        <f t="shared" si="71"/>
        <v>3834.37</v>
      </c>
      <c r="P85">
        <f t="shared" si="72"/>
        <v>2641.06</v>
      </c>
      <c r="Q85">
        <f t="shared" si="73"/>
        <v>0</v>
      </c>
      <c r="R85">
        <f t="shared" si="74"/>
        <v>0</v>
      </c>
      <c r="S85">
        <f t="shared" si="75"/>
        <v>1193.31</v>
      </c>
      <c r="T85">
        <f t="shared" si="76"/>
        <v>0</v>
      </c>
      <c r="U85">
        <f t="shared" si="77"/>
        <v>24.72</v>
      </c>
      <c r="V85">
        <f t="shared" si="78"/>
        <v>0</v>
      </c>
      <c r="W85">
        <f t="shared" si="79"/>
        <v>0</v>
      </c>
      <c r="X85">
        <f t="shared" si="80"/>
        <v>930.78</v>
      </c>
      <c r="Y85">
        <f t="shared" si="81"/>
        <v>596.66</v>
      </c>
      <c r="AA85">
        <v>16802145</v>
      </c>
      <c r="AB85">
        <f t="shared" si="82"/>
        <v>23.81</v>
      </c>
      <c r="AC85">
        <f>ROUND((ES85),2)</f>
        <v>16.399999999999999</v>
      </c>
      <c r="AD85">
        <f>ROUND((((ET85)-(EU85))+AE85),2)</f>
        <v>0</v>
      </c>
      <c r="AE85">
        <f t="shared" si="108"/>
        <v>0</v>
      </c>
      <c r="AF85">
        <f t="shared" si="108"/>
        <v>7.41</v>
      </c>
      <c r="AG85">
        <f t="shared" si="83"/>
        <v>0</v>
      </c>
      <c r="AH85">
        <f t="shared" si="109"/>
        <v>1.03</v>
      </c>
      <c r="AI85">
        <f t="shared" si="109"/>
        <v>0</v>
      </c>
      <c r="AJ85">
        <f t="shared" si="84"/>
        <v>0</v>
      </c>
      <c r="AK85">
        <v>23.81</v>
      </c>
      <c r="AL85">
        <v>16.399999999999999</v>
      </c>
      <c r="AM85">
        <v>0</v>
      </c>
      <c r="AN85">
        <v>0</v>
      </c>
      <c r="AO85">
        <v>7.41</v>
      </c>
      <c r="AP85">
        <v>0</v>
      </c>
      <c r="AQ85">
        <v>1.03</v>
      </c>
      <c r="AR85">
        <v>0</v>
      </c>
      <c r="AS85">
        <v>0</v>
      </c>
      <c r="AT85">
        <v>78</v>
      </c>
      <c r="AU85">
        <v>50</v>
      </c>
      <c r="AV85">
        <v>1</v>
      </c>
      <c r="AW85">
        <v>1</v>
      </c>
      <c r="AZ85">
        <v>6.71</v>
      </c>
      <c r="BA85">
        <v>6.71</v>
      </c>
      <c r="BB85">
        <v>6.71</v>
      </c>
      <c r="BC85">
        <v>6.71</v>
      </c>
      <c r="BD85" t="s">
        <v>6</v>
      </c>
      <c r="BE85" t="s">
        <v>6</v>
      </c>
      <c r="BF85" t="s">
        <v>6</v>
      </c>
      <c r="BG85" t="s">
        <v>6</v>
      </c>
      <c r="BH85">
        <v>0</v>
      </c>
      <c r="BI85">
        <v>1</v>
      </c>
      <c r="BJ85" t="s">
        <v>261</v>
      </c>
      <c r="BM85">
        <v>69001</v>
      </c>
      <c r="BN85">
        <v>0</v>
      </c>
      <c r="BO85" t="s">
        <v>6</v>
      </c>
      <c r="BP85">
        <v>0</v>
      </c>
      <c r="BQ85">
        <v>6</v>
      </c>
      <c r="BR85">
        <v>0</v>
      </c>
      <c r="BS85">
        <v>6.71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6</v>
      </c>
      <c r="BZ85">
        <v>78</v>
      </c>
      <c r="CA85">
        <v>50</v>
      </c>
      <c r="CE85">
        <v>0</v>
      </c>
      <c r="CF85">
        <v>0</v>
      </c>
      <c r="CG85">
        <v>0</v>
      </c>
      <c r="CM85">
        <v>0</v>
      </c>
      <c r="CN85" t="s">
        <v>6</v>
      </c>
      <c r="CO85">
        <v>0</v>
      </c>
      <c r="CP85">
        <f t="shared" si="85"/>
        <v>3834.37</v>
      </c>
      <c r="CQ85">
        <f t="shared" si="86"/>
        <v>110.044</v>
      </c>
      <c r="CR85">
        <f t="shared" si="87"/>
        <v>0</v>
      </c>
      <c r="CS85">
        <f t="shared" si="88"/>
        <v>0</v>
      </c>
      <c r="CT85">
        <f t="shared" si="89"/>
        <v>49.7211</v>
      </c>
      <c r="CU85">
        <f t="shared" si="90"/>
        <v>0</v>
      </c>
      <c r="CV85">
        <f t="shared" si="91"/>
        <v>1.03</v>
      </c>
      <c r="CW85">
        <f t="shared" si="92"/>
        <v>0</v>
      </c>
      <c r="CX85">
        <f t="shared" si="93"/>
        <v>0</v>
      </c>
      <c r="CY85">
        <f t="shared" si="94"/>
        <v>930.78179999999998</v>
      </c>
      <c r="CZ85">
        <f t="shared" si="95"/>
        <v>596.65499999999997</v>
      </c>
      <c r="DC85" t="s">
        <v>6</v>
      </c>
      <c r="DD85" t="s">
        <v>6</v>
      </c>
      <c r="DE85" t="s">
        <v>6</v>
      </c>
      <c r="DF85" t="s">
        <v>6</v>
      </c>
      <c r="DG85" t="s">
        <v>6</v>
      </c>
      <c r="DH85" t="s">
        <v>6</v>
      </c>
      <c r="DI85" t="s">
        <v>6</v>
      </c>
      <c r="DJ85" t="s">
        <v>6</v>
      </c>
      <c r="DK85" t="s">
        <v>6</v>
      </c>
      <c r="DL85" t="s">
        <v>6</v>
      </c>
      <c r="DM85" t="s">
        <v>6</v>
      </c>
      <c r="DN85">
        <v>0</v>
      </c>
      <c r="DO85">
        <v>0</v>
      </c>
      <c r="DP85">
        <v>1</v>
      </c>
      <c r="DQ85">
        <v>1</v>
      </c>
      <c r="DU85">
        <v>1009</v>
      </c>
      <c r="DV85" t="s">
        <v>65</v>
      </c>
      <c r="DW85" t="s">
        <v>65</v>
      </c>
      <c r="DX85">
        <v>1000</v>
      </c>
      <c r="EE85">
        <v>16510614</v>
      </c>
      <c r="EF85">
        <v>6</v>
      </c>
      <c r="EG85" t="s">
        <v>20</v>
      </c>
      <c r="EH85">
        <v>0</v>
      </c>
      <c r="EI85" t="s">
        <v>6</v>
      </c>
      <c r="EJ85">
        <v>1</v>
      </c>
      <c r="EK85">
        <v>69001</v>
      </c>
      <c r="EL85" t="s">
        <v>262</v>
      </c>
      <c r="EM85" t="s">
        <v>263</v>
      </c>
      <c r="EO85" t="s">
        <v>6</v>
      </c>
      <c r="EQ85">
        <v>131072</v>
      </c>
      <c r="ER85">
        <v>23.81</v>
      </c>
      <c r="ES85">
        <v>16.399999999999999</v>
      </c>
      <c r="ET85">
        <v>0</v>
      </c>
      <c r="EU85">
        <v>0</v>
      </c>
      <c r="EV85">
        <v>7.41</v>
      </c>
      <c r="EW85">
        <v>1.03</v>
      </c>
      <c r="EX85">
        <v>0</v>
      </c>
      <c r="EY85">
        <v>0</v>
      </c>
      <c r="FQ85">
        <v>0</v>
      </c>
      <c r="FR85">
        <f t="shared" si="96"/>
        <v>0</v>
      </c>
      <c r="FS85">
        <v>0</v>
      </c>
      <c r="FX85">
        <v>78</v>
      </c>
      <c r="FY85">
        <v>50</v>
      </c>
      <c r="GA85" t="s">
        <v>6</v>
      </c>
      <c r="GD85">
        <v>0</v>
      </c>
      <c r="GF85">
        <v>-1073482640</v>
      </c>
      <c r="GG85">
        <v>1</v>
      </c>
      <c r="GH85">
        <v>1</v>
      </c>
      <c r="GI85">
        <v>4</v>
      </c>
      <c r="GJ85">
        <v>0</v>
      </c>
      <c r="GK85">
        <f>ROUND(R85*(R12)/100,2)</f>
        <v>0</v>
      </c>
      <c r="GL85">
        <f t="shared" si="97"/>
        <v>0</v>
      </c>
      <c r="GM85">
        <f t="shared" si="98"/>
        <v>5361.81</v>
      </c>
      <c r="GN85">
        <f t="shared" si="99"/>
        <v>5361.81</v>
      </c>
      <c r="GO85">
        <f t="shared" si="100"/>
        <v>0</v>
      </c>
      <c r="GP85">
        <f t="shared" si="101"/>
        <v>0</v>
      </c>
      <c r="GR85">
        <v>0</v>
      </c>
      <c r="GS85">
        <v>3</v>
      </c>
      <c r="GT85">
        <v>0</v>
      </c>
      <c r="GU85" t="s">
        <v>6</v>
      </c>
      <c r="GV85">
        <f t="shared" si="102"/>
        <v>0</v>
      </c>
      <c r="GW85">
        <v>1</v>
      </c>
      <c r="GX85">
        <f t="shared" si="103"/>
        <v>0</v>
      </c>
      <c r="HA85">
        <v>0</v>
      </c>
      <c r="HB85">
        <v>0</v>
      </c>
      <c r="HC85">
        <f t="shared" si="104"/>
        <v>0</v>
      </c>
      <c r="IK85">
        <v>0</v>
      </c>
    </row>
    <row r="86" spans="1:245" x14ac:dyDescent="0.2">
      <c r="A86">
        <v>17</v>
      </c>
      <c r="B86">
        <v>1</v>
      </c>
      <c r="E86" t="s">
        <v>264</v>
      </c>
      <c r="F86" t="s">
        <v>265</v>
      </c>
      <c r="G86" t="s">
        <v>266</v>
      </c>
      <c r="H86" t="s">
        <v>267</v>
      </c>
      <c r="I86">
        <v>24</v>
      </c>
      <c r="J86">
        <v>0</v>
      </c>
      <c r="O86">
        <f>0</f>
        <v>0</v>
      </c>
      <c r="P86">
        <f>0</f>
        <v>0</v>
      </c>
      <c r="Q86">
        <f>0</f>
        <v>0</v>
      </c>
      <c r="R86">
        <f>0</f>
        <v>0</v>
      </c>
      <c r="S86">
        <f>0</f>
        <v>0</v>
      </c>
      <c r="T86">
        <f>0</f>
        <v>0</v>
      </c>
      <c r="U86">
        <f>0</f>
        <v>0</v>
      </c>
      <c r="V86">
        <f>0</f>
        <v>0</v>
      </c>
      <c r="W86">
        <f>0</f>
        <v>0</v>
      </c>
      <c r="X86">
        <f>0</f>
        <v>0</v>
      </c>
      <c r="Y86">
        <f>0</f>
        <v>0</v>
      </c>
      <c r="AA86">
        <v>16802145</v>
      </c>
      <c r="AB86">
        <f>ROUND((AK86),2)</f>
        <v>42.98</v>
      </c>
      <c r="AC86">
        <f>0</f>
        <v>0</v>
      </c>
      <c r="AD86">
        <f>0</f>
        <v>0</v>
      </c>
      <c r="AE86">
        <f>0</f>
        <v>0</v>
      </c>
      <c r="AF86">
        <f>0</f>
        <v>0</v>
      </c>
      <c r="AG86">
        <f>0</f>
        <v>0</v>
      </c>
      <c r="AH86">
        <f>0</f>
        <v>0</v>
      </c>
      <c r="AI86">
        <f>0</f>
        <v>0</v>
      </c>
      <c r="AJ86">
        <f>0</f>
        <v>0</v>
      </c>
      <c r="AK86">
        <v>42.98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1</v>
      </c>
      <c r="AW86">
        <v>1</v>
      </c>
      <c r="AZ86">
        <v>6.71</v>
      </c>
      <c r="BA86">
        <v>1</v>
      </c>
      <c r="BB86">
        <v>1</v>
      </c>
      <c r="BC86">
        <v>1</v>
      </c>
      <c r="BD86" t="s">
        <v>6</v>
      </c>
      <c r="BE86" t="s">
        <v>6</v>
      </c>
      <c r="BF86" t="s">
        <v>6</v>
      </c>
      <c r="BG86" t="s">
        <v>6</v>
      </c>
      <c r="BH86">
        <v>0</v>
      </c>
      <c r="BI86">
        <v>1</v>
      </c>
      <c r="BJ86" t="s">
        <v>268</v>
      </c>
      <c r="BM86">
        <v>700004</v>
      </c>
      <c r="BN86">
        <v>0</v>
      </c>
      <c r="BO86" t="s">
        <v>6</v>
      </c>
      <c r="BP86">
        <v>0</v>
      </c>
      <c r="BQ86">
        <v>19</v>
      </c>
      <c r="BR86">
        <v>0</v>
      </c>
      <c r="BS86">
        <v>1</v>
      </c>
      <c r="BT86">
        <v>1</v>
      </c>
      <c r="BU86">
        <v>1</v>
      </c>
      <c r="BV86">
        <v>1</v>
      </c>
      <c r="BW86">
        <v>1</v>
      </c>
      <c r="BX86">
        <v>1</v>
      </c>
      <c r="BY86" t="s">
        <v>6</v>
      </c>
      <c r="BZ86">
        <v>0</v>
      </c>
      <c r="CA86">
        <v>0</v>
      </c>
      <c r="CE86">
        <v>0</v>
      </c>
      <c r="CF86">
        <v>0</v>
      </c>
      <c r="CG86">
        <v>0</v>
      </c>
      <c r="CM86">
        <v>0</v>
      </c>
      <c r="CN86" t="s">
        <v>6</v>
      </c>
      <c r="CO86">
        <v>0</v>
      </c>
      <c r="CP86">
        <f>AB86*AZ86</f>
        <v>288.39579999999995</v>
      </c>
      <c r="CQ86">
        <v>0</v>
      </c>
      <c r="CR86">
        <v>0</v>
      </c>
      <c r="CS86">
        <v>0</v>
      </c>
      <c r="CT86">
        <v>0</v>
      </c>
      <c r="CU86">
        <v>0</v>
      </c>
      <c r="CV86">
        <v>0</v>
      </c>
      <c r="CW86">
        <v>0</v>
      </c>
      <c r="CX86">
        <v>0</v>
      </c>
      <c r="CY86">
        <v>0</v>
      </c>
      <c r="CZ86">
        <v>0</v>
      </c>
      <c r="DC86" t="s">
        <v>6</v>
      </c>
      <c r="DD86" t="s">
        <v>6</v>
      </c>
      <c r="DE86" t="s">
        <v>6</v>
      </c>
      <c r="DF86" t="s">
        <v>6</v>
      </c>
      <c r="DG86" t="s">
        <v>6</v>
      </c>
      <c r="DH86" t="s">
        <v>6</v>
      </c>
      <c r="DI86" t="s">
        <v>6</v>
      </c>
      <c r="DJ86" t="s">
        <v>6</v>
      </c>
      <c r="DK86" t="s">
        <v>6</v>
      </c>
      <c r="DL86" t="s">
        <v>6</v>
      </c>
      <c r="DM86" t="s">
        <v>6</v>
      </c>
      <c r="DN86">
        <v>0</v>
      </c>
      <c r="DO86">
        <v>0</v>
      </c>
      <c r="DP86">
        <v>1</v>
      </c>
      <c r="DQ86">
        <v>1</v>
      </c>
      <c r="DU86">
        <v>1013</v>
      </c>
      <c r="DV86" t="s">
        <v>267</v>
      </c>
      <c r="DW86" t="s">
        <v>267</v>
      </c>
      <c r="DX86">
        <v>1</v>
      </c>
      <c r="EE86">
        <v>16510675</v>
      </c>
      <c r="EF86">
        <v>19</v>
      </c>
      <c r="EG86" t="s">
        <v>269</v>
      </c>
      <c r="EH86">
        <v>0</v>
      </c>
      <c r="EI86" t="s">
        <v>6</v>
      </c>
      <c r="EJ86">
        <v>1</v>
      </c>
      <c r="EK86">
        <v>700004</v>
      </c>
      <c r="EL86" t="s">
        <v>270</v>
      </c>
      <c r="EM86" t="s">
        <v>271</v>
      </c>
      <c r="EO86" t="s">
        <v>6</v>
      </c>
      <c r="EQ86">
        <v>131072</v>
      </c>
      <c r="ER86">
        <v>0</v>
      </c>
      <c r="ES86">
        <v>0</v>
      </c>
      <c r="ET86">
        <v>0</v>
      </c>
      <c r="EU86">
        <v>0</v>
      </c>
      <c r="EV86">
        <v>0</v>
      </c>
      <c r="EW86">
        <v>0</v>
      </c>
      <c r="EX86">
        <v>0</v>
      </c>
      <c r="EY86">
        <v>0</v>
      </c>
      <c r="FQ86">
        <v>0</v>
      </c>
      <c r="FR86">
        <f t="shared" si="96"/>
        <v>0</v>
      </c>
      <c r="FS86">
        <v>0</v>
      </c>
      <c r="FX86">
        <v>0</v>
      </c>
      <c r="FY86">
        <v>0</v>
      </c>
      <c r="GA86" t="s">
        <v>6</v>
      </c>
      <c r="GD86">
        <v>0</v>
      </c>
      <c r="GF86">
        <v>811861299</v>
      </c>
      <c r="GG86">
        <v>1</v>
      </c>
      <c r="GH86">
        <v>1</v>
      </c>
      <c r="GI86">
        <v>4</v>
      </c>
      <c r="GJ86">
        <v>2</v>
      </c>
      <c r="GK86">
        <f>ROUND(R86*(R12)/100,2)</f>
        <v>0</v>
      </c>
      <c r="GL86">
        <f t="shared" si="97"/>
        <v>0</v>
      </c>
      <c r="GM86">
        <f>ROUND(CP86*I86,2)</f>
        <v>6921.5</v>
      </c>
      <c r="GN86">
        <f>IF(OR(BI86=0,BI86=1),ROUND(CP86*I86,2),0)</f>
        <v>6921.5</v>
      </c>
      <c r="GO86">
        <f>IF(BI86=2,ROUND(CP86*I86,2),0)</f>
        <v>0</v>
      </c>
      <c r="GP86">
        <f>IF(BI86=4,ROUND(CP86*I86,2)+GX86,0)</f>
        <v>0</v>
      </c>
      <c r="GR86">
        <v>0</v>
      </c>
      <c r="GS86">
        <v>3</v>
      </c>
      <c r="GT86">
        <v>0</v>
      </c>
      <c r="GU86" t="s">
        <v>6</v>
      </c>
      <c r="GV86">
        <f>0</f>
        <v>0</v>
      </c>
      <c r="GW86">
        <v>1</v>
      </c>
      <c r="GX86">
        <f>0</f>
        <v>0</v>
      </c>
      <c r="HA86">
        <v>0</v>
      </c>
      <c r="HB86">
        <v>0</v>
      </c>
      <c r="HC86">
        <v>0</v>
      </c>
      <c r="IK86">
        <v>0</v>
      </c>
    </row>
    <row r="87" spans="1:245" x14ac:dyDescent="0.2">
      <c r="A87">
        <v>17</v>
      </c>
      <c r="B87">
        <v>1</v>
      </c>
      <c r="E87" t="s">
        <v>272</v>
      </c>
      <c r="F87" t="s">
        <v>273</v>
      </c>
      <c r="G87" t="s">
        <v>274</v>
      </c>
      <c r="H87" t="s">
        <v>267</v>
      </c>
      <c r="I87">
        <v>24</v>
      </c>
      <c r="J87">
        <v>0</v>
      </c>
      <c r="O87">
        <f>0</f>
        <v>0</v>
      </c>
      <c r="P87">
        <f>0</f>
        <v>0</v>
      </c>
      <c r="Q87">
        <f>0</f>
        <v>0</v>
      </c>
      <c r="R87">
        <f>0</f>
        <v>0</v>
      </c>
      <c r="S87">
        <f>0</f>
        <v>0</v>
      </c>
      <c r="T87">
        <f>0</f>
        <v>0</v>
      </c>
      <c r="U87">
        <f>0</f>
        <v>0</v>
      </c>
      <c r="V87">
        <f>0</f>
        <v>0</v>
      </c>
      <c r="W87">
        <f>0</f>
        <v>0</v>
      </c>
      <c r="X87">
        <f>0</f>
        <v>0</v>
      </c>
      <c r="Y87">
        <f>0</f>
        <v>0</v>
      </c>
      <c r="AA87">
        <v>16802145</v>
      </c>
      <c r="AB87">
        <f>ROUND((AK87),2)</f>
        <v>19.54</v>
      </c>
      <c r="AC87">
        <f>0</f>
        <v>0</v>
      </c>
      <c r="AD87">
        <f>0</f>
        <v>0</v>
      </c>
      <c r="AE87">
        <f>0</f>
        <v>0</v>
      </c>
      <c r="AF87">
        <f>0</f>
        <v>0</v>
      </c>
      <c r="AG87">
        <f>0</f>
        <v>0</v>
      </c>
      <c r="AH87">
        <f>0</f>
        <v>0</v>
      </c>
      <c r="AI87">
        <f>0</f>
        <v>0</v>
      </c>
      <c r="AJ87">
        <f>0</f>
        <v>0</v>
      </c>
      <c r="AK87">
        <v>19.54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1</v>
      </c>
      <c r="AW87">
        <v>1</v>
      </c>
      <c r="AZ87">
        <v>6.71</v>
      </c>
      <c r="BA87">
        <v>1</v>
      </c>
      <c r="BB87">
        <v>1</v>
      </c>
      <c r="BC87">
        <v>1</v>
      </c>
      <c r="BD87" t="s">
        <v>6</v>
      </c>
      <c r="BE87" t="s">
        <v>6</v>
      </c>
      <c r="BF87" t="s">
        <v>6</v>
      </c>
      <c r="BG87" t="s">
        <v>6</v>
      </c>
      <c r="BH87">
        <v>0</v>
      </c>
      <c r="BI87">
        <v>1</v>
      </c>
      <c r="BJ87" t="s">
        <v>275</v>
      </c>
      <c r="BM87">
        <v>700005</v>
      </c>
      <c r="BN87">
        <v>0</v>
      </c>
      <c r="BO87" t="s">
        <v>6</v>
      </c>
      <c r="BP87">
        <v>0</v>
      </c>
      <c r="BQ87">
        <v>10</v>
      </c>
      <c r="BR87">
        <v>0</v>
      </c>
      <c r="BS87">
        <v>1</v>
      </c>
      <c r="BT87">
        <v>1</v>
      </c>
      <c r="BU87">
        <v>1</v>
      </c>
      <c r="BV87">
        <v>1</v>
      </c>
      <c r="BW87">
        <v>1</v>
      </c>
      <c r="BX87">
        <v>1</v>
      </c>
      <c r="BY87" t="s">
        <v>6</v>
      </c>
      <c r="BZ87">
        <v>0</v>
      </c>
      <c r="CA87">
        <v>0</v>
      </c>
      <c r="CE87">
        <v>0</v>
      </c>
      <c r="CF87">
        <v>0</v>
      </c>
      <c r="CG87">
        <v>0</v>
      </c>
      <c r="CM87">
        <v>0</v>
      </c>
      <c r="CN87" t="s">
        <v>6</v>
      </c>
      <c r="CO87">
        <v>0</v>
      </c>
      <c r="CP87">
        <f>AB87*AZ87</f>
        <v>131.11339999999998</v>
      </c>
      <c r="CQ87">
        <v>0</v>
      </c>
      <c r="CR87">
        <v>0</v>
      </c>
      <c r="CS87">
        <v>0</v>
      </c>
      <c r="CT87">
        <v>0</v>
      </c>
      <c r="CU87">
        <v>0</v>
      </c>
      <c r="CV87">
        <v>0</v>
      </c>
      <c r="CW87">
        <v>0</v>
      </c>
      <c r="CX87">
        <v>0</v>
      </c>
      <c r="CY87">
        <v>0</v>
      </c>
      <c r="CZ87">
        <v>0</v>
      </c>
      <c r="DC87" t="s">
        <v>6</v>
      </c>
      <c r="DD87" t="s">
        <v>6</v>
      </c>
      <c r="DE87" t="s">
        <v>6</v>
      </c>
      <c r="DF87" t="s">
        <v>6</v>
      </c>
      <c r="DG87" t="s">
        <v>6</v>
      </c>
      <c r="DH87" t="s">
        <v>6</v>
      </c>
      <c r="DI87" t="s">
        <v>6</v>
      </c>
      <c r="DJ87" t="s">
        <v>6</v>
      </c>
      <c r="DK87" t="s">
        <v>6</v>
      </c>
      <c r="DL87" t="s">
        <v>6</v>
      </c>
      <c r="DM87" t="s">
        <v>6</v>
      </c>
      <c r="DN87">
        <v>0</v>
      </c>
      <c r="DO87">
        <v>0</v>
      </c>
      <c r="DP87">
        <v>1</v>
      </c>
      <c r="DQ87">
        <v>1</v>
      </c>
      <c r="DU87">
        <v>1013</v>
      </c>
      <c r="DV87" t="s">
        <v>267</v>
      </c>
      <c r="DW87" t="s">
        <v>267</v>
      </c>
      <c r="DX87">
        <v>1</v>
      </c>
      <c r="EE87">
        <v>16510679</v>
      </c>
      <c r="EF87">
        <v>10</v>
      </c>
      <c r="EG87" t="s">
        <v>276</v>
      </c>
      <c r="EH87">
        <v>0</v>
      </c>
      <c r="EI87" t="s">
        <v>6</v>
      </c>
      <c r="EJ87">
        <v>1</v>
      </c>
      <c r="EK87">
        <v>700005</v>
      </c>
      <c r="EL87" t="s">
        <v>277</v>
      </c>
      <c r="EM87" t="s">
        <v>278</v>
      </c>
      <c r="EO87" t="s">
        <v>6</v>
      </c>
      <c r="EQ87">
        <v>131072</v>
      </c>
      <c r="ER87">
        <v>0</v>
      </c>
      <c r="ES87">
        <v>0</v>
      </c>
      <c r="ET87">
        <v>0</v>
      </c>
      <c r="EU87">
        <v>0</v>
      </c>
      <c r="EV87">
        <v>0</v>
      </c>
      <c r="EW87">
        <v>0</v>
      </c>
      <c r="EX87">
        <v>0</v>
      </c>
      <c r="EY87">
        <v>0</v>
      </c>
      <c r="FQ87">
        <v>0</v>
      </c>
      <c r="FR87">
        <f t="shared" si="96"/>
        <v>0</v>
      </c>
      <c r="FS87">
        <v>0</v>
      </c>
      <c r="FX87">
        <v>0</v>
      </c>
      <c r="FY87">
        <v>0</v>
      </c>
      <c r="GA87" t="s">
        <v>6</v>
      </c>
      <c r="GD87">
        <v>0</v>
      </c>
      <c r="GF87">
        <v>-587392605</v>
      </c>
      <c r="GG87">
        <v>1</v>
      </c>
      <c r="GH87">
        <v>1</v>
      </c>
      <c r="GI87">
        <v>4</v>
      </c>
      <c r="GJ87">
        <v>2</v>
      </c>
      <c r="GK87">
        <f>ROUND(R87*(R12)/100,2)</f>
        <v>0</v>
      </c>
      <c r="GL87">
        <f t="shared" si="97"/>
        <v>0</v>
      </c>
      <c r="GM87">
        <f>ROUND(CP87*I87,2)</f>
        <v>3146.72</v>
      </c>
      <c r="GN87">
        <f>IF(OR(BI87=0,BI87=1),ROUND(CP87*I87,2),0)</f>
        <v>3146.72</v>
      </c>
      <c r="GO87">
        <f>IF(BI87=2,ROUND(CP87*I87,2),0)</f>
        <v>0</v>
      </c>
      <c r="GP87">
        <f>IF(BI87=4,ROUND(CP87*I87,2)+GX87,0)</f>
        <v>0</v>
      </c>
      <c r="GR87">
        <v>0</v>
      </c>
      <c r="GS87">
        <v>3</v>
      </c>
      <c r="GT87">
        <v>0</v>
      </c>
      <c r="GU87" t="s">
        <v>6</v>
      </c>
      <c r="GV87">
        <f>0</f>
        <v>0</v>
      </c>
      <c r="GW87">
        <v>1</v>
      </c>
      <c r="GX87">
        <f>0</f>
        <v>0</v>
      </c>
      <c r="HA87">
        <v>0</v>
      </c>
      <c r="HB87">
        <v>0</v>
      </c>
      <c r="HC87">
        <v>0</v>
      </c>
      <c r="IK87">
        <v>0</v>
      </c>
    </row>
    <row r="89" spans="1:245" x14ac:dyDescent="0.2">
      <c r="A89" s="2">
        <v>51</v>
      </c>
      <c r="B89" s="2">
        <f>B24</f>
        <v>1</v>
      </c>
      <c r="C89" s="2">
        <f>A24</f>
        <v>4</v>
      </c>
      <c r="D89" s="2">
        <f>ROW(A24)</f>
        <v>24</v>
      </c>
      <c r="E89" s="2"/>
      <c r="F89" s="2" t="str">
        <f>IF(F24&lt;&gt;"",F24,"")</f>
        <v>Новый раздел</v>
      </c>
      <c r="G89" s="2" t="str">
        <f>IF(G24&lt;&gt;"",G24,"")</f>
        <v>1 Общестроительные работы</v>
      </c>
      <c r="H89" s="2">
        <v>0</v>
      </c>
      <c r="I89" s="2"/>
      <c r="J89" s="2"/>
      <c r="K89" s="2"/>
      <c r="L89" s="2"/>
      <c r="M89" s="2"/>
      <c r="N89" s="2"/>
      <c r="O89" s="2">
        <f t="shared" ref="O89:T89" si="110">ROUND(AB89,2)</f>
        <v>877709.7</v>
      </c>
      <c r="P89" s="2">
        <f t="shared" si="110"/>
        <v>807203.22</v>
      </c>
      <c r="Q89" s="2">
        <f t="shared" si="110"/>
        <v>8227.81</v>
      </c>
      <c r="R89" s="2">
        <f t="shared" si="110"/>
        <v>1776.73</v>
      </c>
      <c r="S89" s="2">
        <f t="shared" si="110"/>
        <v>62278.67</v>
      </c>
      <c r="T89" s="2">
        <f t="shared" si="110"/>
        <v>0</v>
      </c>
      <c r="U89" s="2">
        <f>AH89</f>
        <v>1058.9987436999997</v>
      </c>
      <c r="V89" s="2">
        <f>AI89</f>
        <v>22.235387500000005</v>
      </c>
      <c r="W89" s="2">
        <f>ROUND(AJ89,2)</f>
        <v>0</v>
      </c>
      <c r="X89" s="2">
        <f>ROUND(AK89,2)</f>
        <v>60701.74</v>
      </c>
      <c r="Y89" s="2">
        <f>ROUND(AL89,2)</f>
        <v>33937.53</v>
      </c>
      <c r="Z89" s="2"/>
      <c r="AA89" s="2"/>
      <c r="AB89" s="2">
        <f>ROUND(SUMIF(AA28:AA87,"=16802145",O28:O87),2)</f>
        <v>877709.7</v>
      </c>
      <c r="AC89" s="2">
        <f>ROUND(SUMIF(AA28:AA87,"=16802145",P28:P87),2)</f>
        <v>807203.22</v>
      </c>
      <c r="AD89" s="2">
        <f>ROUND(SUMIF(AA28:AA87,"=16802145",Q28:Q87),2)</f>
        <v>8227.81</v>
      </c>
      <c r="AE89" s="2">
        <f>ROUND(SUMIF(AA28:AA87,"=16802145",R28:R87),2)</f>
        <v>1776.73</v>
      </c>
      <c r="AF89" s="2">
        <f>ROUND(SUMIF(AA28:AA87,"=16802145",S28:S87),2)</f>
        <v>62278.67</v>
      </c>
      <c r="AG89" s="2">
        <f>ROUND(SUMIF(AA28:AA87,"=16802145",T28:T87),2)</f>
        <v>0</v>
      </c>
      <c r="AH89" s="2">
        <f>SUMIF(AA28:AA87,"=16802145",U28:U87)</f>
        <v>1058.9987436999997</v>
      </c>
      <c r="AI89" s="2">
        <f>SUMIF(AA28:AA87,"=16802145",V28:V87)</f>
        <v>22.235387500000005</v>
      </c>
      <c r="AJ89" s="2">
        <f>ROUND(SUMIF(AA28:AA87,"=16802145",W28:W87),2)</f>
        <v>0</v>
      </c>
      <c r="AK89" s="2">
        <f>ROUND(SUMIF(AA28:AA87,"=16802145",X28:X87),2)</f>
        <v>60701.74</v>
      </c>
      <c r="AL89" s="2">
        <f>ROUND(SUMIF(AA28:AA87,"=16802145",Y28:Y87),2)</f>
        <v>33937.53</v>
      </c>
      <c r="AM89" s="2"/>
      <c r="AN89" s="2"/>
      <c r="AO89" s="2">
        <f t="shared" ref="AO89:BC89" si="111">ROUND(BX89,2)</f>
        <v>0</v>
      </c>
      <c r="AP89" s="2">
        <f t="shared" si="111"/>
        <v>0</v>
      </c>
      <c r="AQ89" s="2">
        <f t="shared" si="111"/>
        <v>0</v>
      </c>
      <c r="AR89" s="2">
        <f t="shared" si="111"/>
        <v>982417.19</v>
      </c>
      <c r="AS89" s="2">
        <f t="shared" si="111"/>
        <v>982417.19</v>
      </c>
      <c r="AT89" s="2">
        <f t="shared" si="111"/>
        <v>0</v>
      </c>
      <c r="AU89" s="2">
        <f t="shared" si="111"/>
        <v>0</v>
      </c>
      <c r="AV89" s="2">
        <f t="shared" si="111"/>
        <v>807203.22</v>
      </c>
      <c r="AW89" s="2">
        <f t="shared" si="111"/>
        <v>807203.22</v>
      </c>
      <c r="AX89" s="2">
        <f t="shared" si="111"/>
        <v>0</v>
      </c>
      <c r="AY89" s="2">
        <f t="shared" si="111"/>
        <v>807203.22</v>
      </c>
      <c r="AZ89" s="2">
        <f t="shared" si="111"/>
        <v>0</v>
      </c>
      <c r="BA89" s="2">
        <f t="shared" si="111"/>
        <v>0</v>
      </c>
      <c r="BB89" s="2">
        <f t="shared" si="111"/>
        <v>0</v>
      </c>
      <c r="BC89" s="2">
        <f t="shared" si="111"/>
        <v>0</v>
      </c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>
        <f>ROUND(SUMIF(AA28:AA87,"=16802145",FQ28:FQ87),2)</f>
        <v>0</v>
      </c>
      <c r="BY89" s="2">
        <f>ROUND(SUMIF(AA28:AA87,"=16802145",FR28:FR87),2)</f>
        <v>0</v>
      </c>
      <c r="BZ89" s="2">
        <f>ROUND(SUMIF(AA28:AA87,"=16802145",GL28:GL87),2)</f>
        <v>0</v>
      </c>
      <c r="CA89" s="2">
        <f>ROUND(SUMIF(AA28:AA87,"=16802145",GM28:GM87),2)</f>
        <v>982417.19</v>
      </c>
      <c r="CB89" s="2">
        <f>ROUND(SUMIF(AA28:AA87,"=16802145",GN28:GN87),2)</f>
        <v>982417.19</v>
      </c>
      <c r="CC89" s="2">
        <f>ROUND(SUMIF(AA28:AA87,"=16802145",GO28:GO87),2)</f>
        <v>0</v>
      </c>
      <c r="CD89" s="2">
        <f>ROUND(SUMIF(AA28:AA87,"=16802145",GP28:GP87),2)</f>
        <v>0</v>
      </c>
      <c r="CE89" s="2">
        <f>AC89-BX89</f>
        <v>807203.22</v>
      </c>
      <c r="CF89" s="2">
        <f>AC89-BY89</f>
        <v>807203.22</v>
      </c>
      <c r="CG89" s="2">
        <f>BX89-BZ89</f>
        <v>0</v>
      </c>
      <c r="CH89" s="2">
        <f>AC89-BX89-BY89+BZ89</f>
        <v>807203.22</v>
      </c>
      <c r="CI89" s="2">
        <f>BY89-BZ89</f>
        <v>0</v>
      </c>
      <c r="CJ89" s="2">
        <f>ROUND(SUMIF(AA28:AA87,"=16802145",GX28:GX87),2)</f>
        <v>0</v>
      </c>
      <c r="CK89" s="2">
        <f>ROUND(SUMIF(AA28:AA87,"=16802145",GY28:GY87),2)</f>
        <v>0</v>
      </c>
      <c r="CL89" s="2">
        <f>ROUND(SUMIF(AA28:AA87,"=16802145",GZ28:GZ87),2)</f>
        <v>0</v>
      </c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  <c r="DX89" s="3"/>
      <c r="DY89" s="3"/>
      <c r="DZ89" s="3"/>
      <c r="EA89" s="3"/>
      <c r="EB89" s="3"/>
      <c r="EC89" s="3"/>
      <c r="ED89" s="3"/>
      <c r="EE89" s="3"/>
      <c r="EF89" s="3"/>
      <c r="EG89" s="3"/>
      <c r="EH89" s="3"/>
      <c r="EI89" s="3"/>
      <c r="EJ89" s="3"/>
      <c r="EK89" s="3"/>
      <c r="EL89" s="3"/>
      <c r="EM89" s="3"/>
      <c r="EN89" s="3"/>
      <c r="EO89" s="3"/>
      <c r="EP89" s="3"/>
      <c r="EQ89" s="3"/>
      <c r="ER89" s="3"/>
      <c r="ES89" s="3"/>
      <c r="ET89" s="3"/>
      <c r="EU89" s="3"/>
      <c r="EV89" s="3"/>
      <c r="EW89" s="3"/>
      <c r="EX89" s="3"/>
      <c r="EY89" s="3"/>
      <c r="EZ89" s="3"/>
      <c r="FA89" s="3"/>
      <c r="FB89" s="3"/>
      <c r="FC89" s="3"/>
      <c r="FD89" s="3"/>
      <c r="FE89" s="3"/>
      <c r="FF89" s="3"/>
      <c r="FG89" s="3"/>
      <c r="FH89" s="3"/>
      <c r="FI89" s="3"/>
      <c r="FJ89" s="3"/>
      <c r="FK89" s="3"/>
      <c r="FL89" s="3"/>
      <c r="FM89" s="3"/>
      <c r="FN89" s="3"/>
      <c r="FO89" s="3"/>
      <c r="FP89" s="3"/>
      <c r="FQ89" s="3"/>
      <c r="FR89" s="3"/>
      <c r="FS89" s="3"/>
      <c r="FT89" s="3"/>
      <c r="FU89" s="3"/>
      <c r="FV89" s="3"/>
      <c r="FW89" s="3"/>
      <c r="FX89" s="3"/>
      <c r="FY89" s="3"/>
      <c r="FZ89" s="3"/>
      <c r="GA89" s="3"/>
      <c r="GB89" s="3"/>
      <c r="GC89" s="3"/>
      <c r="GD89" s="3"/>
      <c r="GE89" s="3"/>
      <c r="GF89" s="3"/>
      <c r="GG89" s="3"/>
      <c r="GH89" s="3"/>
      <c r="GI89" s="3"/>
      <c r="GJ89" s="3"/>
      <c r="GK89" s="3"/>
      <c r="GL89" s="3"/>
      <c r="GM89" s="3"/>
      <c r="GN89" s="3"/>
      <c r="GO89" s="3"/>
      <c r="GP89" s="3"/>
      <c r="GQ89" s="3"/>
      <c r="GR89" s="3"/>
      <c r="GS89" s="3"/>
      <c r="GT89" s="3"/>
      <c r="GU89" s="3"/>
      <c r="GV89" s="3"/>
      <c r="GW89" s="3"/>
      <c r="GX89" s="3">
        <v>0</v>
      </c>
    </row>
    <row r="91" spans="1:245" x14ac:dyDescent="0.2">
      <c r="A91" s="4">
        <v>50</v>
      </c>
      <c r="B91" s="4">
        <v>0</v>
      </c>
      <c r="C91" s="4">
        <v>0</v>
      </c>
      <c r="D91" s="4">
        <v>1</v>
      </c>
      <c r="E91" s="4">
        <v>201</v>
      </c>
      <c r="F91" s="4">
        <f>ROUND(Source!O89,O91)</f>
        <v>877709.7</v>
      </c>
      <c r="G91" s="4" t="s">
        <v>279</v>
      </c>
      <c r="H91" s="4" t="s">
        <v>280</v>
      </c>
      <c r="I91" s="4"/>
      <c r="J91" s="4"/>
      <c r="K91" s="4">
        <v>201</v>
      </c>
      <c r="L91" s="4">
        <v>1</v>
      </c>
      <c r="M91" s="4">
        <v>3</v>
      </c>
      <c r="N91" s="4" t="s">
        <v>6</v>
      </c>
      <c r="O91" s="4">
        <v>2</v>
      </c>
      <c r="P91" s="4"/>
      <c r="Q91" s="4"/>
      <c r="R91" s="4"/>
      <c r="S91" s="4"/>
      <c r="T91" s="4"/>
      <c r="U91" s="4"/>
      <c r="V91" s="4"/>
      <c r="W91" s="4"/>
    </row>
    <row r="92" spans="1:245" x14ac:dyDescent="0.2">
      <c r="A92" s="4">
        <v>50</v>
      </c>
      <c r="B92" s="4">
        <v>0</v>
      </c>
      <c r="C92" s="4">
        <v>0</v>
      </c>
      <c r="D92" s="4">
        <v>1</v>
      </c>
      <c r="E92" s="4">
        <v>202</v>
      </c>
      <c r="F92" s="4">
        <f>ROUND(Source!P89,O92)</f>
        <v>807203.22</v>
      </c>
      <c r="G92" s="4" t="s">
        <v>281</v>
      </c>
      <c r="H92" s="4" t="s">
        <v>282</v>
      </c>
      <c r="I92" s="4"/>
      <c r="J92" s="4"/>
      <c r="K92" s="4">
        <v>202</v>
      </c>
      <c r="L92" s="4">
        <v>2</v>
      </c>
      <c r="M92" s="4">
        <v>3</v>
      </c>
      <c r="N92" s="4" t="s">
        <v>6</v>
      </c>
      <c r="O92" s="4">
        <v>2</v>
      </c>
      <c r="P92" s="4"/>
      <c r="Q92" s="4"/>
      <c r="R92" s="4"/>
      <c r="S92" s="4"/>
      <c r="T92" s="4"/>
      <c r="U92" s="4"/>
      <c r="V92" s="4"/>
      <c r="W92" s="4"/>
    </row>
    <row r="93" spans="1:245" x14ac:dyDescent="0.2">
      <c r="A93" s="4">
        <v>50</v>
      </c>
      <c r="B93" s="4">
        <v>0</v>
      </c>
      <c r="C93" s="4">
        <v>0</v>
      </c>
      <c r="D93" s="4">
        <v>1</v>
      </c>
      <c r="E93" s="4">
        <v>222</v>
      </c>
      <c r="F93" s="4">
        <f>ROUND(Source!AO89,O93)</f>
        <v>0</v>
      </c>
      <c r="G93" s="4" t="s">
        <v>283</v>
      </c>
      <c r="H93" s="4" t="s">
        <v>284</v>
      </c>
      <c r="I93" s="4"/>
      <c r="J93" s="4"/>
      <c r="K93" s="4">
        <v>222</v>
      </c>
      <c r="L93" s="4">
        <v>3</v>
      </c>
      <c r="M93" s="4">
        <v>3</v>
      </c>
      <c r="N93" s="4" t="s">
        <v>6</v>
      </c>
      <c r="O93" s="4">
        <v>2</v>
      </c>
      <c r="P93" s="4"/>
      <c r="Q93" s="4"/>
      <c r="R93" s="4"/>
      <c r="S93" s="4"/>
      <c r="T93" s="4"/>
      <c r="U93" s="4"/>
      <c r="V93" s="4"/>
      <c r="W93" s="4"/>
    </row>
    <row r="94" spans="1:245" x14ac:dyDescent="0.2">
      <c r="A94" s="4">
        <v>50</v>
      </c>
      <c r="B94" s="4">
        <v>0</v>
      </c>
      <c r="C94" s="4">
        <v>0</v>
      </c>
      <c r="D94" s="4">
        <v>1</v>
      </c>
      <c r="E94" s="4">
        <v>225</v>
      </c>
      <c r="F94" s="4">
        <f>ROUND(Source!AV89,O94)</f>
        <v>807203.22</v>
      </c>
      <c r="G94" s="4" t="s">
        <v>285</v>
      </c>
      <c r="H94" s="4" t="s">
        <v>286</v>
      </c>
      <c r="I94" s="4"/>
      <c r="J94" s="4"/>
      <c r="K94" s="4">
        <v>225</v>
      </c>
      <c r="L94" s="4">
        <v>4</v>
      </c>
      <c r="M94" s="4">
        <v>3</v>
      </c>
      <c r="N94" s="4" t="s">
        <v>6</v>
      </c>
      <c r="O94" s="4">
        <v>2</v>
      </c>
      <c r="P94" s="4"/>
      <c r="Q94" s="4"/>
      <c r="R94" s="4"/>
      <c r="S94" s="4"/>
      <c r="T94" s="4"/>
      <c r="U94" s="4"/>
      <c r="V94" s="4"/>
      <c r="W94" s="4"/>
    </row>
    <row r="95" spans="1:245" x14ac:dyDescent="0.2">
      <c r="A95" s="4">
        <v>50</v>
      </c>
      <c r="B95" s="4">
        <v>0</v>
      </c>
      <c r="C95" s="4">
        <v>0</v>
      </c>
      <c r="D95" s="4">
        <v>1</v>
      </c>
      <c r="E95" s="4">
        <v>226</v>
      </c>
      <c r="F95" s="4">
        <f>ROUND(Source!AW89,O95)</f>
        <v>807203.22</v>
      </c>
      <c r="G95" s="4" t="s">
        <v>287</v>
      </c>
      <c r="H95" s="4" t="s">
        <v>288</v>
      </c>
      <c r="I95" s="4"/>
      <c r="J95" s="4"/>
      <c r="K95" s="4">
        <v>226</v>
      </c>
      <c r="L95" s="4">
        <v>5</v>
      </c>
      <c r="M95" s="4">
        <v>3</v>
      </c>
      <c r="N95" s="4" t="s">
        <v>6</v>
      </c>
      <c r="O95" s="4">
        <v>2</v>
      </c>
      <c r="P95" s="4"/>
      <c r="Q95" s="4"/>
      <c r="R95" s="4"/>
      <c r="S95" s="4"/>
      <c r="T95" s="4"/>
      <c r="U95" s="4"/>
      <c r="V95" s="4"/>
      <c r="W95" s="4"/>
    </row>
    <row r="96" spans="1:245" x14ac:dyDescent="0.2">
      <c r="A96" s="4">
        <v>50</v>
      </c>
      <c r="B96" s="4">
        <v>0</v>
      </c>
      <c r="C96" s="4">
        <v>0</v>
      </c>
      <c r="D96" s="4">
        <v>1</v>
      </c>
      <c r="E96" s="4">
        <v>227</v>
      </c>
      <c r="F96" s="4">
        <f>ROUND(Source!AX89,O96)</f>
        <v>0</v>
      </c>
      <c r="G96" s="4" t="s">
        <v>289</v>
      </c>
      <c r="H96" s="4" t="s">
        <v>290</v>
      </c>
      <c r="I96" s="4"/>
      <c r="J96" s="4"/>
      <c r="K96" s="4">
        <v>227</v>
      </c>
      <c r="L96" s="4">
        <v>6</v>
      </c>
      <c r="M96" s="4">
        <v>3</v>
      </c>
      <c r="N96" s="4" t="s">
        <v>6</v>
      </c>
      <c r="O96" s="4">
        <v>2</v>
      </c>
      <c r="P96" s="4"/>
      <c r="Q96" s="4"/>
      <c r="R96" s="4"/>
      <c r="S96" s="4"/>
      <c r="T96" s="4"/>
      <c r="U96" s="4"/>
      <c r="V96" s="4"/>
      <c r="W96" s="4"/>
    </row>
    <row r="97" spans="1:23" x14ac:dyDescent="0.2">
      <c r="A97" s="4">
        <v>50</v>
      </c>
      <c r="B97" s="4">
        <v>0</v>
      </c>
      <c r="C97" s="4">
        <v>0</v>
      </c>
      <c r="D97" s="4">
        <v>1</v>
      </c>
      <c r="E97" s="4">
        <v>228</v>
      </c>
      <c r="F97" s="4">
        <f>ROUND(Source!AY89,O97)</f>
        <v>807203.22</v>
      </c>
      <c r="G97" s="4" t="s">
        <v>291</v>
      </c>
      <c r="H97" s="4" t="s">
        <v>292</v>
      </c>
      <c r="I97" s="4"/>
      <c r="J97" s="4"/>
      <c r="K97" s="4">
        <v>228</v>
      </c>
      <c r="L97" s="4">
        <v>7</v>
      </c>
      <c r="M97" s="4">
        <v>3</v>
      </c>
      <c r="N97" s="4" t="s">
        <v>6</v>
      </c>
      <c r="O97" s="4">
        <v>2</v>
      </c>
      <c r="P97" s="4"/>
      <c r="Q97" s="4"/>
      <c r="R97" s="4"/>
      <c r="S97" s="4"/>
      <c r="T97" s="4"/>
      <c r="U97" s="4"/>
      <c r="V97" s="4"/>
      <c r="W97" s="4"/>
    </row>
    <row r="98" spans="1:23" x14ac:dyDescent="0.2">
      <c r="A98" s="4">
        <v>50</v>
      </c>
      <c r="B98" s="4">
        <v>0</v>
      </c>
      <c r="C98" s="4">
        <v>0</v>
      </c>
      <c r="D98" s="4">
        <v>1</v>
      </c>
      <c r="E98" s="4">
        <v>216</v>
      </c>
      <c r="F98" s="4">
        <f>ROUND(Source!AP89,O98)</f>
        <v>0</v>
      </c>
      <c r="G98" s="4" t="s">
        <v>293</v>
      </c>
      <c r="H98" s="4" t="s">
        <v>294</v>
      </c>
      <c r="I98" s="4"/>
      <c r="J98" s="4"/>
      <c r="K98" s="4">
        <v>216</v>
      </c>
      <c r="L98" s="4">
        <v>8</v>
      </c>
      <c r="M98" s="4">
        <v>3</v>
      </c>
      <c r="N98" s="4" t="s">
        <v>6</v>
      </c>
      <c r="O98" s="4">
        <v>2</v>
      </c>
      <c r="P98" s="4"/>
      <c r="Q98" s="4"/>
      <c r="R98" s="4"/>
      <c r="S98" s="4"/>
      <c r="T98" s="4"/>
      <c r="U98" s="4"/>
      <c r="V98" s="4"/>
      <c r="W98" s="4"/>
    </row>
    <row r="99" spans="1:23" x14ac:dyDescent="0.2">
      <c r="A99" s="4">
        <v>50</v>
      </c>
      <c r="B99" s="4">
        <v>0</v>
      </c>
      <c r="C99" s="4">
        <v>0</v>
      </c>
      <c r="D99" s="4">
        <v>1</v>
      </c>
      <c r="E99" s="4">
        <v>223</v>
      </c>
      <c r="F99" s="4">
        <f>ROUND(Source!AQ89,O99)</f>
        <v>0</v>
      </c>
      <c r="G99" s="4" t="s">
        <v>295</v>
      </c>
      <c r="H99" s="4" t="s">
        <v>296</v>
      </c>
      <c r="I99" s="4"/>
      <c r="J99" s="4"/>
      <c r="K99" s="4">
        <v>223</v>
      </c>
      <c r="L99" s="4">
        <v>9</v>
      </c>
      <c r="M99" s="4">
        <v>3</v>
      </c>
      <c r="N99" s="4" t="s">
        <v>6</v>
      </c>
      <c r="O99" s="4">
        <v>2</v>
      </c>
      <c r="P99" s="4"/>
      <c r="Q99" s="4"/>
      <c r="R99" s="4"/>
      <c r="S99" s="4"/>
      <c r="T99" s="4"/>
      <c r="U99" s="4"/>
      <c r="V99" s="4"/>
      <c r="W99" s="4"/>
    </row>
    <row r="100" spans="1:23" x14ac:dyDescent="0.2">
      <c r="A100" s="4">
        <v>50</v>
      </c>
      <c r="B100" s="4">
        <v>0</v>
      </c>
      <c r="C100" s="4">
        <v>0</v>
      </c>
      <c r="D100" s="4">
        <v>1</v>
      </c>
      <c r="E100" s="4">
        <v>229</v>
      </c>
      <c r="F100" s="4">
        <f>ROUND(Source!AZ89,O100)</f>
        <v>0</v>
      </c>
      <c r="G100" s="4" t="s">
        <v>297</v>
      </c>
      <c r="H100" s="4" t="s">
        <v>298</v>
      </c>
      <c r="I100" s="4"/>
      <c r="J100" s="4"/>
      <c r="K100" s="4">
        <v>229</v>
      </c>
      <c r="L100" s="4">
        <v>10</v>
      </c>
      <c r="M100" s="4">
        <v>3</v>
      </c>
      <c r="N100" s="4" t="s">
        <v>6</v>
      </c>
      <c r="O100" s="4">
        <v>2</v>
      </c>
      <c r="P100" s="4"/>
      <c r="Q100" s="4"/>
      <c r="R100" s="4"/>
      <c r="S100" s="4"/>
      <c r="T100" s="4"/>
      <c r="U100" s="4"/>
      <c r="V100" s="4"/>
      <c r="W100" s="4"/>
    </row>
    <row r="101" spans="1:23" x14ac:dyDescent="0.2">
      <c r="A101" s="4">
        <v>50</v>
      </c>
      <c r="B101" s="4">
        <v>0</v>
      </c>
      <c r="C101" s="4">
        <v>0</v>
      </c>
      <c r="D101" s="4">
        <v>1</v>
      </c>
      <c r="E101" s="4">
        <v>203</v>
      </c>
      <c r="F101" s="4">
        <f>ROUND(Source!Q89,O101)</f>
        <v>8227.81</v>
      </c>
      <c r="G101" s="4" t="s">
        <v>299</v>
      </c>
      <c r="H101" s="4" t="s">
        <v>300</v>
      </c>
      <c r="I101" s="4"/>
      <c r="J101" s="4"/>
      <c r="K101" s="4">
        <v>203</v>
      </c>
      <c r="L101" s="4">
        <v>11</v>
      </c>
      <c r="M101" s="4">
        <v>3</v>
      </c>
      <c r="N101" s="4" t="s">
        <v>6</v>
      </c>
      <c r="O101" s="4">
        <v>2</v>
      </c>
      <c r="P101" s="4"/>
      <c r="Q101" s="4"/>
      <c r="R101" s="4"/>
      <c r="S101" s="4"/>
      <c r="T101" s="4"/>
      <c r="U101" s="4"/>
      <c r="V101" s="4"/>
      <c r="W101" s="4"/>
    </row>
    <row r="102" spans="1:23" x14ac:dyDescent="0.2">
      <c r="A102" s="4">
        <v>50</v>
      </c>
      <c r="B102" s="4">
        <v>0</v>
      </c>
      <c r="C102" s="4">
        <v>0</v>
      </c>
      <c r="D102" s="4">
        <v>1</v>
      </c>
      <c r="E102" s="4">
        <v>231</v>
      </c>
      <c r="F102" s="4">
        <f>ROUND(Source!BB89,O102)</f>
        <v>0</v>
      </c>
      <c r="G102" s="4" t="s">
        <v>301</v>
      </c>
      <c r="H102" s="4" t="s">
        <v>302</v>
      </c>
      <c r="I102" s="4"/>
      <c r="J102" s="4"/>
      <c r="K102" s="4">
        <v>231</v>
      </c>
      <c r="L102" s="4">
        <v>12</v>
      </c>
      <c r="M102" s="4">
        <v>3</v>
      </c>
      <c r="N102" s="4" t="s">
        <v>6</v>
      </c>
      <c r="O102" s="4">
        <v>2</v>
      </c>
      <c r="P102" s="4"/>
      <c r="Q102" s="4"/>
      <c r="R102" s="4"/>
      <c r="S102" s="4"/>
      <c r="T102" s="4"/>
      <c r="U102" s="4"/>
      <c r="V102" s="4"/>
      <c r="W102" s="4"/>
    </row>
    <row r="103" spans="1:23" x14ac:dyDescent="0.2">
      <c r="A103" s="4">
        <v>50</v>
      </c>
      <c r="B103" s="4">
        <v>0</v>
      </c>
      <c r="C103" s="4">
        <v>0</v>
      </c>
      <c r="D103" s="4">
        <v>1</v>
      </c>
      <c r="E103" s="4">
        <v>204</v>
      </c>
      <c r="F103" s="4">
        <f>ROUND(Source!R89,O103)</f>
        <v>1776.73</v>
      </c>
      <c r="G103" s="4" t="s">
        <v>303</v>
      </c>
      <c r="H103" s="4" t="s">
        <v>304</v>
      </c>
      <c r="I103" s="4"/>
      <c r="J103" s="4"/>
      <c r="K103" s="4">
        <v>204</v>
      </c>
      <c r="L103" s="4">
        <v>13</v>
      </c>
      <c r="M103" s="4">
        <v>3</v>
      </c>
      <c r="N103" s="4" t="s">
        <v>6</v>
      </c>
      <c r="O103" s="4">
        <v>2</v>
      </c>
      <c r="P103" s="4"/>
      <c r="Q103" s="4"/>
      <c r="R103" s="4"/>
      <c r="S103" s="4"/>
      <c r="T103" s="4"/>
      <c r="U103" s="4"/>
      <c r="V103" s="4"/>
      <c r="W103" s="4"/>
    </row>
    <row r="104" spans="1:23" x14ac:dyDescent="0.2">
      <c r="A104" s="4">
        <v>50</v>
      </c>
      <c r="B104" s="4">
        <v>0</v>
      </c>
      <c r="C104" s="4">
        <v>0</v>
      </c>
      <c r="D104" s="4">
        <v>1</v>
      </c>
      <c r="E104" s="4">
        <v>205</v>
      </c>
      <c r="F104" s="4">
        <f>ROUND(Source!S89,O104)</f>
        <v>62278.67</v>
      </c>
      <c r="G104" s="4" t="s">
        <v>305</v>
      </c>
      <c r="H104" s="4" t="s">
        <v>306</v>
      </c>
      <c r="I104" s="4"/>
      <c r="J104" s="4"/>
      <c r="K104" s="4">
        <v>205</v>
      </c>
      <c r="L104" s="4">
        <v>14</v>
      </c>
      <c r="M104" s="4">
        <v>3</v>
      </c>
      <c r="N104" s="4" t="s">
        <v>6</v>
      </c>
      <c r="O104" s="4">
        <v>2</v>
      </c>
      <c r="P104" s="4"/>
      <c r="Q104" s="4"/>
      <c r="R104" s="4"/>
      <c r="S104" s="4"/>
      <c r="T104" s="4"/>
      <c r="U104" s="4"/>
      <c r="V104" s="4"/>
      <c r="W104" s="4"/>
    </row>
    <row r="105" spans="1:23" x14ac:dyDescent="0.2">
      <c r="A105" s="4">
        <v>50</v>
      </c>
      <c r="B105" s="4">
        <v>0</v>
      </c>
      <c r="C105" s="4">
        <v>0</v>
      </c>
      <c r="D105" s="4">
        <v>1</v>
      </c>
      <c r="E105" s="4">
        <v>232</v>
      </c>
      <c r="F105" s="4">
        <f>ROUND(Source!BC89,O105)</f>
        <v>0</v>
      </c>
      <c r="G105" s="4" t="s">
        <v>307</v>
      </c>
      <c r="H105" s="4" t="s">
        <v>308</v>
      </c>
      <c r="I105" s="4"/>
      <c r="J105" s="4"/>
      <c r="K105" s="4">
        <v>232</v>
      </c>
      <c r="L105" s="4">
        <v>15</v>
      </c>
      <c r="M105" s="4">
        <v>3</v>
      </c>
      <c r="N105" s="4" t="s">
        <v>6</v>
      </c>
      <c r="O105" s="4">
        <v>2</v>
      </c>
      <c r="P105" s="4"/>
      <c r="Q105" s="4"/>
      <c r="R105" s="4"/>
      <c r="S105" s="4"/>
      <c r="T105" s="4"/>
      <c r="U105" s="4"/>
      <c r="V105" s="4"/>
      <c r="W105" s="4"/>
    </row>
    <row r="106" spans="1:23" x14ac:dyDescent="0.2">
      <c r="A106" s="4">
        <v>50</v>
      </c>
      <c r="B106" s="4">
        <v>0</v>
      </c>
      <c r="C106" s="4">
        <v>0</v>
      </c>
      <c r="D106" s="4">
        <v>1</v>
      </c>
      <c r="E106" s="4">
        <v>214</v>
      </c>
      <c r="F106" s="4">
        <f>ROUND(Source!AS89,O106)</f>
        <v>982417.19</v>
      </c>
      <c r="G106" s="4" t="s">
        <v>309</v>
      </c>
      <c r="H106" s="4" t="s">
        <v>310</v>
      </c>
      <c r="I106" s="4"/>
      <c r="J106" s="4"/>
      <c r="K106" s="4">
        <v>214</v>
      </c>
      <c r="L106" s="4">
        <v>16</v>
      </c>
      <c r="M106" s="4">
        <v>3</v>
      </c>
      <c r="N106" s="4" t="s">
        <v>6</v>
      </c>
      <c r="O106" s="4">
        <v>2</v>
      </c>
      <c r="P106" s="4"/>
      <c r="Q106" s="4"/>
      <c r="R106" s="4"/>
      <c r="S106" s="4"/>
      <c r="T106" s="4"/>
      <c r="U106" s="4"/>
      <c r="V106" s="4"/>
      <c r="W106" s="4"/>
    </row>
    <row r="107" spans="1:23" x14ac:dyDescent="0.2">
      <c r="A107" s="4">
        <v>50</v>
      </c>
      <c r="B107" s="4">
        <v>0</v>
      </c>
      <c r="C107" s="4">
        <v>0</v>
      </c>
      <c r="D107" s="4">
        <v>1</v>
      </c>
      <c r="E107" s="4">
        <v>215</v>
      </c>
      <c r="F107" s="4">
        <f>ROUND(Source!AT89,O107)</f>
        <v>0</v>
      </c>
      <c r="G107" s="4" t="s">
        <v>311</v>
      </c>
      <c r="H107" s="4" t="s">
        <v>312</v>
      </c>
      <c r="I107" s="4"/>
      <c r="J107" s="4"/>
      <c r="K107" s="4">
        <v>215</v>
      </c>
      <c r="L107" s="4">
        <v>17</v>
      </c>
      <c r="M107" s="4">
        <v>3</v>
      </c>
      <c r="N107" s="4" t="s">
        <v>6</v>
      </c>
      <c r="O107" s="4">
        <v>2</v>
      </c>
      <c r="P107" s="4"/>
      <c r="Q107" s="4"/>
      <c r="R107" s="4"/>
      <c r="S107" s="4"/>
      <c r="T107" s="4"/>
      <c r="U107" s="4"/>
      <c r="V107" s="4"/>
      <c r="W107" s="4"/>
    </row>
    <row r="108" spans="1:23" x14ac:dyDescent="0.2">
      <c r="A108" s="4">
        <v>50</v>
      </c>
      <c r="B108" s="4">
        <v>0</v>
      </c>
      <c r="C108" s="4">
        <v>0</v>
      </c>
      <c r="D108" s="4">
        <v>1</v>
      </c>
      <c r="E108" s="4">
        <v>217</v>
      </c>
      <c r="F108" s="4">
        <f>ROUND(Source!AU89,O108)</f>
        <v>0</v>
      </c>
      <c r="G108" s="4" t="s">
        <v>313</v>
      </c>
      <c r="H108" s="4" t="s">
        <v>314</v>
      </c>
      <c r="I108" s="4"/>
      <c r="J108" s="4"/>
      <c r="K108" s="4">
        <v>217</v>
      </c>
      <c r="L108" s="4">
        <v>18</v>
      </c>
      <c r="M108" s="4">
        <v>3</v>
      </c>
      <c r="N108" s="4" t="s">
        <v>6</v>
      </c>
      <c r="O108" s="4">
        <v>2</v>
      </c>
      <c r="P108" s="4"/>
      <c r="Q108" s="4"/>
      <c r="R108" s="4"/>
      <c r="S108" s="4"/>
      <c r="T108" s="4"/>
      <c r="U108" s="4"/>
      <c r="V108" s="4"/>
      <c r="W108" s="4"/>
    </row>
    <row r="109" spans="1:23" x14ac:dyDescent="0.2">
      <c r="A109" s="4">
        <v>50</v>
      </c>
      <c r="B109" s="4">
        <v>0</v>
      </c>
      <c r="C109" s="4">
        <v>0</v>
      </c>
      <c r="D109" s="4">
        <v>1</v>
      </c>
      <c r="E109" s="4">
        <v>230</v>
      </c>
      <c r="F109" s="4">
        <f>ROUND(Source!BA89,O109)</f>
        <v>0</v>
      </c>
      <c r="G109" s="4" t="s">
        <v>315</v>
      </c>
      <c r="H109" s="4" t="s">
        <v>316</v>
      </c>
      <c r="I109" s="4"/>
      <c r="J109" s="4"/>
      <c r="K109" s="4">
        <v>230</v>
      </c>
      <c r="L109" s="4">
        <v>19</v>
      </c>
      <c r="M109" s="4">
        <v>3</v>
      </c>
      <c r="N109" s="4" t="s">
        <v>6</v>
      </c>
      <c r="O109" s="4">
        <v>2</v>
      </c>
      <c r="P109" s="4"/>
      <c r="Q109" s="4"/>
      <c r="R109" s="4"/>
      <c r="S109" s="4"/>
      <c r="T109" s="4"/>
      <c r="U109" s="4"/>
      <c r="V109" s="4"/>
      <c r="W109" s="4"/>
    </row>
    <row r="110" spans="1:23" x14ac:dyDescent="0.2">
      <c r="A110" s="4">
        <v>50</v>
      </c>
      <c r="B110" s="4">
        <v>0</v>
      </c>
      <c r="C110" s="4">
        <v>0</v>
      </c>
      <c r="D110" s="4">
        <v>1</v>
      </c>
      <c r="E110" s="4">
        <v>206</v>
      </c>
      <c r="F110" s="4">
        <f>ROUND(Source!T89,O110)</f>
        <v>0</v>
      </c>
      <c r="G110" s="4" t="s">
        <v>317</v>
      </c>
      <c r="H110" s="4" t="s">
        <v>318</v>
      </c>
      <c r="I110" s="4"/>
      <c r="J110" s="4"/>
      <c r="K110" s="4">
        <v>206</v>
      </c>
      <c r="L110" s="4">
        <v>20</v>
      </c>
      <c r="M110" s="4">
        <v>3</v>
      </c>
      <c r="N110" s="4" t="s">
        <v>6</v>
      </c>
      <c r="O110" s="4">
        <v>2</v>
      </c>
      <c r="P110" s="4"/>
      <c r="Q110" s="4"/>
      <c r="R110" s="4"/>
      <c r="S110" s="4"/>
      <c r="T110" s="4"/>
      <c r="U110" s="4"/>
      <c r="V110" s="4"/>
      <c r="W110" s="4"/>
    </row>
    <row r="111" spans="1:23" x14ac:dyDescent="0.2">
      <c r="A111" s="4">
        <v>50</v>
      </c>
      <c r="B111" s="4">
        <v>0</v>
      </c>
      <c r="C111" s="4">
        <v>0</v>
      </c>
      <c r="D111" s="4">
        <v>1</v>
      </c>
      <c r="E111" s="4">
        <v>207</v>
      </c>
      <c r="F111" s="4">
        <f>Source!U89</f>
        <v>1058.9987436999997</v>
      </c>
      <c r="G111" s="4" t="s">
        <v>319</v>
      </c>
      <c r="H111" s="4" t="s">
        <v>320</v>
      </c>
      <c r="I111" s="4"/>
      <c r="J111" s="4"/>
      <c r="K111" s="4">
        <v>207</v>
      </c>
      <c r="L111" s="4">
        <v>21</v>
      </c>
      <c r="M111" s="4">
        <v>3</v>
      </c>
      <c r="N111" s="4" t="s">
        <v>6</v>
      </c>
      <c r="O111" s="4">
        <v>-1</v>
      </c>
      <c r="P111" s="4"/>
      <c r="Q111" s="4"/>
      <c r="R111" s="4"/>
      <c r="S111" s="4"/>
      <c r="T111" s="4"/>
      <c r="U111" s="4"/>
      <c r="V111" s="4"/>
      <c r="W111" s="4"/>
    </row>
    <row r="112" spans="1:23" x14ac:dyDescent="0.2">
      <c r="A112" s="4">
        <v>50</v>
      </c>
      <c r="B112" s="4">
        <v>0</v>
      </c>
      <c r="C112" s="4">
        <v>0</v>
      </c>
      <c r="D112" s="4">
        <v>1</v>
      </c>
      <c r="E112" s="4">
        <v>208</v>
      </c>
      <c r="F112" s="4">
        <f>Source!V89</f>
        <v>22.235387500000005</v>
      </c>
      <c r="G112" s="4" t="s">
        <v>321</v>
      </c>
      <c r="H112" s="4" t="s">
        <v>322</v>
      </c>
      <c r="I112" s="4"/>
      <c r="J112" s="4"/>
      <c r="K112" s="4">
        <v>208</v>
      </c>
      <c r="L112" s="4">
        <v>22</v>
      </c>
      <c r="M112" s="4">
        <v>3</v>
      </c>
      <c r="N112" s="4" t="s">
        <v>6</v>
      </c>
      <c r="O112" s="4">
        <v>-1</v>
      </c>
      <c r="P112" s="4"/>
      <c r="Q112" s="4"/>
      <c r="R112" s="4"/>
      <c r="S112" s="4"/>
      <c r="T112" s="4"/>
      <c r="U112" s="4"/>
      <c r="V112" s="4"/>
      <c r="W112" s="4"/>
    </row>
    <row r="113" spans="1:245" x14ac:dyDescent="0.2">
      <c r="A113" s="4">
        <v>50</v>
      </c>
      <c r="B113" s="4">
        <v>0</v>
      </c>
      <c r="C113" s="4">
        <v>0</v>
      </c>
      <c r="D113" s="4">
        <v>1</v>
      </c>
      <c r="E113" s="4">
        <v>209</v>
      </c>
      <c r="F113" s="4">
        <f>ROUND(Source!W89,O113)</f>
        <v>0</v>
      </c>
      <c r="G113" s="4" t="s">
        <v>323</v>
      </c>
      <c r="H113" s="4" t="s">
        <v>324</v>
      </c>
      <c r="I113" s="4"/>
      <c r="J113" s="4"/>
      <c r="K113" s="4">
        <v>209</v>
      </c>
      <c r="L113" s="4">
        <v>23</v>
      </c>
      <c r="M113" s="4">
        <v>3</v>
      </c>
      <c r="N113" s="4" t="s">
        <v>6</v>
      </c>
      <c r="O113" s="4">
        <v>2</v>
      </c>
      <c r="P113" s="4"/>
      <c r="Q113" s="4"/>
      <c r="R113" s="4"/>
      <c r="S113" s="4"/>
      <c r="T113" s="4"/>
      <c r="U113" s="4"/>
      <c r="V113" s="4"/>
      <c r="W113" s="4"/>
    </row>
    <row r="114" spans="1:245" x14ac:dyDescent="0.2">
      <c r="A114" s="4">
        <v>50</v>
      </c>
      <c r="B114" s="4">
        <v>0</v>
      </c>
      <c r="C114" s="4">
        <v>0</v>
      </c>
      <c r="D114" s="4">
        <v>1</v>
      </c>
      <c r="E114" s="4">
        <v>210</v>
      </c>
      <c r="F114" s="4">
        <f>ROUND(Source!X89,O114)</f>
        <v>60701.74</v>
      </c>
      <c r="G114" s="4" t="s">
        <v>325</v>
      </c>
      <c r="H114" s="4" t="s">
        <v>326</v>
      </c>
      <c r="I114" s="4"/>
      <c r="J114" s="4"/>
      <c r="K114" s="4">
        <v>210</v>
      </c>
      <c r="L114" s="4">
        <v>24</v>
      </c>
      <c r="M114" s="4">
        <v>3</v>
      </c>
      <c r="N114" s="4" t="s">
        <v>6</v>
      </c>
      <c r="O114" s="4">
        <v>2</v>
      </c>
      <c r="P114" s="4"/>
      <c r="Q114" s="4"/>
      <c r="R114" s="4"/>
      <c r="S114" s="4"/>
      <c r="T114" s="4"/>
      <c r="U114" s="4"/>
      <c r="V114" s="4"/>
      <c r="W114" s="4"/>
    </row>
    <row r="115" spans="1:245" x14ac:dyDescent="0.2">
      <c r="A115" s="4">
        <v>50</v>
      </c>
      <c r="B115" s="4">
        <v>0</v>
      </c>
      <c r="C115" s="4">
        <v>0</v>
      </c>
      <c r="D115" s="4">
        <v>1</v>
      </c>
      <c r="E115" s="4">
        <v>211</v>
      </c>
      <c r="F115" s="4">
        <f>ROUND(Source!Y89,O115)</f>
        <v>33937.53</v>
      </c>
      <c r="G115" s="4" t="s">
        <v>327</v>
      </c>
      <c r="H115" s="4" t="s">
        <v>328</v>
      </c>
      <c r="I115" s="4"/>
      <c r="J115" s="4"/>
      <c r="K115" s="4">
        <v>211</v>
      </c>
      <c r="L115" s="4">
        <v>25</v>
      </c>
      <c r="M115" s="4">
        <v>3</v>
      </c>
      <c r="N115" s="4" t="s">
        <v>6</v>
      </c>
      <c r="O115" s="4">
        <v>2</v>
      </c>
      <c r="P115" s="4"/>
      <c r="Q115" s="4"/>
      <c r="R115" s="4"/>
      <c r="S115" s="4"/>
      <c r="T115" s="4"/>
      <c r="U115" s="4"/>
      <c r="V115" s="4"/>
      <c r="W115" s="4"/>
    </row>
    <row r="116" spans="1:245" x14ac:dyDescent="0.2">
      <c r="A116" s="4">
        <v>50</v>
      </c>
      <c r="B116" s="4">
        <v>0</v>
      </c>
      <c r="C116" s="4">
        <v>0</v>
      </c>
      <c r="D116" s="4">
        <v>1</v>
      </c>
      <c r="E116" s="4">
        <v>224</v>
      </c>
      <c r="F116" s="4">
        <f>ROUND(Source!AR89,O116)</f>
        <v>982417.19</v>
      </c>
      <c r="G116" s="4" t="s">
        <v>329</v>
      </c>
      <c r="H116" s="4" t="s">
        <v>330</v>
      </c>
      <c r="I116" s="4"/>
      <c r="J116" s="4"/>
      <c r="K116" s="4">
        <v>224</v>
      </c>
      <c r="L116" s="4">
        <v>26</v>
      </c>
      <c r="M116" s="4">
        <v>3</v>
      </c>
      <c r="N116" s="4" t="s">
        <v>6</v>
      </c>
      <c r="O116" s="4">
        <v>2</v>
      </c>
      <c r="P116" s="4"/>
      <c r="Q116" s="4"/>
      <c r="R116" s="4"/>
      <c r="S116" s="4"/>
      <c r="T116" s="4"/>
      <c r="U116" s="4"/>
      <c r="V116" s="4"/>
      <c r="W116" s="4"/>
    </row>
    <row r="118" spans="1:245" x14ac:dyDescent="0.2">
      <c r="A118" s="1">
        <v>4</v>
      </c>
      <c r="B118" s="1">
        <v>1</v>
      </c>
      <c r="C118" s="1"/>
      <c r="D118" s="1">
        <f>ROW(A133)</f>
        <v>133</v>
      </c>
      <c r="E118" s="1"/>
      <c r="F118" s="1" t="s">
        <v>13</v>
      </c>
      <c r="G118" s="1" t="s">
        <v>331</v>
      </c>
      <c r="H118" s="1" t="s">
        <v>6</v>
      </c>
      <c r="I118" s="1">
        <v>0</v>
      </c>
      <c r="J118" s="1"/>
      <c r="K118" s="1">
        <v>0</v>
      </c>
      <c r="L118" s="1"/>
      <c r="M118" s="1"/>
      <c r="N118" s="1"/>
      <c r="O118" s="1"/>
      <c r="P118" s="1"/>
      <c r="Q118" s="1"/>
      <c r="R118" s="1"/>
      <c r="S118" s="1"/>
      <c r="T118" s="1"/>
      <c r="U118" s="1" t="s">
        <v>6</v>
      </c>
      <c r="V118" s="1">
        <v>0</v>
      </c>
      <c r="W118" s="1"/>
      <c r="X118" s="1"/>
      <c r="Y118" s="1"/>
      <c r="Z118" s="1"/>
      <c r="AA118" s="1"/>
      <c r="AB118" s="1" t="s">
        <v>6</v>
      </c>
      <c r="AC118" s="1" t="s">
        <v>6</v>
      </c>
      <c r="AD118" s="1" t="s">
        <v>6</v>
      </c>
      <c r="AE118" s="1" t="s">
        <v>6</v>
      </c>
      <c r="AF118" s="1" t="s">
        <v>6</v>
      </c>
      <c r="AG118" s="1" t="s">
        <v>6</v>
      </c>
      <c r="AH118" s="1"/>
      <c r="AI118" s="1"/>
      <c r="AJ118" s="1"/>
      <c r="AK118" s="1"/>
      <c r="AL118" s="1"/>
      <c r="AM118" s="1"/>
      <c r="AN118" s="1"/>
      <c r="AO118" s="1"/>
      <c r="AP118" s="1" t="s">
        <v>6</v>
      </c>
      <c r="AQ118" s="1" t="s">
        <v>6</v>
      </c>
      <c r="AR118" s="1" t="s">
        <v>6</v>
      </c>
      <c r="AS118" s="1"/>
      <c r="AT118" s="1"/>
      <c r="AU118" s="1"/>
      <c r="AV118" s="1"/>
      <c r="AW118" s="1"/>
      <c r="AX118" s="1"/>
      <c r="AY118" s="1"/>
      <c r="AZ118" s="1" t="s">
        <v>6</v>
      </c>
      <c r="BA118" s="1"/>
      <c r="BB118" s="1" t="s">
        <v>6</v>
      </c>
      <c r="BC118" s="1" t="s">
        <v>6</v>
      </c>
      <c r="BD118" s="1" t="s">
        <v>6</v>
      </c>
      <c r="BE118" s="1" t="s">
        <v>6</v>
      </c>
      <c r="BF118" s="1" t="s">
        <v>6</v>
      </c>
      <c r="BG118" s="1" t="s">
        <v>6</v>
      </c>
      <c r="BH118" s="1" t="s">
        <v>6</v>
      </c>
      <c r="BI118" s="1" t="s">
        <v>6</v>
      </c>
      <c r="BJ118" s="1" t="s">
        <v>6</v>
      </c>
      <c r="BK118" s="1" t="s">
        <v>6</v>
      </c>
      <c r="BL118" s="1" t="s">
        <v>6</v>
      </c>
      <c r="BM118" s="1" t="s">
        <v>6</v>
      </c>
      <c r="BN118" s="1" t="s">
        <v>6</v>
      </c>
      <c r="BO118" s="1" t="s">
        <v>6</v>
      </c>
      <c r="BP118" s="1" t="s">
        <v>6</v>
      </c>
      <c r="BQ118" s="1"/>
      <c r="BR118" s="1"/>
      <c r="BS118" s="1"/>
      <c r="BT118" s="1"/>
      <c r="BU118" s="1"/>
      <c r="BV118" s="1"/>
      <c r="BW118" s="1"/>
      <c r="BX118" s="1">
        <v>0</v>
      </c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>
        <v>0</v>
      </c>
    </row>
    <row r="120" spans="1:245" x14ac:dyDescent="0.2">
      <c r="A120" s="2">
        <v>52</v>
      </c>
      <c r="B120" s="2">
        <f t="shared" ref="B120:G120" si="112">B133</f>
        <v>1</v>
      </c>
      <c r="C120" s="2">
        <f t="shared" si="112"/>
        <v>4</v>
      </c>
      <c r="D120" s="2">
        <f t="shared" si="112"/>
        <v>118</v>
      </c>
      <c r="E120" s="2">
        <f t="shared" si="112"/>
        <v>0</v>
      </c>
      <c r="F120" s="2" t="str">
        <f t="shared" si="112"/>
        <v>Новый раздел</v>
      </c>
      <c r="G120" s="2" t="str">
        <f t="shared" si="112"/>
        <v>2 Сантехнические работы</v>
      </c>
      <c r="H120" s="2"/>
      <c r="I120" s="2"/>
      <c r="J120" s="2"/>
      <c r="K120" s="2"/>
      <c r="L120" s="2"/>
      <c r="M120" s="2"/>
      <c r="N120" s="2"/>
      <c r="O120" s="2">
        <f t="shared" ref="O120:AT120" si="113">O133</f>
        <v>186991.75</v>
      </c>
      <c r="P120" s="2">
        <f t="shared" si="113"/>
        <v>180798.06</v>
      </c>
      <c r="Q120" s="2">
        <f t="shared" si="113"/>
        <v>1125.23</v>
      </c>
      <c r="R120" s="2">
        <f t="shared" si="113"/>
        <v>118.32</v>
      </c>
      <c r="S120" s="2">
        <f t="shared" si="113"/>
        <v>5068.46</v>
      </c>
      <c r="T120" s="2">
        <f t="shared" si="113"/>
        <v>0</v>
      </c>
      <c r="U120" s="2">
        <f t="shared" si="113"/>
        <v>86.023008000000004</v>
      </c>
      <c r="V120" s="2">
        <f t="shared" si="113"/>
        <v>1.401664</v>
      </c>
      <c r="W120" s="2">
        <f t="shared" si="113"/>
        <v>0</v>
      </c>
      <c r="X120" s="2">
        <f t="shared" si="113"/>
        <v>5466.71</v>
      </c>
      <c r="Y120" s="2">
        <f t="shared" si="113"/>
        <v>3396.79</v>
      </c>
      <c r="Z120" s="2">
        <f t="shared" si="113"/>
        <v>0</v>
      </c>
      <c r="AA120" s="2">
        <f t="shared" si="113"/>
        <v>0</v>
      </c>
      <c r="AB120" s="2">
        <f t="shared" si="113"/>
        <v>186991.75</v>
      </c>
      <c r="AC120" s="2">
        <f t="shared" si="113"/>
        <v>180798.06</v>
      </c>
      <c r="AD120" s="2">
        <f t="shared" si="113"/>
        <v>1125.23</v>
      </c>
      <c r="AE120" s="2">
        <f t="shared" si="113"/>
        <v>118.32</v>
      </c>
      <c r="AF120" s="2">
        <f t="shared" si="113"/>
        <v>5068.46</v>
      </c>
      <c r="AG120" s="2">
        <f t="shared" si="113"/>
        <v>0</v>
      </c>
      <c r="AH120" s="2">
        <f t="shared" si="113"/>
        <v>86.023008000000004</v>
      </c>
      <c r="AI120" s="2">
        <f t="shared" si="113"/>
        <v>1.401664</v>
      </c>
      <c r="AJ120" s="2">
        <f t="shared" si="113"/>
        <v>0</v>
      </c>
      <c r="AK120" s="2">
        <f t="shared" si="113"/>
        <v>5466.71</v>
      </c>
      <c r="AL120" s="2">
        <f t="shared" si="113"/>
        <v>3396.79</v>
      </c>
      <c r="AM120" s="2">
        <f t="shared" si="113"/>
        <v>0</v>
      </c>
      <c r="AN120" s="2">
        <f t="shared" si="113"/>
        <v>0</v>
      </c>
      <c r="AO120" s="2">
        <f t="shared" si="113"/>
        <v>0</v>
      </c>
      <c r="AP120" s="2">
        <f t="shared" si="113"/>
        <v>0</v>
      </c>
      <c r="AQ120" s="2">
        <f t="shared" si="113"/>
        <v>0</v>
      </c>
      <c r="AR120" s="2">
        <f t="shared" si="113"/>
        <v>195855.25</v>
      </c>
      <c r="AS120" s="2">
        <f t="shared" si="113"/>
        <v>195855.25</v>
      </c>
      <c r="AT120" s="2">
        <f t="shared" si="113"/>
        <v>0</v>
      </c>
      <c r="AU120" s="2">
        <f t="shared" ref="AU120:BZ120" si="114">AU133</f>
        <v>0</v>
      </c>
      <c r="AV120" s="2">
        <f t="shared" si="114"/>
        <v>180798.06</v>
      </c>
      <c r="AW120" s="2">
        <f t="shared" si="114"/>
        <v>180798.06</v>
      </c>
      <c r="AX120" s="2">
        <f t="shared" si="114"/>
        <v>0</v>
      </c>
      <c r="AY120" s="2">
        <f t="shared" si="114"/>
        <v>180798.06</v>
      </c>
      <c r="AZ120" s="2">
        <f t="shared" si="114"/>
        <v>0</v>
      </c>
      <c r="BA120" s="2">
        <f t="shared" si="114"/>
        <v>0</v>
      </c>
      <c r="BB120" s="2">
        <f t="shared" si="114"/>
        <v>0</v>
      </c>
      <c r="BC120" s="2">
        <f t="shared" si="114"/>
        <v>0</v>
      </c>
      <c r="BD120" s="2">
        <f t="shared" si="114"/>
        <v>0</v>
      </c>
      <c r="BE120" s="2">
        <f t="shared" si="114"/>
        <v>0</v>
      </c>
      <c r="BF120" s="2">
        <f t="shared" si="114"/>
        <v>0</v>
      </c>
      <c r="BG120" s="2">
        <f t="shared" si="114"/>
        <v>0</v>
      </c>
      <c r="BH120" s="2">
        <f t="shared" si="114"/>
        <v>0</v>
      </c>
      <c r="BI120" s="2">
        <f t="shared" si="114"/>
        <v>0</v>
      </c>
      <c r="BJ120" s="2">
        <f t="shared" si="114"/>
        <v>0</v>
      </c>
      <c r="BK120" s="2">
        <f t="shared" si="114"/>
        <v>0</v>
      </c>
      <c r="BL120" s="2">
        <f t="shared" si="114"/>
        <v>0</v>
      </c>
      <c r="BM120" s="2">
        <f t="shared" si="114"/>
        <v>0</v>
      </c>
      <c r="BN120" s="2">
        <f t="shared" si="114"/>
        <v>0</v>
      </c>
      <c r="BO120" s="2">
        <f t="shared" si="114"/>
        <v>0</v>
      </c>
      <c r="BP120" s="2">
        <f t="shared" si="114"/>
        <v>0</v>
      </c>
      <c r="BQ120" s="2">
        <f t="shared" si="114"/>
        <v>0</v>
      </c>
      <c r="BR120" s="2">
        <f t="shared" si="114"/>
        <v>0</v>
      </c>
      <c r="BS120" s="2">
        <f t="shared" si="114"/>
        <v>0</v>
      </c>
      <c r="BT120" s="2">
        <f t="shared" si="114"/>
        <v>0</v>
      </c>
      <c r="BU120" s="2">
        <f t="shared" si="114"/>
        <v>0</v>
      </c>
      <c r="BV120" s="2">
        <f t="shared" si="114"/>
        <v>0</v>
      </c>
      <c r="BW120" s="2">
        <f t="shared" si="114"/>
        <v>0</v>
      </c>
      <c r="BX120" s="2">
        <f t="shared" si="114"/>
        <v>0</v>
      </c>
      <c r="BY120" s="2">
        <f t="shared" si="114"/>
        <v>0</v>
      </c>
      <c r="BZ120" s="2">
        <f t="shared" si="114"/>
        <v>0</v>
      </c>
      <c r="CA120" s="2">
        <f t="shared" ref="CA120:DF120" si="115">CA133</f>
        <v>195855.25</v>
      </c>
      <c r="CB120" s="2">
        <f t="shared" si="115"/>
        <v>195855.25</v>
      </c>
      <c r="CC120" s="2">
        <f t="shared" si="115"/>
        <v>0</v>
      </c>
      <c r="CD120" s="2">
        <f t="shared" si="115"/>
        <v>0</v>
      </c>
      <c r="CE120" s="2">
        <f t="shared" si="115"/>
        <v>180798.06</v>
      </c>
      <c r="CF120" s="2">
        <f t="shared" si="115"/>
        <v>180798.06</v>
      </c>
      <c r="CG120" s="2">
        <f t="shared" si="115"/>
        <v>0</v>
      </c>
      <c r="CH120" s="2">
        <f t="shared" si="115"/>
        <v>180798.06</v>
      </c>
      <c r="CI120" s="2">
        <f t="shared" si="115"/>
        <v>0</v>
      </c>
      <c r="CJ120" s="2">
        <f t="shared" si="115"/>
        <v>0</v>
      </c>
      <c r="CK120" s="2">
        <f t="shared" si="115"/>
        <v>0</v>
      </c>
      <c r="CL120" s="2">
        <f t="shared" si="115"/>
        <v>0</v>
      </c>
      <c r="CM120" s="2">
        <f t="shared" si="115"/>
        <v>0</v>
      </c>
      <c r="CN120" s="2">
        <f t="shared" si="115"/>
        <v>0</v>
      </c>
      <c r="CO120" s="2">
        <f t="shared" si="115"/>
        <v>0</v>
      </c>
      <c r="CP120" s="2">
        <f t="shared" si="115"/>
        <v>0</v>
      </c>
      <c r="CQ120" s="2">
        <f t="shared" si="115"/>
        <v>0</v>
      </c>
      <c r="CR120" s="2">
        <f t="shared" si="115"/>
        <v>0</v>
      </c>
      <c r="CS120" s="2">
        <f t="shared" si="115"/>
        <v>0</v>
      </c>
      <c r="CT120" s="2">
        <f t="shared" si="115"/>
        <v>0</v>
      </c>
      <c r="CU120" s="2">
        <f t="shared" si="115"/>
        <v>0</v>
      </c>
      <c r="CV120" s="2">
        <f t="shared" si="115"/>
        <v>0</v>
      </c>
      <c r="CW120" s="2">
        <f t="shared" si="115"/>
        <v>0</v>
      </c>
      <c r="CX120" s="2">
        <f t="shared" si="115"/>
        <v>0</v>
      </c>
      <c r="CY120" s="2">
        <f t="shared" si="115"/>
        <v>0</v>
      </c>
      <c r="CZ120" s="2">
        <f t="shared" si="115"/>
        <v>0</v>
      </c>
      <c r="DA120" s="2">
        <f t="shared" si="115"/>
        <v>0</v>
      </c>
      <c r="DB120" s="2">
        <f t="shared" si="115"/>
        <v>0</v>
      </c>
      <c r="DC120" s="2">
        <f t="shared" si="115"/>
        <v>0</v>
      </c>
      <c r="DD120" s="2">
        <f t="shared" si="115"/>
        <v>0</v>
      </c>
      <c r="DE120" s="2">
        <f t="shared" si="115"/>
        <v>0</v>
      </c>
      <c r="DF120" s="2">
        <f t="shared" si="115"/>
        <v>0</v>
      </c>
      <c r="DG120" s="3">
        <f t="shared" ref="DG120:EL120" si="116">DG133</f>
        <v>0</v>
      </c>
      <c r="DH120" s="3">
        <f t="shared" si="116"/>
        <v>0</v>
      </c>
      <c r="DI120" s="3">
        <f t="shared" si="116"/>
        <v>0</v>
      </c>
      <c r="DJ120" s="3">
        <f t="shared" si="116"/>
        <v>0</v>
      </c>
      <c r="DK120" s="3">
        <f t="shared" si="116"/>
        <v>0</v>
      </c>
      <c r="DL120" s="3">
        <f t="shared" si="116"/>
        <v>0</v>
      </c>
      <c r="DM120" s="3">
        <f t="shared" si="116"/>
        <v>0</v>
      </c>
      <c r="DN120" s="3">
        <f t="shared" si="116"/>
        <v>0</v>
      </c>
      <c r="DO120" s="3">
        <f t="shared" si="116"/>
        <v>0</v>
      </c>
      <c r="DP120" s="3">
        <f t="shared" si="116"/>
        <v>0</v>
      </c>
      <c r="DQ120" s="3">
        <f t="shared" si="116"/>
        <v>0</v>
      </c>
      <c r="DR120" s="3">
        <f t="shared" si="116"/>
        <v>0</v>
      </c>
      <c r="DS120" s="3">
        <f t="shared" si="116"/>
        <v>0</v>
      </c>
      <c r="DT120" s="3">
        <f t="shared" si="116"/>
        <v>0</v>
      </c>
      <c r="DU120" s="3">
        <f t="shared" si="116"/>
        <v>0</v>
      </c>
      <c r="DV120" s="3">
        <f t="shared" si="116"/>
        <v>0</v>
      </c>
      <c r="DW120" s="3">
        <f t="shared" si="116"/>
        <v>0</v>
      </c>
      <c r="DX120" s="3">
        <f t="shared" si="116"/>
        <v>0</v>
      </c>
      <c r="DY120" s="3">
        <f t="shared" si="116"/>
        <v>0</v>
      </c>
      <c r="DZ120" s="3">
        <f t="shared" si="116"/>
        <v>0</v>
      </c>
      <c r="EA120" s="3">
        <f t="shared" si="116"/>
        <v>0</v>
      </c>
      <c r="EB120" s="3">
        <f t="shared" si="116"/>
        <v>0</v>
      </c>
      <c r="EC120" s="3">
        <f t="shared" si="116"/>
        <v>0</v>
      </c>
      <c r="ED120" s="3">
        <f t="shared" si="116"/>
        <v>0</v>
      </c>
      <c r="EE120" s="3">
        <f t="shared" si="116"/>
        <v>0</v>
      </c>
      <c r="EF120" s="3">
        <f t="shared" si="116"/>
        <v>0</v>
      </c>
      <c r="EG120" s="3">
        <f t="shared" si="116"/>
        <v>0</v>
      </c>
      <c r="EH120" s="3">
        <f t="shared" si="116"/>
        <v>0</v>
      </c>
      <c r="EI120" s="3">
        <f t="shared" si="116"/>
        <v>0</v>
      </c>
      <c r="EJ120" s="3">
        <f t="shared" si="116"/>
        <v>0</v>
      </c>
      <c r="EK120" s="3">
        <f t="shared" si="116"/>
        <v>0</v>
      </c>
      <c r="EL120" s="3">
        <f t="shared" si="116"/>
        <v>0</v>
      </c>
      <c r="EM120" s="3">
        <f t="shared" ref="EM120:FR120" si="117">EM133</f>
        <v>0</v>
      </c>
      <c r="EN120" s="3">
        <f t="shared" si="117"/>
        <v>0</v>
      </c>
      <c r="EO120" s="3">
        <f t="shared" si="117"/>
        <v>0</v>
      </c>
      <c r="EP120" s="3">
        <f t="shared" si="117"/>
        <v>0</v>
      </c>
      <c r="EQ120" s="3">
        <f t="shared" si="117"/>
        <v>0</v>
      </c>
      <c r="ER120" s="3">
        <f t="shared" si="117"/>
        <v>0</v>
      </c>
      <c r="ES120" s="3">
        <f t="shared" si="117"/>
        <v>0</v>
      </c>
      <c r="ET120" s="3">
        <f t="shared" si="117"/>
        <v>0</v>
      </c>
      <c r="EU120" s="3">
        <f t="shared" si="117"/>
        <v>0</v>
      </c>
      <c r="EV120" s="3">
        <f t="shared" si="117"/>
        <v>0</v>
      </c>
      <c r="EW120" s="3">
        <f t="shared" si="117"/>
        <v>0</v>
      </c>
      <c r="EX120" s="3">
        <f t="shared" si="117"/>
        <v>0</v>
      </c>
      <c r="EY120" s="3">
        <f t="shared" si="117"/>
        <v>0</v>
      </c>
      <c r="EZ120" s="3">
        <f t="shared" si="117"/>
        <v>0</v>
      </c>
      <c r="FA120" s="3">
        <f t="shared" si="117"/>
        <v>0</v>
      </c>
      <c r="FB120" s="3">
        <f t="shared" si="117"/>
        <v>0</v>
      </c>
      <c r="FC120" s="3">
        <f t="shared" si="117"/>
        <v>0</v>
      </c>
      <c r="FD120" s="3">
        <f t="shared" si="117"/>
        <v>0</v>
      </c>
      <c r="FE120" s="3">
        <f t="shared" si="117"/>
        <v>0</v>
      </c>
      <c r="FF120" s="3">
        <f t="shared" si="117"/>
        <v>0</v>
      </c>
      <c r="FG120" s="3">
        <f t="shared" si="117"/>
        <v>0</v>
      </c>
      <c r="FH120" s="3">
        <f t="shared" si="117"/>
        <v>0</v>
      </c>
      <c r="FI120" s="3">
        <f t="shared" si="117"/>
        <v>0</v>
      </c>
      <c r="FJ120" s="3">
        <f t="shared" si="117"/>
        <v>0</v>
      </c>
      <c r="FK120" s="3">
        <f t="shared" si="117"/>
        <v>0</v>
      </c>
      <c r="FL120" s="3">
        <f t="shared" si="117"/>
        <v>0</v>
      </c>
      <c r="FM120" s="3">
        <f t="shared" si="117"/>
        <v>0</v>
      </c>
      <c r="FN120" s="3">
        <f t="shared" si="117"/>
        <v>0</v>
      </c>
      <c r="FO120" s="3">
        <f t="shared" si="117"/>
        <v>0</v>
      </c>
      <c r="FP120" s="3">
        <f t="shared" si="117"/>
        <v>0</v>
      </c>
      <c r="FQ120" s="3">
        <f t="shared" si="117"/>
        <v>0</v>
      </c>
      <c r="FR120" s="3">
        <f t="shared" si="117"/>
        <v>0</v>
      </c>
      <c r="FS120" s="3">
        <f t="shared" ref="FS120:GX120" si="118">FS133</f>
        <v>0</v>
      </c>
      <c r="FT120" s="3">
        <f t="shared" si="118"/>
        <v>0</v>
      </c>
      <c r="FU120" s="3">
        <f t="shared" si="118"/>
        <v>0</v>
      </c>
      <c r="FV120" s="3">
        <f t="shared" si="118"/>
        <v>0</v>
      </c>
      <c r="FW120" s="3">
        <f t="shared" si="118"/>
        <v>0</v>
      </c>
      <c r="FX120" s="3">
        <f t="shared" si="118"/>
        <v>0</v>
      </c>
      <c r="FY120" s="3">
        <f t="shared" si="118"/>
        <v>0</v>
      </c>
      <c r="FZ120" s="3">
        <f t="shared" si="118"/>
        <v>0</v>
      </c>
      <c r="GA120" s="3">
        <f t="shared" si="118"/>
        <v>0</v>
      </c>
      <c r="GB120" s="3">
        <f t="shared" si="118"/>
        <v>0</v>
      </c>
      <c r="GC120" s="3">
        <f t="shared" si="118"/>
        <v>0</v>
      </c>
      <c r="GD120" s="3">
        <f t="shared" si="118"/>
        <v>0</v>
      </c>
      <c r="GE120" s="3">
        <f t="shared" si="118"/>
        <v>0</v>
      </c>
      <c r="GF120" s="3">
        <f t="shared" si="118"/>
        <v>0</v>
      </c>
      <c r="GG120" s="3">
        <f t="shared" si="118"/>
        <v>0</v>
      </c>
      <c r="GH120" s="3">
        <f t="shared" si="118"/>
        <v>0</v>
      </c>
      <c r="GI120" s="3">
        <f t="shared" si="118"/>
        <v>0</v>
      </c>
      <c r="GJ120" s="3">
        <f t="shared" si="118"/>
        <v>0</v>
      </c>
      <c r="GK120" s="3">
        <f t="shared" si="118"/>
        <v>0</v>
      </c>
      <c r="GL120" s="3">
        <f t="shared" si="118"/>
        <v>0</v>
      </c>
      <c r="GM120" s="3">
        <f t="shared" si="118"/>
        <v>0</v>
      </c>
      <c r="GN120" s="3">
        <f t="shared" si="118"/>
        <v>0</v>
      </c>
      <c r="GO120" s="3">
        <f t="shared" si="118"/>
        <v>0</v>
      </c>
      <c r="GP120" s="3">
        <f t="shared" si="118"/>
        <v>0</v>
      </c>
      <c r="GQ120" s="3">
        <f t="shared" si="118"/>
        <v>0</v>
      </c>
      <c r="GR120" s="3">
        <f t="shared" si="118"/>
        <v>0</v>
      </c>
      <c r="GS120" s="3">
        <f t="shared" si="118"/>
        <v>0</v>
      </c>
      <c r="GT120" s="3">
        <f t="shared" si="118"/>
        <v>0</v>
      </c>
      <c r="GU120" s="3">
        <f t="shared" si="118"/>
        <v>0</v>
      </c>
      <c r="GV120" s="3">
        <f t="shared" si="118"/>
        <v>0</v>
      </c>
      <c r="GW120" s="3">
        <f t="shared" si="118"/>
        <v>0</v>
      </c>
      <c r="GX120" s="3">
        <f t="shared" si="118"/>
        <v>0</v>
      </c>
    </row>
    <row r="122" spans="1:245" x14ac:dyDescent="0.2">
      <c r="A122">
        <v>17</v>
      </c>
      <c r="B122">
        <v>1</v>
      </c>
      <c r="C122">
        <f>ROW(SmtRes!A156)</f>
        <v>156</v>
      </c>
      <c r="D122">
        <f>ROW(EtalonRes!A154)</f>
        <v>154</v>
      </c>
      <c r="E122" t="s">
        <v>332</v>
      </c>
      <c r="F122" t="s">
        <v>333</v>
      </c>
      <c r="G122" t="s">
        <v>334</v>
      </c>
      <c r="H122" t="s">
        <v>35</v>
      </c>
      <c r="I122">
        <f>ROUND(16/100,9)</f>
        <v>0.16</v>
      </c>
      <c r="J122">
        <v>0</v>
      </c>
      <c r="O122">
        <f t="shared" ref="O122:O131" si="119">ROUND(CP122,2)</f>
        <v>1004.59</v>
      </c>
      <c r="P122">
        <f t="shared" ref="P122:P131" si="120">ROUND(CQ122*I122,2)</f>
        <v>0</v>
      </c>
      <c r="Q122">
        <f t="shared" ref="Q122:Q131" si="121">ROUND(CR122*I122,2)</f>
        <v>75.17</v>
      </c>
      <c r="R122">
        <f t="shared" ref="R122:R131" si="122">ROUND(CS122*I122,2)</f>
        <v>32.47</v>
      </c>
      <c r="S122">
        <f t="shared" ref="S122:S131" si="123">ROUND(CT122*I122,2)</f>
        <v>929.42</v>
      </c>
      <c r="T122">
        <f t="shared" ref="T122:T131" si="124">ROUND(CU122*I122,2)</f>
        <v>0</v>
      </c>
      <c r="U122">
        <f t="shared" ref="U122:U131" si="125">CV122*I122</f>
        <v>17.600000000000001</v>
      </c>
      <c r="V122">
        <f t="shared" ref="V122:V131" si="126">CW122*I122</f>
        <v>0.35840000000000005</v>
      </c>
      <c r="W122">
        <f t="shared" ref="W122:W131" si="127">ROUND(CX122*I122,2)</f>
        <v>0</v>
      </c>
      <c r="X122">
        <f t="shared" ref="X122:X131" si="128">ROUND(CY122,2)</f>
        <v>711.8</v>
      </c>
      <c r="Y122">
        <f t="shared" ref="Y122:Y131" si="129">ROUND(CZ122,2)</f>
        <v>480.95</v>
      </c>
      <c r="AA122">
        <v>16802145</v>
      </c>
      <c r="AB122">
        <f t="shared" ref="AB122:AB131" si="130">ROUND((AC122+AD122+AF122),2)</f>
        <v>935.72</v>
      </c>
      <c r="AC122">
        <f t="shared" ref="AC122:AC131" si="131">ROUND((ES122),2)</f>
        <v>0</v>
      </c>
      <c r="AD122">
        <f t="shared" ref="AD122:AD131" si="132">ROUND((((ET122)-(EU122))+AE122),2)</f>
        <v>70.02</v>
      </c>
      <c r="AE122">
        <f t="shared" ref="AE122:AE131" si="133">ROUND((EU122),2)</f>
        <v>30.24</v>
      </c>
      <c r="AF122">
        <f t="shared" ref="AF122:AF131" si="134">ROUND((EV122),2)</f>
        <v>865.7</v>
      </c>
      <c r="AG122">
        <f t="shared" ref="AG122:AG131" si="135">ROUND((AP122),2)</f>
        <v>0</v>
      </c>
      <c r="AH122">
        <f t="shared" ref="AH122:AH131" si="136">(EW122)</f>
        <v>110</v>
      </c>
      <c r="AI122">
        <f t="shared" ref="AI122:AI131" si="137">(EX122)</f>
        <v>2.2400000000000002</v>
      </c>
      <c r="AJ122">
        <f t="shared" ref="AJ122:AJ131" si="138">(AS122)</f>
        <v>0</v>
      </c>
      <c r="AK122">
        <v>935.72</v>
      </c>
      <c r="AL122">
        <v>0</v>
      </c>
      <c r="AM122">
        <v>70.02</v>
      </c>
      <c r="AN122">
        <v>30.24</v>
      </c>
      <c r="AO122">
        <v>865.7</v>
      </c>
      <c r="AP122">
        <v>0</v>
      </c>
      <c r="AQ122">
        <v>110</v>
      </c>
      <c r="AR122">
        <v>2.2400000000000002</v>
      </c>
      <c r="AS122">
        <v>0</v>
      </c>
      <c r="AT122">
        <v>74</v>
      </c>
      <c r="AU122">
        <v>50</v>
      </c>
      <c r="AV122">
        <v>1</v>
      </c>
      <c r="AW122">
        <v>1</v>
      </c>
      <c r="AZ122">
        <v>6.71</v>
      </c>
      <c r="BA122">
        <v>6.71</v>
      </c>
      <c r="BB122">
        <v>6.71</v>
      </c>
      <c r="BC122">
        <v>6.71</v>
      </c>
      <c r="BD122" t="s">
        <v>6</v>
      </c>
      <c r="BE122" t="s">
        <v>6</v>
      </c>
      <c r="BF122" t="s">
        <v>6</v>
      </c>
      <c r="BG122" t="s">
        <v>6</v>
      </c>
      <c r="BH122">
        <v>0</v>
      </c>
      <c r="BI122">
        <v>1</v>
      </c>
      <c r="BJ122" t="s">
        <v>335</v>
      </c>
      <c r="BM122">
        <v>65003</v>
      </c>
      <c r="BN122">
        <v>0</v>
      </c>
      <c r="BO122" t="s">
        <v>6</v>
      </c>
      <c r="BP122">
        <v>0</v>
      </c>
      <c r="BQ122">
        <v>6</v>
      </c>
      <c r="BR122">
        <v>0</v>
      </c>
      <c r="BS122">
        <v>6.71</v>
      </c>
      <c r="BT122">
        <v>1</v>
      </c>
      <c r="BU122">
        <v>1</v>
      </c>
      <c r="BV122">
        <v>1</v>
      </c>
      <c r="BW122">
        <v>1</v>
      </c>
      <c r="BX122">
        <v>1</v>
      </c>
      <c r="BY122" t="s">
        <v>6</v>
      </c>
      <c r="BZ122">
        <v>74</v>
      </c>
      <c r="CA122">
        <v>50</v>
      </c>
      <c r="CE122">
        <v>0</v>
      </c>
      <c r="CF122">
        <v>0</v>
      </c>
      <c r="CG122">
        <v>0</v>
      </c>
      <c r="CM122">
        <v>0</v>
      </c>
      <c r="CN122" t="s">
        <v>6</v>
      </c>
      <c r="CO122">
        <v>0</v>
      </c>
      <c r="CP122">
        <f t="shared" ref="CP122:CP131" si="139">(P122+Q122+S122)</f>
        <v>1004.5899999999999</v>
      </c>
      <c r="CQ122">
        <f t="shared" ref="CQ122:CQ131" si="140">AC122*BC122</f>
        <v>0</v>
      </c>
      <c r="CR122">
        <f t="shared" ref="CR122:CR131" si="141">AD122*BB122</f>
        <v>469.83419999999995</v>
      </c>
      <c r="CS122">
        <f t="shared" ref="CS122:CS131" si="142">AE122*BS122</f>
        <v>202.91039999999998</v>
      </c>
      <c r="CT122">
        <f t="shared" ref="CT122:CT131" si="143">AF122*BA122</f>
        <v>5808.8470000000007</v>
      </c>
      <c r="CU122">
        <f t="shared" ref="CU122:CU131" si="144">AG122</f>
        <v>0</v>
      </c>
      <c r="CV122">
        <f t="shared" ref="CV122:CV131" si="145">AH122</f>
        <v>110</v>
      </c>
      <c r="CW122">
        <f t="shared" ref="CW122:CW131" si="146">AI122</f>
        <v>2.2400000000000002</v>
      </c>
      <c r="CX122">
        <f t="shared" ref="CX122:CX131" si="147">AJ122</f>
        <v>0</v>
      </c>
      <c r="CY122">
        <f t="shared" ref="CY122:CY131" si="148">(((S122+R122)*AT122)/100)</f>
        <v>711.79859999999996</v>
      </c>
      <c r="CZ122">
        <f t="shared" ref="CZ122:CZ131" si="149">(((S122+R122)*AU122)/100)</f>
        <v>480.94499999999999</v>
      </c>
      <c r="DC122" t="s">
        <v>6</v>
      </c>
      <c r="DD122" t="s">
        <v>6</v>
      </c>
      <c r="DE122" t="s">
        <v>6</v>
      </c>
      <c r="DF122" t="s">
        <v>6</v>
      </c>
      <c r="DG122" t="s">
        <v>6</v>
      </c>
      <c r="DH122" t="s">
        <v>6</v>
      </c>
      <c r="DI122" t="s">
        <v>6</v>
      </c>
      <c r="DJ122" t="s">
        <v>6</v>
      </c>
      <c r="DK122" t="s">
        <v>6</v>
      </c>
      <c r="DL122" t="s">
        <v>6</v>
      </c>
      <c r="DM122" t="s">
        <v>6</v>
      </c>
      <c r="DN122">
        <v>0</v>
      </c>
      <c r="DO122">
        <v>0</v>
      </c>
      <c r="DP122">
        <v>1</v>
      </c>
      <c r="DQ122">
        <v>1</v>
      </c>
      <c r="DU122">
        <v>1013</v>
      </c>
      <c r="DV122" t="s">
        <v>35</v>
      </c>
      <c r="DW122" t="s">
        <v>35</v>
      </c>
      <c r="DX122">
        <v>1</v>
      </c>
      <c r="EE122">
        <v>16510578</v>
      </c>
      <c r="EF122">
        <v>6</v>
      </c>
      <c r="EG122" t="s">
        <v>20</v>
      </c>
      <c r="EH122">
        <v>0</v>
      </c>
      <c r="EI122" t="s">
        <v>6</v>
      </c>
      <c r="EJ122">
        <v>1</v>
      </c>
      <c r="EK122">
        <v>65003</v>
      </c>
      <c r="EL122" t="s">
        <v>336</v>
      </c>
      <c r="EM122" t="s">
        <v>38</v>
      </c>
      <c r="EO122" t="s">
        <v>6</v>
      </c>
      <c r="EQ122">
        <v>131072</v>
      </c>
      <c r="ER122">
        <v>935.72</v>
      </c>
      <c r="ES122">
        <v>0</v>
      </c>
      <c r="ET122">
        <v>70.02</v>
      </c>
      <c r="EU122">
        <v>30.24</v>
      </c>
      <c r="EV122">
        <v>865.7</v>
      </c>
      <c r="EW122">
        <v>110</v>
      </c>
      <c r="EX122">
        <v>2.2400000000000002</v>
      </c>
      <c r="EY122">
        <v>0</v>
      </c>
      <c r="FQ122">
        <v>0</v>
      </c>
      <c r="FR122">
        <f t="shared" ref="FR122:FR131" si="150">ROUND(IF(AND(BH122=3,BI122=3),P122,0),2)</f>
        <v>0</v>
      </c>
      <c r="FS122">
        <v>0</v>
      </c>
      <c r="FX122">
        <v>74</v>
      </c>
      <c r="FY122">
        <v>50</v>
      </c>
      <c r="GA122" t="s">
        <v>6</v>
      </c>
      <c r="GD122">
        <v>0</v>
      </c>
      <c r="GF122">
        <v>-741186539</v>
      </c>
      <c r="GG122">
        <v>1</v>
      </c>
      <c r="GH122">
        <v>1</v>
      </c>
      <c r="GI122">
        <v>4</v>
      </c>
      <c r="GJ122">
        <v>0</v>
      </c>
      <c r="GK122">
        <f>ROUND(R122*(R12)/100,2)</f>
        <v>0</v>
      </c>
      <c r="GL122">
        <f t="shared" ref="GL122:GL131" si="151">ROUND(IF(AND(BH122=3,BI122=3,FS122&lt;&gt;0),P122,0),2)</f>
        <v>0</v>
      </c>
      <c r="GM122">
        <f t="shared" ref="GM122:GM131" si="152">ROUND(O122+X122+Y122+GK122,2)+GX122</f>
        <v>2197.34</v>
      </c>
      <c r="GN122">
        <f t="shared" ref="GN122:GN131" si="153">IF(OR(BI122=0,BI122=1),ROUND(O122+X122+Y122+GK122,2),0)</f>
        <v>2197.34</v>
      </c>
      <c r="GO122">
        <f t="shared" ref="GO122:GO131" si="154">IF(BI122=2,ROUND(O122+X122+Y122+GK122,2),0)</f>
        <v>0</v>
      </c>
      <c r="GP122">
        <f t="shared" ref="GP122:GP131" si="155">IF(BI122=4,ROUND(O122+X122+Y122+GK122,2)+GX122,0)</f>
        <v>0</v>
      </c>
      <c r="GR122">
        <v>0</v>
      </c>
      <c r="GS122">
        <v>0</v>
      </c>
      <c r="GT122">
        <v>0</v>
      </c>
      <c r="GU122" t="s">
        <v>6</v>
      </c>
      <c r="GV122">
        <f t="shared" ref="GV122:GV131" si="156">ROUND((GT122),2)</f>
        <v>0</v>
      </c>
      <c r="GW122">
        <v>1</v>
      </c>
      <c r="GX122">
        <f t="shared" ref="GX122:GX131" si="157">ROUND(HC122*I122,2)</f>
        <v>0</v>
      </c>
      <c r="HA122">
        <v>0</v>
      </c>
      <c r="HB122">
        <v>0</v>
      </c>
      <c r="HC122">
        <f t="shared" ref="HC122:HC131" si="158">GV122*GW122</f>
        <v>0</v>
      </c>
      <c r="IK122">
        <v>0</v>
      </c>
    </row>
    <row r="123" spans="1:245" x14ac:dyDescent="0.2">
      <c r="A123">
        <v>17</v>
      </c>
      <c r="B123">
        <v>1</v>
      </c>
      <c r="C123">
        <f>ROW(SmtRes!A167)</f>
        <v>167</v>
      </c>
      <c r="D123">
        <f>ROW(EtalonRes!A166)</f>
        <v>166</v>
      </c>
      <c r="E123" t="s">
        <v>337</v>
      </c>
      <c r="F123" t="s">
        <v>338</v>
      </c>
      <c r="G123" t="s">
        <v>339</v>
      </c>
      <c r="H123" t="s">
        <v>340</v>
      </c>
      <c r="I123">
        <f>ROUND(23.04/100,9)</f>
        <v>0.23039999999999999</v>
      </c>
      <c r="J123">
        <v>0</v>
      </c>
      <c r="O123">
        <f t="shared" si="119"/>
        <v>3002.72</v>
      </c>
      <c r="P123">
        <f t="shared" si="120"/>
        <v>1795.29</v>
      </c>
      <c r="Q123">
        <f t="shared" si="121"/>
        <v>297.73</v>
      </c>
      <c r="R123">
        <f t="shared" si="122"/>
        <v>59.91</v>
      </c>
      <c r="S123">
        <f t="shared" si="123"/>
        <v>909.7</v>
      </c>
      <c r="T123">
        <f t="shared" si="124"/>
        <v>0</v>
      </c>
      <c r="U123">
        <f t="shared" si="125"/>
        <v>15.114239999999999</v>
      </c>
      <c r="V123">
        <f t="shared" si="126"/>
        <v>0.7211519999999999</v>
      </c>
      <c r="W123">
        <f t="shared" si="127"/>
        <v>0</v>
      </c>
      <c r="X123">
        <f t="shared" si="128"/>
        <v>1115.05</v>
      </c>
      <c r="Y123">
        <f t="shared" si="129"/>
        <v>688.42</v>
      </c>
      <c r="AA123">
        <v>16802145</v>
      </c>
      <c r="AB123">
        <f t="shared" si="130"/>
        <v>1942.27</v>
      </c>
      <c r="AC123">
        <f t="shared" si="131"/>
        <v>1161.26</v>
      </c>
      <c r="AD123">
        <f t="shared" si="132"/>
        <v>192.58</v>
      </c>
      <c r="AE123">
        <f t="shared" si="133"/>
        <v>38.75</v>
      </c>
      <c r="AF123">
        <f t="shared" si="134"/>
        <v>588.42999999999995</v>
      </c>
      <c r="AG123">
        <f t="shared" si="135"/>
        <v>0</v>
      </c>
      <c r="AH123">
        <f t="shared" si="136"/>
        <v>65.599999999999994</v>
      </c>
      <c r="AI123">
        <f t="shared" si="137"/>
        <v>3.13</v>
      </c>
      <c r="AJ123">
        <f t="shared" si="138"/>
        <v>0</v>
      </c>
      <c r="AK123">
        <v>1942.27</v>
      </c>
      <c r="AL123">
        <v>1161.26</v>
      </c>
      <c r="AM123">
        <v>192.58</v>
      </c>
      <c r="AN123">
        <v>38.75</v>
      </c>
      <c r="AO123">
        <v>588.42999999999995</v>
      </c>
      <c r="AP123">
        <v>0</v>
      </c>
      <c r="AQ123">
        <v>65.599999999999994</v>
      </c>
      <c r="AR123">
        <v>3.13</v>
      </c>
      <c r="AS123">
        <v>0</v>
      </c>
      <c r="AT123">
        <v>115</v>
      </c>
      <c r="AU123">
        <v>71</v>
      </c>
      <c r="AV123">
        <v>1</v>
      </c>
      <c r="AW123">
        <v>1</v>
      </c>
      <c r="AZ123">
        <v>6.71</v>
      </c>
      <c r="BA123">
        <v>6.71</v>
      </c>
      <c r="BB123">
        <v>6.71</v>
      </c>
      <c r="BC123">
        <v>6.71</v>
      </c>
      <c r="BD123" t="s">
        <v>6</v>
      </c>
      <c r="BE123" t="s">
        <v>6</v>
      </c>
      <c r="BF123" t="s">
        <v>6</v>
      </c>
      <c r="BG123" t="s">
        <v>6</v>
      </c>
      <c r="BH123">
        <v>0</v>
      </c>
      <c r="BI123">
        <v>1</v>
      </c>
      <c r="BJ123" t="s">
        <v>341</v>
      </c>
      <c r="BM123">
        <v>18001</v>
      </c>
      <c r="BN123">
        <v>0</v>
      </c>
      <c r="BO123" t="s">
        <v>6</v>
      </c>
      <c r="BP123">
        <v>0</v>
      </c>
      <c r="BQ123">
        <v>2</v>
      </c>
      <c r="BR123">
        <v>0</v>
      </c>
      <c r="BS123">
        <v>6.71</v>
      </c>
      <c r="BT123">
        <v>1</v>
      </c>
      <c r="BU123">
        <v>1</v>
      </c>
      <c r="BV123">
        <v>1</v>
      </c>
      <c r="BW123">
        <v>1</v>
      </c>
      <c r="BX123">
        <v>1</v>
      </c>
      <c r="BY123" t="s">
        <v>6</v>
      </c>
      <c r="BZ123">
        <v>128</v>
      </c>
      <c r="CA123">
        <v>83</v>
      </c>
      <c r="CE123">
        <v>0</v>
      </c>
      <c r="CF123">
        <v>0</v>
      </c>
      <c r="CG123">
        <v>0</v>
      </c>
      <c r="CM123">
        <v>0</v>
      </c>
      <c r="CN123" t="s">
        <v>6</v>
      </c>
      <c r="CO123">
        <v>0</v>
      </c>
      <c r="CP123">
        <f t="shared" si="139"/>
        <v>3002.7200000000003</v>
      </c>
      <c r="CQ123">
        <f t="shared" si="140"/>
        <v>7792.0545999999995</v>
      </c>
      <c r="CR123">
        <f t="shared" si="141"/>
        <v>1292.2118</v>
      </c>
      <c r="CS123">
        <f t="shared" si="142"/>
        <v>260.01249999999999</v>
      </c>
      <c r="CT123">
        <f t="shared" si="143"/>
        <v>3948.3652999999995</v>
      </c>
      <c r="CU123">
        <f t="shared" si="144"/>
        <v>0</v>
      </c>
      <c r="CV123">
        <f t="shared" si="145"/>
        <v>65.599999999999994</v>
      </c>
      <c r="CW123">
        <f t="shared" si="146"/>
        <v>3.13</v>
      </c>
      <c r="CX123">
        <f t="shared" si="147"/>
        <v>0</v>
      </c>
      <c r="CY123">
        <f t="shared" si="148"/>
        <v>1115.0515</v>
      </c>
      <c r="CZ123">
        <f t="shared" si="149"/>
        <v>688.42309999999998</v>
      </c>
      <c r="DC123" t="s">
        <v>6</v>
      </c>
      <c r="DD123" t="s">
        <v>6</v>
      </c>
      <c r="DE123" t="s">
        <v>6</v>
      </c>
      <c r="DF123" t="s">
        <v>6</v>
      </c>
      <c r="DG123" t="s">
        <v>6</v>
      </c>
      <c r="DH123" t="s">
        <v>6</v>
      </c>
      <c r="DI123" t="s">
        <v>6</v>
      </c>
      <c r="DJ123" t="s">
        <v>6</v>
      </c>
      <c r="DK123" t="s">
        <v>6</v>
      </c>
      <c r="DL123" t="s">
        <v>6</v>
      </c>
      <c r="DM123" t="s">
        <v>6</v>
      </c>
      <c r="DN123">
        <v>0</v>
      </c>
      <c r="DO123">
        <v>0</v>
      </c>
      <c r="DP123">
        <v>1</v>
      </c>
      <c r="DQ123">
        <v>1</v>
      </c>
      <c r="DU123">
        <v>1013</v>
      </c>
      <c r="DV123" t="s">
        <v>340</v>
      </c>
      <c r="DW123" t="s">
        <v>340</v>
      </c>
      <c r="DX123">
        <v>1</v>
      </c>
      <c r="EE123">
        <v>16510516</v>
      </c>
      <c r="EF123">
        <v>2</v>
      </c>
      <c r="EG123" t="s">
        <v>48</v>
      </c>
      <c r="EH123">
        <v>0</v>
      </c>
      <c r="EI123" t="s">
        <v>6</v>
      </c>
      <c r="EJ123">
        <v>1</v>
      </c>
      <c r="EK123">
        <v>18001</v>
      </c>
      <c r="EL123" t="s">
        <v>342</v>
      </c>
      <c r="EM123" t="s">
        <v>343</v>
      </c>
      <c r="EO123" t="s">
        <v>6</v>
      </c>
      <c r="EQ123">
        <v>131072</v>
      </c>
      <c r="ER123">
        <v>1942.27</v>
      </c>
      <c r="ES123">
        <v>1161.26</v>
      </c>
      <c r="ET123">
        <v>192.58</v>
      </c>
      <c r="EU123">
        <v>38.75</v>
      </c>
      <c r="EV123">
        <v>588.42999999999995</v>
      </c>
      <c r="EW123">
        <v>65.599999999999994</v>
      </c>
      <c r="EX123">
        <v>3.13</v>
      </c>
      <c r="EY123">
        <v>0</v>
      </c>
      <c r="FQ123">
        <v>0</v>
      </c>
      <c r="FR123">
        <f t="shared" si="150"/>
        <v>0</v>
      </c>
      <c r="FS123">
        <v>0</v>
      </c>
      <c r="FT123" t="s">
        <v>51</v>
      </c>
      <c r="FU123" t="s">
        <v>52</v>
      </c>
      <c r="FX123">
        <v>115.2</v>
      </c>
      <c r="FY123">
        <v>70.55</v>
      </c>
      <c r="GA123" t="s">
        <v>6</v>
      </c>
      <c r="GD123">
        <v>0</v>
      </c>
      <c r="GF123">
        <v>-243626587</v>
      </c>
      <c r="GG123">
        <v>1</v>
      </c>
      <c r="GH123">
        <v>1</v>
      </c>
      <c r="GI123">
        <v>4</v>
      </c>
      <c r="GJ123">
        <v>0</v>
      </c>
      <c r="GK123">
        <f>ROUND(R123*(R12)/100,2)</f>
        <v>0</v>
      </c>
      <c r="GL123">
        <f t="shared" si="151"/>
        <v>0</v>
      </c>
      <c r="GM123">
        <f t="shared" si="152"/>
        <v>4806.1899999999996</v>
      </c>
      <c r="GN123">
        <f t="shared" si="153"/>
        <v>4806.1899999999996</v>
      </c>
      <c r="GO123">
        <f t="shared" si="154"/>
        <v>0</v>
      </c>
      <c r="GP123">
        <f t="shared" si="155"/>
        <v>0</v>
      </c>
      <c r="GR123">
        <v>0</v>
      </c>
      <c r="GS123">
        <v>0</v>
      </c>
      <c r="GT123">
        <v>0</v>
      </c>
      <c r="GU123" t="s">
        <v>6</v>
      </c>
      <c r="GV123">
        <f t="shared" si="156"/>
        <v>0</v>
      </c>
      <c r="GW123">
        <v>1</v>
      </c>
      <c r="GX123">
        <f t="shared" si="157"/>
        <v>0</v>
      </c>
      <c r="HA123">
        <v>0</v>
      </c>
      <c r="HB123">
        <v>0</v>
      </c>
      <c r="HC123">
        <f t="shared" si="158"/>
        <v>0</v>
      </c>
      <c r="IK123">
        <v>0</v>
      </c>
    </row>
    <row r="124" spans="1:245" x14ac:dyDescent="0.2">
      <c r="A124">
        <v>18</v>
      </c>
      <c r="B124">
        <v>1</v>
      </c>
      <c r="C124">
        <v>166</v>
      </c>
      <c r="E124" t="s">
        <v>344</v>
      </c>
      <c r="F124" t="s">
        <v>345</v>
      </c>
      <c r="G124" t="s">
        <v>346</v>
      </c>
      <c r="H124" t="s">
        <v>42</v>
      </c>
      <c r="I124">
        <f>I123*J124</f>
        <v>16</v>
      </c>
      <c r="J124">
        <v>69.444444444444443</v>
      </c>
      <c r="O124">
        <f t="shared" si="119"/>
        <v>161436.16</v>
      </c>
      <c r="P124">
        <f t="shared" si="120"/>
        <v>161436.16</v>
      </c>
      <c r="Q124">
        <f t="shared" si="121"/>
        <v>0</v>
      </c>
      <c r="R124">
        <f t="shared" si="122"/>
        <v>0</v>
      </c>
      <c r="S124">
        <f t="shared" si="123"/>
        <v>0</v>
      </c>
      <c r="T124">
        <f t="shared" si="124"/>
        <v>0</v>
      </c>
      <c r="U124">
        <f t="shared" si="125"/>
        <v>0</v>
      </c>
      <c r="V124">
        <f t="shared" si="126"/>
        <v>0</v>
      </c>
      <c r="W124">
        <f t="shared" si="127"/>
        <v>0</v>
      </c>
      <c r="X124">
        <f t="shared" si="128"/>
        <v>0</v>
      </c>
      <c r="Y124">
        <f t="shared" si="129"/>
        <v>0</v>
      </c>
      <c r="AA124">
        <v>16802145</v>
      </c>
      <c r="AB124">
        <f t="shared" si="130"/>
        <v>1503.69</v>
      </c>
      <c r="AC124">
        <f t="shared" si="131"/>
        <v>1503.69</v>
      </c>
      <c r="AD124">
        <f t="shared" si="132"/>
        <v>0</v>
      </c>
      <c r="AE124">
        <f t="shared" si="133"/>
        <v>0</v>
      </c>
      <c r="AF124">
        <f t="shared" si="134"/>
        <v>0</v>
      </c>
      <c r="AG124">
        <f t="shared" si="135"/>
        <v>0</v>
      </c>
      <c r="AH124">
        <f t="shared" si="136"/>
        <v>0</v>
      </c>
      <c r="AI124">
        <f t="shared" si="137"/>
        <v>0</v>
      </c>
      <c r="AJ124">
        <f t="shared" si="138"/>
        <v>0</v>
      </c>
      <c r="AK124">
        <v>1503.69</v>
      </c>
      <c r="AL124">
        <v>1503.69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115</v>
      </c>
      <c r="AU124">
        <v>71</v>
      </c>
      <c r="AV124">
        <v>1</v>
      </c>
      <c r="AW124">
        <v>1</v>
      </c>
      <c r="AZ124">
        <v>6.71</v>
      </c>
      <c r="BA124">
        <v>1</v>
      </c>
      <c r="BB124">
        <v>1</v>
      </c>
      <c r="BC124">
        <v>6.71</v>
      </c>
      <c r="BD124" t="s">
        <v>6</v>
      </c>
      <c r="BE124" t="s">
        <v>6</v>
      </c>
      <c r="BF124" t="s">
        <v>6</v>
      </c>
      <c r="BG124" t="s">
        <v>6</v>
      </c>
      <c r="BH124">
        <v>3</v>
      </c>
      <c r="BI124">
        <v>1</v>
      </c>
      <c r="BJ124" t="s">
        <v>347</v>
      </c>
      <c r="BM124">
        <v>18001</v>
      </c>
      <c r="BN124">
        <v>0</v>
      </c>
      <c r="BO124" t="s">
        <v>6</v>
      </c>
      <c r="BP124">
        <v>0</v>
      </c>
      <c r="BQ124">
        <v>2</v>
      </c>
      <c r="BR124">
        <v>0</v>
      </c>
      <c r="BS124">
        <v>1</v>
      </c>
      <c r="BT124">
        <v>1</v>
      </c>
      <c r="BU124">
        <v>1</v>
      </c>
      <c r="BV124">
        <v>1</v>
      </c>
      <c r="BW124">
        <v>1</v>
      </c>
      <c r="BX124">
        <v>1</v>
      </c>
      <c r="BY124" t="s">
        <v>6</v>
      </c>
      <c r="BZ124">
        <v>128</v>
      </c>
      <c r="CA124">
        <v>83</v>
      </c>
      <c r="CE124">
        <v>0</v>
      </c>
      <c r="CF124">
        <v>0</v>
      </c>
      <c r="CG124">
        <v>0</v>
      </c>
      <c r="CM124">
        <v>0</v>
      </c>
      <c r="CN124" t="s">
        <v>6</v>
      </c>
      <c r="CO124">
        <v>0</v>
      </c>
      <c r="CP124">
        <f t="shared" si="139"/>
        <v>161436.16</v>
      </c>
      <c r="CQ124">
        <f t="shared" si="140"/>
        <v>10089.759900000001</v>
      </c>
      <c r="CR124">
        <f t="shared" si="141"/>
        <v>0</v>
      </c>
      <c r="CS124">
        <f t="shared" si="142"/>
        <v>0</v>
      </c>
      <c r="CT124">
        <f t="shared" si="143"/>
        <v>0</v>
      </c>
      <c r="CU124">
        <f t="shared" si="144"/>
        <v>0</v>
      </c>
      <c r="CV124">
        <f t="shared" si="145"/>
        <v>0</v>
      </c>
      <c r="CW124">
        <f t="shared" si="146"/>
        <v>0</v>
      </c>
      <c r="CX124">
        <f t="shared" si="147"/>
        <v>0</v>
      </c>
      <c r="CY124">
        <f t="shared" si="148"/>
        <v>0</v>
      </c>
      <c r="CZ124">
        <f t="shared" si="149"/>
        <v>0</v>
      </c>
      <c r="DC124" t="s">
        <v>6</v>
      </c>
      <c r="DD124" t="s">
        <v>6</v>
      </c>
      <c r="DE124" t="s">
        <v>6</v>
      </c>
      <c r="DF124" t="s">
        <v>6</v>
      </c>
      <c r="DG124" t="s">
        <v>6</v>
      </c>
      <c r="DH124" t="s">
        <v>6</v>
      </c>
      <c r="DI124" t="s">
        <v>6</v>
      </c>
      <c r="DJ124" t="s">
        <v>6</v>
      </c>
      <c r="DK124" t="s">
        <v>6</v>
      </c>
      <c r="DL124" t="s">
        <v>6</v>
      </c>
      <c r="DM124" t="s">
        <v>6</v>
      </c>
      <c r="DN124">
        <v>0</v>
      </c>
      <c r="DO124">
        <v>0</v>
      </c>
      <c r="DP124">
        <v>1</v>
      </c>
      <c r="DQ124">
        <v>1</v>
      </c>
      <c r="DU124">
        <v>1010</v>
      </c>
      <c r="DV124" t="s">
        <v>42</v>
      </c>
      <c r="DW124" t="s">
        <v>42</v>
      </c>
      <c r="DX124">
        <v>1</v>
      </c>
      <c r="EE124">
        <v>16510516</v>
      </c>
      <c r="EF124">
        <v>2</v>
      </c>
      <c r="EG124" t="s">
        <v>48</v>
      </c>
      <c r="EH124">
        <v>0</v>
      </c>
      <c r="EI124" t="s">
        <v>6</v>
      </c>
      <c r="EJ124">
        <v>1</v>
      </c>
      <c r="EK124">
        <v>18001</v>
      </c>
      <c r="EL124" t="s">
        <v>342</v>
      </c>
      <c r="EM124" t="s">
        <v>343</v>
      </c>
      <c r="EO124" t="s">
        <v>6</v>
      </c>
      <c r="EQ124">
        <v>0</v>
      </c>
      <c r="ER124">
        <v>1503.69</v>
      </c>
      <c r="ES124">
        <v>1503.69</v>
      </c>
      <c r="ET124">
        <v>0</v>
      </c>
      <c r="EU124">
        <v>0</v>
      </c>
      <c r="EV124">
        <v>0</v>
      </c>
      <c r="EW124">
        <v>0</v>
      </c>
      <c r="EX124">
        <v>0</v>
      </c>
      <c r="FQ124">
        <v>0</v>
      </c>
      <c r="FR124">
        <f t="shared" si="150"/>
        <v>0</v>
      </c>
      <c r="FS124">
        <v>0</v>
      </c>
      <c r="FT124" t="s">
        <v>51</v>
      </c>
      <c r="FU124" t="s">
        <v>52</v>
      </c>
      <c r="FX124">
        <v>115.2</v>
      </c>
      <c r="FY124">
        <v>70.55</v>
      </c>
      <c r="GA124" t="s">
        <v>6</v>
      </c>
      <c r="GD124">
        <v>0</v>
      </c>
      <c r="GF124">
        <v>-1671494881</v>
      </c>
      <c r="GG124">
        <v>1</v>
      </c>
      <c r="GH124">
        <v>1</v>
      </c>
      <c r="GI124">
        <v>4</v>
      </c>
      <c r="GJ124">
        <v>0</v>
      </c>
      <c r="GK124">
        <f>ROUND(R124*(R12)/100,2)</f>
        <v>0</v>
      </c>
      <c r="GL124">
        <f t="shared" si="151"/>
        <v>0</v>
      </c>
      <c r="GM124">
        <f t="shared" si="152"/>
        <v>161436.16</v>
      </c>
      <c r="GN124">
        <f t="shared" si="153"/>
        <v>161436.16</v>
      </c>
      <c r="GO124">
        <f t="shared" si="154"/>
        <v>0</v>
      </c>
      <c r="GP124">
        <f t="shared" si="155"/>
        <v>0</v>
      </c>
      <c r="GR124">
        <v>0</v>
      </c>
      <c r="GS124">
        <v>0</v>
      </c>
      <c r="GT124">
        <v>0</v>
      </c>
      <c r="GU124" t="s">
        <v>6</v>
      </c>
      <c r="GV124">
        <f t="shared" si="156"/>
        <v>0</v>
      </c>
      <c r="GW124">
        <v>1</v>
      </c>
      <c r="GX124">
        <f t="shared" si="157"/>
        <v>0</v>
      </c>
      <c r="HA124">
        <v>0</v>
      </c>
      <c r="HB124">
        <v>0</v>
      </c>
      <c r="HC124">
        <f t="shared" si="158"/>
        <v>0</v>
      </c>
      <c r="IK124">
        <v>0</v>
      </c>
    </row>
    <row r="125" spans="1:245" x14ac:dyDescent="0.2">
      <c r="A125">
        <v>18</v>
      </c>
      <c r="B125">
        <v>1</v>
      </c>
      <c r="C125">
        <v>167</v>
      </c>
      <c r="E125" t="s">
        <v>348</v>
      </c>
      <c r="F125" t="s">
        <v>349</v>
      </c>
      <c r="G125" t="s">
        <v>350</v>
      </c>
      <c r="H125" t="s">
        <v>351</v>
      </c>
      <c r="I125">
        <f>I123*J125</f>
        <v>23.04</v>
      </c>
      <c r="J125">
        <v>100</v>
      </c>
      <c r="O125">
        <f t="shared" si="119"/>
        <v>0</v>
      </c>
      <c r="P125">
        <f t="shared" si="120"/>
        <v>0</v>
      </c>
      <c r="Q125">
        <f t="shared" si="121"/>
        <v>0</v>
      </c>
      <c r="R125">
        <f t="shared" si="122"/>
        <v>0</v>
      </c>
      <c r="S125">
        <f t="shared" si="123"/>
        <v>0</v>
      </c>
      <c r="T125">
        <f t="shared" si="124"/>
        <v>0</v>
      </c>
      <c r="U125">
        <f t="shared" si="125"/>
        <v>0</v>
      </c>
      <c r="V125">
        <f t="shared" si="126"/>
        <v>0</v>
      </c>
      <c r="W125">
        <f t="shared" si="127"/>
        <v>0</v>
      </c>
      <c r="X125">
        <f t="shared" si="128"/>
        <v>0</v>
      </c>
      <c r="Y125">
        <f t="shared" si="129"/>
        <v>0</v>
      </c>
      <c r="AA125">
        <v>16802145</v>
      </c>
      <c r="AB125">
        <f t="shared" si="130"/>
        <v>0</v>
      </c>
      <c r="AC125">
        <f t="shared" si="131"/>
        <v>0</v>
      </c>
      <c r="AD125">
        <f t="shared" si="132"/>
        <v>0</v>
      </c>
      <c r="AE125">
        <f t="shared" si="133"/>
        <v>0</v>
      </c>
      <c r="AF125">
        <f t="shared" si="134"/>
        <v>0</v>
      </c>
      <c r="AG125">
        <f t="shared" si="135"/>
        <v>0</v>
      </c>
      <c r="AH125">
        <f t="shared" si="136"/>
        <v>0</v>
      </c>
      <c r="AI125">
        <f t="shared" si="137"/>
        <v>0</v>
      </c>
      <c r="AJ125">
        <f t="shared" si="138"/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115</v>
      </c>
      <c r="AU125">
        <v>71</v>
      </c>
      <c r="AV125">
        <v>1</v>
      </c>
      <c r="AW125">
        <v>1</v>
      </c>
      <c r="AZ125">
        <v>6.71</v>
      </c>
      <c r="BA125">
        <v>1</v>
      </c>
      <c r="BB125">
        <v>1</v>
      </c>
      <c r="BC125">
        <v>6.71</v>
      </c>
      <c r="BD125" t="s">
        <v>6</v>
      </c>
      <c r="BE125" t="s">
        <v>6</v>
      </c>
      <c r="BF125" t="s">
        <v>6</v>
      </c>
      <c r="BG125" t="s">
        <v>6</v>
      </c>
      <c r="BH125">
        <v>3</v>
      </c>
      <c r="BI125">
        <v>1</v>
      </c>
      <c r="BJ125" t="s">
        <v>6</v>
      </c>
      <c r="BM125">
        <v>18001</v>
      </c>
      <c r="BN125">
        <v>0</v>
      </c>
      <c r="BO125" t="s">
        <v>6</v>
      </c>
      <c r="BP125">
        <v>0</v>
      </c>
      <c r="BQ125">
        <v>2</v>
      </c>
      <c r="BR125">
        <v>0</v>
      </c>
      <c r="BS125">
        <v>1</v>
      </c>
      <c r="BT125">
        <v>1</v>
      </c>
      <c r="BU125">
        <v>1</v>
      </c>
      <c r="BV125">
        <v>1</v>
      </c>
      <c r="BW125">
        <v>1</v>
      </c>
      <c r="BX125">
        <v>1</v>
      </c>
      <c r="BY125" t="s">
        <v>6</v>
      </c>
      <c r="BZ125">
        <v>128</v>
      </c>
      <c r="CA125">
        <v>83</v>
      </c>
      <c r="CE125">
        <v>0</v>
      </c>
      <c r="CF125">
        <v>0</v>
      </c>
      <c r="CG125">
        <v>0</v>
      </c>
      <c r="CM125">
        <v>0</v>
      </c>
      <c r="CN125" t="s">
        <v>6</v>
      </c>
      <c r="CO125">
        <v>0</v>
      </c>
      <c r="CP125">
        <f t="shared" si="139"/>
        <v>0</v>
      </c>
      <c r="CQ125">
        <f t="shared" si="140"/>
        <v>0</v>
      </c>
      <c r="CR125">
        <f t="shared" si="141"/>
        <v>0</v>
      </c>
      <c r="CS125">
        <f t="shared" si="142"/>
        <v>0</v>
      </c>
      <c r="CT125">
        <f t="shared" si="143"/>
        <v>0</v>
      </c>
      <c r="CU125">
        <f t="shared" si="144"/>
        <v>0</v>
      </c>
      <c r="CV125">
        <f t="shared" si="145"/>
        <v>0</v>
      </c>
      <c r="CW125">
        <f t="shared" si="146"/>
        <v>0</v>
      </c>
      <c r="CX125">
        <f t="shared" si="147"/>
        <v>0</v>
      </c>
      <c r="CY125">
        <f t="shared" si="148"/>
        <v>0</v>
      </c>
      <c r="CZ125">
        <f t="shared" si="149"/>
        <v>0</v>
      </c>
      <c r="DC125" t="s">
        <v>6</v>
      </c>
      <c r="DD125" t="s">
        <v>6</v>
      </c>
      <c r="DE125" t="s">
        <v>6</v>
      </c>
      <c r="DF125" t="s">
        <v>6</v>
      </c>
      <c r="DG125" t="s">
        <v>6</v>
      </c>
      <c r="DH125" t="s">
        <v>6</v>
      </c>
      <c r="DI125" t="s">
        <v>6</v>
      </c>
      <c r="DJ125" t="s">
        <v>6</v>
      </c>
      <c r="DK125" t="s">
        <v>6</v>
      </c>
      <c r="DL125" t="s">
        <v>6</v>
      </c>
      <c r="DM125" t="s">
        <v>6</v>
      </c>
      <c r="DN125">
        <v>0</v>
      </c>
      <c r="DO125">
        <v>0</v>
      </c>
      <c r="DP125">
        <v>1</v>
      </c>
      <c r="DQ125">
        <v>1</v>
      </c>
      <c r="DU125">
        <v>1013</v>
      </c>
      <c r="DV125" t="s">
        <v>351</v>
      </c>
      <c r="DW125" t="s">
        <v>351</v>
      </c>
      <c r="DX125">
        <v>1</v>
      </c>
      <c r="EE125">
        <v>16510516</v>
      </c>
      <c r="EF125">
        <v>2</v>
      </c>
      <c r="EG125" t="s">
        <v>48</v>
      </c>
      <c r="EH125">
        <v>0</v>
      </c>
      <c r="EI125" t="s">
        <v>6</v>
      </c>
      <c r="EJ125">
        <v>1</v>
      </c>
      <c r="EK125">
        <v>18001</v>
      </c>
      <c r="EL125" t="s">
        <v>342</v>
      </c>
      <c r="EM125" t="s">
        <v>343</v>
      </c>
      <c r="EO125" t="s">
        <v>6</v>
      </c>
      <c r="EQ125">
        <v>0</v>
      </c>
      <c r="ER125">
        <v>0</v>
      </c>
      <c r="ES125">
        <v>0</v>
      </c>
      <c r="ET125">
        <v>0</v>
      </c>
      <c r="EU125">
        <v>0</v>
      </c>
      <c r="EV125">
        <v>0</v>
      </c>
      <c r="EW125">
        <v>0</v>
      </c>
      <c r="EX125">
        <v>0</v>
      </c>
      <c r="FQ125">
        <v>0</v>
      </c>
      <c r="FR125">
        <f t="shared" si="150"/>
        <v>0</v>
      </c>
      <c r="FS125">
        <v>0</v>
      </c>
      <c r="FT125" t="s">
        <v>51</v>
      </c>
      <c r="FU125" t="s">
        <v>52</v>
      </c>
      <c r="FX125">
        <v>115.2</v>
      </c>
      <c r="FY125">
        <v>70.55</v>
      </c>
      <c r="GA125" t="s">
        <v>6</v>
      </c>
      <c r="GD125">
        <v>0</v>
      </c>
      <c r="GF125">
        <v>704408924</v>
      </c>
      <c r="GG125">
        <v>1</v>
      </c>
      <c r="GH125">
        <v>1</v>
      </c>
      <c r="GI125">
        <v>4</v>
      </c>
      <c r="GJ125">
        <v>0</v>
      </c>
      <c r="GK125">
        <f>ROUND(R125*(R12)/100,2)</f>
        <v>0</v>
      </c>
      <c r="GL125">
        <f t="shared" si="151"/>
        <v>0</v>
      </c>
      <c r="GM125">
        <f t="shared" si="152"/>
        <v>0</v>
      </c>
      <c r="GN125">
        <f t="shared" si="153"/>
        <v>0</v>
      </c>
      <c r="GO125">
        <f t="shared" si="154"/>
        <v>0</v>
      </c>
      <c r="GP125">
        <f t="shared" si="155"/>
        <v>0</v>
      </c>
      <c r="GR125">
        <v>0</v>
      </c>
      <c r="GS125">
        <v>3</v>
      </c>
      <c r="GT125">
        <v>0</v>
      </c>
      <c r="GU125" t="s">
        <v>6</v>
      </c>
      <c r="GV125">
        <f t="shared" si="156"/>
        <v>0</v>
      </c>
      <c r="GW125">
        <v>1</v>
      </c>
      <c r="GX125">
        <f t="shared" si="157"/>
        <v>0</v>
      </c>
      <c r="HA125">
        <v>0</v>
      </c>
      <c r="HB125">
        <v>0</v>
      </c>
      <c r="HC125">
        <f t="shared" si="158"/>
        <v>0</v>
      </c>
      <c r="IK125">
        <v>0</v>
      </c>
    </row>
    <row r="126" spans="1:245" x14ac:dyDescent="0.2">
      <c r="A126">
        <v>17</v>
      </c>
      <c r="B126">
        <v>1</v>
      </c>
      <c r="C126">
        <f>ROW(SmtRes!A175)</f>
        <v>175</v>
      </c>
      <c r="D126">
        <f>ROW(EtalonRes!A173)</f>
        <v>173</v>
      </c>
      <c r="E126" t="s">
        <v>352</v>
      </c>
      <c r="F126" t="s">
        <v>353</v>
      </c>
      <c r="G126" t="s">
        <v>354</v>
      </c>
      <c r="H126" t="s">
        <v>26</v>
      </c>
      <c r="I126">
        <f>ROUND(5.28/100,9)</f>
        <v>5.28E-2</v>
      </c>
      <c r="J126">
        <v>0</v>
      </c>
      <c r="O126">
        <f t="shared" si="119"/>
        <v>255.25</v>
      </c>
      <c r="P126">
        <f t="shared" si="120"/>
        <v>31.38</v>
      </c>
      <c r="Q126">
        <f t="shared" si="121"/>
        <v>0.81</v>
      </c>
      <c r="R126">
        <f t="shared" si="122"/>
        <v>0.17</v>
      </c>
      <c r="S126">
        <f t="shared" si="123"/>
        <v>223.06</v>
      </c>
      <c r="T126">
        <f t="shared" si="124"/>
        <v>0</v>
      </c>
      <c r="U126">
        <f t="shared" si="125"/>
        <v>3.7519680000000002</v>
      </c>
      <c r="V126">
        <f t="shared" si="126"/>
        <v>2.1120000000000002E-3</v>
      </c>
      <c r="W126">
        <f t="shared" si="127"/>
        <v>0</v>
      </c>
      <c r="X126">
        <f t="shared" si="128"/>
        <v>212.07</v>
      </c>
      <c r="Y126">
        <f t="shared" si="129"/>
        <v>104.92</v>
      </c>
      <c r="AA126">
        <v>16802145</v>
      </c>
      <c r="AB126">
        <f t="shared" si="130"/>
        <v>720.44</v>
      </c>
      <c r="AC126">
        <f t="shared" si="131"/>
        <v>88.57</v>
      </c>
      <c r="AD126">
        <f t="shared" si="132"/>
        <v>2.2799999999999998</v>
      </c>
      <c r="AE126">
        <f t="shared" si="133"/>
        <v>0.49</v>
      </c>
      <c r="AF126">
        <f t="shared" si="134"/>
        <v>629.59</v>
      </c>
      <c r="AG126">
        <f t="shared" si="135"/>
        <v>0</v>
      </c>
      <c r="AH126">
        <f t="shared" si="136"/>
        <v>71.06</v>
      </c>
      <c r="AI126">
        <f t="shared" si="137"/>
        <v>0.04</v>
      </c>
      <c r="AJ126">
        <f t="shared" si="138"/>
        <v>0</v>
      </c>
      <c r="AK126">
        <v>720.44</v>
      </c>
      <c r="AL126">
        <v>88.57</v>
      </c>
      <c r="AM126">
        <v>2.2799999999999998</v>
      </c>
      <c r="AN126">
        <v>0.49</v>
      </c>
      <c r="AO126">
        <v>629.59</v>
      </c>
      <c r="AP126">
        <v>0</v>
      </c>
      <c r="AQ126">
        <v>71.06</v>
      </c>
      <c r="AR126">
        <v>0.04</v>
      </c>
      <c r="AS126">
        <v>0</v>
      </c>
      <c r="AT126">
        <v>95</v>
      </c>
      <c r="AU126">
        <v>47</v>
      </c>
      <c r="AV126">
        <v>1</v>
      </c>
      <c r="AW126">
        <v>1</v>
      </c>
      <c r="AZ126">
        <v>6.71</v>
      </c>
      <c r="BA126">
        <v>6.71</v>
      </c>
      <c r="BB126">
        <v>6.71</v>
      </c>
      <c r="BC126">
        <v>6.71</v>
      </c>
      <c r="BD126" t="s">
        <v>6</v>
      </c>
      <c r="BE126" t="s">
        <v>6</v>
      </c>
      <c r="BF126" t="s">
        <v>6</v>
      </c>
      <c r="BG126" t="s">
        <v>6</v>
      </c>
      <c r="BH126">
        <v>0</v>
      </c>
      <c r="BI126">
        <v>1</v>
      </c>
      <c r="BJ126" t="s">
        <v>355</v>
      </c>
      <c r="BM126">
        <v>15001</v>
      </c>
      <c r="BN126">
        <v>0</v>
      </c>
      <c r="BO126" t="s">
        <v>6</v>
      </c>
      <c r="BP126">
        <v>0</v>
      </c>
      <c r="BQ126">
        <v>2</v>
      </c>
      <c r="BR126">
        <v>0</v>
      </c>
      <c r="BS126">
        <v>6.71</v>
      </c>
      <c r="BT126">
        <v>1</v>
      </c>
      <c r="BU126">
        <v>1</v>
      </c>
      <c r="BV126">
        <v>1</v>
      </c>
      <c r="BW126">
        <v>1</v>
      </c>
      <c r="BX126">
        <v>1</v>
      </c>
      <c r="BY126" t="s">
        <v>6</v>
      </c>
      <c r="BZ126">
        <v>105</v>
      </c>
      <c r="CA126">
        <v>55</v>
      </c>
      <c r="CE126">
        <v>0</v>
      </c>
      <c r="CF126">
        <v>0</v>
      </c>
      <c r="CG126">
        <v>0</v>
      </c>
      <c r="CM126">
        <v>0</v>
      </c>
      <c r="CN126" t="s">
        <v>6</v>
      </c>
      <c r="CO126">
        <v>0</v>
      </c>
      <c r="CP126">
        <f t="shared" si="139"/>
        <v>255.25</v>
      </c>
      <c r="CQ126">
        <f t="shared" si="140"/>
        <v>594.30469999999991</v>
      </c>
      <c r="CR126">
        <f t="shared" si="141"/>
        <v>15.298799999999998</v>
      </c>
      <c r="CS126">
        <f t="shared" si="142"/>
        <v>3.2879</v>
      </c>
      <c r="CT126">
        <f t="shared" si="143"/>
        <v>4224.5488999999998</v>
      </c>
      <c r="CU126">
        <f t="shared" si="144"/>
        <v>0</v>
      </c>
      <c r="CV126">
        <f t="shared" si="145"/>
        <v>71.06</v>
      </c>
      <c r="CW126">
        <f t="shared" si="146"/>
        <v>0.04</v>
      </c>
      <c r="CX126">
        <f t="shared" si="147"/>
        <v>0</v>
      </c>
      <c r="CY126">
        <f t="shared" si="148"/>
        <v>212.06849999999997</v>
      </c>
      <c r="CZ126">
        <f t="shared" si="149"/>
        <v>104.9181</v>
      </c>
      <c r="DC126" t="s">
        <v>6</v>
      </c>
      <c r="DD126" t="s">
        <v>6</v>
      </c>
      <c r="DE126" t="s">
        <v>6</v>
      </c>
      <c r="DF126" t="s">
        <v>6</v>
      </c>
      <c r="DG126" t="s">
        <v>6</v>
      </c>
      <c r="DH126" t="s">
        <v>6</v>
      </c>
      <c r="DI126" t="s">
        <v>6</v>
      </c>
      <c r="DJ126" t="s">
        <v>6</v>
      </c>
      <c r="DK126" t="s">
        <v>6</v>
      </c>
      <c r="DL126" t="s">
        <v>6</v>
      </c>
      <c r="DM126" t="s">
        <v>6</v>
      </c>
      <c r="DN126">
        <v>0</v>
      </c>
      <c r="DO126">
        <v>0</v>
      </c>
      <c r="DP126">
        <v>1</v>
      </c>
      <c r="DQ126">
        <v>1</v>
      </c>
      <c r="DU126">
        <v>1005</v>
      </c>
      <c r="DV126" t="s">
        <v>26</v>
      </c>
      <c r="DW126" t="s">
        <v>26</v>
      </c>
      <c r="DX126">
        <v>100</v>
      </c>
      <c r="EE126">
        <v>16510513</v>
      </c>
      <c r="EF126">
        <v>2</v>
      </c>
      <c r="EG126" t="s">
        <v>48</v>
      </c>
      <c r="EH126">
        <v>0</v>
      </c>
      <c r="EI126" t="s">
        <v>6</v>
      </c>
      <c r="EJ126">
        <v>1</v>
      </c>
      <c r="EK126">
        <v>15001</v>
      </c>
      <c r="EL126" t="s">
        <v>86</v>
      </c>
      <c r="EM126" t="s">
        <v>87</v>
      </c>
      <c r="EO126" t="s">
        <v>6</v>
      </c>
      <c r="EQ126">
        <v>131072</v>
      </c>
      <c r="ER126">
        <v>720.44</v>
      </c>
      <c r="ES126">
        <v>88.57</v>
      </c>
      <c r="ET126">
        <v>2.2799999999999998</v>
      </c>
      <c r="EU126">
        <v>0.49</v>
      </c>
      <c r="EV126">
        <v>629.59</v>
      </c>
      <c r="EW126">
        <v>71.06</v>
      </c>
      <c r="EX126">
        <v>0.04</v>
      </c>
      <c r="EY126">
        <v>0</v>
      </c>
      <c r="FQ126">
        <v>0</v>
      </c>
      <c r="FR126">
        <f t="shared" si="150"/>
        <v>0</v>
      </c>
      <c r="FS126">
        <v>0</v>
      </c>
      <c r="FT126" t="s">
        <v>51</v>
      </c>
      <c r="FU126" t="s">
        <v>52</v>
      </c>
      <c r="FX126">
        <v>94.5</v>
      </c>
      <c r="FY126">
        <v>46.75</v>
      </c>
      <c r="GA126" t="s">
        <v>6</v>
      </c>
      <c r="GD126">
        <v>0</v>
      </c>
      <c r="GF126">
        <v>-1311473070</v>
      </c>
      <c r="GG126">
        <v>1</v>
      </c>
      <c r="GH126">
        <v>1</v>
      </c>
      <c r="GI126">
        <v>4</v>
      </c>
      <c r="GJ126">
        <v>0</v>
      </c>
      <c r="GK126">
        <f>ROUND(R126*(R12)/100,2)</f>
        <v>0</v>
      </c>
      <c r="GL126">
        <f t="shared" si="151"/>
        <v>0</v>
      </c>
      <c r="GM126">
        <f t="shared" si="152"/>
        <v>572.24</v>
      </c>
      <c r="GN126">
        <f t="shared" si="153"/>
        <v>572.24</v>
      </c>
      <c r="GO126">
        <f t="shared" si="154"/>
        <v>0</v>
      </c>
      <c r="GP126">
        <f t="shared" si="155"/>
        <v>0</v>
      </c>
      <c r="GR126">
        <v>0</v>
      </c>
      <c r="GS126">
        <v>0</v>
      </c>
      <c r="GT126">
        <v>0</v>
      </c>
      <c r="GU126" t="s">
        <v>6</v>
      </c>
      <c r="GV126">
        <f t="shared" si="156"/>
        <v>0</v>
      </c>
      <c r="GW126">
        <v>1</v>
      </c>
      <c r="GX126">
        <f t="shared" si="157"/>
        <v>0</v>
      </c>
      <c r="HA126">
        <v>0</v>
      </c>
      <c r="HB126">
        <v>0</v>
      </c>
      <c r="HC126">
        <f t="shared" si="158"/>
        <v>0</v>
      </c>
      <c r="IK126">
        <v>0</v>
      </c>
    </row>
    <row r="127" spans="1:245" x14ac:dyDescent="0.2">
      <c r="A127">
        <v>18</v>
      </c>
      <c r="B127">
        <v>1</v>
      </c>
      <c r="C127">
        <v>173</v>
      </c>
      <c r="E127" t="s">
        <v>356</v>
      </c>
      <c r="F127" t="s">
        <v>357</v>
      </c>
      <c r="G127" t="s">
        <v>358</v>
      </c>
      <c r="H127" t="s">
        <v>65</v>
      </c>
      <c r="I127">
        <f>I126*J127</f>
        <v>1.299E-3</v>
      </c>
      <c r="J127">
        <v>2.460227272727273E-2</v>
      </c>
      <c r="O127">
        <f t="shared" si="119"/>
        <v>0</v>
      </c>
      <c r="P127">
        <f t="shared" si="120"/>
        <v>0</v>
      </c>
      <c r="Q127">
        <f t="shared" si="121"/>
        <v>0</v>
      </c>
      <c r="R127">
        <f t="shared" si="122"/>
        <v>0</v>
      </c>
      <c r="S127">
        <f t="shared" si="123"/>
        <v>0</v>
      </c>
      <c r="T127">
        <f t="shared" si="124"/>
        <v>0</v>
      </c>
      <c r="U127">
        <f t="shared" si="125"/>
        <v>0</v>
      </c>
      <c r="V127">
        <f t="shared" si="126"/>
        <v>0</v>
      </c>
      <c r="W127">
        <f t="shared" si="127"/>
        <v>0</v>
      </c>
      <c r="X127">
        <f t="shared" si="128"/>
        <v>0</v>
      </c>
      <c r="Y127">
        <f t="shared" si="129"/>
        <v>0</v>
      </c>
      <c r="AA127">
        <v>16802145</v>
      </c>
      <c r="AB127">
        <f t="shared" si="130"/>
        <v>0</v>
      </c>
      <c r="AC127">
        <f t="shared" si="131"/>
        <v>0</v>
      </c>
      <c r="AD127">
        <f t="shared" si="132"/>
        <v>0</v>
      </c>
      <c r="AE127">
        <f t="shared" si="133"/>
        <v>0</v>
      </c>
      <c r="AF127">
        <f t="shared" si="134"/>
        <v>0</v>
      </c>
      <c r="AG127">
        <f t="shared" si="135"/>
        <v>0</v>
      </c>
      <c r="AH127">
        <f t="shared" si="136"/>
        <v>0</v>
      </c>
      <c r="AI127">
        <f t="shared" si="137"/>
        <v>0</v>
      </c>
      <c r="AJ127">
        <f t="shared" si="138"/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95</v>
      </c>
      <c r="AU127">
        <v>47</v>
      </c>
      <c r="AV127">
        <v>1</v>
      </c>
      <c r="AW127">
        <v>1</v>
      </c>
      <c r="AZ127">
        <v>6.71</v>
      </c>
      <c r="BA127">
        <v>1</v>
      </c>
      <c r="BB127">
        <v>1</v>
      </c>
      <c r="BC127">
        <v>6.71</v>
      </c>
      <c r="BD127" t="s">
        <v>6</v>
      </c>
      <c r="BE127" t="s">
        <v>6</v>
      </c>
      <c r="BF127" t="s">
        <v>6</v>
      </c>
      <c r="BG127" t="s">
        <v>6</v>
      </c>
      <c r="BH127">
        <v>3</v>
      </c>
      <c r="BI127">
        <v>1</v>
      </c>
      <c r="BJ127" t="s">
        <v>6</v>
      </c>
      <c r="BM127">
        <v>15001</v>
      </c>
      <c r="BN127">
        <v>0</v>
      </c>
      <c r="BO127" t="s">
        <v>6</v>
      </c>
      <c r="BP127">
        <v>0</v>
      </c>
      <c r="BQ127">
        <v>2</v>
      </c>
      <c r="BR127">
        <v>0</v>
      </c>
      <c r="BS127">
        <v>1</v>
      </c>
      <c r="BT127">
        <v>1</v>
      </c>
      <c r="BU127">
        <v>1</v>
      </c>
      <c r="BV127">
        <v>1</v>
      </c>
      <c r="BW127">
        <v>1</v>
      </c>
      <c r="BX127">
        <v>1</v>
      </c>
      <c r="BY127" t="s">
        <v>6</v>
      </c>
      <c r="BZ127">
        <v>105</v>
      </c>
      <c r="CA127">
        <v>55</v>
      </c>
      <c r="CE127">
        <v>0</v>
      </c>
      <c r="CF127">
        <v>0</v>
      </c>
      <c r="CG127">
        <v>0</v>
      </c>
      <c r="CM127">
        <v>0</v>
      </c>
      <c r="CN127" t="s">
        <v>6</v>
      </c>
      <c r="CO127">
        <v>0</v>
      </c>
      <c r="CP127">
        <f t="shared" si="139"/>
        <v>0</v>
      </c>
      <c r="CQ127">
        <f t="shared" si="140"/>
        <v>0</v>
      </c>
      <c r="CR127">
        <f t="shared" si="141"/>
        <v>0</v>
      </c>
      <c r="CS127">
        <f t="shared" si="142"/>
        <v>0</v>
      </c>
      <c r="CT127">
        <f t="shared" si="143"/>
        <v>0</v>
      </c>
      <c r="CU127">
        <f t="shared" si="144"/>
        <v>0</v>
      </c>
      <c r="CV127">
        <f t="shared" si="145"/>
        <v>0</v>
      </c>
      <c r="CW127">
        <f t="shared" si="146"/>
        <v>0</v>
      </c>
      <c r="CX127">
        <f t="shared" si="147"/>
        <v>0</v>
      </c>
      <c r="CY127">
        <f t="shared" si="148"/>
        <v>0</v>
      </c>
      <c r="CZ127">
        <f t="shared" si="149"/>
        <v>0</v>
      </c>
      <c r="DC127" t="s">
        <v>6</v>
      </c>
      <c r="DD127" t="s">
        <v>6</v>
      </c>
      <c r="DE127" t="s">
        <v>6</v>
      </c>
      <c r="DF127" t="s">
        <v>6</v>
      </c>
      <c r="DG127" t="s">
        <v>6</v>
      </c>
      <c r="DH127" t="s">
        <v>6</v>
      </c>
      <c r="DI127" t="s">
        <v>6</v>
      </c>
      <c r="DJ127" t="s">
        <v>6</v>
      </c>
      <c r="DK127" t="s">
        <v>6</v>
      </c>
      <c r="DL127" t="s">
        <v>6</v>
      </c>
      <c r="DM127" t="s">
        <v>6</v>
      </c>
      <c r="DN127">
        <v>0</v>
      </c>
      <c r="DO127">
        <v>0</v>
      </c>
      <c r="DP127">
        <v>1</v>
      </c>
      <c r="DQ127">
        <v>1</v>
      </c>
      <c r="DU127">
        <v>1009</v>
      </c>
      <c r="DV127" t="s">
        <v>65</v>
      </c>
      <c r="DW127" t="s">
        <v>65</v>
      </c>
      <c r="DX127">
        <v>1000</v>
      </c>
      <c r="EE127">
        <v>16510513</v>
      </c>
      <c r="EF127">
        <v>2</v>
      </c>
      <c r="EG127" t="s">
        <v>48</v>
      </c>
      <c r="EH127">
        <v>0</v>
      </c>
      <c r="EI127" t="s">
        <v>6</v>
      </c>
      <c r="EJ127">
        <v>1</v>
      </c>
      <c r="EK127">
        <v>15001</v>
      </c>
      <c r="EL127" t="s">
        <v>86</v>
      </c>
      <c r="EM127" t="s">
        <v>87</v>
      </c>
      <c r="EO127" t="s">
        <v>6</v>
      </c>
      <c r="EQ127">
        <v>0</v>
      </c>
      <c r="ER127">
        <v>0</v>
      </c>
      <c r="ES127">
        <v>0</v>
      </c>
      <c r="ET127">
        <v>0</v>
      </c>
      <c r="EU127">
        <v>0</v>
      </c>
      <c r="EV127">
        <v>0</v>
      </c>
      <c r="EW127">
        <v>0</v>
      </c>
      <c r="EX127">
        <v>0</v>
      </c>
      <c r="FQ127">
        <v>0</v>
      </c>
      <c r="FR127">
        <f t="shared" si="150"/>
        <v>0</v>
      </c>
      <c r="FS127">
        <v>0</v>
      </c>
      <c r="FT127" t="s">
        <v>51</v>
      </c>
      <c r="FU127" t="s">
        <v>52</v>
      </c>
      <c r="FX127">
        <v>94.5</v>
      </c>
      <c r="FY127">
        <v>46.75</v>
      </c>
      <c r="GA127" t="s">
        <v>6</v>
      </c>
      <c r="GD127">
        <v>0</v>
      </c>
      <c r="GF127">
        <v>84301199</v>
      </c>
      <c r="GG127">
        <v>1</v>
      </c>
      <c r="GH127">
        <v>1</v>
      </c>
      <c r="GI127">
        <v>4</v>
      </c>
      <c r="GJ127">
        <v>0</v>
      </c>
      <c r="GK127">
        <f>ROUND(R127*(R12)/100,2)</f>
        <v>0</v>
      </c>
      <c r="GL127">
        <f t="shared" si="151"/>
        <v>0</v>
      </c>
      <c r="GM127">
        <f t="shared" si="152"/>
        <v>0</v>
      </c>
      <c r="GN127">
        <f t="shared" si="153"/>
        <v>0</v>
      </c>
      <c r="GO127">
        <f t="shared" si="154"/>
        <v>0</v>
      </c>
      <c r="GP127">
        <f t="shared" si="155"/>
        <v>0</v>
      </c>
      <c r="GR127">
        <v>0</v>
      </c>
      <c r="GS127">
        <v>3</v>
      </c>
      <c r="GT127">
        <v>0</v>
      </c>
      <c r="GU127" t="s">
        <v>6</v>
      </c>
      <c r="GV127">
        <f t="shared" si="156"/>
        <v>0</v>
      </c>
      <c r="GW127">
        <v>1</v>
      </c>
      <c r="GX127">
        <f t="shared" si="157"/>
        <v>0</v>
      </c>
      <c r="HA127">
        <v>0</v>
      </c>
      <c r="HB127">
        <v>0</v>
      </c>
      <c r="HC127">
        <f t="shared" si="158"/>
        <v>0</v>
      </c>
      <c r="IK127">
        <v>0</v>
      </c>
    </row>
    <row r="128" spans="1:245" x14ac:dyDescent="0.2">
      <c r="A128">
        <v>18</v>
      </c>
      <c r="B128">
        <v>1</v>
      </c>
      <c r="C128">
        <v>174</v>
      </c>
      <c r="E128" t="s">
        <v>359</v>
      </c>
      <c r="F128" t="s">
        <v>360</v>
      </c>
      <c r="G128" t="s">
        <v>361</v>
      </c>
      <c r="H128" t="s">
        <v>65</v>
      </c>
      <c r="I128">
        <f>I126*J128</f>
        <v>1.299E-3</v>
      </c>
      <c r="J128">
        <v>2.460227272727273E-2</v>
      </c>
      <c r="O128">
        <f t="shared" si="119"/>
        <v>370.51</v>
      </c>
      <c r="P128">
        <f t="shared" si="120"/>
        <v>370.51</v>
      </c>
      <c r="Q128">
        <f t="shared" si="121"/>
        <v>0</v>
      </c>
      <c r="R128">
        <f t="shared" si="122"/>
        <v>0</v>
      </c>
      <c r="S128">
        <f t="shared" si="123"/>
        <v>0</v>
      </c>
      <c r="T128">
        <f t="shared" si="124"/>
        <v>0</v>
      </c>
      <c r="U128">
        <f t="shared" si="125"/>
        <v>0</v>
      </c>
      <c r="V128">
        <f t="shared" si="126"/>
        <v>0</v>
      </c>
      <c r="W128">
        <f t="shared" si="127"/>
        <v>0</v>
      </c>
      <c r="X128">
        <f t="shared" si="128"/>
        <v>0</v>
      </c>
      <c r="Y128">
        <f t="shared" si="129"/>
        <v>0</v>
      </c>
      <c r="AA128">
        <v>16802145</v>
      </c>
      <c r="AB128">
        <f t="shared" si="130"/>
        <v>42508.19</v>
      </c>
      <c r="AC128">
        <f t="shared" si="131"/>
        <v>42508.19</v>
      </c>
      <c r="AD128">
        <f t="shared" si="132"/>
        <v>0</v>
      </c>
      <c r="AE128">
        <f t="shared" si="133"/>
        <v>0</v>
      </c>
      <c r="AF128">
        <f t="shared" si="134"/>
        <v>0</v>
      </c>
      <c r="AG128">
        <f t="shared" si="135"/>
        <v>0</v>
      </c>
      <c r="AH128">
        <f t="shared" si="136"/>
        <v>0</v>
      </c>
      <c r="AI128">
        <f t="shared" si="137"/>
        <v>0</v>
      </c>
      <c r="AJ128">
        <f t="shared" si="138"/>
        <v>0</v>
      </c>
      <c r="AK128">
        <v>42508.19</v>
      </c>
      <c r="AL128">
        <v>42508.19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95</v>
      </c>
      <c r="AU128">
        <v>47</v>
      </c>
      <c r="AV128">
        <v>1</v>
      </c>
      <c r="AW128">
        <v>1</v>
      </c>
      <c r="AZ128">
        <v>6.71</v>
      </c>
      <c r="BA128">
        <v>1</v>
      </c>
      <c r="BB128">
        <v>1</v>
      </c>
      <c r="BC128">
        <v>6.71</v>
      </c>
      <c r="BD128" t="s">
        <v>6</v>
      </c>
      <c r="BE128" t="s">
        <v>6</v>
      </c>
      <c r="BF128" t="s">
        <v>6</v>
      </c>
      <c r="BG128" t="s">
        <v>6</v>
      </c>
      <c r="BH128">
        <v>3</v>
      </c>
      <c r="BI128">
        <v>1</v>
      </c>
      <c r="BJ128" t="s">
        <v>362</v>
      </c>
      <c r="BM128">
        <v>15001</v>
      </c>
      <c r="BN128">
        <v>0</v>
      </c>
      <c r="BO128" t="s">
        <v>6</v>
      </c>
      <c r="BP128">
        <v>0</v>
      </c>
      <c r="BQ128">
        <v>2</v>
      </c>
      <c r="BR128">
        <v>0</v>
      </c>
      <c r="BS128">
        <v>1</v>
      </c>
      <c r="BT128">
        <v>1</v>
      </c>
      <c r="BU128">
        <v>1</v>
      </c>
      <c r="BV128">
        <v>1</v>
      </c>
      <c r="BW128">
        <v>1</v>
      </c>
      <c r="BX128">
        <v>1</v>
      </c>
      <c r="BY128" t="s">
        <v>6</v>
      </c>
      <c r="BZ128">
        <v>105</v>
      </c>
      <c r="CA128">
        <v>55</v>
      </c>
      <c r="CE128">
        <v>0</v>
      </c>
      <c r="CF128">
        <v>0</v>
      </c>
      <c r="CG128">
        <v>0</v>
      </c>
      <c r="CM128">
        <v>0</v>
      </c>
      <c r="CN128" t="s">
        <v>6</v>
      </c>
      <c r="CO128">
        <v>0</v>
      </c>
      <c r="CP128">
        <f t="shared" si="139"/>
        <v>370.51</v>
      </c>
      <c r="CQ128">
        <f t="shared" si="140"/>
        <v>285229.95490000001</v>
      </c>
      <c r="CR128">
        <f t="shared" si="141"/>
        <v>0</v>
      </c>
      <c r="CS128">
        <f t="shared" si="142"/>
        <v>0</v>
      </c>
      <c r="CT128">
        <f t="shared" si="143"/>
        <v>0</v>
      </c>
      <c r="CU128">
        <f t="shared" si="144"/>
        <v>0</v>
      </c>
      <c r="CV128">
        <f t="shared" si="145"/>
        <v>0</v>
      </c>
      <c r="CW128">
        <f t="shared" si="146"/>
        <v>0</v>
      </c>
      <c r="CX128">
        <f t="shared" si="147"/>
        <v>0</v>
      </c>
      <c r="CY128">
        <f t="shared" si="148"/>
        <v>0</v>
      </c>
      <c r="CZ128">
        <f t="shared" si="149"/>
        <v>0</v>
      </c>
      <c r="DC128" t="s">
        <v>6</v>
      </c>
      <c r="DD128" t="s">
        <v>6</v>
      </c>
      <c r="DE128" t="s">
        <v>6</v>
      </c>
      <c r="DF128" t="s">
        <v>6</v>
      </c>
      <c r="DG128" t="s">
        <v>6</v>
      </c>
      <c r="DH128" t="s">
        <v>6</v>
      </c>
      <c r="DI128" t="s">
        <v>6</v>
      </c>
      <c r="DJ128" t="s">
        <v>6</v>
      </c>
      <c r="DK128" t="s">
        <v>6</v>
      </c>
      <c r="DL128" t="s">
        <v>6</v>
      </c>
      <c r="DM128" t="s">
        <v>6</v>
      </c>
      <c r="DN128">
        <v>0</v>
      </c>
      <c r="DO128">
        <v>0</v>
      </c>
      <c r="DP128">
        <v>1</v>
      </c>
      <c r="DQ128">
        <v>1</v>
      </c>
      <c r="DU128">
        <v>1009</v>
      </c>
      <c r="DV128" t="s">
        <v>65</v>
      </c>
      <c r="DW128" t="s">
        <v>65</v>
      </c>
      <c r="DX128">
        <v>1000</v>
      </c>
      <c r="EE128">
        <v>16510513</v>
      </c>
      <c r="EF128">
        <v>2</v>
      </c>
      <c r="EG128" t="s">
        <v>48</v>
      </c>
      <c r="EH128">
        <v>0</v>
      </c>
      <c r="EI128" t="s">
        <v>6</v>
      </c>
      <c r="EJ128">
        <v>1</v>
      </c>
      <c r="EK128">
        <v>15001</v>
      </c>
      <c r="EL128" t="s">
        <v>86</v>
      </c>
      <c r="EM128" t="s">
        <v>87</v>
      </c>
      <c r="EO128" t="s">
        <v>6</v>
      </c>
      <c r="EQ128">
        <v>0</v>
      </c>
      <c r="ER128">
        <v>42508.19</v>
      </c>
      <c r="ES128">
        <v>42508.19</v>
      </c>
      <c r="ET128">
        <v>0</v>
      </c>
      <c r="EU128">
        <v>0</v>
      </c>
      <c r="EV128">
        <v>0</v>
      </c>
      <c r="EW128">
        <v>0</v>
      </c>
      <c r="EX128">
        <v>0</v>
      </c>
      <c r="FQ128">
        <v>0</v>
      </c>
      <c r="FR128">
        <f t="shared" si="150"/>
        <v>0</v>
      </c>
      <c r="FS128">
        <v>0</v>
      </c>
      <c r="FT128" t="s">
        <v>51</v>
      </c>
      <c r="FU128" t="s">
        <v>52</v>
      </c>
      <c r="FX128">
        <v>94.5</v>
      </c>
      <c r="FY128">
        <v>46.75</v>
      </c>
      <c r="GA128" t="s">
        <v>6</v>
      </c>
      <c r="GD128">
        <v>0</v>
      </c>
      <c r="GF128">
        <v>-777870615</v>
      </c>
      <c r="GG128">
        <v>1</v>
      </c>
      <c r="GH128">
        <v>1</v>
      </c>
      <c r="GI128">
        <v>4</v>
      </c>
      <c r="GJ128">
        <v>0</v>
      </c>
      <c r="GK128">
        <f>ROUND(R128*(R12)/100,2)</f>
        <v>0</v>
      </c>
      <c r="GL128">
        <f t="shared" si="151"/>
        <v>0</v>
      </c>
      <c r="GM128">
        <f t="shared" si="152"/>
        <v>370.51</v>
      </c>
      <c r="GN128">
        <f t="shared" si="153"/>
        <v>370.51</v>
      </c>
      <c r="GO128">
        <f t="shared" si="154"/>
        <v>0</v>
      </c>
      <c r="GP128">
        <f t="shared" si="155"/>
        <v>0</v>
      </c>
      <c r="GR128">
        <v>0</v>
      </c>
      <c r="GS128">
        <v>0</v>
      </c>
      <c r="GT128">
        <v>0</v>
      </c>
      <c r="GU128" t="s">
        <v>6</v>
      </c>
      <c r="GV128">
        <f t="shared" si="156"/>
        <v>0</v>
      </c>
      <c r="GW128">
        <v>1</v>
      </c>
      <c r="GX128">
        <f t="shared" si="157"/>
        <v>0</v>
      </c>
      <c r="HA128">
        <v>0</v>
      </c>
      <c r="HB128">
        <v>0</v>
      </c>
      <c r="HC128">
        <f t="shared" si="158"/>
        <v>0</v>
      </c>
      <c r="IK128">
        <v>0</v>
      </c>
    </row>
    <row r="129" spans="1:245" x14ac:dyDescent="0.2">
      <c r="A129">
        <v>17</v>
      </c>
      <c r="B129">
        <v>1</v>
      </c>
      <c r="C129">
        <f>ROW(SmtRes!A183)</f>
        <v>183</v>
      </c>
      <c r="D129">
        <f>ROW(EtalonRes!A182)</f>
        <v>182</v>
      </c>
      <c r="E129" t="s">
        <v>363</v>
      </c>
      <c r="F129" t="s">
        <v>364</v>
      </c>
      <c r="G129" t="s">
        <v>365</v>
      </c>
      <c r="H129" t="s">
        <v>366</v>
      </c>
      <c r="I129">
        <v>32</v>
      </c>
      <c r="J129">
        <v>0</v>
      </c>
      <c r="O129">
        <f t="shared" si="119"/>
        <v>9026.83</v>
      </c>
      <c r="P129">
        <f t="shared" si="120"/>
        <v>5413.09</v>
      </c>
      <c r="Q129">
        <f t="shared" si="121"/>
        <v>751.52</v>
      </c>
      <c r="R129">
        <f t="shared" si="122"/>
        <v>25.77</v>
      </c>
      <c r="S129">
        <f t="shared" si="123"/>
        <v>2862.22</v>
      </c>
      <c r="T129">
        <f t="shared" si="124"/>
        <v>0</v>
      </c>
      <c r="U129">
        <f t="shared" si="125"/>
        <v>47.04</v>
      </c>
      <c r="V129">
        <f t="shared" si="126"/>
        <v>0.32</v>
      </c>
      <c r="W129">
        <f t="shared" si="127"/>
        <v>0</v>
      </c>
      <c r="X129">
        <f t="shared" si="128"/>
        <v>3321.19</v>
      </c>
      <c r="Y129">
        <f t="shared" si="129"/>
        <v>2050.4699999999998</v>
      </c>
      <c r="AA129">
        <v>16802145</v>
      </c>
      <c r="AB129">
        <f t="shared" si="130"/>
        <v>42.04</v>
      </c>
      <c r="AC129">
        <f t="shared" si="131"/>
        <v>25.21</v>
      </c>
      <c r="AD129">
        <f t="shared" si="132"/>
        <v>3.5</v>
      </c>
      <c r="AE129">
        <f t="shared" si="133"/>
        <v>0.12</v>
      </c>
      <c r="AF129">
        <f t="shared" si="134"/>
        <v>13.33</v>
      </c>
      <c r="AG129">
        <f t="shared" si="135"/>
        <v>0</v>
      </c>
      <c r="AH129">
        <f t="shared" si="136"/>
        <v>1.47</v>
      </c>
      <c r="AI129">
        <f t="shared" si="137"/>
        <v>0.01</v>
      </c>
      <c r="AJ129">
        <f t="shared" si="138"/>
        <v>0</v>
      </c>
      <c r="AK129">
        <v>42.04</v>
      </c>
      <c r="AL129">
        <v>25.21</v>
      </c>
      <c r="AM129">
        <v>3.5</v>
      </c>
      <c r="AN129">
        <v>0.12</v>
      </c>
      <c r="AO129">
        <v>13.33</v>
      </c>
      <c r="AP129">
        <v>0</v>
      </c>
      <c r="AQ129">
        <v>1.47</v>
      </c>
      <c r="AR129">
        <v>0.01</v>
      </c>
      <c r="AS129">
        <v>0</v>
      </c>
      <c r="AT129">
        <v>115</v>
      </c>
      <c r="AU129">
        <v>71</v>
      </c>
      <c r="AV129">
        <v>1</v>
      </c>
      <c r="AW129">
        <v>1</v>
      </c>
      <c r="AZ129">
        <v>6.71</v>
      </c>
      <c r="BA129">
        <v>6.71</v>
      </c>
      <c r="BB129">
        <v>6.71</v>
      </c>
      <c r="BC129">
        <v>6.71</v>
      </c>
      <c r="BD129" t="s">
        <v>6</v>
      </c>
      <c r="BE129" t="s">
        <v>6</v>
      </c>
      <c r="BF129" t="s">
        <v>6</v>
      </c>
      <c r="BG129" t="s">
        <v>6</v>
      </c>
      <c r="BH129">
        <v>0</v>
      </c>
      <c r="BI129">
        <v>1</v>
      </c>
      <c r="BJ129" t="s">
        <v>367</v>
      </c>
      <c r="BM129">
        <v>16001</v>
      </c>
      <c r="BN129">
        <v>0</v>
      </c>
      <c r="BO129" t="s">
        <v>6</v>
      </c>
      <c r="BP129">
        <v>0</v>
      </c>
      <c r="BQ129">
        <v>2</v>
      </c>
      <c r="BR129">
        <v>0</v>
      </c>
      <c r="BS129">
        <v>6.71</v>
      </c>
      <c r="BT129">
        <v>1</v>
      </c>
      <c r="BU129">
        <v>1</v>
      </c>
      <c r="BV129">
        <v>1</v>
      </c>
      <c r="BW129">
        <v>1</v>
      </c>
      <c r="BX129">
        <v>1</v>
      </c>
      <c r="BY129" t="s">
        <v>6</v>
      </c>
      <c r="BZ129">
        <v>128</v>
      </c>
      <c r="CA129">
        <v>83</v>
      </c>
      <c r="CE129">
        <v>0</v>
      </c>
      <c r="CF129">
        <v>0</v>
      </c>
      <c r="CG129">
        <v>0</v>
      </c>
      <c r="CM129">
        <v>0</v>
      </c>
      <c r="CN129" t="s">
        <v>6</v>
      </c>
      <c r="CO129">
        <v>0</v>
      </c>
      <c r="CP129">
        <f t="shared" si="139"/>
        <v>9026.83</v>
      </c>
      <c r="CQ129">
        <f t="shared" si="140"/>
        <v>169.1591</v>
      </c>
      <c r="CR129">
        <f t="shared" si="141"/>
        <v>23.484999999999999</v>
      </c>
      <c r="CS129">
        <f t="shared" si="142"/>
        <v>0.80519999999999992</v>
      </c>
      <c r="CT129">
        <f t="shared" si="143"/>
        <v>89.444299999999998</v>
      </c>
      <c r="CU129">
        <f t="shared" si="144"/>
        <v>0</v>
      </c>
      <c r="CV129">
        <f t="shared" si="145"/>
        <v>1.47</v>
      </c>
      <c r="CW129">
        <f t="shared" si="146"/>
        <v>0.01</v>
      </c>
      <c r="CX129">
        <f t="shared" si="147"/>
        <v>0</v>
      </c>
      <c r="CY129">
        <f t="shared" si="148"/>
        <v>3321.1884999999997</v>
      </c>
      <c r="CZ129">
        <f t="shared" si="149"/>
        <v>2050.4728999999998</v>
      </c>
      <c r="DC129" t="s">
        <v>6</v>
      </c>
      <c r="DD129" t="s">
        <v>6</v>
      </c>
      <c r="DE129" t="s">
        <v>6</v>
      </c>
      <c r="DF129" t="s">
        <v>6</v>
      </c>
      <c r="DG129" t="s">
        <v>6</v>
      </c>
      <c r="DH129" t="s">
        <v>6</v>
      </c>
      <c r="DI129" t="s">
        <v>6</v>
      </c>
      <c r="DJ129" t="s">
        <v>6</v>
      </c>
      <c r="DK129" t="s">
        <v>6</v>
      </c>
      <c r="DL129" t="s">
        <v>6</v>
      </c>
      <c r="DM129" t="s">
        <v>6</v>
      </c>
      <c r="DN129">
        <v>0</v>
      </c>
      <c r="DO129">
        <v>0</v>
      </c>
      <c r="DP129">
        <v>1</v>
      </c>
      <c r="DQ129">
        <v>1</v>
      </c>
      <c r="DU129">
        <v>1013</v>
      </c>
      <c r="DV129" t="s">
        <v>366</v>
      </c>
      <c r="DW129" t="s">
        <v>366</v>
      </c>
      <c r="DX129">
        <v>1</v>
      </c>
      <c r="EE129">
        <v>16510514</v>
      </c>
      <c r="EF129">
        <v>2</v>
      </c>
      <c r="EG129" t="s">
        <v>48</v>
      </c>
      <c r="EH129">
        <v>0</v>
      </c>
      <c r="EI129" t="s">
        <v>6</v>
      </c>
      <c r="EJ129">
        <v>1</v>
      </c>
      <c r="EK129">
        <v>16001</v>
      </c>
      <c r="EL129" t="s">
        <v>368</v>
      </c>
      <c r="EM129" t="s">
        <v>369</v>
      </c>
      <c r="EO129" t="s">
        <v>6</v>
      </c>
      <c r="EQ129">
        <v>131072</v>
      </c>
      <c r="ER129">
        <v>42.04</v>
      </c>
      <c r="ES129">
        <v>25.21</v>
      </c>
      <c r="ET129">
        <v>3.5</v>
      </c>
      <c r="EU129">
        <v>0.12</v>
      </c>
      <c r="EV129">
        <v>13.33</v>
      </c>
      <c r="EW129">
        <v>1.47</v>
      </c>
      <c r="EX129">
        <v>0.01</v>
      </c>
      <c r="EY129">
        <v>0</v>
      </c>
      <c r="FQ129">
        <v>0</v>
      </c>
      <c r="FR129">
        <f t="shared" si="150"/>
        <v>0</v>
      </c>
      <c r="FS129">
        <v>0</v>
      </c>
      <c r="FT129" t="s">
        <v>51</v>
      </c>
      <c r="FU129" t="s">
        <v>52</v>
      </c>
      <c r="FX129">
        <v>115.2</v>
      </c>
      <c r="FY129">
        <v>70.55</v>
      </c>
      <c r="GA129" t="s">
        <v>6</v>
      </c>
      <c r="GD129">
        <v>0</v>
      </c>
      <c r="GF129">
        <v>1420229388</v>
      </c>
      <c r="GG129">
        <v>1</v>
      </c>
      <c r="GH129">
        <v>1</v>
      </c>
      <c r="GI129">
        <v>4</v>
      </c>
      <c r="GJ129">
        <v>0</v>
      </c>
      <c r="GK129">
        <f>ROUND(R129*(R12)/100,2)</f>
        <v>0</v>
      </c>
      <c r="GL129">
        <f t="shared" si="151"/>
        <v>0</v>
      </c>
      <c r="GM129">
        <f t="shared" si="152"/>
        <v>14398.49</v>
      </c>
      <c r="GN129">
        <f t="shared" si="153"/>
        <v>14398.49</v>
      </c>
      <c r="GO129">
        <f t="shared" si="154"/>
        <v>0</v>
      </c>
      <c r="GP129">
        <f t="shared" si="155"/>
        <v>0</v>
      </c>
      <c r="GR129">
        <v>0</v>
      </c>
      <c r="GS129">
        <v>0</v>
      </c>
      <c r="GT129">
        <v>0</v>
      </c>
      <c r="GU129" t="s">
        <v>6</v>
      </c>
      <c r="GV129">
        <f t="shared" si="156"/>
        <v>0</v>
      </c>
      <c r="GW129">
        <v>1</v>
      </c>
      <c r="GX129">
        <f t="shared" si="157"/>
        <v>0</v>
      </c>
      <c r="HA129">
        <v>0</v>
      </c>
      <c r="HB129">
        <v>0</v>
      </c>
      <c r="HC129">
        <f t="shared" si="158"/>
        <v>0</v>
      </c>
      <c r="IK129">
        <v>0</v>
      </c>
    </row>
    <row r="130" spans="1:245" x14ac:dyDescent="0.2">
      <c r="A130">
        <v>18</v>
      </c>
      <c r="B130">
        <v>1</v>
      </c>
      <c r="C130">
        <v>183</v>
      </c>
      <c r="E130" t="s">
        <v>370</v>
      </c>
      <c r="F130" t="s">
        <v>371</v>
      </c>
      <c r="G130" t="s">
        <v>372</v>
      </c>
      <c r="H130" t="s">
        <v>42</v>
      </c>
      <c r="I130">
        <f>I129*J130</f>
        <v>32</v>
      </c>
      <c r="J130">
        <v>1</v>
      </c>
      <c r="O130">
        <f t="shared" si="119"/>
        <v>11751.63</v>
      </c>
      <c r="P130">
        <f t="shared" si="120"/>
        <v>11751.63</v>
      </c>
      <c r="Q130">
        <f t="shared" si="121"/>
        <v>0</v>
      </c>
      <c r="R130">
        <f t="shared" si="122"/>
        <v>0</v>
      </c>
      <c r="S130">
        <f t="shared" si="123"/>
        <v>0</v>
      </c>
      <c r="T130">
        <f t="shared" si="124"/>
        <v>0</v>
      </c>
      <c r="U130">
        <f t="shared" si="125"/>
        <v>0</v>
      </c>
      <c r="V130">
        <f t="shared" si="126"/>
        <v>0</v>
      </c>
      <c r="W130">
        <f t="shared" si="127"/>
        <v>0</v>
      </c>
      <c r="X130">
        <f t="shared" si="128"/>
        <v>0</v>
      </c>
      <c r="Y130">
        <f t="shared" si="129"/>
        <v>0</v>
      </c>
      <c r="AA130">
        <v>16802145</v>
      </c>
      <c r="AB130">
        <f t="shared" si="130"/>
        <v>54.73</v>
      </c>
      <c r="AC130">
        <f t="shared" si="131"/>
        <v>54.73</v>
      </c>
      <c r="AD130">
        <f t="shared" si="132"/>
        <v>0</v>
      </c>
      <c r="AE130">
        <f t="shared" si="133"/>
        <v>0</v>
      </c>
      <c r="AF130">
        <f t="shared" si="134"/>
        <v>0</v>
      </c>
      <c r="AG130">
        <f t="shared" si="135"/>
        <v>0</v>
      </c>
      <c r="AH130">
        <f t="shared" si="136"/>
        <v>0</v>
      </c>
      <c r="AI130">
        <f t="shared" si="137"/>
        <v>0</v>
      </c>
      <c r="AJ130">
        <f t="shared" si="138"/>
        <v>0</v>
      </c>
      <c r="AK130">
        <v>54.73</v>
      </c>
      <c r="AL130">
        <v>54.73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115</v>
      </c>
      <c r="AU130">
        <v>71</v>
      </c>
      <c r="AV130">
        <v>1</v>
      </c>
      <c r="AW130">
        <v>1</v>
      </c>
      <c r="AZ130">
        <v>6.71</v>
      </c>
      <c r="BA130">
        <v>1</v>
      </c>
      <c r="BB130">
        <v>1</v>
      </c>
      <c r="BC130">
        <v>6.71</v>
      </c>
      <c r="BD130" t="s">
        <v>6</v>
      </c>
      <c r="BE130" t="s">
        <v>6</v>
      </c>
      <c r="BF130" t="s">
        <v>6</v>
      </c>
      <c r="BG130" t="s">
        <v>6</v>
      </c>
      <c r="BH130">
        <v>3</v>
      </c>
      <c r="BI130">
        <v>1</v>
      </c>
      <c r="BJ130" t="s">
        <v>373</v>
      </c>
      <c r="BM130">
        <v>16001</v>
      </c>
      <c r="BN130">
        <v>0</v>
      </c>
      <c r="BO130" t="s">
        <v>6</v>
      </c>
      <c r="BP130">
        <v>0</v>
      </c>
      <c r="BQ130">
        <v>2</v>
      </c>
      <c r="BR130">
        <v>0</v>
      </c>
      <c r="BS130">
        <v>1</v>
      </c>
      <c r="BT130">
        <v>1</v>
      </c>
      <c r="BU130">
        <v>1</v>
      </c>
      <c r="BV130">
        <v>1</v>
      </c>
      <c r="BW130">
        <v>1</v>
      </c>
      <c r="BX130">
        <v>1</v>
      </c>
      <c r="BY130" t="s">
        <v>6</v>
      </c>
      <c r="BZ130">
        <v>128</v>
      </c>
      <c r="CA130">
        <v>83</v>
      </c>
      <c r="CE130">
        <v>0</v>
      </c>
      <c r="CF130">
        <v>0</v>
      </c>
      <c r="CG130">
        <v>0</v>
      </c>
      <c r="CM130">
        <v>0</v>
      </c>
      <c r="CN130" t="s">
        <v>6</v>
      </c>
      <c r="CO130">
        <v>0</v>
      </c>
      <c r="CP130">
        <f t="shared" si="139"/>
        <v>11751.63</v>
      </c>
      <c r="CQ130">
        <f t="shared" si="140"/>
        <v>367.23829999999998</v>
      </c>
      <c r="CR130">
        <f t="shared" si="141"/>
        <v>0</v>
      </c>
      <c r="CS130">
        <f t="shared" si="142"/>
        <v>0</v>
      </c>
      <c r="CT130">
        <f t="shared" si="143"/>
        <v>0</v>
      </c>
      <c r="CU130">
        <f t="shared" si="144"/>
        <v>0</v>
      </c>
      <c r="CV130">
        <f t="shared" si="145"/>
        <v>0</v>
      </c>
      <c r="CW130">
        <f t="shared" si="146"/>
        <v>0</v>
      </c>
      <c r="CX130">
        <f t="shared" si="147"/>
        <v>0</v>
      </c>
      <c r="CY130">
        <f t="shared" si="148"/>
        <v>0</v>
      </c>
      <c r="CZ130">
        <f t="shared" si="149"/>
        <v>0</v>
      </c>
      <c r="DC130" t="s">
        <v>6</v>
      </c>
      <c r="DD130" t="s">
        <v>6</v>
      </c>
      <c r="DE130" t="s">
        <v>6</v>
      </c>
      <c r="DF130" t="s">
        <v>6</v>
      </c>
      <c r="DG130" t="s">
        <v>6</v>
      </c>
      <c r="DH130" t="s">
        <v>6</v>
      </c>
      <c r="DI130" t="s">
        <v>6</v>
      </c>
      <c r="DJ130" t="s">
        <v>6</v>
      </c>
      <c r="DK130" t="s">
        <v>6</v>
      </c>
      <c r="DL130" t="s">
        <v>6</v>
      </c>
      <c r="DM130" t="s">
        <v>6</v>
      </c>
      <c r="DN130">
        <v>0</v>
      </c>
      <c r="DO130">
        <v>0</v>
      </c>
      <c r="DP130">
        <v>1</v>
      </c>
      <c r="DQ130">
        <v>1</v>
      </c>
      <c r="DU130">
        <v>1010</v>
      </c>
      <c r="DV130" t="s">
        <v>42</v>
      </c>
      <c r="DW130" t="s">
        <v>42</v>
      </c>
      <c r="DX130">
        <v>1</v>
      </c>
      <c r="EE130">
        <v>16510514</v>
      </c>
      <c r="EF130">
        <v>2</v>
      </c>
      <c r="EG130" t="s">
        <v>48</v>
      </c>
      <c r="EH130">
        <v>0</v>
      </c>
      <c r="EI130" t="s">
        <v>6</v>
      </c>
      <c r="EJ130">
        <v>1</v>
      </c>
      <c r="EK130">
        <v>16001</v>
      </c>
      <c r="EL130" t="s">
        <v>368</v>
      </c>
      <c r="EM130" t="s">
        <v>369</v>
      </c>
      <c r="EO130" t="s">
        <v>6</v>
      </c>
      <c r="EQ130">
        <v>0</v>
      </c>
      <c r="ER130">
        <v>54.73</v>
      </c>
      <c r="ES130">
        <v>54.73</v>
      </c>
      <c r="ET130">
        <v>0</v>
      </c>
      <c r="EU130">
        <v>0</v>
      </c>
      <c r="EV130">
        <v>0</v>
      </c>
      <c r="EW130">
        <v>0</v>
      </c>
      <c r="EX130">
        <v>0</v>
      </c>
      <c r="FQ130">
        <v>0</v>
      </c>
      <c r="FR130">
        <f t="shared" si="150"/>
        <v>0</v>
      </c>
      <c r="FS130">
        <v>0</v>
      </c>
      <c r="FT130" t="s">
        <v>51</v>
      </c>
      <c r="FU130" t="s">
        <v>52</v>
      </c>
      <c r="FX130">
        <v>115.2</v>
      </c>
      <c r="FY130">
        <v>70.55</v>
      </c>
      <c r="GA130" t="s">
        <v>6</v>
      </c>
      <c r="GD130">
        <v>0</v>
      </c>
      <c r="GF130">
        <v>898688576</v>
      </c>
      <c r="GG130">
        <v>1</v>
      </c>
      <c r="GH130">
        <v>1</v>
      </c>
      <c r="GI130">
        <v>4</v>
      </c>
      <c r="GJ130">
        <v>0</v>
      </c>
      <c r="GK130">
        <f>ROUND(R130*(R12)/100,2)</f>
        <v>0</v>
      </c>
      <c r="GL130">
        <f t="shared" si="151"/>
        <v>0</v>
      </c>
      <c r="GM130">
        <f t="shared" si="152"/>
        <v>11751.63</v>
      </c>
      <c r="GN130">
        <f t="shared" si="153"/>
        <v>11751.63</v>
      </c>
      <c r="GO130">
        <f t="shared" si="154"/>
        <v>0</v>
      </c>
      <c r="GP130">
        <f t="shared" si="155"/>
        <v>0</v>
      </c>
      <c r="GR130">
        <v>0</v>
      </c>
      <c r="GS130">
        <v>3</v>
      </c>
      <c r="GT130">
        <v>0</v>
      </c>
      <c r="GU130" t="s">
        <v>6</v>
      </c>
      <c r="GV130">
        <f t="shared" si="156"/>
        <v>0</v>
      </c>
      <c r="GW130">
        <v>1</v>
      </c>
      <c r="GX130">
        <f t="shared" si="157"/>
        <v>0</v>
      </c>
      <c r="HA130">
        <v>0</v>
      </c>
      <c r="HB130">
        <v>0</v>
      </c>
      <c r="HC130">
        <f t="shared" si="158"/>
        <v>0</v>
      </c>
      <c r="IK130">
        <v>0</v>
      </c>
    </row>
    <row r="131" spans="1:245" x14ac:dyDescent="0.2">
      <c r="A131">
        <v>17</v>
      </c>
      <c r="B131">
        <v>1</v>
      </c>
      <c r="C131">
        <f>ROW(SmtRes!A184)</f>
        <v>184</v>
      </c>
      <c r="D131">
        <f>ROW(EtalonRes!A183)</f>
        <v>183</v>
      </c>
      <c r="E131" t="s">
        <v>374</v>
      </c>
      <c r="F131" t="s">
        <v>375</v>
      </c>
      <c r="G131" t="s">
        <v>376</v>
      </c>
      <c r="H131" t="s">
        <v>35</v>
      </c>
      <c r="I131">
        <f>ROUND(16/100,9)</f>
        <v>0.16</v>
      </c>
      <c r="J131">
        <v>0</v>
      </c>
      <c r="O131">
        <f t="shared" si="119"/>
        <v>144.06</v>
      </c>
      <c r="P131">
        <f t="shared" si="120"/>
        <v>0</v>
      </c>
      <c r="Q131">
        <f t="shared" si="121"/>
        <v>0</v>
      </c>
      <c r="R131">
        <f t="shared" si="122"/>
        <v>0</v>
      </c>
      <c r="S131">
        <f t="shared" si="123"/>
        <v>144.06</v>
      </c>
      <c r="T131">
        <f t="shared" si="124"/>
        <v>0</v>
      </c>
      <c r="U131">
        <f t="shared" si="125"/>
        <v>2.5167999999999999</v>
      </c>
      <c r="V131">
        <f t="shared" si="126"/>
        <v>0</v>
      </c>
      <c r="W131">
        <f t="shared" si="127"/>
        <v>0</v>
      </c>
      <c r="X131">
        <f t="shared" si="128"/>
        <v>106.6</v>
      </c>
      <c r="Y131">
        <f t="shared" si="129"/>
        <v>72.03</v>
      </c>
      <c r="AA131">
        <v>16802145</v>
      </c>
      <c r="AB131">
        <f t="shared" si="130"/>
        <v>134.18</v>
      </c>
      <c r="AC131">
        <f t="shared" si="131"/>
        <v>0</v>
      </c>
      <c r="AD131">
        <f t="shared" si="132"/>
        <v>0</v>
      </c>
      <c r="AE131">
        <f t="shared" si="133"/>
        <v>0</v>
      </c>
      <c r="AF131">
        <f t="shared" si="134"/>
        <v>134.18</v>
      </c>
      <c r="AG131">
        <f t="shared" si="135"/>
        <v>0</v>
      </c>
      <c r="AH131">
        <f t="shared" si="136"/>
        <v>15.73</v>
      </c>
      <c r="AI131">
        <f t="shared" si="137"/>
        <v>0</v>
      </c>
      <c r="AJ131">
        <f t="shared" si="138"/>
        <v>0</v>
      </c>
      <c r="AK131">
        <v>134.18</v>
      </c>
      <c r="AL131">
        <v>0</v>
      </c>
      <c r="AM131">
        <v>0</v>
      </c>
      <c r="AN131">
        <v>0</v>
      </c>
      <c r="AO131">
        <v>134.18</v>
      </c>
      <c r="AP131">
        <v>0</v>
      </c>
      <c r="AQ131">
        <v>15.73</v>
      </c>
      <c r="AR131">
        <v>0</v>
      </c>
      <c r="AS131">
        <v>0</v>
      </c>
      <c r="AT131">
        <v>74</v>
      </c>
      <c r="AU131">
        <v>50</v>
      </c>
      <c r="AV131">
        <v>1</v>
      </c>
      <c r="AW131">
        <v>1</v>
      </c>
      <c r="AZ131">
        <v>6.71</v>
      </c>
      <c r="BA131">
        <v>6.71</v>
      </c>
      <c r="BB131">
        <v>6.71</v>
      </c>
      <c r="BC131">
        <v>6.71</v>
      </c>
      <c r="BD131" t="s">
        <v>6</v>
      </c>
      <c r="BE131" t="s">
        <v>6</v>
      </c>
      <c r="BF131" t="s">
        <v>6</v>
      </c>
      <c r="BG131" t="s">
        <v>6</v>
      </c>
      <c r="BH131">
        <v>0</v>
      </c>
      <c r="BI131">
        <v>1</v>
      </c>
      <c r="BJ131" t="s">
        <v>377</v>
      </c>
      <c r="BM131">
        <v>65004</v>
      </c>
      <c r="BN131">
        <v>0</v>
      </c>
      <c r="BO131" t="s">
        <v>6</v>
      </c>
      <c r="BP131">
        <v>0</v>
      </c>
      <c r="BQ131">
        <v>6</v>
      </c>
      <c r="BR131">
        <v>0</v>
      </c>
      <c r="BS131">
        <v>6.71</v>
      </c>
      <c r="BT131">
        <v>1</v>
      </c>
      <c r="BU131">
        <v>1</v>
      </c>
      <c r="BV131">
        <v>1</v>
      </c>
      <c r="BW131">
        <v>1</v>
      </c>
      <c r="BX131">
        <v>1</v>
      </c>
      <c r="BY131" t="s">
        <v>6</v>
      </c>
      <c r="BZ131">
        <v>74</v>
      </c>
      <c r="CA131">
        <v>50</v>
      </c>
      <c r="CE131">
        <v>0</v>
      </c>
      <c r="CF131">
        <v>0</v>
      </c>
      <c r="CG131">
        <v>0</v>
      </c>
      <c r="CM131">
        <v>0</v>
      </c>
      <c r="CN131" t="s">
        <v>6</v>
      </c>
      <c r="CO131">
        <v>0</v>
      </c>
      <c r="CP131">
        <f t="shared" si="139"/>
        <v>144.06</v>
      </c>
      <c r="CQ131">
        <f t="shared" si="140"/>
        <v>0</v>
      </c>
      <c r="CR131">
        <f t="shared" si="141"/>
        <v>0</v>
      </c>
      <c r="CS131">
        <f t="shared" si="142"/>
        <v>0</v>
      </c>
      <c r="CT131">
        <f t="shared" si="143"/>
        <v>900.34780000000001</v>
      </c>
      <c r="CU131">
        <f t="shared" si="144"/>
        <v>0</v>
      </c>
      <c r="CV131">
        <f t="shared" si="145"/>
        <v>15.73</v>
      </c>
      <c r="CW131">
        <f t="shared" si="146"/>
        <v>0</v>
      </c>
      <c r="CX131">
        <f t="shared" si="147"/>
        <v>0</v>
      </c>
      <c r="CY131">
        <f t="shared" si="148"/>
        <v>106.6044</v>
      </c>
      <c r="CZ131">
        <f t="shared" si="149"/>
        <v>72.03</v>
      </c>
      <c r="DC131" t="s">
        <v>6</v>
      </c>
      <c r="DD131" t="s">
        <v>6</v>
      </c>
      <c r="DE131" t="s">
        <v>6</v>
      </c>
      <c r="DF131" t="s">
        <v>6</v>
      </c>
      <c r="DG131" t="s">
        <v>6</v>
      </c>
      <c r="DH131" t="s">
        <v>6</v>
      </c>
      <c r="DI131" t="s">
        <v>6</v>
      </c>
      <c r="DJ131" t="s">
        <v>6</v>
      </c>
      <c r="DK131" t="s">
        <v>6</v>
      </c>
      <c r="DL131" t="s">
        <v>6</v>
      </c>
      <c r="DM131" t="s">
        <v>6</v>
      </c>
      <c r="DN131">
        <v>0</v>
      </c>
      <c r="DO131">
        <v>0</v>
      </c>
      <c r="DP131">
        <v>1</v>
      </c>
      <c r="DQ131">
        <v>1</v>
      </c>
      <c r="DU131">
        <v>1013</v>
      </c>
      <c r="DV131" t="s">
        <v>35</v>
      </c>
      <c r="DW131" t="s">
        <v>35</v>
      </c>
      <c r="DX131">
        <v>1</v>
      </c>
      <c r="EE131">
        <v>16510579</v>
      </c>
      <c r="EF131">
        <v>6</v>
      </c>
      <c r="EG131" t="s">
        <v>20</v>
      </c>
      <c r="EH131">
        <v>0</v>
      </c>
      <c r="EI131" t="s">
        <v>6</v>
      </c>
      <c r="EJ131">
        <v>1</v>
      </c>
      <c r="EK131">
        <v>65004</v>
      </c>
      <c r="EL131" t="s">
        <v>336</v>
      </c>
      <c r="EM131" t="s">
        <v>38</v>
      </c>
      <c r="EO131" t="s">
        <v>6</v>
      </c>
      <c r="EQ131">
        <v>131072</v>
      </c>
      <c r="ER131">
        <v>134.18</v>
      </c>
      <c r="ES131">
        <v>0</v>
      </c>
      <c r="ET131">
        <v>0</v>
      </c>
      <c r="EU131">
        <v>0</v>
      </c>
      <c r="EV131">
        <v>134.18</v>
      </c>
      <c r="EW131">
        <v>15.73</v>
      </c>
      <c r="EX131">
        <v>0</v>
      </c>
      <c r="EY131">
        <v>0</v>
      </c>
      <c r="FQ131">
        <v>0</v>
      </c>
      <c r="FR131">
        <f t="shared" si="150"/>
        <v>0</v>
      </c>
      <c r="FS131">
        <v>0</v>
      </c>
      <c r="FX131">
        <v>74</v>
      </c>
      <c r="FY131">
        <v>50</v>
      </c>
      <c r="GA131" t="s">
        <v>6</v>
      </c>
      <c r="GD131">
        <v>0</v>
      </c>
      <c r="GF131">
        <v>-1983226121</v>
      </c>
      <c r="GG131">
        <v>1</v>
      </c>
      <c r="GH131">
        <v>1</v>
      </c>
      <c r="GI131">
        <v>4</v>
      </c>
      <c r="GJ131">
        <v>0</v>
      </c>
      <c r="GK131">
        <f>ROUND(R131*(R12)/100,2)</f>
        <v>0</v>
      </c>
      <c r="GL131">
        <f t="shared" si="151"/>
        <v>0</v>
      </c>
      <c r="GM131">
        <f t="shared" si="152"/>
        <v>322.69</v>
      </c>
      <c r="GN131">
        <f t="shared" si="153"/>
        <v>322.69</v>
      </c>
      <c r="GO131">
        <f t="shared" si="154"/>
        <v>0</v>
      </c>
      <c r="GP131">
        <f t="shared" si="155"/>
        <v>0</v>
      </c>
      <c r="GR131">
        <v>0</v>
      </c>
      <c r="GS131">
        <v>0</v>
      </c>
      <c r="GT131">
        <v>0</v>
      </c>
      <c r="GU131" t="s">
        <v>6</v>
      </c>
      <c r="GV131">
        <f t="shared" si="156"/>
        <v>0</v>
      </c>
      <c r="GW131">
        <v>1</v>
      </c>
      <c r="GX131">
        <f t="shared" si="157"/>
        <v>0</v>
      </c>
      <c r="HA131">
        <v>0</v>
      </c>
      <c r="HB131">
        <v>0</v>
      </c>
      <c r="HC131">
        <f t="shared" si="158"/>
        <v>0</v>
      </c>
      <c r="IK131">
        <v>0</v>
      </c>
    </row>
    <row r="133" spans="1:245" x14ac:dyDescent="0.2">
      <c r="A133" s="2">
        <v>51</v>
      </c>
      <c r="B133" s="2">
        <f>B118</f>
        <v>1</v>
      </c>
      <c r="C133" s="2">
        <f>A118</f>
        <v>4</v>
      </c>
      <c r="D133" s="2">
        <f>ROW(A118)</f>
        <v>118</v>
      </c>
      <c r="E133" s="2"/>
      <c r="F133" s="2" t="str">
        <f>IF(F118&lt;&gt;"",F118,"")</f>
        <v>Новый раздел</v>
      </c>
      <c r="G133" s="2" t="str">
        <f>IF(G118&lt;&gt;"",G118,"")</f>
        <v>2 Сантехнические работы</v>
      </c>
      <c r="H133" s="2">
        <v>0</v>
      </c>
      <c r="I133" s="2"/>
      <c r="J133" s="2"/>
      <c r="K133" s="2"/>
      <c r="L133" s="2"/>
      <c r="M133" s="2"/>
      <c r="N133" s="2"/>
      <c r="O133" s="2">
        <f t="shared" ref="O133:T133" si="159">ROUND(AB133,2)</f>
        <v>186991.75</v>
      </c>
      <c r="P133" s="2">
        <f t="shared" si="159"/>
        <v>180798.06</v>
      </c>
      <c r="Q133" s="2">
        <f t="shared" si="159"/>
        <v>1125.23</v>
      </c>
      <c r="R133" s="2">
        <f t="shared" si="159"/>
        <v>118.32</v>
      </c>
      <c r="S133" s="2">
        <f t="shared" si="159"/>
        <v>5068.46</v>
      </c>
      <c r="T133" s="2">
        <f t="shared" si="159"/>
        <v>0</v>
      </c>
      <c r="U133" s="2">
        <f>AH133</f>
        <v>86.023008000000004</v>
      </c>
      <c r="V133" s="2">
        <f>AI133</f>
        <v>1.401664</v>
      </c>
      <c r="W133" s="2">
        <f>ROUND(AJ133,2)</f>
        <v>0</v>
      </c>
      <c r="X133" s="2">
        <f>ROUND(AK133,2)</f>
        <v>5466.71</v>
      </c>
      <c r="Y133" s="2">
        <f>ROUND(AL133,2)</f>
        <v>3396.79</v>
      </c>
      <c r="Z133" s="2"/>
      <c r="AA133" s="2"/>
      <c r="AB133" s="2">
        <f>ROUND(SUMIF(AA122:AA131,"=16802145",O122:O131),2)</f>
        <v>186991.75</v>
      </c>
      <c r="AC133" s="2">
        <f>ROUND(SUMIF(AA122:AA131,"=16802145",P122:P131),2)</f>
        <v>180798.06</v>
      </c>
      <c r="AD133" s="2">
        <f>ROUND(SUMIF(AA122:AA131,"=16802145",Q122:Q131),2)</f>
        <v>1125.23</v>
      </c>
      <c r="AE133" s="2">
        <f>ROUND(SUMIF(AA122:AA131,"=16802145",R122:R131),2)</f>
        <v>118.32</v>
      </c>
      <c r="AF133" s="2">
        <f>ROUND(SUMIF(AA122:AA131,"=16802145",S122:S131),2)</f>
        <v>5068.46</v>
      </c>
      <c r="AG133" s="2">
        <f>ROUND(SUMIF(AA122:AA131,"=16802145",T122:T131),2)</f>
        <v>0</v>
      </c>
      <c r="AH133" s="2">
        <f>SUMIF(AA122:AA131,"=16802145",U122:U131)</f>
        <v>86.023008000000004</v>
      </c>
      <c r="AI133" s="2">
        <f>SUMIF(AA122:AA131,"=16802145",V122:V131)</f>
        <v>1.401664</v>
      </c>
      <c r="AJ133" s="2">
        <f>ROUND(SUMIF(AA122:AA131,"=16802145",W122:W131),2)</f>
        <v>0</v>
      </c>
      <c r="AK133" s="2">
        <f>ROUND(SUMIF(AA122:AA131,"=16802145",X122:X131),2)</f>
        <v>5466.71</v>
      </c>
      <c r="AL133" s="2">
        <f>ROUND(SUMIF(AA122:AA131,"=16802145",Y122:Y131),2)</f>
        <v>3396.79</v>
      </c>
      <c r="AM133" s="2"/>
      <c r="AN133" s="2"/>
      <c r="AO133" s="2">
        <f t="shared" ref="AO133:BC133" si="160">ROUND(BX133,2)</f>
        <v>0</v>
      </c>
      <c r="AP133" s="2">
        <f t="shared" si="160"/>
        <v>0</v>
      </c>
      <c r="AQ133" s="2">
        <f t="shared" si="160"/>
        <v>0</v>
      </c>
      <c r="AR133" s="2">
        <f t="shared" si="160"/>
        <v>195855.25</v>
      </c>
      <c r="AS133" s="2">
        <f t="shared" si="160"/>
        <v>195855.25</v>
      </c>
      <c r="AT133" s="2">
        <f t="shared" si="160"/>
        <v>0</v>
      </c>
      <c r="AU133" s="2">
        <f t="shared" si="160"/>
        <v>0</v>
      </c>
      <c r="AV133" s="2">
        <f t="shared" si="160"/>
        <v>180798.06</v>
      </c>
      <c r="AW133" s="2">
        <f t="shared" si="160"/>
        <v>180798.06</v>
      </c>
      <c r="AX133" s="2">
        <f t="shared" si="160"/>
        <v>0</v>
      </c>
      <c r="AY133" s="2">
        <f t="shared" si="160"/>
        <v>180798.06</v>
      </c>
      <c r="AZ133" s="2">
        <f t="shared" si="160"/>
        <v>0</v>
      </c>
      <c r="BA133" s="2">
        <f t="shared" si="160"/>
        <v>0</v>
      </c>
      <c r="BB133" s="2">
        <f t="shared" si="160"/>
        <v>0</v>
      </c>
      <c r="BC133" s="2">
        <f t="shared" si="160"/>
        <v>0</v>
      </c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>
        <f>ROUND(SUMIF(AA122:AA131,"=16802145",FQ122:FQ131),2)</f>
        <v>0</v>
      </c>
      <c r="BY133" s="2">
        <f>ROUND(SUMIF(AA122:AA131,"=16802145",FR122:FR131),2)</f>
        <v>0</v>
      </c>
      <c r="BZ133" s="2">
        <f>ROUND(SUMIF(AA122:AA131,"=16802145",GL122:GL131),2)</f>
        <v>0</v>
      </c>
      <c r="CA133" s="2">
        <f>ROUND(SUMIF(AA122:AA131,"=16802145",GM122:GM131),2)</f>
        <v>195855.25</v>
      </c>
      <c r="CB133" s="2">
        <f>ROUND(SUMIF(AA122:AA131,"=16802145",GN122:GN131),2)</f>
        <v>195855.25</v>
      </c>
      <c r="CC133" s="2">
        <f>ROUND(SUMIF(AA122:AA131,"=16802145",GO122:GO131),2)</f>
        <v>0</v>
      </c>
      <c r="CD133" s="2">
        <f>ROUND(SUMIF(AA122:AA131,"=16802145",GP122:GP131),2)</f>
        <v>0</v>
      </c>
      <c r="CE133" s="2">
        <f>AC133-BX133</f>
        <v>180798.06</v>
      </c>
      <c r="CF133" s="2">
        <f>AC133-BY133</f>
        <v>180798.06</v>
      </c>
      <c r="CG133" s="2">
        <f>BX133-BZ133</f>
        <v>0</v>
      </c>
      <c r="CH133" s="2">
        <f>AC133-BX133-BY133+BZ133</f>
        <v>180798.06</v>
      </c>
      <c r="CI133" s="2">
        <f>BY133-BZ133</f>
        <v>0</v>
      </c>
      <c r="CJ133" s="2">
        <f>ROUND(SUMIF(AA122:AA131,"=16802145",GX122:GX131),2)</f>
        <v>0</v>
      </c>
      <c r="CK133" s="2">
        <f>ROUND(SUMIF(AA122:AA131,"=16802145",GY122:GY131),2)</f>
        <v>0</v>
      </c>
      <c r="CL133" s="2">
        <f>ROUND(SUMIF(AA122:AA131,"=16802145",GZ122:GZ131),2)</f>
        <v>0</v>
      </c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3"/>
      <c r="DH133" s="3"/>
      <c r="DI133" s="3"/>
      <c r="DJ133" s="3"/>
      <c r="DK133" s="3"/>
      <c r="DL133" s="3"/>
      <c r="DM133" s="3"/>
      <c r="DN133" s="3"/>
      <c r="DO133" s="3"/>
      <c r="DP133" s="3"/>
      <c r="DQ133" s="3"/>
      <c r="DR133" s="3"/>
      <c r="DS133" s="3"/>
      <c r="DT133" s="3"/>
      <c r="DU133" s="3"/>
      <c r="DV133" s="3"/>
      <c r="DW133" s="3"/>
      <c r="DX133" s="3"/>
      <c r="DY133" s="3"/>
      <c r="DZ133" s="3"/>
      <c r="EA133" s="3"/>
      <c r="EB133" s="3"/>
      <c r="EC133" s="3"/>
      <c r="ED133" s="3"/>
      <c r="EE133" s="3"/>
      <c r="EF133" s="3"/>
      <c r="EG133" s="3"/>
      <c r="EH133" s="3"/>
      <c r="EI133" s="3"/>
      <c r="EJ133" s="3"/>
      <c r="EK133" s="3"/>
      <c r="EL133" s="3"/>
      <c r="EM133" s="3"/>
      <c r="EN133" s="3"/>
      <c r="EO133" s="3"/>
      <c r="EP133" s="3"/>
      <c r="EQ133" s="3"/>
      <c r="ER133" s="3"/>
      <c r="ES133" s="3"/>
      <c r="ET133" s="3"/>
      <c r="EU133" s="3"/>
      <c r="EV133" s="3"/>
      <c r="EW133" s="3"/>
      <c r="EX133" s="3"/>
      <c r="EY133" s="3"/>
      <c r="EZ133" s="3"/>
      <c r="FA133" s="3"/>
      <c r="FB133" s="3"/>
      <c r="FC133" s="3"/>
      <c r="FD133" s="3"/>
      <c r="FE133" s="3"/>
      <c r="FF133" s="3"/>
      <c r="FG133" s="3"/>
      <c r="FH133" s="3"/>
      <c r="FI133" s="3"/>
      <c r="FJ133" s="3"/>
      <c r="FK133" s="3"/>
      <c r="FL133" s="3"/>
      <c r="FM133" s="3"/>
      <c r="FN133" s="3"/>
      <c r="FO133" s="3"/>
      <c r="FP133" s="3"/>
      <c r="FQ133" s="3"/>
      <c r="FR133" s="3"/>
      <c r="FS133" s="3"/>
      <c r="FT133" s="3"/>
      <c r="FU133" s="3"/>
      <c r="FV133" s="3"/>
      <c r="FW133" s="3"/>
      <c r="FX133" s="3"/>
      <c r="FY133" s="3"/>
      <c r="FZ133" s="3"/>
      <c r="GA133" s="3"/>
      <c r="GB133" s="3"/>
      <c r="GC133" s="3"/>
      <c r="GD133" s="3"/>
      <c r="GE133" s="3"/>
      <c r="GF133" s="3"/>
      <c r="GG133" s="3"/>
      <c r="GH133" s="3"/>
      <c r="GI133" s="3"/>
      <c r="GJ133" s="3"/>
      <c r="GK133" s="3"/>
      <c r="GL133" s="3"/>
      <c r="GM133" s="3"/>
      <c r="GN133" s="3"/>
      <c r="GO133" s="3"/>
      <c r="GP133" s="3"/>
      <c r="GQ133" s="3"/>
      <c r="GR133" s="3"/>
      <c r="GS133" s="3"/>
      <c r="GT133" s="3"/>
      <c r="GU133" s="3"/>
      <c r="GV133" s="3"/>
      <c r="GW133" s="3"/>
      <c r="GX133" s="3">
        <v>0</v>
      </c>
    </row>
    <row r="135" spans="1:245" x14ac:dyDescent="0.2">
      <c r="A135" s="4">
        <v>50</v>
      </c>
      <c r="B135" s="4">
        <v>0</v>
      </c>
      <c r="C135" s="4">
        <v>0</v>
      </c>
      <c r="D135" s="4">
        <v>1</v>
      </c>
      <c r="E135" s="4">
        <v>201</v>
      </c>
      <c r="F135" s="4">
        <f>ROUND(Source!O133,O135)</f>
        <v>186991.75</v>
      </c>
      <c r="G135" s="4" t="s">
        <v>279</v>
      </c>
      <c r="H135" s="4" t="s">
        <v>280</v>
      </c>
      <c r="I135" s="4"/>
      <c r="J135" s="4"/>
      <c r="K135" s="4">
        <v>201</v>
      </c>
      <c r="L135" s="4">
        <v>1</v>
      </c>
      <c r="M135" s="4">
        <v>3</v>
      </c>
      <c r="N135" s="4" t="s">
        <v>6</v>
      </c>
      <c r="O135" s="4">
        <v>2</v>
      </c>
      <c r="P135" s="4"/>
      <c r="Q135" s="4"/>
      <c r="R135" s="4"/>
      <c r="S135" s="4"/>
      <c r="T135" s="4"/>
      <c r="U135" s="4"/>
      <c r="V135" s="4"/>
      <c r="W135" s="4"/>
    </row>
    <row r="136" spans="1:245" x14ac:dyDescent="0.2">
      <c r="A136" s="4">
        <v>50</v>
      </c>
      <c r="B136" s="4">
        <v>0</v>
      </c>
      <c r="C136" s="4">
        <v>0</v>
      </c>
      <c r="D136" s="4">
        <v>1</v>
      </c>
      <c r="E136" s="4">
        <v>202</v>
      </c>
      <c r="F136" s="4">
        <f>ROUND(Source!P133,O136)</f>
        <v>180798.06</v>
      </c>
      <c r="G136" s="4" t="s">
        <v>281</v>
      </c>
      <c r="H136" s="4" t="s">
        <v>282</v>
      </c>
      <c r="I136" s="4"/>
      <c r="J136" s="4"/>
      <c r="K136" s="4">
        <v>202</v>
      </c>
      <c r="L136" s="4">
        <v>2</v>
      </c>
      <c r="M136" s="4">
        <v>3</v>
      </c>
      <c r="N136" s="4" t="s">
        <v>6</v>
      </c>
      <c r="O136" s="4">
        <v>2</v>
      </c>
      <c r="P136" s="4"/>
      <c r="Q136" s="4"/>
      <c r="R136" s="4"/>
      <c r="S136" s="4"/>
      <c r="T136" s="4"/>
      <c r="U136" s="4"/>
      <c r="V136" s="4"/>
      <c r="W136" s="4"/>
    </row>
    <row r="137" spans="1:245" x14ac:dyDescent="0.2">
      <c r="A137" s="4">
        <v>50</v>
      </c>
      <c r="B137" s="4">
        <v>0</v>
      </c>
      <c r="C137" s="4">
        <v>0</v>
      </c>
      <c r="D137" s="4">
        <v>1</v>
      </c>
      <c r="E137" s="4">
        <v>222</v>
      </c>
      <c r="F137" s="4">
        <f>ROUND(Source!AO133,O137)</f>
        <v>0</v>
      </c>
      <c r="G137" s="4" t="s">
        <v>283</v>
      </c>
      <c r="H137" s="4" t="s">
        <v>284</v>
      </c>
      <c r="I137" s="4"/>
      <c r="J137" s="4"/>
      <c r="K137" s="4">
        <v>222</v>
      </c>
      <c r="L137" s="4">
        <v>3</v>
      </c>
      <c r="M137" s="4">
        <v>3</v>
      </c>
      <c r="N137" s="4" t="s">
        <v>6</v>
      </c>
      <c r="O137" s="4">
        <v>2</v>
      </c>
      <c r="P137" s="4"/>
      <c r="Q137" s="4"/>
      <c r="R137" s="4"/>
      <c r="S137" s="4"/>
      <c r="T137" s="4"/>
      <c r="U137" s="4"/>
      <c r="V137" s="4"/>
      <c r="W137" s="4"/>
    </row>
    <row r="138" spans="1:245" x14ac:dyDescent="0.2">
      <c r="A138" s="4">
        <v>50</v>
      </c>
      <c r="B138" s="4">
        <v>0</v>
      </c>
      <c r="C138" s="4">
        <v>0</v>
      </c>
      <c r="D138" s="4">
        <v>1</v>
      </c>
      <c r="E138" s="4">
        <v>225</v>
      </c>
      <c r="F138" s="4">
        <f>ROUND(Source!AV133,O138)</f>
        <v>180798.06</v>
      </c>
      <c r="G138" s="4" t="s">
        <v>285</v>
      </c>
      <c r="H138" s="4" t="s">
        <v>286</v>
      </c>
      <c r="I138" s="4"/>
      <c r="J138" s="4"/>
      <c r="K138" s="4">
        <v>225</v>
      </c>
      <c r="L138" s="4">
        <v>4</v>
      </c>
      <c r="M138" s="4">
        <v>3</v>
      </c>
      <c r="N138" s="4" t="s">
        <v>6</v>
      </c>
      <c r="O138" s="4">
        <v>2</v>
      </c>
      <c r="P138" s="4"/>
      <c r="Q138" s="4"/>
      <c r="R138" s="4"/>
      <c r="S138" s="4"/>
      <c r="T138" s="4"/>
      <c r="U138" s="4"/>
      <c r="V138" s="4"/>
      <c r="W138" s="4"/>
    </row>
    <row r="139" spans="1:245" x14ac:dyDescent="0.2">
      <c r="A139" s="4">
        <v>50</v>
      </c>
      <c r="B139" s="4">
        <v>0</v>
      </c>
      <c r="C139" s="4">
        <v>0</v>
      </c>
      <c r="D139" s="4">
        <v>1</v>
      </c>
      <c r="E139" s="4">
        <v>226</v>
      </c>
      <c r="F139" s="4">
        <f>ROUND(Source!AW133,O139)</f>
        <v>180798.06</v>
      </c>
      <c r="G139" s="4" t="s">
        <v>287</v>
      </c>
      <c r="H139" s="4" t="s">
        <v>288</v>
      </c>
      <c r="I139" s="4"/>
      <c r="J139" s="4"/>
      <c r="K139" s="4">
        <v>226</v>
      </c>
      <c r="L139" s="4">
        <v>5</v>
      </c>
      <c r="M139" s="4">
        <v>3</v>
      </c>
      <c r="N139" s="4" t="s">
        <v>6</v>
      </c>
      <c r="O139" s="4">
        <v>2</v>
      </c>
      <c r="P139" s="4"/>
      <c r="Q139" s="4"/>
      <c r="R139" s="4"/>
      <c r="S139" s="4"/>
      <c r="T139" s="4"/>
      <c r="U139" s="4"/>
      <c r="V139" s="4"/>
      <c r="W139" s="4"/>
    </row>
    <row r="140" spans="1:245" x14ac:dyDescent="0.2">
      <c r="A140" s="4">
        <v>50</v>
      </c>
      <c r="B140" s="4">
        <v>0</v>
      </c>
      <c r="C140" s="4">
        <v>0</v>
      </c>
      <c r="D140" s="4">
        <v>1</v>
      </c>
      <c r="E140" s="4">
        <v>227</v>
      </c>
      <c r="F140" s="4">
        <f>ROUND(Source!AX133,O140)</f>
        <v>0</v>
      </c>
      <c r="G140" s="4" t="s">
        <v>289</v>
      </c>
      <c r="H140" s="4" t="s">
        <v>290</v>
      </c>
      <c r="I140" s="4"/>
      <c r="J140" s="4"/>
      <c r="K140" s="4">
        <v>227</v>
      </c>
      <c r="L140" s="4">
        <v>6</v>
      </c>
      <c r="M140" s="4">
        <v>3</v>
      </c>
      <c r="N140" s="4" t="s">
        <v>6</v>
      </c>
      <c r="O140" s="4">
        <v>2</v>
      </c>
      <c r="P140" s="4"/>
      <c r="Q140" s="4"/>
      <c r="R140" s="4"/>
      <c r="S140" s="4"/>
      <c r="T140" s="4"/>
      <c r="U140" s="4"/>
      <c r="V140" s="4"/>
      <c r="W140" s="4"/>
    </row>
    <row r="141" spans="1:245" x14ac:dyDescent="0.2">
      <c r="A141" s="4">
        <v>50</v>
      </c>
      <c r="B141" s="4">
        <v>0</v>
      </c>
      <c r="C141" s="4">
        <v>0</v>
      </c>
      <c r="D141" s="4">
        <v>1</v>
      </c>
      <c r="E141" s="4">
        <v>228</v>
      </c>
      <c r="F141" s="4">
        <f>ROUND(Source!AY133,O141)</f>
        <v>180798.06</v>
      </c>
      <c r="G141" s="4" t="s">
        <v>291</v>
      </c>
      <c r="H141" s="4" t="s">
        <v>292</v>
      </c>
      <c r="I141" s="4"/>
      <c r="J141" s="4"/>
      <c r="K141" s="4">
        <v>228</v>
      </c>
      <c r="L141" s="4">
        <v>7</v>
      </c>
      <c r="M141" s="4">
        <v>3</v>
      </c>
      <c r="N141" s="4" t="s">
        <v>6</v>
      </c>
      <c r="O141" s="4">
        <v>2</v>
      </c>
      <c r="P141" s="4"/>
      <c r="Q141" s="4"/>
      <c r="R141" s="4"/>
      <c r="S141" s="4"/>
      <c r="T141" s="4"/>
      <c r="U141" s="4"/>
      <c r="V141" s="4"/>
      <c r="W141" s="4"/>
    </row>
    <row r="142" spans="1:245" x14ac:dyDescent="0.2">
      <c r="A142" s="4">
        <v>50</v>
      </c>
      <c r="B142" s="4">
        <v>0</v>
      </c>
      <c r="C142" s="4">
        <v>0</v>
      </c>
      <c r="D142" s="4">
        <v>1</v>
      </c>
      <c r="E142" s="4">
        <v>216</v>
      </c>
      <c r="F142" s="4">
        <f>ROUND(Source!AP133,O142)</f>
        <v>0</v>
      </c>
      <c r="G142" s="4" t="s">
        <v>293</v>
      </c>
      <c r="H142" s="4" t="s">
        <v>294</v>
      </c>
      <c r="I142" s="4"/>
      <c r="J142" s="4"/>
      <c r="K142" s="4">
        <v>216</v>
      </c>
      <c r="L142" s="4">
        <v>8</v>
      </c>
      <c r="M142" s="4">
        <v>3</v>
      </c>
      <c r="N142" s="4" t="s">
        <v>6</v>
      </c>
      <c r="O142" s="4">
        <v>2</v>
      </c>
      <c r="P142" s="4"/>
      <c r="Q142" s="4"/>
      <c r="R142" s="4"/>
      <c r="S142" s="4"/>
      <c r="T142" s="4"/>
      <c r="U142" s="4"/>
      <c r="V142" s="4"/>
      <c r="W142" s="4"/>
    </row>
    <row r="143" spans="1:245" x14ac:dyDescent="0.2">
      <c r="A143" s="4">
        <v>50</v>
      </c>
      <c r="B143" s="4">
        <v>0</v>
      </c>
      <c r="C143" s="4">
        <v>0</v>
      </c>
      <c r="D143" s="4">
        <v>1</v>
      </c>
      <c r="E143" s="4">
        <v>223</v>
      </c>
      <c r="F143" s="4">
        <f>ROUND(Source!AQ133,O143)</f>
        <v>0</v>
      </c>
      <c r="G143" s="4" t="s">
        <v>295</v>
      </c>
      <c r="H143" s="4" t="s">
        <v>296</v>
      </c>
      <c r="I143" s="4"/>
      <c r="J143" s="4"/>
      <c r="K143" s="4">
        <v>223</v>
      </c>
      <c r="L143" s="4">
        <v>9</v>
      </c>
      <c r="M143" s="4">
        <v>3</v>
      </c>
      <c r="N143" s="4" t="s">
        <v>6</v>
      </c>
      <c r="O143" s="4">
        <v>2</v>
      </c>
      <c r="P143" s="4"/>
      <c r="Q143" s="4"/>
      <c r="R143" s="4"/>
      <c r="S143" s="4"/>
      <c r="T143" s="4"/>
      <c r="U143" s="4"/>
      <c r="V143" s="4"/>
      <c r="W143" s="4"/>
    </row>
    <row r="144" spans="1:245" x14ac:dyDescent="0.2">
      <c r="A144" s="4">
        <v>50</v>
      </c>
      <c r="B144" s="4">
        <v>0</v>
      </c>
      <c r="C144" s="4">
        <v>0</v>
      </c>
      <c r="D144" s="4">
        <v>1</v>
      </c>
      <c r="E144" s="4">
        <v>229</v>
      </c>
      <c r="F144" s="4">
        <f>ROUND(Source!AZ133,O144)</f>
        <v>0</v>
      </c>
      <c r="G144" s="4" t="s">
        <v>297</v>
      </c>
      <c r="H144" s="4" t="s">
        <v>298</v>
      </c>
      <c r="I144" s="4"/>
      <c r="J144" s="4"/>
      <c r="K144" s="4">
        <v>229</v>
      </c>
      <c r="L144" s="4">
        <v>10</v>
      </c>
      <c r="M144" s="4">
        <v>3</v>
      </c>
      <c r="N144" s="4" t="s">
        <v>6</v>
      </c>
      <c r="O144" s="4">
        <v>2</v>
      </c>
      <c r="P144" s="4"/>
      <c r="Q144" s="4"/>
      <c r="R144" s="4"/>
      <c r="S144" s="4"/>
      <c r="T144" s="4"/>
      <c r="U144" s="4"/>
      <c r="V144" s="4"/>
      <c r="W144" s="4"/>
    </row>
    <row r="145" spans="1:23" x14ac:dyDescent="0.2">
      <c r="A145" s="4">
        <v>50</v>
      </c>
      <c r="B145" s="4">
        <v>0</v>
      </c>
      <c r="C145" s="4">
        <v>0</v>
      </c>
      <c r="D145" s="4">
        <v>1</v>
      </c>
      <c r="E145" s="4">
        <v>203</v>
      </c>
      <c r="F145" s="4">
        <f>ROUND(Source!Q133,O145)</f>
        <v>1125.23</v>
      </c>
      <c r="G145" s="4" t="s">
        <v>299</v>
      </c>
      <c r="H145" s="4" t="s">
        <v>300</v>
      </c>
      <c r="I145" s="4"/>
      <c r="J145" s="4"/>
      <c r="K145" s="4">
        <v>203</v>
      </c>
      <c r="L145" s="4">
        <v>11</v>
      </c>
      <c r="M145" s="4">
        <v>3</v>
      </c>
      <c r="N145" s="4" t="s">
        <v>6</v>
      </c>
      <c r="O145" s="4">
        <v>2</v>
      </c>
      <c r="P145" s="4"/>
      <c r="Q145" s="4"/>
      <c r="R145" s="4"/>
      <c r="S145" s="4"/>
      <c r="T145" s="4"/>
      <c r="U145" s="4"/>
      <c r="V145" s="4"/>
      <c r="W145" s="4"/>
    </row>
    <row r="146" spans="1:23" x14ac:dyDescent="0.2">
      <c r="A146" s="4">
        <v>50</v>
      </c>
      <c r="B146" s="4">
        <v>0</v>
      </c>
      <c r="C146" s="4">
        <v>0</v>
      </c>
      <c r="D146" s="4">
        <v>1</v>
      </c>
      <c r="E146" s="4">
        <v>231</v>
      </c>
      <c r="F146" s="4">
        <f>ROUND(Source!BB133,O146)</f>
        <v>0</v>
      </c>
      <c r="G146" s="4" t="s">
        <v>301</v>
      </c>
      <c r="H146" s="4" t="s">
        <v>302</v>
      </c>
      <c r="I146" s="4"/>
      <c r="J146" s="4"/>
      <c r="K146" s="4">
        <v>231</v>
      </c>
      <c r="L146" s="4">
        <v>12</v>
      </c>
      <c r="M146" s="4">
        <v>3</v>
      </c>
      <c r="N146" s="4" t="s">
        <v>6</v>
      </c>
      <c r="O146" s="4">
        <v>2</v>
      </c>
      <c r="P146" s="4"/>
      <c r="Q146" s="4"/>
      <c r="R146" s="4"/>
      <c r="S146" s="4"/>
      <c r="T146" s="4"/>
      <c r="U146" s="4"/>
      <c r="V146" s="4"/>
      <c r="W146" s="4"/>
    </row>
    <row r="147" spans="1:23" x14ac:dyDescent="0.2">
      <c r="A147" s="4">
        <v>50</v>
      </c>
      <c r="B147" s="4">
        <v>0</v>
      </c>
      <c r="C147" s="4">
        <v>0</v>
      </c>
      <c r="D147" s="4">
        <v>1</v>
      </c>
      <c r="E147" s="4">
        <v>204</v>
      </c>
      <c r="F147" s="4">
        <f>ROUND(Source!R133,O147)</f>
        <v>118.32</v>
      </c>
      <c r="G147" s="4" t="s">
        <v>303</v>
      </c>
      <c r="H147" s="4" t="s">
        <v>304</v>
      </c>
      <c r="I147" s="4"/>
      <c r="J147" s="4"/>
      <c r="K147" s="4">
        <v>204</v>
      </c>
      <c r="L147" s="4">
        <v>13</v>
      </c>
      <c r="M147" s="4">
        <v>3</v>
      </c>
      <c r="N147" s="4" t="s">
        <v>6</v>
      </c>
      <c r="O147" s="4">
        <v>2</v>
      </c>
      <c r="P147" s="4"/>
      <c r="Q147" s="4"/>
      <c r="R147" s="4"/>
      <c r="S147" s="4"/>
      <c r="T147" s="4"/>
      <c r="U147" s="4"/>
      <c r="V147" s="4"/>
      <c r="W147" s="4"/>
    </row>
    <row r="148" spans="1:23" x14ac:dyDescent="0.2">
      <c r="A148" s="4">
        <v>50</v>
      </c>
      <c r="B148" s="4">
        <v>0</v>
      </c>
      <c r="C148" s="4">
        <v>0</v>
      </c>
      <c r="D148" s="4">
        <v>1</v>
      </c>
      <c r="E148" s="4">
        <v>205</v>
      </c>
      <c r="F148" s="4">
        <f>ROUND(Source!S133,O148)</f>
        <v>5068.46</v>
      </c>
      <c r="G148" s="4" t="s">
        <v>305</v>
      </c>
      <c r="H148" s="4" t="s">
        <v>306</v>
      </c>
      <c r="I148" s="4"/>
      <c r="J148" s="4"/>
      <c r="K148" s="4">
        <v>205</v>
      </c>
      <c r="L148" s="4">
        <v>14</v>
      </c>
      <c r="M148" s="4">
        <v>3</v>
      </c>
      <c r="N148" s="4" t="s">
        <v>6</v>
      </c>
      <c r="O148" s="4">
        <v>2</v>
      </c>
      <c r="P148" s="4"/>
      <c r="Q148" s="4"/>
      <c r="R148" s="4"/>
      <c r="S148" s="4"/>
      <c r="T148" s="4"/>
      <c r="U148" s="4"/>
      <c r="V148" s="4"/>
      <c r="W148" s="4"/>
    </row>
    <row r="149" spans="1:23" x14ac:dyDescent="0.2">
      <c r="A149" s="4">
        <v>50</v>
      </c>
      <c r="B149" s="4">
        <v>0</v>
      </c>
      <c r="C149" s="4">
        <v>0</v>
      </c>
      <c r="D149" s="4">
        <v>1</v>
      </c>
      <c r="E149" s="4">
        <v>232</v>
      </c>
      <c r="F149" s="4">
        <f>ROUND(Source!BC133,O149)</f>
        <v>0</v>
      </c>
      <c r="G149" s="4" t="s">
        <v>307</v>
      </c>
      <c r="H149" s="4" t="s">
        <v>308</v>
      </c>
      <c r="I149" s="4"/>
      <c r="J149" s="4"/>
      <c r="K149" s="4">
        <v>232</v>
      </c>
      <c r="L149" s="4">
        <v>15</v>
      </c>
      <c r="M149" s="4">
        <v>3</v>
      </c>
      <c r="N149" s="4" t="s">
        <v>6</v>
      </c>
      <c r="O149" s="4">
        <v>2</v>
      </c>
      <c r="P149" s="4"/>
      <c r="Q149" s="4"/>
      <c r="R149" s="4"/>
      <c r="S149" s="4"/>
      <c r="T149" s="4"/>
      <c r="U149" s="4"/>
      <c r="V149" s="4"/>
      <c r="W149" s="4"/>
    </row>
    <row r="150" spans="1:23" x14ac:dyDescent="0.2">
      <c r="A150" s="4">
        <v>50</v>
      </c>
      <c r="B150" s="4">
        <v>0</v>
      </c>
      <c r="C150" s="4">
        <v>0</v>
      </c>
      <c r="D150" s="4">
        <v>1</v>
      </c>
      <c r="E150" s="4">
        <v>214</v>
      </c>
      <c r="F150" s="4">
        <f>ROUND(Source!AS133,O150)</f>
        <v>195855.25</v>
      </c>
      <c r="G150" s="4" t="s">
        <v>309</v>
      </c>
      <c r="H150" s="4" t="s">
        <v>310</v>
      </c>
      <c r="I150" s="4"/>
      <c r="J150" s="4"/>
      <c r="K150" s="4">
        <v>214</v>
      </c>
      <c r="L150" s="4">
        <v>16</v>
      </c>
      <c r="M150" s="4">
        <v>3</v>
      </c>
      <c r="N150" s="4" t="s">
        <v>6</v>
      </c>
      <c r="O150" s="4">
        <v>2</v>
      </c>
      <c r="P150" s="4"/>
      <c r="Q150" s="4"/>
      <c r="R150" s="4"/>
      <c r="S150" s="4"/>
      <c r="T150" s="4"/>
      <c r="U150" s="4"/>
      <c r="V150" s="4"/>
      <c r="W150" s="4"/>
    </row>
    <row r="151" spans="1:23" x14ac:dyDescent="0.2">
      <c r="A151" s="4">
        <v>50</v>
      </c>
      <c r="B151" s="4">
        <v>0</v>
      </c>
      <c r="C151" s="4">
        <v>0</v>
      </c>
      <c r="D151" s="4">
        <v>1</v>
      </c>
      <c r="E151" s="4">
        <v>215</v>
      </c>
      <c r="F151" s="4">
        <f>ROUND(Source!AT133,O151)</f>
        <v>0</v>
      </c>
      <c r="G151" s="4" t="s">
        <v>311</v>
      </c>
      <c r="H151" s="4" t="s">
        <v>312</v>
      </c>
      <c r="I151" s="4"/>
      <c r="J151" s="4"/>
      <c r="K151" s="4">
        <v>215</v>
      </c>
      <c r="L151" s="4">
        <v>17</v>
      </c>
      <c r="M151" s="4">
        <v>3</v>
      </c>
      <c r="N151" s="4" t="s">
        <v>6</v>
      </c>
      <c r="O151" s="4">
        <v>2</v>
      </c>
      <c r="P151" s="4"/>
      <c r="Q151" s="4"/>
      <c r="R151" s="4"/>
      <c r="S151" s="4"/>
      <c r="T151" s="4"/>
      <c r="U151" s="4"/>
      <c r="V151" s="4"/>
      <c r="W151" s="4"/>
    </row>
    <row r="152" spans="1:23" x14ac:dyDescent="0.2">
      <c r="A152" s="4">
        <v>50</v>
      </c>
      <c r="B152" s="4">
        <v>0</v>
      </c>
      <c r="C152" s="4">
        <v>0</v>
      </c>
      <c r="D152" s="4">
        <v>1</v>
      </c>
      <c r="E152" s="4">
        <v>217</v>
      </c>
      <c r="F152" s="4">
        <f>ROUND(Source!AU133,O152)</f>
        <v>0</v>
      </c>
      <c r="G152" s="4" t="s">
        <v>313</v>
      </c>
      <c r="H152" s="4" t="s">
        <v>314</v>
      </c>
      <c r="I152" s="4"/>
      <c r="J152" s="4"/>
      <c r="K152" s="4">
        <v>217</v>
      </c>
      <c r="L152" s="4">
        <v>18</v>
      </c>
      <c r="M152" s="4">
        <v>3</v>
      </c>
      <c r="N152" s="4" t="s">
        <v>6</v>
      </c>
      <c r="O152" s="4">
        <v>2</v>
      </c>
      <c r="P152" s="4"/>
      <c r="Q152" s="4"/>
      <c r="R152" s="4"/>
      <c r="S152" s="4"/>
      <c r="T152" s="4"/>
      <c r="U152" s="4"/>
      <c r="V152" s="4"/>
      <c r="W152" s="4"/>
    </row>
    <row r="153" spans="1:23" x14ac:dyDescent="0.2">
      <c r="A153" s="4">
        <v>50</v>
      </c>
      <c r="B153" s="4">
        <v>0</v>
      </c>
      <c r="C153" s="4">
        <v>0</v>
      </c>
      <c r="D153" s="4">
        <v>1</v>
      </c>
      <c r="E153" s="4">
        <v>230</v>
      </c>
      <c r="F153" s="4">
        <f>ROUND(Source!BA133,O153)</f>
        <v>0</v>
      </c>
      <c r="G153" s="4" t="s">
        <v>315</v>
      </c>
      <c r="H153" s="4" t="s">
        <v>316</v>
      </c>
      <c r="I153" s="4"/>
      <c r="J153" s="4"/>
      <c r="K153" s="4">
        <v>230</v>
      </c>
      <c r="L153" s="4">
        <v>19</v>
      </c>
      <c r="M153" s="4">
        <v>3</v>
      </c>
      <c r="N153" s="4" t="s">
        <v>6</v>
      </c>
      <c r="O153" s="4">
        <v>2</v>
      </c>
      <c r="P153" s="4"/>
      <c r="Q153" s="4"/>
      <c r="R153" s="4"/>
      <c r="S153" s="4"/>
      <c r="T153" s="4"/>
      <c r="U153" s="4"/>
      <c r="V153" s="4"/>
      <c r="W153" s="4"/>
    </row>
    <row r="154" spans="1:23" x14ac:dyDescent="0.2">
      <c r="A154" s="4">
        <v>50</v>
      </c>
      <c r="B154" s="4">
        <v>0</v>
      </c>
      <c r="C154" s="4">
        <v>0</v>
      </c>
      <c r="D154" s="4">
        <v>1</v>
      </c>
      <c r="E154" s="4">
        <v>206</v>
      </c>
      <c r="F154" s="4">
        <f>ROUND(Source!T133,O154)</f>
        <v>0</v>
      </c>
      <c r="G154" s="4" t="s">
        <v>317</v>
      </c>
      <c r="H154" s="4" t="s">
        <v>318</v>
      </c>
      <c r="I154" s="4"/>
      <c r="J154" s="4"/>
      <c r="K154" s="4">
        <v>206</v>
      </c>
      <c r="L154" s="4">
        <v>20</v>
      </c>
      <c r="M154" s="4">
        <v>3</v>
      </c>
      <c r="N154" s="4" t="s">
        <v>6</v>
      </c>
      <c r="O154" s="4">
        <v>2</v>
      </c>
      <c r="P154" s="4"/>
      <c r="Q154" s="4"/>
      <c r="R154" s="4"/>
      <c r="S154" s="4"/>
      <c r="T154" s="4"/>
      <c r="U154" s="4"/>
      <c r="V154" s="4"/>
      <c r="W154" s="4"/>
    </row>
    <row r="155" spans="1:23" x14ac:dyDescent="0.2">
      <c r="A155" s="4">
        <v>50</v>
      </c>
      <c r="B155" s="4">
        <v>0</v>
      </c>
      <c r="C155" s="4">
        <v>0</v>
      </c>
      <c r="D155" s="4">
        <v>1</v>
      </c>
      <c r="E155" s="4">
        <v>207</v>
      </c>
      <c r="F155" s="4">
        <f>Source!U133</f>
        <v>86.023008000000004</v>
      </c>
      <c r="G155" s="4" t="s">
        <v>319</v>
      </c>
      <c r="H155" s="4" t="s">
        <v>320</v>
      </c>
      <c r="I155" s="4"/>
      <c r="J155" s="4"/>
      <c r="K155" s="4">
        <v>207</v>
      </c>
      <c r="L155" s="4">
        <v>21</v>
      </c>
      <c r="M155" s="4">
        <v>3</v>
      </c>
      <c r="N155" s="4" t="s">
        <v>6</v>
      </c>
      <c r="O155" s="4">
        <v>-1</v>
      </c>
      <c r="P155" s="4"/>
      <c r="Q155" s="4"/>
      <c r="R155" s="4"/>
      <c r="S155" s="4"/>
      <c r="T155" s="4"/>
      <c r="U155" s="4"/>
      <c r="V155" s="4"/>
      <c r="W155" s="4"/>
    </row>
    <row r="156" spans="1:23" x14ac:dyDescent="0.2">
      <c r="A156" s="4">
        <v>50</v>
      </c>
      <c r="B156" s="4">
        <v>0</v>
      </c>
      <c r="C156" s="4">
        <v>0</v>
      </c>
      <c r="D156" s="4">
        <v>1</v>
      </c>
      <c r="E156" s="4">
        <v>208</v>
      </c>
      <c r="F156" s="4">
        <f>Source!V133</f>
        <v>1.401664</v>
      </c>
      <c r="G156" s="4" t="s">
        <v>321</v>
      </c>
      <c r="H156" s="4" t="s">
        <v>322</v>
      </c>
      <c r="I156" s="4"/>
      <c r="J156" s="4"/>
      <c r="K156" s="4">
        <v>208</v>
      </c>
      <c r="L156" s="4">
        <v>22</v>
      </c>
      <c r="M156" s="4">
        <v>3</v>
      </c>
      <c r="N156" s="4" t="s">
        <v>6</v>
      </c>
      <c r="O156" s="4">
        <v>-1</v>
      </c>
      <c r="P156" s="4"/>
      <c r="Q156" s="4"/>
      <c r="R156" s="4"/>
      <c r="S156" s="4"/>
      <c r="T156" s="4"/>
      <c r="U156" s="4"/>
      <c r="V156" s="4"/>
      <c r="W156" s="4"/>
    </row>
    <row r="157" spans="1:23" x14ac:dyDescent="0.2">
      <c r="A157" s="4">
        <v>50</v>
      </c>
      <c r="B157" s="4">
        <v>0</v>
      </c>
      <c r="C157" s="4">
        <v>0</v>
      </c>
      <c r="D157" s="4">
        <v>1</v>
      </c>
      <c r="E157" s="4">
        <v>209</v>
      </c>
      <c r="F157" s="4">
        <f>ROUND(Source!W133,O157)</f>
        <v>0</v>
      </c>
      <c r="G157" s="4" t="s">
        <v>323</v>
      </c>
      <c r="H157" s="4" t="s">
        <v>324</v>
      </c>
      <c r="I157" s="4"/>
      <c r="J157" s="4"/>
      <c r="K157" s="4">
        <v>209</v>
      </c>
      <c r="L157" s="4">
        <v>23</v>
      </c>
      <c r="M157" s="4">
        <v>3</v>
      </c>
      <c r="N157" s="4" t="s">
        <v>6</v>
      </c>
      <c r="O157" s="4">
        <v>2</v>
      </c>
      <c r="P157" s="4"/>
      <c r="Q157" s="4"/>
      <c r="R157" s="4"/>
      <c r="S157" s="4"/>
      <c r="T157" s="4"/>
      <c r="U157" s="4"/>
      <c r="V157" s="4"/>
      <c r="W157" s="4"/>
    </row>
    <row r="158" spans="1:23" x14ac:dyDescent="0.2">
      <c r="A158" s="4">
        <v>50</v>
      </c>
      <c r="B158" s="4">
        <v>0</v>
      </c>
      <c r="C158" s="4">
        <v>0</v>
      </c>
      <c r="D158" s="4">
        <v>1</v>
      </c>
      <c r="E158" s="4">
        <v>210</v>
      </c>
      <c r="F158" s="4">
        <f>ROUND(Source!X133,O158)</f>
        <v>5466.71</v>
      </c>
      <c r="G158" s="4" t="s">
        <v>325</v>
      </c>
      <c r="H158" s="4" t="s">
        <v>326</v>
      </c>
      <c r="I158" s="4"/>
      <c r="J158" s="4"/>
      <c r="K158" s="4">
        <v>210</v>
      </c>
      <c r="L158" s="4">
        <v>24</v>
      </c>
      <c r="M158" s="4">
        <v>3</v>
      </c>
      <c r="N158" s="4" t="s">
        <v>6</v>
      </c>
      <c r="O158" s="4">
        <v>2</v>
      </c>
      <c r="P158" s="4"/>
      <c r="Q158" s="4"/>
      <c r="R158" s="4"/>
      <c r="S158" s="4"/>
      <c r="T158" s="4"/>
      <c r="U158" s="4"/>
      <c r="V158" s="4"/>
      <c r="W158" s="4"/>
    </row>
    <row r="159" spans="1:23" x14ac:dyDescent="0.2">
      <c r="A159" s="4">
        <v>50</v>
      </c>
      <c r="B159" s="4">
        <v>0</v>
      </c>
      <c r="C159" s="4">
        <v>0</v>
      </c>
      <c r="D159" s="4">
        <v>1</v>
      </c>
      <c r="E159" s="4">
        <v>211</v>
      </c>
      <c r="F159" s="4">
        <f>ROUND(Source!Y133,O159)</f>
        <v>3396.79</v>
      </c>
      <c r="G159" s="4" t="s">
        <v>327</v>
      </c>
      <c r="H159" s="4" t="s">
        <v>328</v>
      </c>
      <c r="I159" s="4"/>
      <c r="J159" s="4"/>
      <c r="K159" s="4">
        <v>211</v>
      </c>
      <c r="L159" s="4">
        <v>25</v>
      </c>
      <c r="M159" s="4">
        <v>3</v>
      </c>
      <c r="N159" s="4" t="s">
        <v>6</v>
      </c>
      <c r="O159" s="4">
        <v>2</v>
      </c>
      <c r="P159" s="4"/>
      <c r="Q159" s="4"/>
      <c r="R159" s="4"/>
      <c r="S159" s="4"/>
      <c r="T159" s="4"/>
      <c r="U159" s="4"/>
      <c r="V159" s="4"/>
      <c r="W159" s="4"/>
    </row>
    <row r="160" spans="1:23" x14ac:dyDescent="0.2">
      <c r="A160" s="4">
        <v>50</v>
      </c>
      <c r="B160" s="4">
        <v>0</v>
      </c>
      <c r="C160" s="4">
        <v>0</v>
      </c>
      <c r="D160" s="4">
        <v>1</v>
      </c>
      <c r="E160" s="4">
        <v>224</v>
      </c>
      <c r="F160" s="4">
        <f>ROUND(Source!AR133,O160)</f>
        <v>195855.25</v>
      </c>
      <c r="G160" s="4" t="s">
        <v>329</v>
      </c>
      <c r="H160" s="4" t="s">
        <v>330</v>
      </c>
      <c r="I160" s="4"/>
      <c r="J160" s="4"/>
      <c r="K160" s="4">
        <v>224</v>
      </c>
      <c r="L160" s="4">
        <v>26</v>
      </c>
      <c r="M160" s="4">
        <v>3</v>
      </c>
      <c r="N160" s="4" t="s">
        <v>6</v>
      </c>
      <c r="O160" s="4">
        <v>2</v>
      </c>
      <c r="P160" s="4"/>
      <c r="Q160" s="4"/>
      <c r="R160" s="4"/>
      <c r="S160" s="4"/>
      <c r="T160" s="4"/>
      <c r="U160" s="4"/>
      <c r="V160" s="4"/>
      <c r="W160" s="4"/>
    </row>
    <row r="162" spans="1:245" x14ac:dyDescent="0.2">
      <c r="A162" s="1">
        <v>4</v>
      </c>
      <c r="B162" s="1">
        <v>1</v>
      </c>
      <c r="C162" s="1"/>
      <c r="D162" s="1">
        <f>ROW(A201)</f>
        <v>201</v>
      </c>
      <c r="E162" s="1"/>
      <c r="F162" s="1" t="s">
        <v>13</v>
      </c>
      <c r="G162" s="1" t="s">
        <v>378</v>
      </c>
      <c r="H162" s="1" t="s">
        <v>6</v>
      </c>
      <c r="I162" s="1">
        <v>0</v>
      </c>
      <c r="J162" s="1"/>
      <c r="K162" s="1">
        <v>-1</v>
      </c>
      <c r="L162" s="1"/>
      <c r="M162" s="1"/>
      <c r="N162" s="1"/>
      <c r="O162" s="1"/>
      <c r="P162" s="1"/>
      <c r="Q162" s="1"/>
      <c r="R162" s="1"/>
      <c r="S162" s="1"/>
      <c r="T162" s="1"/>
      <c r="U162" s="1" t="s">
        <v>6</v>
      </c>
      <c r="V162" s="1">
        <v>0</v>
      </c>
      <c r="W162" s="1"/>
      <c r="X162" s="1"/>
      <c r="Y162" s="1"/>
      <c r="Z162" s="1"/>
      <c r="AA162" s="1"/>
      <c r="AB162" s="1" t="s">
        <v>6</v>
      </c>
      <c r="AC162" s="1" t="s">
        <v>6</v>
      </c>
      <c r="AD162" s="1" t="s">
        <v>6</v>
      </c>
      <c r="AE162" s="1" t="s">
        <v>6</v>
      </c>
      <c r="AF162" s="1" t="s">
        <v>6</v>
      </c>
      <c r="AG162" s="1" t="s">
        <v>6</v>
      </c>
      <c r="AH162" s="1"/>
      <c r="AI162" s="1"/>
      <c r="AJ162" s="1"/>
      <c r="AK162" s="1"/>
      <c r="AL162" s="1"/>
      <c r="AM162" s="1"/>
      <c r="AN162" s="1"/>
      <c r="AO162" s="1"/>
      <c r="AP162" s="1" t="s">
        <v>6</v>
      </c>
      <c r="AQ162" s="1" t="s">
        <v>6</v>
      </c>
      <c r="AR162" s="1" t="s">
        <v>6</v>
      </c>
      <c r="AS162" s="1"/>
      <c r="AT162" s="1"/>
      <c r="AU162" s="1"/>
      <c r="AV162" s="1"/>
      <c r="AW162" s="1"/>
      <c r="AX162" s="1"/>
      <c r="AY162" s="1"/>
      <c r="AZ162" s="1" t="s">
        <v>6</v>
      </c>
      <c r="BA162" s="1"/>
      <c r="BB162" s="1" t="s">
        <v>6</v>
      </c>
      <c r="BC162" s="1" t="s">
        <v>6</v>
      </c>
      <c r="BD162" s="1" t="s">
        <v>6</v>
      </c>
      <c r="BE162" s="1" t="s">
        <v>6</v>
      </c>
      <c r="BF162" s="1" t="s">
        <v>6</v>
      </c>
      <c r="BG162" s="1" t="s">
        <v>6</v>
      </c>
      <c r="BH162" s="1" t="s">
        <v>6</v>
      </c>
      <c r="BI162" s="1" t="s">
        <v>6</v>
      </c>
      <c r="BJ162" s="1" t="s">
        <v>6</v>
      </c>
      <c r="BK162" s="1" t="s">
        <v>6</v>
      </c>
      <c r="BL162" s="1" t="s">
        <v>6</v>
      </c>
      <c r="BM162" s="1" t="s">
        <v>6</v>
      </c>
      <c r="BN162" s="1" t="s">
        <v>6</v>
      </c>
      <c r="BO162" s="1" t="s">
        <v>6</v>
      </c>
      <c r="BP162" s="1" t="s">
        <v>6</v>
      </c>
      <c r="BQ162" s="1"/>
      <c r="BR162" s="1"/>
      <c r="BS162" s="1"/>
      <c r="BT162" s="1"/>
      <c r="BU162" s="1"/>
      <c r="BV162" s="1"/>
      <c r="BW162" s="1"/>
      <c r="BX162" s="1">
        <v>0</v>
      </c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>
        <v>0</v>
      </c>
    </row>
    <row r="164" spans="1:245" x14ac:dyDescent="0.2">
      <c r="A164" s="2">
        <v>52</v>
      </c>
      <c r="B164" s="2">
        <f t="shared" ref="B164:G164" si="161">B201</f>
        <v>1</v>
      </c>
      <c r="C164" s="2">
        <f t="shared" si="161"/>
        <v>4</v>
      </c>
      <c r="D164" s="2">
        <f t="shared" si="161"/>
        <v>162</v>
      </c>
      <c r="E164" s="2">
        <f t="shared" si="161"/>
        <v>0</v>
      </c>
      <c r="F164" s="2" t="str">
        <f t="shared" si="161"/>
        <v>Новый раздел</v>
      </c>
      <c r="G164" s="2" t="str">
        <f t="shared" si="161"/>
        <v>3 Электромонтажные работы</v>
      </c>
      <c r="H164" s="2"/>
      <c r="I164" s="2"/>
      <c r="J164" s="2"/>
      <c r="K164" s="2"/>
      <c r="L164" s="2"/>
      <c r="M164" s="2"/>
      <c r="N164" s="2"/>
      <c r="O164" s="2">
        <f t="shared" ref="O164:AT164" si="162">O201</f>
        <v>523563.59</v>
      </c>
      <c r="P164" s="2">
        <f t="shared" si="162"/>
        <v>492528.12</v>
      </c>
      <c r="Q164" s="2">
        <f t="shared" si="162"/>
        <v>2131.34</v>
      </c>
      <c r="R164" s="2">
        <f t="shared" si="162"/>
        <v>262.67</v>
      </c>
      <c r="S164" s="2">
        <f t="shared" si="162"/>
        <v>28904.13</v>
      </c>
      <c r="T164" s="2">
        <f t="shared" si="162"/>
        <v>0</v>
      </c>
      <c r="U164" s="2">
        <f t="shared" si="162"/>
        <v>444.40493000000004</v>
      </c>
      <c r="V164" s="2">
        <f t="shared" si="162"/>
        <v>3.1146699999999998</v>
      </c>
      <c r="W164" s="2">
        <f t="shared" si="162"/>
        <v>0</v>
      </c>
      <c r="X164" s="2">
        <f t="shared" si="162"/>
        <v>27190.240000000002</v>
      </c>
      <c r="Y164" s="2">
        <f t="shared" si="162"/>
        <v>18748.87</v>
      </c>
      <c r="Z164" s="2">
        <f t="shared" si="162"/>
        <v>0</v>
      </c>
      <c r="AA164" s="2">
        <f t="shared" si="162"/>
        <v>0</v>
      </c>
      <c r="AB164" s="2">
        <f t="shared" si="162"/>
        <v>523563.59</v>
      </c>
      <c r="AC164" s="2">
        <f t="shared" si="162"/>
        <v>492528.12</v>
      </c>
      <c r="AD164" s="2">
        <f t="shared" si="162"/>
        <v>2131.34</v>
      </c>
      <c r="AE164" s="2">
        <f t="shared" si="162"/>
        <v>262.67</v>
      </c>
      <c r="AF164" s="2">
        <f t="shared" si="162"/>
        <v>28904.13</v>
      </c>
      <c r="AG164" s="2">
        <f t="shared" si="162"/>
        <v>0</v>
      </c>
      <c r="AH164" s="2">
        <f t="shared" si="162"/>
        <v>444.40493000000004</v>
      </c>
      <c r="AI164" s="2">
        <f t="shared" si="162"/>
        <v>3.1146699999999998</v>
      </c>
      <c r="AJ164" s="2">
        <f t="shared" si="162"/>
        <v>0</v>
      </c>
      <c r="AK164" s="2">
        <f t="shared" si="162"/>
        <v>27190.240000000002</v>
      </c>
      <c r="AL164" s="2">
        <f t="shared" si="162"/>
        <v>18748.87</v>
      </c>
      <c r="AM164" s="2">
        <f t="shared" si="162"/>
        <v>0</v>
      </c>
      <c r="AN164" s="2">
        <f t="shared" si="162"/>
        <v>0</v>
      </c>
      <c r="AO164" s="2">
        <f t="shared" si="162"/>
        <v>0</v>
      </c>
      <c r="AP164" s="2">
        <f t="shared" si="162"/>
        <v>0</v>
      </c>
      <c r="AQ164" s="2">
        <f t="shared" si="162"/>
        <v>0</v>
      </c>
      <c r="AR164" s="2">
        <f t="shared" si="162"/>
        <v>569502.69999999995</v>
      </c>
      <c r="AS164" s="2">
        <f t="shared" si="162"/>
        <v>1390.74</v>
      </c>
      <c r="AT164" s="2">
        <f t="shared" si="162"/>
        <v>568111.96</v>
      </c>
      <c r="AU164" s="2">
        <f t="shared" ref="AU164:BZ164" si="163">AU201</f>
        <v>0</v>
      </c>
      <c r="AV164" s="2">
        <f t="shared" si="163"/>
        <v>492528.12</v>
      </c>
      <c r="AW164" s="2">
        <f t="shared" si="163"/>
        <v>492528.12</v>
      </c>
      <c r="AX164" s="2">
        <f t="shared" si="163"/>
        <v>0</v>
      </c>
      <c r="AY164" s="2">
        <f t="shared" si="163"/>
        <v>492528.12</v>
      </c>
      <c r="AZ164" s="2">
        <f t="shared" si="163"/>
        <v>0</v>
      </c>
      <c r="BA164" s="2">
        <f t="shared" si="163"/>
        <v>0</v>
      </c>
      <c r="BB164" s="2">
        <f t="shared" si="163"/>
        <v>0</v>
      </c>
      <c r="BC164" s="2">
        <f t="shared" si="163"/>
        <v>0</v>
      </c>
      <c r="BD164" s="2">
        <f t="shared" si="163"/>
        <v>0</v>
      </c>
      <c r="BE164" s="2">
        <f t="shared" si="163"/>
        <v>0</v>
      </c>
      <c r="BF164" s="2">
        <f t="shared" si="163"/>
        <v>0</v>
      </c>
      <c r="BG164" s="2">
        <f t="shared" si="163"/>
        <v>0</v>
      </c>
      <c r="BH164" s="2">
        <f t="shared" si="163"/>
        <v>0</v>
      </c>
      <c r="BI164" s="2">
        <f t="shared" si="163"/>
        <v>0</v>
      </c>
      <c r="BJ164" s="2">
        <f t="shared" si="163"/>
        <v>0</v>
      </c>
      <c r="BK164" s="2">
        <f t="shared" si="163"/>
        <v>0</v>
      </c>
      <c r="BL164" s="2">
        <f t="shared" si="163"/>
        <v>0</v>
      </c>
      <c r="BM164" s="2">
        <f t="shared" si="163"/>
        <v>0</v>
      </c>
      <c r="BN164" s="2">
        <f t="shared" si="163"/>
        <v>0</v>
      </c>
      <c r="BO164" s="2">
        <f t="shared" si="163"/>
        <v>0</v>
      </c>
      <c r="BP164" s="2">
        <f t="shared" si="163"/>
        <v>0</v>
      </c>
      <c r="BQ164" s="2">
        <f t="shared" si="163"/>
        <v>0</v>
      </c>
      <c r="BR164" s="2">
        <f t="shared" si="163"/>
        <v>0</v>
      </c>
      <c r="BS164" s="2">
        <f t="shared" si="163"/>
        <v>0</v>
      </c>
      <c r="BT164" s="2">
        <f t="shared" si="163"/>
        <v>0</v>
      </c>
      <c r="BU164" s="2">
        <f t="shared" si="163"/>
        <v>0</v>
      </c>
      <c r="BV164" s="2">
        <f t="shared" si="163"/>
        <v>0</v>
      </c>
      <c r="BW164" s="2">
        <f t="shared" si="163"/>
        <v>0</v>
      </c>
      <c r="BX164" s="2">
        <f t="shared" si="163"/>
        <v>0</v>
      </c>
      <c r="BY164" s="2">
        <f t="shared" si="163"/>
        <v>0</v>
      </c>
      <c r="BZ164" s="2">
        <f t="shared" si="163"/>
        <v>0</v>
      </c>
      <c r="CA164" s="2">
        <f t="shared" ref="CA164:DF164" si="164">CA201</f>
        <v>569502.69999999995</v>
      </c>
      <c r="CB164" s="2">
        <f t="shared" si="164"/>
        <v>1390.74</v>
      </c>
      <c r="CC164" s="2">
        <f t="shared" si="164"/>
        <v>568111.96</v>
      </c>
      <c r="CD164" s="2">
        <f t="shared" si="164"/>
        <v>0</v>
      </c>
      <c r="CE164" s="2">
        <f t="shared" si="164"/>
        <v>492528.12</v>
      </c>
      <c r="CF164" s="2">
        <f t="shared" si="164"/>
        <v>492528.12</v>
      </c>
      <c r="CG164" s="2">
        <f t="shared" si="164"/>
        <v>0</v>
      </c>
      <c r="CH164" s="2">
        <f t="shared" si="164"/>
        <v>492528.12</v>
      </c>
      <c r="CI164" s="2">
        <f t="shared" si="164"/>
        <v>0</v>
      </c>
      <c r="CJ164" s="2">
        <f t="shared" si="164"/>
        <v>0</v>
      </c>
      <c r="CK164" s="2">
        <f t="shared" si="164"/>
        <v>0</v>
      </c>
      <c r="CL164" s="2">
        <f t="shared" si="164"/>
        <v>0</v>
      </c>
      <c r="CM164" s="2">
        <f t="shared" si="164"/>
        <v>0</v>
      </c>
      <c r="CN164" s="2">
        <f t="shared" si="164"/>
        <v>0</v>
      </c>
      <c r="CO164" s="2">
        <f t="shared" si="164"/>
        <v>0</v>
      </c>
      <c r="CP164" s="2">
        <f t="shared" si="164"/>
        <v>0</v>
      </c>
      <c r="CQ164" s="2">
        <f t="shared" si="164"/>
        <v>0</v>
      </c>
      <c r="CR164" s="2">
        <f t="shared" si="164"/>
        <v>0</v>
      </c>
      <c r="CS164" s="2">
        <f t="shared" si="164"/>
        <v>0</v>
      </c>
      <c r="CT164" s="2">
        <f t="shared" si="164"/>
        <v>0</v>
      </c>
      <c r="CU164" s="2">
        <f t="shared" si="164"/>
        <v>0</v>
      </c>
      <c r="CV164" s="2">
        <f t="shared" si="164"/>
        <v>0</v>
      </c>
      <c r="CW164" s="2">
        <f t="shared" si="164"/>
        <v>0</v>
      </c>
      <c r="CX164" s="2">
        <f t="shared" si="164"/>
        <v>0</v>
      </c>
      <c r="CY164" s="2">
        <f t="shared" si="164"/>
        <v>0</v>
      </c>
      <c r="CZ164" s="2">
        <f t="shared" si="164"/>
        <v>0</v>
      </c>
      <c r="DA164" s="2">
        <f t="shared" si="164"/>
        <v>0</v>
      </c>
      <c r="DB164" s="2">
        <f t="shared" si="164"/>
        <v>0</v>
      </c>
      <c r="DC164" s="2">
        <f t="shared" si="164"/>
        <v>0</v>
      </c>
      <c r="DD164" s="2">
        <f t="shared" si="164"/>
        <v>0</v>
      </c>
      <c r="DE164" s="2">
        <f t="shared" si="164"/>
        <v>0</v>
      </c>
      <c r="DF164" s="2">
        <f t="shared" si="164"/>
        <v>0</v>
      </c>
      <c r="DG164" s="3">
        <f t="shared" ref="DG164:EL164" si="165">DG201</f>
        <v>0</v>
      </c>
      <c r="DH164" s="3">
        <f t="shared" si="165"/>
        <v>0</v>
      </c>
      <c r="DI164" s="3">
        <f t="shared" si="165"/>
        <v>0</v>
      </c>
      <c r="DJ164" s="3">
        <f t="shared" si="165"/>
        <v>0</v>
      </c>
      <c r="DK164" s="3">
        <f t="shared" si="165"/>
        <v>0</v>
      </c>
      <c r="DL164" s="3">
        <f t="shared" si="165"/>
        <v>0</v>
      </c>
      <c r="DM164" s="3">
        <f t="shared" si="165"/>
        <v>0</v>
      </c>
      <c r="DN164" s="3">
        <f t="shared" si="165"/>
        <v>0</v>
      </c>
      <c r="DO164" s="3">
        <f t="shared" si="165"/>
        <v>0</v>
      </c>
      <c r="DP164" s="3">
        <f t="shared" si="165"/>
        <v>0</v>
      </c>
      <c r="DQ164" s="3">
        <f t="shared" si="165"/>
        <v>0</v>
      </c>
      <c r="DR164" s="3">
        <f t="shared" si="165"/>
        <v>0</v>
      </c>
      <c r="DS164" s="3">
        <f t="shared" si="165"/>
        <v>0</v>
      </c>
      <c r="DT164" s="3">
        <f t="shared" si="165"/>
        <v>0</v>
      </c>
      <c r="DU164" s="3">
        <f t="shared" si="165"/>
        <v>0</v>
      </c>
      <c r="DV164" s="3">
        <f t="shared" si="165"/>
        <v>0</v>
      </c>
      <c r="DW164" s="3">
        <f t="shared" si="165"/>
        <v>0</v>
      </c>
      <c r="DX164" s="3">
        <f t="shared" si="165"/>
        <v>0</v>
      </c>
      <c r="DY164" s="3">
        <f t="shared" si="165"/>
        <v>0</v>
      </c>
      <c r="DZ164" s="3">
        <f t="shared" si="165"/>
        <v>0</v>
      </c>
      <c r="EA164" s="3">
        <f t="shared" si="165"/>
        <v>0</v>
      </c>
      <c r="EB164" s="3">
        <f t="shared" si="165"/>
        <v>0</v>
      </c>
      <c r="EC164" s="3">
        <f t="shared" si="165"/>
        <v>0</v>
      </c>
      <c r="ED164" s="3">
        <f t="shared" si="165"/>
        <v>0</v>
      </c>
      <c r="EE164" s="3">
        <f t="shared" si="165"/>
        <v>0</v>
      </c>
      <c r="EF164" s="3">
        <f t="shared" si="165"/>
        <v>0</v>
      </c>
      <c r="EG164" s="3">
        <f t="shared" si="165"/>
        <v>0</v>
      </c>
      <c r="EH164" s="3">
        <f t="shared" si="165"/>
        <v>0</v>
      </c>
      <c r="EI164" s="3">
        <f t="shared" si="165"/>
        <v>0</v>
      </c>
      <c r="EJ164" s="3">
        <f t="shared" si="165"/>
        <v>0</v>
      </c>
      <c r="EK164" s="3">
        <f t="shared" si="165"/>
        <v>0</v>
      </c>
      <c r="EL164" s="3">
        <f t="shared" si="165"/>
        <v>0</v>
      </c>
      <c r="EM164" s="3">
        <f t="shared" ref="EM164:FR164" si="166">EM201</f>
        <v>0</v>
      </c>
      <c r="EN164" s="3">
        <f t="shared" si="166"/>
        <v>0</v>
      </c>
      <c r="EO164" s="3">
        <f t="shared" si="166"/>
        <v>0</v>
      </c>
      <c r="EP164" s="3">
        <f t="shared" si="166"/>
        <v>0</v>
      </c>
      <c r="EQ164" s="3">
        <f t="shared" si="166"/>
        <v>0</v>
      </c>
      <c r="ER164" s="3">
        <f t="shared" si="166"/>
        <v>0</v>
      </c>
      <c r="ES164" s="3">
        <f t="shared" si="166"/>
        <v>0</v>
      </c>
      <c r="ET164" s="3">
        <f t="shared" si="166"/>
        <v>0</v>
      </c>
      <c r="EU164" s="3">
        <f t="shared" si="166"/>
        <v>0</v>
      </c>
      <c r="EV164" s="3">
        <f t="shared" si="166"/>
        <v>0</v>
      </c>
      <c r="EW164" s="3">
        <f t="shared" si="166"/>
        <v>0</v>
      </c>
      <c r="EX164" s="3">
        <f t="shared" si="166"/>
        <v>0</v>
      </c>
      <c r="EY164" s="3">
        <f t="shared" si="166"/>
        <v>0</v>
      </c>
      <c r="EZ164" s="3">
        <f t="shared" si="166"/>
        <v>0</v>
      </c>
      <c r="FA164" s="3">
        <f t="shared" si="166"/>
        <v>0</v>
      </c>
      <c r="FB164" s="3">
        <f t="shared" si="166"/>
        <v>0</v>
      </c>
      <c r="FC164" s="3">
        <f t="shared" si="166"/>
        <v>0</v>
      </c>
      <c r="FD164" s="3">
        <f t="shared" si="166"/>
        <v>0</v>
      </c>
      <c r="FE164" s="3">
        <f t="shared" si="166"/>
        <v>0</v>
      </c>
      <c r="FF164" s="3">
        <f t="shared" si="166"/>
        <v>0</v>
      </c>
      <c r="FG164" s="3">
        <f t="shared" si="166"/>
        <v>0</v>
      </c>
      <c r="FH164" s="3">
        <f t="shared" si="166"/>
        <v>0</v>
      </c>
      <c r="FI164" s="3">
        <f t="shared" si="166"/>
        <v>0</v>
      </c>
      <c r="FJ164" s="3">
        <f t="shared" si="166"/>
        <v>0</v>
      </c>
      <c r="FK164" s="3">
        <f t="shared" si="166"/>
        <v>0</v>
      </c>
      <c r="FL164" s="3">
        <f t="shared" si="166"/>
        <v>0</v>
      </c>
      <c r="FM164" s="3">
        <f t="shared" si="166"/>
        <v>0</v>
      </c>
      <c r="FN164" s="3">
        <f t="shared" si="166"/>
        <v>0</v>
      </c>
      <c r="FO164" s="3">
        <f t="shared" si="166"/>
        <v>0</v>
      </c>
      <c r="FP164" s="3">
        <f t="shared" si="166"/>
        <v>0</v>
      </c>
      <c r="FQ164" s="3">
        <f t="shared" si="166"/>
        <v>0</v>
      </c>
      <c r="FR164" s="3">
        <f t="shared" si="166"/>
        <v>0</v>
      </c>
      <c r="FS164" s="3">
        <f t="shared" ref="FS164:GX164" si="167">FS201</f>
        <v>0</v>
      </c>
      <c r="FT164" s="3">
        <f t="shared" si="167"/>
        <v>0</v>
      </c>
      <c r="FU164" s="3">
        <f t="shared" si="167"/>
        <v>0</v>
      </c>
      <c r="FV164" s="3">
        <f t="shared" si="167"/>
        <v>0</v>
      </c>
      <c r="FW164" s="3">
        <f t="shared" si="167"/>
        <v>0</v>
      </c>
      <c r="FX164" s="3">
        <f t="shared" si="167"/>
        <v>0</v>
      </c>
      <c r="FY164" s="3">
        <f t="shared" si="167"/>
        <v>0</v>
      </c>
      <c r="FZ164" s="3">
        <f t="shared" si="167"/>
        <v>0</v>
      </c>
      <c r="GA164" s="3">
        <f t="shared" si="167"/>
        <v>0</v>
      </c>
      <c r="GB164" s="3">
        <f t="shared" si="167"/>
        <v>0</v>
      </c>
      <c r="GC164" s="3">
        <f t="shared" si="167"/>
        <v>0</v>
      </c>
      <c r="GD164" s="3">
        <f t="shared" si="167"/>
        <v>0</v>
      </c>
      <c r="GE164" s="3">
        <f t="shared" si="167"/>
        <v>0</v>
      </c>
      <c r="GF164" s="3">
        <f t="shared" si="167"/>
        <v>0</v>
      </c>
      <c r="GG164" s="3">
        <f t="shared" si="167"/>
        <v>0</v>
      </c>
      <c r="GH164" s="3">
        <f t="shared" si="167"/>
        <v>0</v>
      </c>
      <c r="GI164" s="3">
        <f t="shared" si="167"/>
        <v>0</v>
      </c>
      <c r="GJ164" s="3">
        <f t="shared" si="167"/>
        <v>0</v>
      </c>
      <c r="GK164" s="3">
        <f t="shared" si="167"/>
        <v>0</v>
      </c>
      <c r="GL164" s="3">
        <f t="shared" si="167"/>
        <v>0</v>
      </c>
      <c r="GM164" s="3">
        <f t="shared" si="167"/>
        <v>0</v>
      </c>
      <c r="GN164" s="3">
        <f t="shared" si="167"/>
        <v>0</v>
      </c>
      <c r="GO164" s="3">
        <f t="shared" si="167"/>
        <v>0</v>
      </c>
      <c r="GP164" s="3">
        <f t="shared" si="167"/>
        <v>0</v>
      </c>
      <c r="GQ164" s="3">
        <f t="shared" si="167"/>
        <v>0</v>
      </c>
      <c r="GR164" s="3">
        <f t="shared" si="167"/>
        <v>0</v>
      </c>
      <c r="GS164" s="3">
        <f t="shared" si="167"/>
        <v>0</v>
      </c>
      <c r="GT164" s="3">
        <f t="shared" si="167"/>
        <v>0</v>
      </c>
      <c r="GU164" s="3">
        <f t="shared" si="167"/>
        <v>0</v>
      </c>
      <c r="GV164" s="3">
        <f t="shared" si="167"/>
        <v>0</v>
      </c>
      <c r="GW164" s="3">
        <f t="shared" si="167"/>
        <v>0</v>
      </c>
      <c r="GX164" s="3">
        <f t="shared" si="167"/>
        <v>0</v>
      </c>
    </row>
    <row r="166" spans="1:245" x14ac:dyDescent="0.2">
      <c r="A166">
        <v>17</v>
      </c>
      <c r="B166">
        <v>1</v>
      </c>
      <c r="E166" t="s">
        <v>379</v>
      </c>
      <c r="F166" t="s">
        <v>380</v>
      </c>
      <c r="G166" t="s">
        <v>381</v>
      </c>
      <c r="H166" t="s">
        <v>18</v>
      </c>
      <c r="I166">
        <v>0.16</v>
      </c>
      <c r="J166">
        <v>0</v>
      </c>
      <c r="O166">
        <f t="shared" ref="O166:O199" si="168">ROUND(CP166,2)</f>
        <v>81.05</v>
      </c>
      <c r="P166">
        <f t="shared" ref="P166:P199" si="169">ROUND(CQ166*I166,2)</f>
        <v>0</v>
      </c>
      <c r="Q166">
        <f t="shared" ref="Q166:Q199" si="170">ROUND(CR166*I166,2)</f>
        <v>0.33</v>
      </c>
      <c r="R166">
        <f t="shared" ref="R166:R199" si="171">ROUND(CS166*I166,2)</f>
        <v>0.15</v>
      </c>
      <c r="S166">
        <f t="shared" ref="S166:S199" si="172">ROUND(CT166*I166,2)</f>
        <v>80.72</v>
      </c>
      <c r="T166">
        <f t="shared" ref="T166:T199" si="173">ROUND(CU166*I166,2)</f>
        <v>0</v>
      </c>
      <c r="U166">
        <f t="shared" ref="U166:U199" si="174">CV166*I166</f>
        <v>1.5424000000000002</v>
      </c>
      <c r="V166">
        <f t="shared" ref="V166:V199" si="175">CW166*I166</f>
        <v>1.6000000000000001E-3</v>
      </c>
      <c r="W166">
        <f t="shared" ref="W166:W199" si="176">ROUND(CX166*I166,2)</f>
        <v>0</v>
      </c>
      <c r="X166">
        <f t="shared" ref="X166:X199" si="177">ROUND(CY166,2)</f>
        <v>68.739999999999995</v>
      </c>
      <c r="Y166">
        <f t="shared" ref="Y166:Y199" si="178">ROUND(CZ166,2)</f>
        <v>52.57</v>
      </c>
      <c r="AA166">
        <v>16802145</v>
      </c>
      <c r="AB166">
        <f t="shared" ref="AB166:AB199" si="179">ROUND((AC166+AD166+AF166),2)</f>
        <v>75.5</v>
      </c>
      <c r="AC166">
        <f>ROUND((ES166),2)</f>
        <v>0</v>
      </c>
      <c r="AD166">
        <f>ROUND((((ET166)-(EU166))+AE166),2)</f>
        <v>0.31</v>
      </c>
      <c r="AE166">
        <f>ROUND((EU166),2)</f>
        <v>0.14000000000000001</v>
      </c>
      <c r="AF166">
        <f>ROUND((EV166),2)</f>
        <v>75.19</v>
      </c>
      <c r="AG166">
        <f t="shared" ref="AG166:AG199" si="180">ROUND((AP166),2)</f>
        <v>0</v>
      </c>
      <c r="AH166">
        <f>(EW166)</f>
        <v>9.64</v>
      </c>
      <c r="AI166">
        <f>(EX166)</f>
        <v>0.01</v>
      </c>
      <c r="AJ166">
        <f t="shared" ref="AJ166:AJ199" si="181">(AS166)</f>
        <v>0</v>
      </c>
      <c r="AK166">
        <v>75.5</v>
      </c>
      <c r="AL166">
        <v>0</v>
      </c>
      <c r="AM166">
        <v>0.31</v>
      </c>
      <c r="AN166">
        <v>0.14000000000000001</v>
      </c>
      <c r="AO166">
        <v>75.19</v>
      </c>
      <c r="AP166">
        <v>0</v>
      </c>
      <c r="AQ166">
        <v>9.64</v>
      </c>
      <c r="AR166">
        <v>0.01</v>
      </c>
      <c r="AS166">
        <v>0</v>
      </c>
      <c r="AT166">
        <v>85</v>
      </c>
      <c r="AU166">
        <v>65</v>
      </c>
      <c r="AV166">
        <v>1</v>
      </c>
      <c r="AW166">
        <v>1</v>
      </c>
      <c r="AZ166">
        <v>6.71</v>
      </c>
      <c r="BA166">
        <v>6.71</v>
      </c>
      <c r="BB166">
        <v>6.71</v>
      </c>
      <c r="BC166">
        <v>6.71</v>
      </c>
      <c r="BD166" t="s">
        <v>6</v>
      </c>
      <c r="BE166" t="s">
        <v>6</v>
      </c>
      <c r="BF166" t="s">
        <v>6</v>
      </c>
      <c r="BG166" t="s">
        <v>6</v>
      </c>
      <c r="BH166">
        <v>0</v>
      </c>
      <c r="BI166">
        <v>1</v>
      </c>
      <c r="BJ166" t="s">
        <v>382</v>
      </c>
      <c r="BM166">
        <v>67001</v>
      </c>
      <c r="BN166">
        <v>0</v>
      </c>
      <c r="BO166" t="s">
        <v>6</v>
      </c>
      <c r="BP166">
        <v>0</v>
      </c>
      <c r="BQ166">
        <v>6</v>
      </c>
      <c r="BR166">
        <v>0</v>
      </c>
      <c r="BS166">
        <v>6.71</v>
      </c>
      <c r="BT166">
        <v>1</v>
      </c>
      <c r="BU166">
        <v>1</v>
      </c>
      <c r="BV166">
        <v>1</v>
      </c>
      <c r="BW166">
        <v>1</v>
      </c>
      <c r="BX166">
        <v>1</v>
      </c>
      <c r="BY166" t="s">
        <v>6</v>
      </c>
      <c r="BZ166">
        <v>85</v>
      </c>
      <c r="CA166">
        <v>65</v>
      </c>
      <c r="CE166">
        <v>0</v>
      </c>
      <c r="CF166">
        <v>0</v>
      </c>
      <c r="CG166">
        <v>0</v>
      </c>
      <c r="CM166">
        <v>0</v>
      </c>
      <c r="CN166" t="s">
        <v>6</v>
      </c>
      <c r="CO166">
        <v>0</v>
      </c>
      <c r="CP166">
        <f t="shared" ref="CP166:CP199" si="182">(P166+Q166+S166)</f>
        <v>81.05</v>
      </c>
      <c r="CQ166">
        <f t="shared" ref="CQ166:CQ199" si="183">AC166*BC166</f>
        <v>0</v>
      </c>
      <c r="CR166">
        <f t="shared" ref="CR166:CR199" si="184">AD166*BB166</f>
        <v>2.0800999999999998</v>
      </c>
      <c r="CS166">
        <f t="shared" ref="CS166:CS199" si="185">AE166*BS166</f>
        <v>0.93940000000000012</v>
      </c>
      <c r="CT166">
        <f t="shared" ref="CT166:CT199" si="186">AF166*BA166</f>
        <v>504.5249</v>
      </c>
      <c r="CU166">
        <f t="shared" ref="CU166:CU199" si="187">AG166</f>
        <v>0</v>
      </c>
      <c r="CV166">
        <f t="shared" ref="CV166:CV199" si="188">AH166</f>
        <v>9.64</v>
      </c>
      <c r="CW166">
        <f t="shared" ref="CW166:CW199" si="189">AI166</f>
        <v>0.01</v>
      </c>
      <c r="CX166">
        <f t="shared" ref="CX166:CX199" si="190">AJ166</f>
        <v>0</v>
      </c>
      <c r="CY166">
        <f t="shared" ref="CY166:CY199" si="191">(((S166+R166)*AT166)/100)</f>
        <v>68.739500000000007</v>
      </c>
      <c r="CZ166">
        <f t="shared" ref="CZ166:CZ199" si="192">(((S166+R166)*AU166)/100)</f>
        <v>52.5655</v>
      </c>
      <c r="DC166" t="s">
        <v>6</v>
      </c>
      <c r="DD166" t="s">
        <v>6</v>
      </c>
      <c r="DE166" t="s">
        <v>6</v>
      </c>
      <c r="DF166" t="s">
        <v>6</v>
      </c>
      <c r="DG166" t="s">
        <v>6</v>
      </c>
      <c r="DH166" t="s">
        <v>6</v>
      </c>
      <c r="DI166" t="s">
        <v>6</v>
      </c>
      <c r="DJ166" t="s">
        <v>6</v>
      </c>
      <c r="DK166" t="s">
        <v>6</v>
      </c>
      <c r="DL166" t="s">
        <v>6</v>
      </c>
      <c r="DM166" t="s">
        <v>6</v>
      </c>
      <c r="DN166">
        <v>0</v>
      </c>
      <c r="DO166">
        <v>0</v>
      </c>
      <c r="DP166">
        <v>1</v>
      </c>
      <c r="DQ166">
        <v>1</v>
      </c>
      <c r="DU166">
        <v>1003</v>
      </c>
      <c r="DV166" t="s">
        <v>18</v>
      </c>
      <c r="DW166" t="s">
        <v>18</v>
      </c>
      <c r="DX166">
        <v>100</v>
      </c>
      <c r="EE166">
        <v>16510612</v>
      </c>
      <c r="EF166">
        <v>6</v>
      </c>
      <c r="EG166" t="s">
        <v>20</v>
      </c>
      <c r="EH166">
        <v>0</v>
      </c>
      <c r="EI166" t="s">
        <v>6</v>
      </c>
      <c r="EJ166">
        <v>1</v>
      </c>
      <c r="EK166">
        <v>67001</v>
      </c>
      <c r="EL166" t="s">
        <v>383</v>
      </c>
      <c r="EM166" t="s">
        <v>384</v>
      </c>
      <c r="EO166" t="s">
        <v>6</v>
      </c>
      <c r="EQ166">
        <v>131072</v>
      </c>
      <c r="ER166">
        <v>75.5</v>
      </c>
      <c r="ES166">
        <v>0</v>
      </c>
      <c r="ET166">
        <v>0.31</v>
      </c>
      <c r="EU166">
        <v>0.14000000000000001</v>
      </c>
      <c r="EV166">
        <v>75.19</v>
      </c>
      <c r="EW166">
        <v>9.64</v>
      </c>
      <c r="EX166">
        <v>0.01</v>
      </c>
      <c r="EY166">
        <v>0</v>
      </c>
      <c r="FQ166">
        <v>0</v>
      </c>
      <c r="FR166">
        <f t="shared" ref="FR166:FR199" si="193">ROUND(IF(AND(BH166=3,BI166=3),P166,0),2)</f>
        <v>0</v>
      </c>
      <c r="FS166">
        <v>0</v>
      </c>
      <c r="FX166">
        <v>85</v>
      </c>
      <c r="FY166">
        <v>65</v>
      </c>
      <c r="GA166" t="s">
        <v>6</v>
      </c>
      <c r="GD166">
        <v>0</v>
      </c>
      <c r="GF166">
        <v>-240526577</v>
      </c>
      <c r="GG166">
        <v>1</v>
      </c>
      <c r="GH166">
        <v>1</v>
      </c>
      <c r="GI166">
        <v>4</v>
      </c>
      <c r="GJ166">
        <v>0</v>
      </c>
      <c r="GK166">
        <f>ROUND(R166*(R12)/100,2)</f>
        <v>0</v>
      </c>
      <c r="GL166">
        <f t="shared" ref="GL166:GL199" si="194">ROUND(IF(AND(BH166=3,BI166=3,FS166&lt;&gt;0),P166,0),2)</f>
        <v>0</v>
      </c>
      <c r="GM166">
        <f t="shared" ref="GM166:GM199" si="195">ROUND(O166+X166+Y166+GK166,2)+GX166</f>
        <v>202.36</v>
      </c>
      <c r="GN166">
        <f t="shared" ref="GN166:GN199" si="196">IF(OR(BI166=0,BI166=1),ROUND(O166+X166+Y166+GK166,2),0)</f>
        <v>202.36</v>
      </c>
      <c r="GO166">
        <f t="shared" ref="GO166:GO199" si="197">IF(BI166=2,ROUND(O166+X166+Y166+GK166,2),0)</f>
        <v>0</v>
      </c>
      <c r="GP166">
        <f t="shared" ref="GP166:GP199" si="198">IF(BI166=4,ROUND(O166+X166+Y166+GK166,2)+GX166,0)</f>
        <v>0</v>
      </c>
      <c r="GR166">
        <v>0</v>
      </c>
      <c r="GS166">
        <v>3</v>
      </c>
      <c r="GT166">
        <v>0</v>
      </c>
      <c r="GU166" t="s">
        <v>6</v>
      </c>
      <c r="GV166">
        <f t="shared" ref="GV166:GV199" si="199">ROUND((GT166),2)</f>
        <v>0</v>
      </c>
      <c r="GW166">
        <v>1</v>
      </c>
      <c r="GX166">
        <f t="shared" ref="GX166:GX199" si="200">ROUND(HC166*I166,2)</f>
        <v>0</v>
      </c>
      <c r="HA166">
        <v>0</v>
      </c>
      <c r="HB166">
        <v>0</v>
      </c>
      <c r="HC166">
        <f t="shared" ref="HC166:HC199" si="201">GV166*GW166</f>
        <v>0</v>
      </c>
      <c r="IK166">
        <v>0</v>
      </c>
    </row>
    <row r="167" spans="1:245" x14ac:dyDescent="0.2">
      <c r="A167">
        <v>17</v>
      </c>
      <c r="B167">
        <v>1</v>
      </c>
      <c r="E167" t="s">
        <v>385</v>
      </c>
      <c r="F167" t="s">
        <v>386</v>
      </c>
      <c r="G167" t="s">
        <v>387</v>
      </c>
      <c r="H167" t="s">
        <v>18</v>
      </c>
      <c r="I167">
        <v>0.14000000000000001</v>
      </c>
      <c r="J167">
        <v>0</v>
      </c>
      <c r="O167">
        <f t="shared" si="168"/>
        <v>43.74</v>
      </c>
      <c r="P167">
        <f t="shared" si="169"/>
        <v>0</v>
      </c>
      <c r="Q167">
        <f t="shared" si="170"/>
        <v>0.08</v>
      </c>
      <c r="R167">
        <f t="shared" si="171"/>
        <v>0.04</v>
      </c>
      <c r="S167">
        <f t="shared" si="172"/>
        <v>43.66</v>
      </c>
      <c r="T167">
        <f t="shared" si="173"/>
        <v>0</v>
      </c>
      <c r="U167">
        <f t="shared" si="174"/>
        <v>0.68418000000000001</v>
      </c>
      <c r="V167">
        <f t="shared" si="175"/>
        <v>4.2000000000000007E-4</v>
      </c>
      <c r="W167">
        <f t="shared" si="176"/>
        <v>0</v>
      </c>
      <c r="X167">
        <f t="shared" si="177"/>
        <v>41.52</v>
      </c>
      <c r="Y167">
        <f t="shared" si="178"/>
        <v>28.41</v>
      </c>
      <c r="AA167">
        <v>16802145</v>
      </c>
      <c r="AB167">
        <f t="shared" si="179"/>
        <v>46.57</v>
      </c>
      <c r="AC167">
        <f>ROUND(((ES167*0)),2)</f>
        <v>0</v>
      </c>
      <c r="AD167">
        <f>ROUND(((((ET167*0.3))-((EU167*0.3)))+AE167),2)</f>
        <v>0.09</v>
      </c>
      <c r="AE167">
        <f>ROUND(((EU167*0.3)),2)</f>
        <v>0.04</v>
      </c>
      <c r="AF167">
        <f>ROUND(((EV167*0.3)),2)</f>
        <v>46.48</v>
      </c>
      <c r="AG167">
        <f t="shared" si="180"/>
        <v>0</v>
      </c>
      <c r="AH167">
        <f>((EW167*0.3))</f>
        <v>4.8869999999999996</v>
      </c>
      <c r="AI167">
        <f>((EX167*0.3))</f>
        <v>3.0000000000000001E-3</v>
      </c>
      <c r="AJ167">
        <f t="shared" si="181"/>
        <v>0</v>
      </c>
      <c r="AK167">
        <v>206.76</v>
      </c>
      <c r="AL167">
        <v>51.53</v>
      </c>
      <c r="AM167">
        <v>0.31</v>
      </c>
      <c r="AN167">
        <v>0.14000000000000001</v>
      </c>
      <c r="AO167">
        <v>154.91999999999999</v>
      </c>
      <c r="AP167">
        <v>0</v>
      </c>
      <c r="AQ167">
        <v>16.29</v>
      </c>
      <c r="AR167">
        <v>0.01</v>
      </c>
      <c r="AS167">
        <v>0</v>
      </c>
      <c r="AT167">
        <v>95</v>
      </c>
      <c r="AU167">
        <v>65</v>
      </c>
      <c r="AV167">
        <v>1</v>
      </c>
      <c r="AW167">
        <v>1</v>
      </c>
      <c r="AZ167">
        <v>6.71</v>
      </c>
      <c r="BA167">
        <v>6.71</v>
      </c>
      <c r="BB167">
        <v>6.71</v>
      </c>
      <c r="BC167">
        <v>6.71</v>
      </c>
      <c r="BD167" t="s">
        <v>6</v>
      </c>
      <c r="BE167" t="s">
        <v>6</v>
      </c>
      <c r="BF167" t="s">
        <v>6</v>
      </c>
      <c r="BG167" t="s">
        <v>6</v>
      </c>
      <c r="BH167">
        <v>0</v>
      </c>
      <c r="BI167">
        <v>2</v>
      </c>
      <c r="BJ167" t="s">
        <v>388</v>
      </c>
      <c r="BM167">
        <v>108001</v>
      </c>
      <c r="BN167">
        <v>0</v>
      </c>
      <c r="BO167" t="s">
        <v>6</v>
      </c>
      <c r="BP167">
        <v>0</v>
      </c>
      <c r="BQ167">
        <v>3</v>
      </c>
      <c r="BR167">
        <v>0</v>
      </c>
      <c r="BS167">
        <v>6.71</v>
      </c>
      <c r="BT167">
        <v>1</v>
      </c>
      <c r="BU167">
        <v>1</v>
      </c>
      <c r="BV167">
        <v>1</v>
      </c>
      <c r="BW167">
        <v>1</v>
      </c>
      <c r="BX167">
        <v>1</v>
      </c>
      <c r="BY167" t="s">
        <v>6</v>
      </c>
      <c r="BZ167">
        <v>95</v>
      </c>
      <c r="CA167">
        <v>65</v>
      </c>
      <c r="CE167">
        <v>0</v>
      </c>
      <c r="CF167">
        <v>0</v>
      </c>
      <c r="CG167">
        <v>0</v>
      </c>
      <c r="CM167">
        <v>0</v>
      </c>
      <c r="CN167" t="s">
        <v>961</v>
      </c>
      <c r="CO167">
        <v>0</v>
      </c>
      <c r="CP167">
        <f t="shared" si="182"/>
        <v>43.739999999999995</v>
      </c>
      <c r="CQ167">
        <f t="shared" si="183"/>
        <v>0</v>
      </c>
      <c r="CR167">
        <f t="shared" si="184"/>
        <v>0.60389999999999999</v>
      </c>
      <c r="CS167">
        <f t="shared" si="185"/>
        <v>0.26840000000000003</v>
      </c>
      <c r="CT167">
        <f t="shared" si="186"/>
        <v>311.88079999999997</v>
      </c>
      <c r="CU167">
        <f t="shared" si="187"/>
        <v>0</v>
      </c>
      <c r="CV167">
        <f t="shared" si="188"/>
        <v>4.8869999999999996</v>
      </c>
      <c r="CW167">
        <f t="shared" si="189"/>
        <v>3.0000000000000001E-3</v>
      </c>
      <c r="CX167">
        <f t="shared" si="190"/>
        <v>0</v>
      </c>
      <c r="CY167">
        <f t="shared" si="191"/>
        <v>41.515000000000001</v>
      </c>
      <c r="CZ167">
        <f t="shared" si="192"/>
        <v>28.404999999999994</v>
      </c>
      <c r="DC167" t="s">
        <v>6</v>
      </c>
      <c r="DD167" t="s">
        <v>227</v>
      </c>
      <c r="DE167" t="s">
        <v>389</v>
      </c>
      <c r="DF167" t="s">
        <v>389</v>
      </c>
      <c r="DG167" t="s">
        <v>389</v>
      </c>
      <c r="DH167" t="s">
        <v>6</v>
      </c>
      <c r="DI167" t="s">
        <v>389</v>
      </c>
      <c r="DJ167" t="s">
        <v>389</v>
      </c>
      <c r="DK167" t="s">
        <v>6</v>
      </c>
      <c r="DL167" t="s">
        <v>6</v>
      </c>
      <c r="DM167" t="s">
        <v>6</v>
      </c>
      <c r="DN167">
        <v>0</v>
      </c>
      <c r="DO167">
        <v>0</v>
      </c>
      <c r="DP167">
        <v>1</v>
      </c>
      <c r="DQ167">
        <v>1</v>
      </c>
      <c r="DU167">
        <v>1003</v>
      </c>
      <c r="DV167" t="s">
        <v>18</v>
      </c>
      <c r="DW167" t="s">
        <v>18</v>
      </c>
      <c r="DX167">
        <v>100</v>
      </c>
      <c r="EE167">
        <v>16510370</v>
      </c>
      <c r="EF167">
        <v>3</v>
      </c>
      <c r="EG167" t="s">
        <v>390</v>
      </c>
      <c r="EH167">
        <v>0</v>
      </c>
      <c r="EI167" t="s">
        <v>6</v>
      </c>
      <c r="EJ167">
        <v>2</v>
      </c>
      <c r="EK167">
        <v>108001</v>
      </c>
      <c r="EL167" t="s">
        <v>391</v>
      </c>
      <c r="EM167" t="s">
        <v>392</v>
      </c>
      <c r="EO167" t="s">
        <v>393</v>
      </c>
      <c r="EQ167">
        <v>131072</v>
      </c>
      <c r="ER167">
        <v>206.76</v>
      </c>
      <c r="ES167">
        <v>51.53</v>
      </c>
      <c r="ET167">
        <v>0.31</v>
      </c>
      <c r="EU167">
        <v>0.14000000000000001</v>
      </c>
      <c r="EV167">
        <v>154.91999999999999</v>
      </c>
      <c r="EW167">
        <v>16.29</v>
      </c>
      <c r="EX167">
        <v>0.01</v>
      </c>
      <c r="EY167">
        <v>0</v>
      </c>
      <c r="FQ167">
        <v>0</v>
      </c>
      <c r="FR167">
        <f t="shared" si="193"/>
        <v>0</v>
      </c>
      <c r="FS167">
        <v>0</v>
      </c>
      <c r="FX167">
        <v>95</v>
      </c>
      <c r="FY167">
        <v>65</v>
      </c>
      <c r="GA167" t="s">
        <v>6</v>
      </c>
      <c r="GD167">
        <v>0</v>
      </c>
      <c r="GF167">
        <v>-1492961803</v>
      </c>
      <c r="GG167">
        <v>1</v>
      </c>
      <c r="GH167">
        <v>1</v>
      </c>
      <c r="GI167">
        <v>4</v>
      </c>
      <c r="GJ167">
        <v>0</v>
      </c>
      <c r="GK167">
        <f>ROUND(R167*(R12)/100,2)</f>
        <v>0</v>
      </c>
      <c r="GL167">
        <f t="shared" si="194"/>
        <v>0</v>
      </c>
      <c r="GM167">
        <f t="shared" si="195"/>
        <v>113.67</v>
      </c>
      <c r="GN167">
        <f t="shared" si="196"/>
        <v>0</v>
      </c>
      <c r="GO167">
        <f t="shared" si="197"/>
        <v>113.67</v>
      </c>
      <c r="GP167">
        <f t="shared" si="198"/>
        <v>0</v>
      </c>
      <c r="GR167">
        <v>0</v>
      </c>
      <c r="GS167">
        <v>3</v>
      </c>
      <c r="GT167">
        <v>0</v>
      </c>
      <c r="GU167" t="s">
        <v>6</v>
      </c>
      <c r="GV167">
        <f t="shared" si="199"/>
        <v>0</v>
      </c>
      <c r="GW167">
        <v>1</v>
      </c>
      <c r="GX167">
        <f t="shared" si="200"/>
        <v>0</v>
      </c>
      <c r="HA167">
        <v>0</v>
      </c>
      <c r="HB167">
        <v>0</v>
      </c>
      <c r="HC167">
        <f t="shared" si="201"/>
        <v>0</v>
      </c>
      <c r="IK167">
        <v>0</v>
      </c>
    </row>
    <row r="168" spans="1:245" x14ac:dyDescent="0.2">
      <c r="A168">
        <v>17</v>
      </c>
      <c r="B168">
        <v>1</v>
      </c>
      <c r="C168">
        <f>ROW(SmtRes!A191)</f>
        <v>191</v>
      </c>
      <c r="D168">
        <f>ROW(EtalonRes!A190)</f>
        <v>190</v>
      </c>
      <c r="E168" t="s">
        <v>394</v>
      </c>
      <c r="F168" t="s">
        <v>395</v>
      </c>
      <c r="G168" t="s">
        <v>396</v>
      </c>
      <c r="H168" t="s">
        <v>35</v>
      </c>
      <c r="I168">
        <f>ROUND(76/100,9)</f>
        <v>0.76</v>
      </c>
      <c r="J168">
        <v>0</v>
      </c>
      <c r="O168">
        <f t="shared" si="168"/>
        <v>5431.23</v>
      </c>
      <c r="P168">
        <f t="shared" si="169"/>
        <v>0</v>
      </c>
      <c r="Q168">
        <f t="shared" si="170"/>
        <v>190.32</v>
      </c>
      <c r="R168">
        <f t="shared" si="171"/>
        <v>26.87</v>
      </c>
      <c r="S168">
        <f t="shared" si="172"/>
        <v>5240.91</v>
      </c>
      <c r="T168">
        <f t="shared" si="173"/>
        <v>0</v>
      </c>
      <c r="U168">
        <f t="shared" si="174"/>
        <v>78.73599999999999</v>
      </c>
      <c r="V168">
        <f t="shared" si="175"/>
        <v>0.31919999999999998</v>
      </c>
      <c r="W168">
        <f t="shared" si="176"/>
        <v>0</v>
      </c>
      <c r="X168">
        <f t="shared" si="177"/>
        <v>5004.3900000000003</v>
      </c>
      <c r="Y168">
        <f t="shared" si="178"/>
        <v>3424.06</v>
      </c>
      <c r="AA168">
        <v>16802145</v>
      </c>
      <c r="AB168">
        <f t="shared" si="179"/>
        <v>1065.03</v>
      </c>
      <c r="AC168">
        <f>ROUND(((ES168*0)),2)</f>
        <v>0</v>
      </c>
      <c r="AD168">
        <f>ROUND(((((ET168*0.7))-((EU168*0.7)))+AE168),2)</f>
        <v>37.32</v>
      </c>
      <c r="AE168">
        <f>ROUND(((EU168*0.7)),2)</f>
        <v>5.27</v>
      </c>
      <c r="AF168">
        <f>ROUND(((EV168*0.7)),2)</f>
        <v>1027.71</v>
      </c>
      <c r="AG168">
        <f t="shared" si="180"/>
        <v>0</v>
      </c>
      <c r="AH168">
        <f>((EW168*0.7))</f>
        <v>103.6</v>
      </c>
      <c r="AI168">
        <f>((EX168*0.7))</f>
        <v>0.42</v>
      </c>
      <c r="AJ168">
        <f t="shared" si="181"/>
        <v>0</v>
      </c>
      <c r="AK168">
        <v>1663.44</v>
      </c>
      <c r="AL168">
        <v>141.97</v>
      </c>
      <c r="AM168">
        <v>53.31</v>
      </c>
      <c r="AN168">
        <v>7.53</v>
      </c>
      <c r="AO168">
        <v>1468.16</v>
      </c>
      <c r="AP168">
        <v>0</v>
      </c>
      <c r="AQ168">
        <v>148</v>
      </c>
      <c r="AR168">
        <v>0.6</v>
      </c>
      <c r="AS168">
        <v>0</v>
      </c>
      <c r="AT168">
        <v>95</v>
      </c>
      <c r="AU168">
        <v>65</v>
      </c>
      <c r="AV168">
        <v>1</v>
      </c>
      <c r="AW168">
        <v>1</v>
      </c>
      <c r="AZ168">
        <v>6.71</v>
      </c>
      <c r="BA168">
        <v>6.71</v>
      </c>
      <c r="BB168">
        <v>6.71</v>
      </c>
      <c r="BC168">
        <v>6.71</v>
      </c>
      <c r="BD168" t="s">
        <v>6</v>
      </c>
      <c r="BE168" t="s">
        <v>6</v>
      </c>
      <c r="BF168" t="s">
        <v>6</v>
      </c>
      <c r="BG168" t="s">
        <v>6</v>
      </c>
      <c r="BH168">
        <v>0</v>
      </c>
      <c r="BI168">
        <v>2</v>
      </c>
      <c r="BJ168" t="s">
        <v>397</v>
      </c>
      <c r="BM168">
        <v>108001</v>
      </c>
      <c r="BN168">
        <v>0</v>
      </c>
      <c r="BO168" t="s">
        <v>6</v>
      </c>
      <c r="BP168">
        <v>0</v>
      </c>
      <c r="BQ168">
        <v>3</v>
      </c>
      <c r="BR168">
        <v>0</v>
      </c>
      <c r="BS168">
        <v>6.71</v>
      </c>
      <c r="BT168">
        <v>1</v>
      </c>
      <c r="BU168">
        <v>1</v>
      </c>
      <c r="BV168">
        <v>1</v>
      </c>
      <c r="BW168">
        <v>1</v>
      </c>
      <c r="BX168">
        <v>1</v>
      </c>
      <c r="BY168" t="s">
        <v>6</v>
      </c>
      <c r="BZ168">
        <v>95</v>
      </c>
      <c r="CA168">
        <v>65</v>
      </c>
      <c r="CE168">
        <v>0</v>
      </c>
      <c r="CF168">
        <v>0</v>
      </c>
      <c r="CG168">
        <v>0</v>
      </c>
      <c r="CM168">
        <v>0</v>
      </c>
      <c r="CN168" t="s">
        <v>962</v>
      </c>
      <c r="CO168">
        <v>0</v>
      </c>
      <c r="CP168">
        <f t="shared" si="182"/>
        <v>5431.23</v>
      </c>
      <c r="CQ168">
        <f t="shared" si="183"/>
        <v>0</v>
      </c>
      <c r="CR168">
        <f t="shared" si="184"/>
        <v>250.41720000000001</v>
      </c>
      <c r="CS168">
        <f t="shared" si="185"/>
        <v>35.361699999999999</v>
      </c>
      <c r="CT168">
        <f t="shared" si="186"/>
        <v>6895.9341000000004</v>
      </c>
      <c r="CU168">
        <f t="shared" si="187"/>
        <v>0</v>
      </c>
      <c r="CV168">
        <f t="shared" si="188"/>
        <v>103.6</v>
      </c>
      <c r="CW168">
        <f t="shared" si="189"/>
        <v>0.42</v>
      </c>
      <c r="CX168">
        <f t="shared" si="190"/>
        <v>0</v>
      </c>
      <c r="CY168">
        <f t="shared" si="191"/>
        <v>5004.3909999999996</v>
      </c>
      <c r="CZ168">
        <f t="shared" si="192"/>
        <v>3424.0570000000002</v>
      </c>
      <c r="DC168" t="s">
        <v>6</v>
      </c>
      <c r="DD168" t="s">
        <v>227</v>
      </c>
      <c r="DE168" t="s">
        <v>398</v>
      </c>
      <c r="DF168" t="s">
        <v>398</v>
      </c>
      <c r="DG168" t="s">
        <v>398</v>
      </c>
      <c r="DH168" t="s">
        <v>6</v>
      </c>
      <c r="DI168" t="s">
        <v>398</v>
      </c>
      <c r="DJ168" t="s">
        <v>398</v>
      </c>
      <c r="DK168" t="s">
        <v>6</v>
      </c>
      <c r="DL168" t="s">
        <v>6</v>
      </c>
      <c r="DM168" t="s">
        <v>6</v>
      </c>
      <c r="DN168">
        <v>0</v>
      </c>
      <c r="DO168">
        <v>0</v>
      </c>
      <c r="DP168">
        <v>1</v>
      </c>
      <c r="DQ168">
        <v>1</v>
      </c>
      <c r="DU168">
        <v>1013</v>
      </c>
      <c r="DV168" t="s">
        <v>35</v>
      </c>
      <c r="DW168" t="s">
        <v>35</v>
      </c>
      <c r="DX168">
        <v>1</v>
      </c>
      <c r="EE168">
        <v>16510370</v>
      </c>
      <c r="EF168">
        <v>3</v>
      </c>
      <c r="EG168" t="s">
        <v>390</v>
      </c>
      <c r="EH168">
        <v>0</v>
      </c>
      <c r="EI168" t="s">
        <v>6</v>
      </c>
      <c r="EJ168">
        <v>2</v>
      </c>
      <c r="EK168">
        <v>108001</v>
      </c>
      <c r="EL168" t="s">
        <v>391</v>
      </c>
      <c r="EM168" t="s">
        <v>392</v>
      </c>
      <c r="EO168" t="s">
        <v>399</v>
      </c>
      <c r="EQ168">
        <v>131072</v>
      </c>
      <c r="ER168">
        <v>1663.44</v>
      </c>
      <c r="ES168">
        <v>141.97</v>
      </c>
      <c r="ET168">
        <v>53.31</v>
      </c>
      <c r="EU168">
        <v>7.53</v>
      </c>
      <c r="EV168">
        <v>1468.16</v>
      </c>
      <c r="EW168">
        <v>148</v>
      </c>
      <c r="EX168">
        <v>0.6</v>
      </c>
      <c r="EY168">
        <v>0</v>
      </c>
      <c r="FQ168">
        <v>0</v>
      </c>
      <c r="FR168">
        <f t="shared" si="193"/>
        <v>0</v>
      </c>
      <c r="FS168">
        <v>0</v>
      </c>
      <c r="FX168">
        <v>95</v>
      </c>
      <c r="FY168">
        <v>65</v>
      </c>
      <c r="GA168" t="s">
        <v>6</v>
      </c>
      <c r="GD168">
        <v>0</v>
      </c>
      <c r="GF168">
        <v>-25252168</v>
      </c>
      <c r="GG168">
        <v>1</v>
      </c>
      <c r="GH168">
        <v>1</v>
      </c>
      <c r="GI168">
        <v>4</v>
      </c>
      <c r="GJ168">
        <v>0</v>
      </c>
      <c r="GK168">
        <f>ROUND(R168*(R12)/100,2)</f>
        <v>0</v>
      </c>
      <c r="GL168">
        <f t="shared" si="194"/>
        <v>0</v>
      </c>
      <c r="GM168">
        <f t="shared" si="195"/>
        <v>13859.68</v>
      </c>
      <c r="GN168">
        <f t="shared" si="196"/>
        <v>0</v>
      </c>
      <c r="GO168">
        <f t="shared" si="197"/>
        <v>13859.68</v>
      </c>
      <c r="GP168">
        <f t="shared" si="198"/>
        <v>0</v>
      </c>
      <c r="GR168">
        <v>0</v>
      </c>
      <c r="GS168">
        <v>3</v>
      </c>
      <c r="GT168">
        <v>0</v>
      </c>
      <c r="GU168" t="s">
        <v>6</v>
      </c>
      <c r="GV168">
        <f t="shared" si="199"/>
        <v>0</v>
      </c>
      <c r="GW168">
        <v>1</v>
      </c>
      <c r="GX168">
        <f t="shared" si="200"/>
        <v>0</v>
      </c>
      <c r="HA168">
        <v>0</v>
      </c>
      <c r="HB168">
        <v>0</v>
      </c>
      <c r="HC168">
        <f t="shared" si="201"/>
        <v>0</v>
      </c>
      <c r="IK168">
        <v>0</v>
      </c>
    </row>
    <row r="169" spans="1:245" x14ac:dyDescent="0.2">
      <c r="A169">
        <v>17</v>
      </c>
      <c r="B169">
        <v>1</v>
      </c>
      <c r="C169">
        <f>ROW(SmtRes!A206)</f>
        <v>206</v>
      </c>
      <c r="D169">
        <f>ROW(EtalonRes!A205)</f>
        <v>205</v>
      </c>
      <c r="E169" t="s">
        <v>400</v>
      </c>
      <c r="F169" t="s">
        <v>401</v>
      </c>
      <c r="G169" t="s">
        <v>402</v>
      </c>
      <c r="H169" t="s">
        <v>403</v>
      </c>
      <c r="I169">
        <v>1</v>
      </c>
      <c r="J169">
        <v>0</v>
      </c>
      <c r="O169">
        <f t="shared" si="168"/>
        <v>89.45</v>
      </c>
      <c r="P169">
        <f t="shared" si="169"/>
        <v>0</v>
      </c>
      <c r="Q169">
        <f t="shared" si="170"/>
        <v>2.35</v>
      </c>
      <c r="R169">
        <f t="shared" si="171"/>
        <v>0</v>
      </c>
      <c r="S169">
        <f t="shared" si="172"/>
        <v>87.1</v>
      </c>
      <c r="T169">
        <f t="shared" si="173"/>
        <v>0</v>
      </c>
      <c r="U169">
        <f t="shared" si="174"/>
        <v>1.2539999999999998</v>
      </c>
      <c r="V169">
        <f t="shared" si="175"/>
        <v>0</v>
      </c>
      <c r="W169">
        <f t="shared" si="176"/>
        <v>0</v>
      </c>
      <c r="X169">
        <f t="shared" si="177"/>
        <v>82.75</v>
      </c>
      <c r="Y169">
        <f t="shared" si="178"/>
        <v>56.62</v>
      </c>
      <c r="AA169">
        <v>16802145</v>
      </c>
      <c r="AB169">
        <f t="shared" si="179"/>
        <v>13.33</v>
      </c>
      <c r="AC169">
        <f>ROUND(((ES169*0)),2)</f>
        <v>0</v>
      </c>
      <c r="AD169">
        <f>ROUND(((((ET169*0.6))-((EU169*0.6)))+AE169),2)</f>
        <v>0.35</v>
      </c>
      <c r="AE169">
        <f>ROUND(((EU169*0.6)),2)</f>
        <v>0</v>
      </c>
      <c r="AF169">
        <f>ROUND(((EV169*0.6)),2)</f>
        <v>12.98</v>
      </c>
      <c r="AG169">
        <f t="shared" si="180"/>
        <v>0</v>
      </c>
      <c r="AH169">
        <f>((EW169*0.6))</f>
        <v>1.2539999999999998</v>
      </c>
      <c r="AI169">
        <f>((EX169*0.6))</f>
        <v>0</v>
      </c>
      <c r="AJ169">
        <f t="shared" si="181"/>
        <v>0</v>
      </c>
      <c r="AK169">
        <v>65.78</v>
      </c>
      <c r="AL169">
        <v>43.56</v>
      </c>
      <c r="AM169">
        <v>0.59</v>
      </c>
      <c r="AN169">
        <v>0</v>
      </c>
      <c r="AO169">
        <v>21.63</v>
      </c>
      <c r="AP169">
        <v>0</v>
      </c>
      <c r="AQ169">
        <v>2.09</v>
      </c>
      <c r="AR169">
        <v>0</v>
      </c>
      <c r="AS169">
        <v>0</v>
      </c>
      <c r="AT169">
        <v>95</v>
      </c>
      <c r="AU169">
        <v>65</v>
      </c>
      <c r="AV169">
        <v>1</v>
      </c>
      <c r="AW169">
        <v>1</v>
      </c>
      <c r="AZ169">
        <v>6.71</v>
      </c>
      <c r="BA169">
        <v>6.71</v>
      </c>
      <c r="BB169">
        <v>6.71</v>
      </c>
      <c r="BC169">
        <v>6.71</v>
      </c>
      <c r="BD169" t="s">
        <v>6</v>
      </c>
      <c r="BE169" t="s">
        <v>6</v>
      </c>
      <c r="BF169" t="s">
        <v>6</v>
      </c>
      <c r="BG169" t="s">
        <v>6</v>
      </c>
      <c r="BH169">
        <v>0</v>
      </c>
      <c r="BI169">
        <v>2</v>
      </c>
      <c r="BJ169" t="s">
        <v>404</v>
      </c>
      <c r="BM169">
        <v>108001</v>
      </c>
      <c r="BN169">
        <v>0</v>
      </c>
      <c r="BO169" t="s">
        <v>6</v>
      </c>
      <c r="BP169">
        <v>0</v>
      </c>
      <c r="BQ169">
        <v>3</v>
      </c>
      <c r="BR169">
        <v>0</v>
      </c>
      <c r="BS169">
        <v>6.71</v>
      </c>
      <c r="BT169">
        <v>1</v>
      </c>
      <c r="BU169">
        <v>1</v>
      </c>
      <c r="BV169">
        <v>1</v>
      </c>
      <c r="BW169">
        <v>1</v>
      </c>
      <c r="BX169">
        <v>1</v>
      </c>
      <c r="BY169" t="s">
        <v>6</v>
      </c>
      <c r="BZ169">
        <v>95</v>
      </c>
      <c r="CA169">
        <v>65</v>
      </c>
      <c r="CE169">
        <v>0</v>
      </c>
      <c r="CF169">
        <v>0</v>
      </c>
      <c r="CG169">
        <v>0</v>
      </c>
      <c r="CM169">
        <v>0</v>
      </c>
      <c r="CN169" t="s">
        <v>963</v>
      </c>
      <c r="CO169">
        <v>0</v>
      </c>
      <c r="CP169">
        <f t="shared" si="182"/>
        <v>89.449999999999989</v>
      </c>
      <c r="CQ169">
        <f t="shared" si="183"/>
        <v>0</v>
      </c>
      <c r="CR169">
        <f t="shared" si="184"/>
        <v>2.3485</v>
      </c>
      <c r="CS169">
        <f t="shared" si="185"/>
        <v>0</v>
      </c>
      <c r="CT169">
        <f t="shared" si="186"/>
        <v>87.095799999999997</v>
      </c>
      <c r="CU169">
        <f t="shared" si="187"/>
        <v>0</v>
      </c>
      <c r="CV169">
        <f t="shared" si="188"/>
        <v>1.2539999999999998</v>
      </c>
      <c r="CW169">
        <f t="shared" si="189"/>
        <v>0</v>
      </c>
      <c r="CX169">
        <f t="shared" si="190"/>
        <v>0</v>
      </c>
      <c r="CY169">
        <f t="shared" si="191"/>
        <v>82.745000000000005</v>
      </c>
      <c r="CZ169">
        <f t="shared" si="192"/>
        <v>56.615000000000002</v>
      </c>
      <c r="DC169" t="s">
        <v>6</v>
      </c>
      <c r="DD169" t="s">
        <v>227</v>
      </c>
      <c r="DE169" t="s">
        <v>405</v>
      </c>
      <c r="DF169" t="s">
        <v>405</v>
      </c>
      <c r="DG169" t="s">
        <v>405</v>
      </c>
      <c r="DH169" t="s">
        <v>6</v>
      </c>
      <c r="DI169" t="s">
        <v>405</v>
      </c>
      <c r="DJ169" t="s">
        <v>405</v>
      </c>
      <c r="DK169" t="s">
        <v>6</v>
      </c>
      <c r="DL169" t="s">
        <v>6</v>
      </c>
      <c r="DM169" t="s">
        <v>6</v>
      </c>
      <c r="DN169">
        <v>0</v>
      </c>
      <c r="DO169">
        <v>0</v>
      </c>
      <c r="DP169">
        <v>1</v>
      </c>
      <c r="DQ169">
        <v>1</v>
      </c>
      <c r="DU169">
        <v>1013</v>
      </c>
      <c r="DV169" t="s">
        <v>403</v>
      </c>
      <c r="DW169" t="s">
        <v>403</v>
      </c>
      <c r="DX169">
        <v>1</v>
      </c>
      <c r="EE169">
        <v>16510370</v>
      </c>
      <c r="EF169">
        <v>3</v>
      </c>
      <c r="EG169" t="s">
        <v>390</v>
      </c>
      <c r="EH169">
        <v>0</v>
      </c>
      <c r="EI169" t="s">
        <v>6</v>
      </c>
      <c r="EJ169">
        <v>2</v>
      </c>
      <c r="EK169">
        <v>108001</v>
      </c>
      <c r="EL169" t="s">
        <v>391</v>
      </c>
      <c r="EM169" t="s">
        <v>392</v>
      </c>
      <c r="EO169" t="s">
        <v>406</v>
      </c>
      <c r="EQ169">
        <v>131072</v>
      </c>
      <c r="ER169">
        <v>65.78</v>
      </c>
      <c r="ES169">
        <v>43.56</v>
      </c>
      <c r="ET169">
        <v>0.59</v>
      </c>
      <c r="EU169">
        <v>0</v>
      </c>
      <c r="EV169">
        <v>21.63</v>
      </c>
      <c r="EW169">
        <v>2.09</v>
      </c>
      <c r="EX169">
        <v>0</v>
      </c>
      <c r="EY169">
        <v>0</v>
      </c>
      <c r="FQ169">
        <v>0</v>
      </c>
      <c r="FR169">
        <f t="shared" si="193"/>
        <v>0</v>
      </c>
      <c r="FS169">
        <v>0</v>
      </c>
      <c r="FX169">
        <v>95</v>
      </c>
      <c r="FY169">
        <v>65</v>
      </c>
      <c r="GA169" t="s">
        <v>6</v>
      </c>
      <c r="GD169">
        <v>0</v>
      </c>
      <c r="GF169">
        <v>1485652313</v>
      </c>
      <c r="GG169">
        <v>1</v>
      </c>
      <c r="GH169">
        <v>1</v>
      </c>
      <c r="GI169">
        <v>4</v>
      </c>
      <c r="GJ169">
        <v>0</v>
      </c>
      <c r="GK169">
        <f>ROUND(R169*(R12)/100,2)</f>
        <v>0</v>
      </c>
      <c r="GL169">
        <f t="shared" si="194"/>
        <v>0</v>
      </c>
      <c r="GM169">
        <f t="shared" si="195"/>
        <v>228.82</v>
      </c>
      <c r="GN169">
        <f t="shared" si="196"/>
        <v>0</v>
      </c>
      <c r="GO169">
        <f t="shared" si="197"/>
        <v>228.82</v>
      </c>
      <c r="GP169">
        <f t="shared" si="198"/>
        <v>0</v>
      </c>
      <c r="GR169">
        <v>0</v>
      </c>
      <c r="GS169">
        <v>3</v>
      </c>
      <c r="GT169">
        <v>0</v>
      </c>
      <c r="GU169" t="s">
        <v>6</v>
      </c>
      <c r="GV169">
        <f t="shared" si="199"/>
        <v>0</v>
      </c>
      <c r="GW169">
        <v>1</v>
      </c>
      <c r="GX169">
        <f t="shared" si="200"/>
        <v>0</v>
      </c>
      <c r="HA169">
        <v>0</v>
      </c>
      <c r="HB169">
        <v>0</v>
      </c>
      <c r="HC169">
        <f t="shared" si="201"/>
        <v>0</v>
      </c>
      <c r="IK169">
        <v>0</v>
      </c>
    </row>
    <row r="170" spans="1:245" x14ac:dyDescent="0.2">
      <c r="A170">
        <v>17</v>
      </c>
      <c r="B170">
        <v>1</v>
      </c>
      <c r="C170">
        <f>ROW(SmtRes!A221)</f>
        <v>221</v>
      </c>
      <c r="D170">
        <f>ROW(EtalonRes!A220)</f>
        <v>220</v>
      </c>
      <c r="E170" t="s">
        <v>407</v>
      </c>
      <c r="F170" t="s">
        <v>401</v>
      </c>
      <c r="G170" t="s">
        <v>408</v>
      </c>
      <c r="H170" t="s">
        <v>403</v>
      </c>
      <c r="I170">
        <v>1</v>
      </c>
      <c r="J170">
        <v>0</v>
      </c>
      <c r="O170">
        <f t="shared" si="168"/>
        <v>441.39</v>
      </c>
      <c r="P170">
        <f t="shared" si="169"/>
        <v>292.29000000000002</v>
      </c>
      <c r="Q170">
        <f t="shared" si="170"/>
        <v>3.96</v>
      </c>
      <c r="R170">
        <f t="shared" si="171"/>
        <v>0</v>
      </c>
      <c r="S170">
        <f t="shared" si="172"/>
        <v>145.13999999999999</v>
      </c>
      <c r="T170">
        <f t="shared" si="173"/>
        <v>0</v>
      </c>
      <c r="U170">
        <f t="shared" si="174"/>
        <v>2.09</v>
      </c>
      <c r="V170">
        <f t="shared" si="175"/>
        <v>0</v>
      </c>
      <c r="W170">
        <f t="shared" si="176"/>
        <v>0</v>
      </c>
      <c r="X170">
        <f t="shared" si="177"/>
        <v>137.88</v>
      </c>
      <c r="Y170">
        <f t="shared" si="178"/>
        <v>94.34</v>
      </c>
      <c r="AA170">
        <v>16802145</v>
      </c>
      <c r="AB170">
        <f t="shared" si="179"/>
        <v>65.78</v>
      </c>
      <c r="AC170">
        <f t="shared" ref="AC170:AC199" si="202">ROUND((ES170),2)</f>
        <v>43.56</v>
      </c>
      <c r="AD170">
        <f t="shared" ref="AD170:AD199" si="203">ROUND((((ET170)-(EU170))+AE170),2)</f>
        <v>0.59</v>
      </c>
      <c r="AE170">
        <f t="shared" ref="AE170:AE199" si="204">ROUND((EU170),2)</f>
        <v>0</v>
      </c>
      <c r="AF170">
        <f t="shared" ref="AF170:AF199" si="205">ROUND((EV170),2)</f>
        <v>21.63</v>
      </c>
      <c r="AG170">
        <f t="shared" si="180"/>
        <v>0</v>
      </c>
      <c r="AH170">
        <f t="shared" ref="AH170:AH199" si="206">(EW170)</f>
        <v>2.09</v>
      </c>
      <c r="AI170">
        <f t="shared" ref="AI170:AI199" si="207">(EX170)</f>
        <v>0</v>
      </c>
      <c r="AJ170">
        <f t="shared" si="181"/>
        <v>0</v>
      </c>
      <c r="AK170">
        <v>65.78</v>
      </c>
      <c r="AL170">
        <v>43.56</v>
      </c>
      <c r="AM170">
        <v>0.59</v>
      </c>
      <c r="AN170">
        <v>0</v>
      </c>
      <c r="AO170">
        <v>21.63</v>
      </c>
      <c r="AP170">
        <v>0</v>
      </c>
      <c r="AQ170">
        <v>2.09</v>
      </c>
      <c r="AR170">
        <v>0</v>
      </c>
      <c r="AS170">
        <v>0</v>
      </c>
      <c r="AT170">
        <v>95</v>
      </c>
      <c r="AU170">
        <v>65</v>
      </c>
      <c r="AV170">
        <v>1</v>
      </c>
      <c r="AW170">
        <v>1</v>
      </c>
      <c r="AZ170">
        <v>6.71</v>
      </c>
      <c r="BA170">
        <v>6.71</v>
      </c>
      <c r="BB170">
        <v>6.71</v>
      </c>
      <c r="BC170">
        <v>6.71</v>
      </c>
      <c r="BD170" t="s">
        <v>6</v>
      </c>
      <c r="BE170" t="s">
        <v>6</v>
      </c>
      <c r="BF170" t="s">
        <v>6</v>
      </c>
      <c r="BG170" t="s">
        <v>6</v>
      </c>
      <c r="BH170">
        <v>0</v>
      </c>
      <c r="BI170">
        <v>2</v>
      </c>
      <c r="BJ170" t="s">
        <v>404</v>
      </c>
      <c r="BM170">
        <v>108001</v>
      </c>
      <c r="BN170">
        <v>0</v>
      </c>
      <c r="BO170" t="s">
        <v>6</v>
      </c>
      <c r="BP170">
        <v>0</v>
      </c>
      <c r="BQ170">
        <v>3</v>
      </c>
      <c r="BR170">
        <v>0</v>
      </c>
      <c r="BS170">
        <v>6.71</v>
      </c>
      <c r="BT170">
        <v>1</v>
      </c>
      <c r="BU170">
        <v>1</v>
      </c>
      <c r="BV170">
        <v>1</v>
      </c>
      <c r="BW170">
        <v>1</v>
      </c>
      <c r="BX170">
        <v>1</v>
      </c>
      <c r="BY170" t="s">
        <v>6</v>
      </c>
      <c r="BZ170">
        <v>95</v>
      </c>
      <c r="CA170">
        <v>65</v>
      </c>
      <c r="CE170">
        <v>0</v>
      </c>
      <c r="CF170">
        <v>0</v>
      </c>
      <c r="CG170">
        <v>0</v>
      </c>
      <c r="CM170">
        <v>0</v>
      </c>
      <c r="CN170" t="s">
        <v>6</v>
      </c>
      <c r="CO170">
        <v>0</v>
      </c>
      <c r="CP170">
        <f t="shared" si="182"/>
        <v>441.39</v>
      </c>
      <c r="CQ170">
        <f t="shared" si="183"/>
        <v>292.2876</v>
      </c>
      <c r="CR170">
        <f t="shared" si="184"/>
        <v>3.9588999999999999</v>
      </c>
      <c r="CS170">
        <f t="shared" si="185"/>
        <v>0</v>
      </c>
      <c r="CT170">
        <f t="shared" si="186"/>
        <v>145.13729999999998</v>
      </c>
      <c r="CU170">
        <f t="shared" si="187"/>
        <v>0</v>
      </c>
      <c r="CV170">
        <f t="shared" si="188"/>
        <v>2.09</v>
      </c>
      <c r="CW170">
        <f t="shared" si="189"/>
        <v>0</v>
      </c>
      <c r="CX170">
        <f t="shared" si="190"/>
        <v>0</v>
      </c>
      <c r="CY170">
        <f t="shared" si="191"/>
        <v>137.88299999999998</v>
      </c>
      <c r="CZ170">
        <f t="shared" si="192"/>
        <v>94.34099999999998</v>
      </c>
      <c r="DC170" t="s">
        <v>6</v>
      </c>
      <c r="DD170" t="s">
        <v>6</v>
      </c>
      <c r="DE170" t="s">
        <v>6</v>
      </c>
      <c r="DF170" t="s">
        <v>6</v>
      </c>
      <c r="DG170" t="s">
        <v>6</v>
      </c>
      <c r="DH170" t="s">
        <v>6</v>
      </c>
      <c r="DI170" t="s">
        <v>6</v>
      </c>
      <c r="DJ170" t="s">
        <v>6</v>
      </c>
      <c r="DK170" t="s">
        <v>6</v>
      </c>
      <c r="DL170" t="s">
        <v>6</v>
      </c>
      <c r="DM170" t="s">
        <v>6</v>
      </c>
      <c r="DN170">
        <v>0</v>
      </c>
      <c r="DO170">
        <v>0</v>
      </c>
      <c r="DP170">
        <v>1</v>
      </c>
      <c r="DQ170">
        <v>1</v>
      </c>
      <c r="DU170">
        <v>1013</v>
      </c>
      <c r="DV170" t="s">
        <v>403</v>
      </c>
      <c r="DW170" t="s">
        <v>403</v>
      </c>
      <c r="DX170">
        <v>1</v>
      </c>
      <c r="EE170">
        <v>16510370</v>
      </c>
      <c r="EF170">
        <v>3</v>
      </c>
      <c r="EG170" t="s">
        <v>390</v>
      </c>
      <c r="EH170">
        <v>0</v>
      </c>
      <c r="EI170" t="s">
        <v>6</v>
      </c>
      <c r="EJ170">
        <v>2</v>
      </c>
      <c r="EK170">
        <v>108001</v>
      </c>
      <c r="EL170" t="s">
        <v>391</v>
      </c>
      <c r="EM170" t="s">
        <v>392</v>
      </c>
      <c r="EO170" t="s">
        <v>6</v>
      </c>
      <c r="EQ170">
        <v>131072</v>
      </c>
      <c r="ER170">
        <v>65.78</v>
      </c>
      <c r="ES170">
        <v>43.56</v>
      </c>
      <c r="ET170">
        <v>0.59</v>
      </c>
      <c r="EU170">
        <v>0</v>
      </c>
      <c r="EV170">
        <v>21.63</v>
      </c>
      <c r="EW170">
        <v>2.09</v>
      </c>
      <c r="EX170">
        <v>0</v>
      </c>
      <c r="EY170">
        <v>0</v>
      </c>
      <c r="FQ170">
        <v>0</v>
      </c>
      <c r="FR170">
        <f t="shared" si="193"/>
        <v>0</v>
      </c>
      <c r="FS170">
        <v>0</v>
      </c>
      <c r="FX170">
        <v>95</v>
      </c>
      <c r="FY170">
        <v>65</v>
      </c>
      <c r="GA170" t="s">
        <v>6</v>
      </c>
      <c r="GD170">
        <v>0</v>
      </c>
      <c r="GF170">
        <v>-1096160851</v>
      </c>
      <c r="GG170">
        <v>1</v>
      </c>
      <c r="GH170">
        <v>1</v>
      </c>
      <c r="GI170">
        <v>4</v>
      </c>
      <c r="GJ170">
        <v>0</v>
      </c>
      <c r="GK170">
        <f>ROUND(R170*(R12)/100,2)</f>
        <v>0</v>
      </c>
      <c r="GL170">
        <f t="shared" si="194"/>
        <v>0</v>
      </c>
      <c r="GM170">
        <f t="shared" si="195"/>
        <v>673.61</v>
      </c>
      <c r="GN170">
        <f t="shared" si="196"/>
        <v>0</v>
      </c>
      <c r="GO170">
        <f t="shared" si="197"/>
        <v>673.61</v>
      </c>
      <c r="GP170">
        <f t="shared" si="198"/>
        <v>0</v>
      </c>
      <c r="GR170">
        <v>0</v>
      </c>
      <c r="GS170">
        <v>3</v>
      </c>
      <c r="GT170">
        <v>0</v>
      </c>
      <c r="GU170" t="s">
        <v>6</v>
      </c>
      <c r="GV170">
        <f t="shared" si="199"/>
        <v>0</v>
      </c>
      <c r="GW170">
        <v>1</v>
      </c>
      <c r="GX170">
        <f t="shared" si="200"/>
        <v>0</v>
      </c>
      <c r="HA170">
        <v>0</v>
      </c>
      <c r="HB170">
        <v>0</v>
      </c>
      <c r="HC170">
        <f t="shared" si="201"/>
        <v>0</v>
      </c>
      <c r="IK170">
        <v>0</v>
      </c>
    </row>
    <row r="171" spans="1:245" x14ac:dyDescent="0.2">
      <c r="A171">
        <v>17</v>
      </c>
      <c r="B171">
        <v>1</v>
      </c>
      <c r="E171" t="s">
        <v>409</v>
      </c>
      <c r="F171" t="s">
        <v>410</v>
      </c>
      <c r="G171" t="s">
        <v>411</v>
      </c>
      <c r="H171" t="s">
        <v>35</v>
      </c>
      <c r="I171">
        <f>ROUND(22/100,9)</f>
        <v>0.22</v>
      </c>
      <c r="J171">
        <v>0</v>
      </c>
      <c r="O171">
        <f t="shared" si="168"/>
        <v>67.239999999999995</v>
      </c>
      <c r="P171">
        <f t="shared" si="169"/>
        <v>0</v>
      </c>
      <c r="Q171">
        <f t="shared" si="170"/>
        <v>0</v>
      </c>
      <c r="R171">
        <f t="shared" si="171"/>
        <v>0</v>
      </c>
      <c r="S171">
        <f t="shared" si="172"/>
        <v>67.239999999999995</v>
      </c>
      <c r="T171">
        <f t="shared" si="173"/>
        <v>0</v>
      </c>
      <c r="U171">
        <f t="shared" si="174"/>
        <v>1.2847999999999999</v>
      </c>
      <c r="V171">
        <f t="shared" si="175"/>
        <v>0</v>
      </c>
      <c r="W171">
        <f t="shared" si="176"/>
        <v>0</v>
      </c>
      <c r="X171">
        <f t="shared" si="177"/>
        <v>57.15</v>
      </c>
      <c r="Y171">
        <f t="shared" si="178"/>
        <v>43.71</v>
      </c>
      <c r="AA171">
        <v>16802145</v>
      </c>
      <c r="AB171">
        <f t="shared" si="179"/>
        <v>45.55</v>
      </c>
      <c r="AC171">
        <f t="shared" si="202"/>
        <v>0</v>
      </c>
      <c r="AD171">
        <f t="shared" si="203"/>
        <v>0</v>
      </c>
      <c r="AE171">
        <f t="shared" si="204"/>
        <v>0</v>
      </c>
      <c r="AF171">
        <f t="shared" si="205"/>
        <v>45.55</v>
      </c>
      <c r="AG171">
        <f t="shared" si="180"/>
        <v>0</v>
      </c>
      <c r="AH171">
        <f t="shared" si="206"/>
        <v>5.84</v>
      </c>
      <c r="AI171">
        <f t="shared" si="207"/>
        <v>0</v>
      </c>
      <c r="AJ171">
        <f t="shared" si="181"/>
        <v>0</v>
      </c>
      <c r="AK171">
        <v>45.55</v>
      </c>
      <c r="AL171">
        <v>0</v>
      </c>
      <c r="AM171">
        <v>0</v>
      </c>
      <c r="AN171">
        <v>0</v>
      </c>
      <c r="AO171">
        <v>45.55</v>
      </c>
      <c r="AP171">
        <v>0</v>
      </c>
      <c r="AQ171">
        <v>5.84</v>
      </c>
      <c r="AR171">
        <v>0</v>
      </c>
      <c r="AS171">
        <v>0</v>
      </c>
      <c r="AT171">
        <v>85</v>
      </c>
      <c r="AU171">
        <v>65</v>
      </c>
      <c r="AV171">
        <v>1</v>
      </c>
      <c r="AW171">
        <v>1</v>
      </c>
      <c r="AZ171">
        <v>6.71</v>
      </c>
      <c r="BA171">
        <v>6.71</v>
      </c>
      <c r="BB171">
        <v>6.71</v>
      </c>
      <c r="BC171">
        <v>6.71</v>
      </c>
      <c r="BD171" t="s">
        <v>6</v>
      </c>
      <c r="BE171" t="s">
        <v>6</v>
      </c>
      <c r="BF171" t="s">
        <v>6</v>
      </c>
      <c r="BG171" t="s">
        <v>6</v>
      </c>
      <c r="BH171">
        <v>0</v>
      </c>
      <c r="BI171">
        <v>1</v>
      </c>
      <c r="BJ171" t="s">
        <v>412</v>
      </c>
      <c r="BM171">
        <v>67001</v>
      </c>
      <c r="BN171">
        <v>0</v>
      </c>
      <c r="BO171" t="s">
        <v>6</v>
      </c>
      <c r="BP171">
        <v>0</v>
      </c>
      <c r="BQ171">
        <v>6</v>
      </c>
      <c r="BR171">
        <v>0</v>
      </c>
      <c r="BS171">
        <v>6.71</v>
      </c>
      <c r="BT171">
        <v>1</v>
      </c>
      <c r="BU171">
        <v>1</v>
      </c>
      <c r="BV171">
        <v>1</v>
      </c>
      <c r="BW171">
        <v>1</v>
      </c>
      <c r="BX171">
        <v>1</v>
      </c>
      <c r="BY171" t="s">
        <v>6</v>
      </c>
      <c r="BZ171">
        <v>85</v>
      </c>
      <c r="CA171">
        <v>65</v>
      </c>
      <c r="CE171">
        <v>0</v>
      </c>
      <c r="CF171">
        <v>0</v>
      </c>
      <c r="CG171">
        <v>0</v>
      </c>
      <c r="CM171">
        <v>0</v>
      </c>
      <c r="CN171" t="s">
        <v>6</v>
      </c>
      <c r="CO171">
        <v>0</v>
      </c>
      <c r="CP171">
        <f t="shared" si="182"/>
        <v>67.239999999999995</v>
      </c>
      <c r="CQ171">
        <f t="shared" si="183"/>
        <v>0</v>
      </c>
      <c r="CR171">
        <f t="shared" si="184"/>
        <v>0</v>
      </c>
      <c r="CS171">
        <f t="shared" si="185"/>
        <v>0</v>
      </c>
      <c r="CT171">
        <f t="shared" si="186"/>
        <v>305.64049999999997</v>
      </c>
      <c r="CU171">
        <f t="shared" si="187"/>
        <v>0</v>
      </c>
      <c r="CV171">
        <f t="shared" si="188"/>
        <v>5.84</v>
      </c>
      <c r="CW171">
        <f t="shared" si="189"/>
        <v>0</v>
      </c>
      <c r="CX171">
        <f t="shared" si="190"/>
        <v>0</v>
      </c>
      <c r="CY171">
        <f t="shared" si="191"/>
        <v>57.153999999999996</v>
      </c>
      <c r="CZ171">
        <f t="shared" si="192"/>
        <v>43.705999999999996</v>
      </c>
      <c r="DC171" t="s">
        <v>6</v>
      </c>
      <c r="DD171" t="s">
        <v>6</v>
      </c>
      <c r="DE171" t="s">
        <v>6</v>
      </c>
      <c r="DF171" t="s">
        <v>6</v>
      </c>
      <c r="DG171" t="s">
        <v>6</v>
      </c>
      <c r="DH171" t="s">
        <v>6</v>
      </c>
      <c r="DI171" t="s">
        <v>6</v>
      </c>
      <c r="DJ171" t="s">
        <v>6</v>
      </c>
      <c r="DK171" t="s">
        <v>6</v>
      </c>
      <c r="DL171" t="s">
        <v>6</v>
      </c>
      <c r="DM171" t="s">
        <v>6</v>
      </c>
      <c r="DN171">
        <v>0</v>
      </c>
      <c r="DO171">
        <v>0</v>
      </c>
      <c r="DP171">
        <v>1</v>
      </c>
      <c r="DQ171">
        <v>1</v>
      </c>
      <c r="DU171">
        <v>1013</v>
      </c>
      <c r="DV171" t="s">
        <v>35</v>
      </c>
      <c r="DW171" t="s">
        <v>35</v>
      </c>
      <c r="DX171">
        <v>1</v>
      </c>
      <c r="EE171">
        <v>16510612</v>
      </c>
      <c r="EF171">
        <v>6</v>
      </c>
      <c r="EG171" t="s">
        <v>20</v>
      </c>
      <c r="EH171">
        <v>0</v>
      </c>
      <c r="EI171" t="s">
        <v>6</v>
      </c>
      <c r="EJ171">
        <v>1</v>
      </c>
      <c r="EK171">
        <v>67001</v>
      </c>
      <c r="EL171" t="s">
        <v>383</v>
      </c>
      <c r="EM171" t="s">
        <v>384</v>
      </c>
      <c r="EO171" t="s">
        <v>6</v>
      </c>
      <c r="EQ171">
        <v>131072</v>
      </c>
      <c r="ER171">
        <v>45.55</v>
      </c>
      <c r="ES171">
        <v>0</v>
      </c>
      <c r="ET171">
        <v>0</v>
      </c>
      <c r="EU171">
        <v>0</v>
      </c>
      <c r="EV171">
        <v>45.55</v>
      </c>
      <c r="EW171">
        <v>5.84</v>
      </c>
      <c r="EX171">
        <v>0</v>
      </c>
      <c r="EY171">
        <v>0</v>
      </c>
      <c r="FQ171">
        <v>0</v>
      </c>
      <c r="FR171">
        <f t="shared" si="193"/>
        <v>0</v>
      </c>
      <c r="FS171">
        <v>0</v>
      </c>
      <c r="FX171">
        <v>85</v>
      </c>
      <c r="FY171">
        <v>65</v>
      </c>
      <c r="GA171" t="s">
        <v>6</v>
      </c>
      <c r="GD171">
        <v>0</v>
      </c>
      <c r="GF171">
        <v>-364073208</v>
      </c>
      <c r="GG171">
        <v>1</v>
      </c>
      <c r="GH171">
        <v>1</v>
      </c>
      <c r="GI171">
        <v>4</v>
      </c>
      <c r="GJ171">
        <v>0</v>
      </c>
      <c r="GK171">
        <f>ROUND(R171*(R12)/100,2)</f>
        <v>0</v>
      </c>
      <c r="GL171">
        <f t="shared" si="194"/>
        <v>0</v>
      </c>
      <c r="GM171">
        <f t="shared" si="195"/>
        <v>168.1</v>
      </c>
      <c r="GN171">
        <f t="shared" si="196"/>
        <v>168.1</v>
      </c>
      <c r="GO171">
        <f t="shared" si="197"/>
        <v>0</v>
      </c>
      <c r="GP171">
        <f t="shared" si="198"/>
        <v>0</v>
      </c>
      <c r="GR171">
        <v>0</v>
      </c>
      <c r="GS171">
        <v>3</v>
      </c>
      <c r="GT171">
        <v>0</v>
      </c>
      <c r="GU171" t="s">
        <v>6</v>
      </c>
      <c r="GV171">
        <f t="shared" si="199"/>
        <v>0</v>
      </c>
      <c r="GW171">
        <v>1</v>
      </c>
      <c r="GX171">
        <f t="shared" si="200"/>
        <v>0</v>
      </c>
      <c r="HA171">
        <v>0</v>
      </c>
      <c r="HB171">
        <v>0</v>
      </c>
      <c r="HC171">
        <f t="shared" si="201"/>
        <v>0</v>
      </c>
      <c r="IK171">
        <v>0</v>
      </c>
    </row>
    <row r="172" spans="1:245" x14ac:dyDescent="0.2">
      <c r="A172">
        <v>17</v>
      </c>
      <c r="B172">
        <v>1</v>
      </c>
      <c r="C172">
        <f>ROW(SmtRes!A222)</f>
        <v>222</v>
      </c>
      <c r="D172">
        <f>ROW(EtalonRes!A222)</f>
        <v>222</v>
      </c>
      <c r="E172" t="s">
        <v>413</v>
      </c>
      <c r="F172" t="s">
        <v>414</v>
      </c>
      <c r="G172" t="s">
        <v>415</v>
      </c>
      <c r="H172" t="s">
        <v>35</v>
      </c>
      <c r="I172">
        <f>ROUND(10/100,9)</f>
        <v>0.1</v>
      </c>
      <c r="J172">
        <v>0</v>
      </c>
      <c r="O172">
        <f t="shared" si="168"/>
        <v>447.49</v>
      </c>
      <c r="P172">
        <f t="shared" si="169"/>
        <v>0</v>
      </c>
      <c r="Q172">
        <f t="shared" si="170"/>
        <v>0</v>
      </c>
      <c r="R172">
        <f t="shared" si="171"/>
        <v>0</v>
      </c>
      <c r="S172">
        <f t="shared" si="172"/>
        <v>447.49</v>
      </c>
      <c r="T172">
        <f t="shared" si="173"/>
        <v>0</v>
      </c>
      <c r="U172">
        <f t="shared" si="174"/>
        <v>8.5500000000000007</v>
      </c>
      <c r="V172">
        <f t="shared" si="175"/>
        <v>0</v>
      </c>
      <c r="W172">
        <f t="shared" si="176"/>
        <v>0</v>
      </c>
      <c r="X172">
        <f t="shared" si="177"/>
        <v>349.04</v>
      </c>
      <c r="Y172">
        <f t="shared" si="178"/>
        <v>223.75</v>
      </c>
      <c r="AA172">
        <v>16802145</v>
      </c>
      <c r="AB172">
        <f t="shared" si="179"/>
        <v>666.9</v>
      </c>
      <c r="AC172">
        <f t="shared" si="202"/>
        <v>0</v>
      </c>
      <c r="AD172">
        <f t="shared" si="203"/>
        <v>0</v>
      </c>
      <c r="AE172">
        <f t="shared" si="204"/>
        <v>0</v>
      </c>
      <c r="AF172">
        <f t="shared" si="205"/>
        <v>666.9</v>
      </c>
      <c r="AG172">
        <f t="shared" si="180"/>
        <v>0</v>
      </c>
      <c r="AH172">
        <f t="shared" si="206"/>
        <v>85.5</v>
      </c>
      <c r="AI172">
        <f t="shared" si="207"/>
        <v>0</v>
      </c>
      <c r="AJ172">
        <f t="shared" si="181"/>
        <v>0</v>
      </c>
      <c r="AK172">
        <v>666.9</v>
      </c>
      <c r="AL172">
        <v>0</v>
      </c>
      <c r="AM172">
        <v>0</v>
      </c>
      <c r="AN172">
        <v>0</v>
      </c>
      <c r="AO172">
        <v>666.9</v>
      </c>
      <c r="AP172">
        <v>0</v>
      </c>
      <c r="AQ172">
        <v>85.5</v>
      </c>
      <c r="AR172">
        <v>0</v>
      </c>
      <c r="AS172">
        <v>0</v>
      </c>
      <c r="AT172">
        <v>78</v>
      </c>
      <c r="AU172">
        <v>50</v>
      </c>
      <c r="AV172">
        <v>1</v>
      </c>
      <c r="AW172">
        <v>1</v>
      </c>
      <c r="AZ172">
        <v>6.71</v>
      </c>
      <c r="BA172">
        <v>6.71</v>
      </c>
      <c r="BB172">
        <v>6.71</v>
      </c>
      <c r="BC172">
        <v>6.71</v>
      </c>
      <c r="BD172" t="s">
        <v>6</v>
      </c>
      <c r="BE172" t="s">
        <v>6</v>
      </c>
      <c r="BF172" t="s">
        <v>6</v>
      </c>
      <c r="BG172" t="s">
        <v>6</v>
      </c>
      <c r="BH172">
        <v>0</v>
      </c>
      <c r="BI172">
        <v>1</v>
      </c>
      <c r="BJ172" t="s">
        <v>416</v>
      </c>
      <c r="BM172">
        <v>69001</v>
      </c>
      <c r="BN172">
        <v>0</v>
      </c>
      <c r="BO172" t="s">
        <v>6</v>
      </c>
      <c r="BP172">
        <v>0</v>
      </c>
      <c r="BQ172">
        <v>6</v>
      </c>
      <c r="BR172">
        <v>0</v>
      </c>
      <c r="BS172">
        <v>6.71</v>
      </c>
      <c r="BT172">
        <v>1</v>
      </c>
      <c r="BU172">
        <v>1</v>
      </c>
      <c r="BV172">
        <v>1</v>
      </c>
      <c r="BW172">
        <v>1</v>
      </c>
      <c r="BX172">
        <v>1</v>
      </c>
      <c r="BY172" t="s">
        <v>6</v>
      </c>
      <c r="BZ172">
        <v>78</v>
      </c>
      <c r="CA172">
        <v>50</v>
      </c>
      <c r="CE172">
        <v>0</v>
      </c>
      <c r="CF172">
        <v>0</v>
      </c>
      <c r="CG172">
        <v>0</v>
      </c>
      <c r="CM172">
        <v>0</v>
      </c>
      <c r="CN172" t="s">
        <v>6</v>
      </c>
      <c r="CO172">
        <v>0</v>
      </c>
      <c r="CP172">
        <f t="shared" si="182"/>
        <v>447.49</v>
      </c>
      <c r="CQ172">
        <f t="shared" si="183"/>
        <v>0</v>
      </c>
      <c r="CR172">
        <f t="shared" si="184"/>
        <v>0</v>
      </c>
      <c r="CS172">
        <f t="shared" si="185"/>
        <v>0</v>
      </c>
      <c r="CT172">
        <f t="shared" si="186"/>
        <v>4474.8989999999994</v>
      </c>
      <c r="CU172">
        <f t="shared" si="187"/>
        <v>0</v>
      </c>
      <c r="CV172">
        <f t="shared" si="188"/>
        <v>85.5</v>
      </c>
      <c r="CW172">
        <f t="shared" si="189"/>
        <v>0</v>
      </c>
      <c r="CX172">
        <f t="shared" si="190"/>
        <v>0</v>
      </c>
      <c r="CY172">
        <f t="shared" si="191"/>
        <v>349.04220000000004</v>
      </c>
      <c r="CZ172">
        <f t="shared" si="192"/>
        <v>223.745</v>
      </c>
      <c r="DC172" t="s">
        <v>6</v>
      </c>
      <c r="DD172" t="s">
        <v>6</v>
      </c>
      <c r="DE172" t="s">
        <v>6</v>
      </c>
      <c r="DF172" t="s">
        <v>6</v>
      </c>
      <c r="DG172" t="s">
        <v>6</v>
      </c>
      <c r="DH172" t="s">
        <v>6</v>
      </c>
      <c r="DI172" t="s">
        <v>6</v>
      </c>
      <c r="DJ172" t="s">
        <v>6</v>
      </c>
      <c r="DK172" t="s">
        <v>6</v>
      </c>
      <c r="DL172" t="s">
        <v>6</v>
      </c>
      <c r="DM172" t="s">
        <v>6</v>
      </c>
      <c r="DN172">
        <v>0</v>
      </c>
      <c r="DO172">
        <v>0</v>
      </c>
      <c r="DP172">
        <v>1</v>
      </c>
      <c r="DQ172">
        <v>1</v>
      </c>
      <c r="DU172">
        <v>1013</v>
      </c>
      <c r="DV172" t="s">
        <v>35</v>
      </c>
      <c r="DW172" t="s">
        <v>35</v>
      </c>
      <c r="DX172">
        <v>1</v>
      </c>
      <c r="EE172">
        <v>16510614</v>
      </c>
      <c r="EF172">
        <v>6</v>
      </c>
      <c r="EG172" t="s">
        <v>20</v>
      </c>
      <c r="EH172">
        <v>0</v>
      </c>
      <c r="EI172" t="s">
        <v>6</v>
      </c>
      <c r="EJ172">
        <v>1</v>
      </c>
      <c r="EK172">
        <v>69001</v>
      </c>
      <c r="EL172" t="s">
        <v>262</v>
      </c>
      <c r="EM172" t="s">
        <v>263</v>
      </c>
      <c r="EO172" t="s">
        <v>6</v>
      </c>
      <c r="EQ172">
        <v>131072</v>
      </c>
      <c r="ER172">
        <v>666.9</v>
      </c>
      <c r="ES172">
        <v>0</v>
      </c>
      <c r="ET172">
        <v>0</v>
      </c>
      <c r="EU172">
        <v>0</v>
      </c>
      <c r="EV172">
        <v>666.9</v>
      </c>
      <c r="EW172">
        <v>85.5</v>
      </c>
      <c r="EX172">
        <v>0</v>
      </c>
      <c r="EY172">
        <v>0</v>
      </c>
      <c r="FQ172">
        <v>0</v>
      </c>
      <c r="FR172">
        <f t="shared" si="193"/>
        <v>0</v>
      </c>
      <c r="FS172">
        <v>0</v>
      </c>
      <c r="FX172">
        <v>78</v>
      </c>
      <c r="FY172">
        <v>50</v>
      </c>
      <c r="GA172" t="s">
        <v>6</v>
      </c>
      <c r="GD172">
        <v>0</v>
      </c>
      <c r="GF172">
        <v>-1582211729</v>
      </c>
      <c r="GG172">
        <v>1</v>
      </c>
      <c r="GH172">
        <v>1</v>
      </c>
      <c r="GI172">
        <v>4</v>
      </c>
      <c r="GJ172">
        <v>0</v>
      </c>
      <c r="GK172">
        <f>ROUND(R172*(R12)/100,2)</f>
        <v>0</v>
      </c>
      <c r="GL172">
        <f t="shared" si="194"/>
        <v>0</v>
      </c>
      <c r="GM172">
        <f t="shared" si="195"/>
        <v>1020.28</v>
      </c>
      <c r="GN172">
        <f t="shared" si="196"/>
        <v>1020.28</v>
      </c>
      <c r="GO172">
        <f t="shared" si="197"/>
        <v>0</v>
      </c>
      <c r="GP172">
        <f t="shared" si="198"/>
        <v>0</v>
      </c>
      <c r="GR172">
        <v>0</v>
      </c>
      <c r="GS172">
        <v>3</v>
      </c>
      <c r="GT172">
        <v>0</v>
      </c>
      <c r="GU172" t="s">
        <v>6</v>
      </c>
      <c r="GV172">
        <f t="shared" si="199"/>
        <v>0</v>
      </c>
      <c r="GW172">
        <v>1</v>
      </c>
      <c r="GX172">
        <f t="shared" si="200"/>
        <v>0</v>
      </c>
      <c r="HA172">
        <v>0</v>
      </c>
      <c r="HB172">
        <v>0</v>
      </c>
      <c r="HC172">
        <f t="shared" si="201"/>
        <v>0</v>
      </c>
      <c r="IK172">
        <v>0</v>
      </c>
    </row>
    <row r="173" spans="1:245" x14ac:dyDescent="0.2">
      <c r="A173">
        <v>17</v>
      </c>
      <c r="B173">
        <v>1</v>
      </c>
      <c r="C173">
        <f>ROW(SmtRes!A233)</f>
        <v>233</v>
      </c>
      <c r="D173">
        <f>ROW(EtalonRes!A232)</f>
        <v>232</v>
      </c>
      <c r="E173" t="s">
        <v>417</v>
      </c>
      <c r="F173" t="s">
        <v>418</v>
      </c>
      <c r="G173" t="s">
        <v>419</v>
      </c>
      <c r="H173" t="s">
        <v>18</v>
      </c>
      <c r="I173">
        <f>ROUND(7/100,9)</f>
        <v>7.0000000000000007E-2</v>
      </c>
      <c r="J173">
        <v>0</v>
      </c>
      <c r="O173">
        <f t="shared" si="168"/>
        <v>117.85</v>
      </c>
      <c r="P173">
        <f t="shared" si="169"/>
        <v>41.21</v>
      </c>
      <c r="Q173">
        <f t="shared" si="170"/>
        <v>9.18</v>
      </c>
      <c r="R173">
        <f t="shared" si="171"/>
        <v>1.3</v>
      </c>
      <c r="S173">
        <f t="shared" si="172"/>
        <v>67.459999999999994</v>
      </c>
      <c r="T173">
        <f t="shared" si="173"/>
        <v>0</v>
      </c>
      <c r="U173">
        <f t="shared" si="174"/>
        <v>1.0696000000000001</v>
      </c>
      <c r="V173">
        <f t="shared" si="175"/>
        <v>1.5400000000000002E-2</v>
      </c>
      <c r="W173">
        <f t="shared" si="176"/>
        <v>0</v>
      </c>
      <c r="X173">
        <f t="shared" si="177"/>
        <v>65.319999999999993</v>
      </c>
      <c r="Y173">
        <f t="shared" si="178"/>
        <v>44.69</v>
      </c>
      <c r="AA173">
        <v>16802145</v>
      </c>
      <c r="AB173">
        <f t="shared" si="179"/>
        <v>250.92</v>
      </c>
      <c r="AC173">
        <f t="shared" si="202"/>
        <v>87.74</v>
      </c>
      <c r="AD173">
        <f t="shared" si="203"/>
        <v>19.55</v>
      </c>
      <c r="AE173">
        <f t="shared" si="204"/>
        <v>2.77</v>
      </c>
      <c r="AF173">
        <f t="shared" si="205"/>
        <v>143.63</v>
      </c>
      <c r="AG173">
        <f t="shared" si="180"/>
        <v>0</v>
      </c>
      <c r="AH173">
        <f t="shared" si="206"/>
        <v>15.28</v>
      </c>
      <c r="AI173">
        <f t="shared" si="207"/>
        <v>0.22</v>
      </c>
      <c r="AJ173">
        <f t="shared" si="181"/>
        <v>0</v>
      </c>
      <c r="AK173">
        <v>250.92</v>
      </c>
      <c r="AL173">
        <v>87.74</v>
      </c>
      <c r="AM173">
        <v>19.55</v>
      </c>
      <c r="AN173">
        <v>2.77</v>
      </c>
      <c r="AO173">
        <v>143.63</v>
      </c>
      <c r="AP173">
        <v>0</v>
      </c>
      <c r="AQ173">
        <v>15.28</v>
      </c>
      <c r="AR173">
        <v>0.22</v>
      </c>
      <c r="AS173">
        <v>0</v>
      </c>
      <c r="AT173">
        <v>95</v>
      </c>
      <c r="AU173">
        <v>65</v>
      </c>
      <c r="AV173">
        <v>1</v>
      </c>
      <c r="AW173">
        <v>1</v>
      </c>
      <c r="AZ173">
        <v>6.71</v>
      </c>
      <c r="BA173">
        <v>6.71</v>
      </c>
      <c r="BB173">
        <v>6.71</v>
      </c>
      <c r="BC173">
        <v>6.71</v>
      </c>
      <c r="BD173" t="s">
        <v>6</v>
      </c>
      <c r="BE173" t="s">
        <v>6</v>
      </c>
      <c r="BF173" t="s">
        <v>6</v>
      </c>
      <c r="BG173" t="s">
        <v>6</v>
      </c>
      <c r="BH173">
        <v>0</v>
      </c>
      <c r="BI173">
        <v>2</v>
      </c>
      <c r="BJ173" t="s">
        <v>420</v>
      </c>
      <c r="BM173">
        <v>108001</v>
      </c>
      <c r="BN173">
        <v>0</v>
      </c>
      <c r="BO173" t="s">
        <v>6</v>
      </c>
      <c r="BP173">
        <v>0</v>
      </c>
      <c r="BQ173">
        <v>3</v>
      </c>
      <c r="BR173">
        <v>0</v>
      </c>
      <c r="BS173">
        <v>6.71</v>
      </c>
      <c r="BT173">
        <v>1</v>
      </c>
      <c r="BU173">
        <v>1</v>
      </c>
      <c r="BV173">
        <v>1</v>
      </c>
      <c r="BW173">
        <v>1</v>
      </c>
      <c r="BX173">
        <v>1</v>
      </c>
      <c r="BY173" t="s">
        <v>6</v>
      </c>
      <c r="BZ173">
        <v>95</v>
      </c>
      <c r="CA173">
        <v>65</v>
      </c>
      <c r="CE173">
        <v>0</v>
      </c>
      <c r="CF173">
        <v>0</v>
      </c>
      <c r="CG173">
        <v>0</v>
      </c>
      <c r="CM173">
        <v>0</v>
      </c>
      <c r="CN173" t="s">
        <v>6</v>
      </c>
      <c r="CO173">
        <v>0</v>
      </c>
      <c r="CP173">
        <f t="shared" si="182"/>
        <v>117.85</v>
      </c>
      <c r="CQ173">
        <f t="shared" si="183"/>
        <v>588.73539999999991</v>
      </c>
      <c r="CR173">
        <f t="shared" si="184"/>
        <v>131.18049999999999</v>
      </c>
      <c r="CS173">
        <f t="shared" si="185"/>
        <v>18.5867</v>
      </c>
      <c r="CT173">
        <f t="shared" si="186"/>
        <v>963.75729999999999</v>
      </c>
      <c r="CU173">
        <f t="shared" si="187"/>
        <v>0</v>
      </c>
      <c r="CV173">
        <f t="shared" si="188"/>
        <v>15.28</v>
      </c>
      <c r="CW173">
        <f t="shared" si="189"/>
        <v>0.22</v>
      </c>
      <c r="CX173">
        <f t="shared" si="190"/>
        <v>0</v>
      </c>
      <c r="CY173">
        <f t="shared" si="191"/>
        <v>65.321999999999989</v>
      </c>
      <c r="CZ173">
        <f t="shared" si="192"/>
        <v>44.693999999999996</v>
      </c>
      <c r="DC173" t="s">
        <v>6</v>
      </c>
      <c r="DD173" t="s">
        <v>6</v>
      </c>
      <c r="DE173" t="s">
        <v>6</v>
      </c>
      <c r="DF173" t="s">
        <v>6</v>
      </c>
      <c r="DG173" t="s">
        <v>6</v>
      </c>
      <c r="DH173" t="s">
        <v>6</v>
      </c>
      <c r="DI173" t="s">
        <v>6</v>
      </c>
      <c r="DJ173" t="s">
        <v>6</v>
      </c>
      <c r="DK173" t="s">
        <v>6</v>
      </c>
      <c r="DL173" t="s">
        <v>6</v>
      </c>
      <c r="DM173" t="s">
        <v>6</v>
      </c>
      <c r="DN173">
        <v>0</v>
      </c>
      <c r="DO173">
        <v>0</v>
      </c>
      <c r="DP173">
        <v>1</v>
      </c>
      <c r="DQ173">
        <v>1</v>
      </c>
      <c r="DU173">
        <v>1003</v>
      </c>
      <c r="DV173" t="s">
        <v>18</v>
      </c>
      <c r="DW173" t="s">
        <v>18</v>
      </c>
      <c r="DX173">
        <v>100</v>
      </c>
      <c r="EE173">
        <v>16510370</v>
      </c>
      <c r="EF173">
        <v>3</v>
      </c>
      <c r="EG173" t="s">
        <v>390</v>
      </c>
      <c r="EH173">
        <v>0</v>
      </c>
      <c r="EI173" t="s">
        <v>6</v>
      </c>
      <c r="EJ173">
        <v>2</v>
      </c>
      <c r="EK173">
        <v>108001</v>
      </c>
      <c r="EL173" t="s">
        <v>391</v>
      </c>
      <c r="EM173" t="s">
        <v>392</v>
      </c>
      <c r="EO173" t="s">
        <v>6</v>
      </c>
      <c r="EQ173">
        <v>131072</v>
      </c>
      <c r="ER173">
        <v>250.92</v>
      </c>
      <c r="ES173">
        <v>87.74</v>
      </c>
      <c r="ET173">
        <v>19.55</v>
      </c>
      <c r="EU173">
        <v>2.77</v>
      </c>
      <c r="EV173">
        <v>143.63</v>
      </c>
      <c r="EW173">
        <v>15.28</v>
      </c>
      <c r="EX173">
        <v>0.22</v>
      </c>
      <c r="EY173">
        <v>0</v>
      </c>
      <c r="FQ173">
        <v>0</v>
      </c>
      <c r="FR173">
        <f t="shared" si="193"/>
        <v>0</v>
      </c>
      <c r="FS173">
        <v>0</v>
      </c>
      <c r="FX173">
        <v>95</v>
      </c>
      <c r="FY173">
        <v>65</v>
      </c>
      <c r="GA173" t="s">
        <v>6</v>
      </c>
      <c r="GD173">
        <v>0</v>
      </c>
      <c r="GF173">
        <v>-1911495036</v>
      </c>
      <c r="GG173">
        <v>1</v>
      </c>
      <c r="GH173">
        <v>1</v>
      </c>
      <c r="GI173">
        <v>4</v>
      </c>
      <c r="GJ173">
        <v>0</v>
      </c>
      <c r="GK173">
        <f>ROUND(R173*(R12)/100,2)</f>
        <v>0</v>
      </c>
      <c r="GL173">
        <f t="shared" si="194"/>
        <v>0</v>
      </c>
      <c r="GM173">
        <f t="shared" si="195"/>
        <v>227.86</v>
      </c>
      <c r="GN173">
        <f t="shared" si="196"/>
        <v>0</v>
      </c>
      <c r="GO173">
        <f t="shared" si="197"/>
        <v>227.86</v>
      </c>
      <c r="GP173">
        <f t="shared" si="198"/>
        <v>0</v>
      </c>
      <c r="GR173">
        <v>0</v>
      </c>
      <c r="GS173">
        <v>3</v>
      </c>
      <c r="GT173">
        <v>0</v>
      </c>
      <c r="GU173" t="s">
        <v>6</v>
      </c>
      <c r="GV173">
        <f t="shared" si="199"/>
        <v>0</v>
      </c>
      <c r="GW173">
        <v>1</v>
      </c>
      <c r="GX173">
        <f t="shared" si="200"/>
        <v>0</v>
      </c>
      <c r="HA173">
        <v>0</v>
      </c>
      <c r="HB173">
        <v>0</v>
      </c>
      <c r="HC173">
        <f t="shared" si="201"/>
        <v>0</v>
      </c>
      <c r="IK173">
        <v>0</v>
      </c>
    </row>
    <row r="174" spans="1:245" x14ac:dyDescent="0.2">
      <c r="A174">
        <v>18</v>
      </c>
      <c r="B174">
        <v>1</v>
      </c>
      <c r="C174">
        <v>232</v>
      </c>
      <c r="E174" t="s">
        <v>421</v>
      </c>
      <c r="F174" t="s">
        <v>422</v>
      </c>
      <c r="G174" t="s">
        <v>423</v>
      </c>
      <c r="H174" t="s">
        <v>424</v>
      </c>
      <c r="I174">
        <f>I173*J174</f>
        <v>0.7</v>
      </c>
      <c r="J174">
        <v>9.9999999999999982</v>
      </c>
      <c r="O174">
        <f t="shared" si="168"/>
        <v>466.98</v>
      </c>
      <c r="P174">
        <f t="shared" si="169"/>
        <v>466.98</v>
      </c>
      <c r="Q174">
        <f t="shared" si="170"/>
        <v>0</v>
      </c>
      <c r="R174">
        <f t="shared" si="171"/>
        <v>0</v>
      </c>
      <c r="S174">
        <f t="shared" si="172"/>
        <v>0</v>
      </c>
      <c r="T174">
        <f t="shared" si="173"/>
        <v>0</v>
      </c>
      <c r="U174">
        <f t="shared" si="174"/>
        <v>0</v>
      </c>
      <c r="V174">
        <f t="shared" si="175"/>
        <v>0</v>
      </c>
      <c r="W174">
        <f t="shared" si="176"/>
        <v>0</v>
      </c>
      <c r="X174">
        <f t="shared" si="177"/>
        <v>0</v>
      </c>
      <c r="Y174">
        <f t="shared" si="178"/>
        <v>0</v>
      </c>
      <c r="AA174">
        <v>16802145</v>
      </c>
      <c r="AB174">
        <f t="shared" si="179"/>
        <v>99.42</v>
      </c>
      <c r="AC174">
        <f t="shared" si="202"/>
        <v>99.42</v>
      </c>
      <c r="AD174">
        <f t="shared" si="203"/>
        <v>0</v>
      </c>
      <c r="AE174">
        <f t="shared" si="204"/>
        <v>0</v>
      </c>
      <c r="AF174">
        <f t="shared" si="205"/>
        <v>0</v>
      </c>
      <c r="AG174">
        <f t="shared" si="180"/>
        <v>0</v>
      </c>
      <c r="AH174">
        <f t="shared" si="206"/>
        <v>0</v>
      </c>
      <c r="AI174">
        <f t="shared" si="207"/>
        <v>0</v>
      </c>
      <c r="AJ174">
        <f t="shared" si="181"/>
        <v>0</v>
      </c>
      <c r="AK174">
        <v>99.42</v>
      </c>
      <c r="AL174">
        <v>99.42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95</v>
      </c>
      <c r="AU174">
        <v>65</v>
      </c>
      <c r="AV174">
        <v>1</v>
      </c>
      <c r="AW174">
        <v>1</v>
      </c>
      <c r="AZ174">
        <v>6.71</v>
      </c>
      <c r="BA174">
        <v>1</v>
      </c>
      <c r="BB174">
        <v>1</v>
      </c>
      <c r="BC174">
        <v>6.71</v>
      </c>
      <c r="BD174" t="s">
        <v>6</v>
      </c>
      <c r="BE174" t="s">
        <v>6</v>
      </c>
      <c r="BF174" t="s">
        <v>6</v>
      </c>
      <c r="BG174" t="s">
        <v>6</v>
      </c>
      <c r="BH174">
        <v>3</v>
      </c>
      <c r="BI174">
        <v>2</v>
      </c>
      <c r="BJ174" t="s">
        <v>425</v>
      </c>
      <c r="BM174">
        <v>108001</v>
      </c>
      <c r="BN174">
        <v>0</v>
      </c>
      <c r="BO174" t="s">
        <v>6</v>
      </c>
      <c r="BP174">
        <v>0</v>
      </c>
      <c r="BQ174">
        <v>3</v>
      </c>
      <c r="BR174">
        <v>0</v>
      </c>
      <c r="BS174">
        <v>1</v>
      </c>
      <c r="BT174">
        <v>1</v>
      </c>
      <c r="BU174">
        <v>1</v>
      </c>
      <c r="BV174">
        <v>1</v>
      </c>
      <c r="BW174">
        <v>1</v>
      </c>
      <c r="BX174">
        <v>1</v>
      </c>
      <c r="BY174" t="s">
        <v>6</v>
      </c>
      <c r="BZ174">
        <v>95</v>
      </c>
      <c r="CA174">
        <v>65</v>
      </c>
      <c r="CE174">
        <v>0</v>
      </c>
      <c r="CF174">
        <v>0</v>
      </c>
      <c r="CG174">
        <v>0</v>
      </c>
      <c r="CM174">
        <v>0</v>
      </c>
      <c r="CN174" t="s">
        <v>6</v>
      </c>
      <c r="CO174">
        <v>0</v>
      </c>
      <c r="CP174">
        <f t="shared" si="182"/>
        <v>466.98</v>
      </c>
      <c r="CQ174">
        <f t="shared" si="183"/>
        <v>667.10820000000001</v>
      </c>
      <c r="CR174">
        <f t="shared" si="184"/>
        <v>0</v>
      </c>
      <c r="CS174">
        <f t="shared" si="185"/>
        <v>0</v>
      </c>
      <c r="CT174">
        <f t="shared" si="186"/>
        <v>0</v>
      </c>
      <c r="CU174">
        <f t="shared" si="187"/>
        <v>0</v>
      </c>
      <c r="CV174">
        <f t="shared" si="188"/>
        <v>0</v>
      </c>
      <c r="CW174">
        <f t="shared" si="189"/>
        <v>0</v>
      </c>
      <c r="CX174">
        <f t="shared" si="190"/>
        <v>0</v>
      </c>
      <c r="CY174">
        <f t="shared" si="191"/>
        <v>0</v>
      </c>
      <c r="CZ174">
        <f t="shared" si="192"/>
        <v>0</v>
      </c>
      <c r="DC174" t="s">
        <v>6</v>
      </c>
      <c r="DD174" t="s">
        <v>6</v>
      </c>
      <c r="DE174" t="s">
        <v>6</v>
      </c>
      <c r="DF174" t="s">
        <v>6</v>
      </c>
      <c r="DG174" t="s">
        <v>6</v>
      </c>
      <c r="DH174" t="s">
        <v>6</v>
      </c>
      <c r="DI174" t="s">
        <v>6</v>
      </c>
      <c r="DJ174" t="s">
        <v>6</v>
      </c>
      <c r="DK174" t="s">
        <v>6</v>
      </c>
      <c r="DL174" t="s">
        <v>6</v>
      </c>
      <c r="DM174" t="s">
        <v>6</v>
      </c>
      <c r="DN174">
        <v>0</v>
      </c>
      <c r="DO174">
        <v>0</v>
      </c>
      <c r="DP174">
        <v>1</v>
      </c>
      <c r="DQ174">
        <v>1</v>
      </c>
      <c r="DU174">
        <v>1003</v>
      </c>
      <c r="DV174" t="s">
        <v>424</v>
      </c>
      <c r="DW174" t="s">
        <v>424</v>
      </c>
      <c r="DX174">
        <v>10</v>
      </c>
      <c r="EE174">
        <v>16510370</v>
      </c>
      <c r="EF174">
        <v>3</v>
      </c>
      <c r="EG174" t="s">
        <v>390</v>
      </c>
      <c r="EH174">
        <v>0</v>
      </c>
      <c r="EI174" t="s">
        <v>6</v>
      </c>
      <c r="EJ174">
        <v>2</v>
      </c>
      <c r="EK174">
        <v>108001</v>
      </c>
      <c r="EL174" t="s">
        <v>391</v>
      </c>
      <c r="EM174" t="s">
        <v>392</v>
      </c>
      <c r="EO174" t="s">
        <v>6</v>
      </c>
      <c r="EQ174">
        <v>0</v>
      </c>
      <c r="ER174">
        <v>99.42</v>
      </c>
      <c r="ES174">
        <v>99.42</v>
      </c>
      <c r="ET174">
        <v>0</v>
      </c>
      <c r="EU174">
        <v>0</v>
      </c>
      <c r="EV174">
        <v>0</v>
      </c>
      <c r="EW174">
        <v>0</v>
      </c>
      <c r="EX174">
        <v>0</v>
      </c>
      <c r="FQ174">
        <v>0</v>
      </c>
      <c r="FR174">
        <f t="shared" si="193"/>
        <v>0</v>
      </c>
      <c r="FS174">
        <v>0</v>
      </c>
      <c r="FX174">
        <v>95</v>
      </c>
      <c r="FY174">
        <v>65</v>
      </c>
      <c r="GA174" t="s">
        <v>6</v>
      </c>
      <c r="GD174">
        <v>0</v>
      </c>
      <c r="GF174">
        <v>-835976676</v>
      </c>
      <c r="GG174">
        <v>1</v>
      </c>
      <c r="GH174">
        <v>1</v>
      </c>
      <c r="GI174">
        <v>4</v>
      </c>
      <c r="GJ174">
        <v>0</v>
      </c>
      <c r="GK174">
        <f>ROUND(R174*(R12)/100,2)</f>
        <v>0</v>
      </c>
      <c r="GL174">
        <f t="shared" si="194"/>
        <v>0</v>
      </c>
      <c r="GM174">
        <f t="shared" si="195"/>
        <v>466.98</v>
      </c>
      <c r="GN174">
        <f t="shared" si="196"/>
        <v>0</v>
      </c>
      <c r="GO174">
        <f t="shared" si="197"/>
        <v>466.98</v>
      </c>
      <c r="GP174">
        <f t="shared" si="198"/>
        <v>0</v>
      </c>
      <c r="GR174">
        <v>0</v>
      </c>
      <c r="GS174">
        <v>3</v>
      </c>
      <c r="GT174">
        <v>0</v>
      </c>
      <c r="GU174" t="s">
        <v>6</v>
      </c>
      <c r="GV174">
        <f t="shared" si="199"/>
        <v>0</v>
      </c>
      <c r="GW174">
        <v>1</v>
      </c>
      <c r="GX174">
        <f t="shared" si="200"/>
        <v>0</v>
      </c>
      <c r="HA174">
        <v>0</v>
      </c>
      <c r="HB174">
        <v>0</v>
      </c>
      <c r="HC174">
        <f t="shared" si="201"/>
        <v>0</v>
      </c>
      <c r="IK174">
        <v>0</v>
      </c>
    </row>
    <row r="175" spans="1:245" x14ac:dyDescent="0.2">
      <c r="A175">
        <v>17</v>
      </c>
      <c r="B175">
        <v>1</v>
      </c>
      <c r="C175">
        <f>ROW(SmtRes!A239)</f>
        <v>239</v>
      </c>
      <c r="D175">
        <f>ROW(EtalonRes!A237)</f>
        <v>237</v>
      </c>
      <c r="E175" t="s">
        <v>426</v>
      </c>
      <c r="F175" t="s">
        <v>427</v>
      </c>
      <c r="G175" t="s">
        <v>428</v>
      </c>
      <c r="H175" t="s">
        <v>366</v>
      </c>
      <c r="I175">
        <v>87</v>
      </c>
      <c r="J175">
        <v>0</v>
      </c>
      <c r="O175">
        <f t="shared" si="168"/>
        <v>3088.15</v>
      </c>
      <c r="P175">
        <f t="shared" si="169"/>
        <v>239.35</v>
      </c>
      <c r="Q175">
        <f t="shared" si="170"/>
        <v>0</v>
      </c>
      <c r="R175">
        <f t="shared" si="171"/>
        <v>0</v>
      </c>
      <c r="S175">
        <f t="shared" si="172"/>
        <v>2848.8</v>
      </c>
      <c r="T175">
        <f t="shared" si="173"/>
        <v>0</v>
      </c>
      <c r="U175">
        <f t="shared" si="174"/>
        <v>43.5</v>
      </c>
      <c r="V175">
        <f t="shared" si="175"/>
        <v>0</v>
      </c>
      <c r="W175">
        <f t="shared" si="176"/>
        <v>0</v>
      </c>
      <c r="X175">
        <f t="shared" si="177"/>
        <v>2279.04</v>
      </c>
      <c r="Y175">
        <f t="shared" si="178"/>
        <v>1709.28</v>
      </c>
      <c r="AA175">
        <v>16802145</v>
      </c>
      <c r="AB175">
        <f t="shared" si="179"/>
        <v>5.29</v>
      </c>
      <c r="AC175">
        <f t="shared" si="202"/>
        <v>0.41</v>
      </c>
      <c r="AD175">
        <f t="shared" si="203"/>
        <v>0</v>
      </c>
      <c r="AE175">
        <f t="shared" si="204"/>
        <v>0</v>
      </c>
      <c r="AF175">
        <f t="shared" si="205"/>
        <v>4.88</v>
      </c>
      <c r="AG175">
        <f t="shared" si="180"/>
        <v>0</v>
      </c>
      <c r="AH175">
        <f t="shared" si="206"/>
        <v>0.5</v>
      </c>
      <c r="AI175">
        <f t="shared" si="207"/>
        <v>0</v>
      </c>
      <c r="AJ175">
        <f t="shared" si="181"/>
        <v>0</v>
      </c>
      <c r="AK175">
        <v>5.29</v>
      </c>
      <c r="AL175">
        <v>0.41</v>
      </c>
      <c r="AM175">
        <v>0</v>
      </c>
      <c r="AN175">
        <v>0</v>
      </c>
      <c r="AO175">
        <v>4.88</v>
      </c>
      <c r="AP175">
        <v>0</v>
      </c>
      <c r="AQ175">
        <v>0.5</v>
      </c>
      <c r="AR175">
        <v>0</v>
      </c>
      <c r="AS175">
        <v>0</v>
      </c>
      <c r="AT175">
        <v>80</v>
      </c>
      <c r="AU175">
        <v>60</v>
      </c>
      <c r="AV175">
        <v>1</v>
      </c>
      <c r="AW175">
        <v>1</v>
      </c>
      <c r="AZ175">
        <v>6.71</v>
      </c>
      <c r="BA175">
        <v>6.71</v>
      </c>
      <c r="BB175">
        <v>6.71</v>
      </c>
      <c r="BC175">
        <v>6.71</v>
      </c>
      <c r="BD175" t="s">
        <v>6</v>
      </c>
      <c r="BE175" t="s">
        <v>6</v>
      </c>
      <c r="BF175" t="s">
        <v>6</v>
      </c>
      <c r="BG175" t="s">
        <v>6</v>
      </c>
      <c r="BH175">
        <v>0</v>
      </c>
      <c r="BI175">
        <v>2</v>
      </c>
      <c r="BJ175" t="s">
        <v>429</v>
      </c>
      <c r="BM175">
        <v>110011</v>
      </c>
      <c r="BN175">
        <v>0</v>
      </c>
      <c r="BO175" t="s">
        <v>6</v>
      </c>
      <c r="BP175">
        <v>0</v>
      </c>
      <c r="BQ175">
        <v>3</v>
      </c>
      <c r="BR175">
        <v>0</v>
      </c>
      <c r="BS175">
        <v>6.71</v>
      </c>
      <c r="BT175">
        <v>1</v>
      </c>
      <c r="BU175">
        <v>1</v>
      </c>
      <c r="BV175">
        <v>1</v>
      </c>
      <c r="BW175">
        <v>1</v>
      </c>
      <c r="BX175">
        <v>1</v>
      </c>
      <c r="BY175" t="s">
        <v>6</v>
      </c>
      <c r="BZ175">
        <v>80</v>
      </c>
      <c r="CA175">
        <v>60</v>
      </c>
      <c r="CE175">
        <v>0</v>
      </c>
      <c r="CF175">
        <v>0</v>
      </c>
      <c r="CG175">
        <v>0</v>
      </c>
      <c r="CM175">
        <v>0</v>
      </c>
      <c r="CN175" t="s">
        <v>6</v>
      </c>
      <c r="CO175">
        <v>0</v>
      </c>
      <c r="CP175">
        <f t="shared" si="182"/>
        <v>3088.15</v>
      </c>
      <c r="CQ175">
        <f t="shared" si="183"/>
        <v>2.7510999999999997</v>
      </c>
      <c r="CR175">
        <f t="shared" si="184"/>
        <v>0</v>
      </c>
      <c r="CS175">
        <f t="shared" si="185"/>
        <v>0</v>
      </c>
      <c r="CT175">
        <f t="shared" si="186"/>
        <v>32.744799999999998</v>
      </c>
      <c r="CU175">
        <f t="shared" si="187"/>
        <v>0</v>
      </c>
      <c r="CV175">
        <f t="shared" si="188"/>
        <v>0.5</v>
      </c>
      <c r="CW175">
        <f t="shared" si="189"/>
        <v>0</v>
      </c>
      <c r="CX175">
        <f t="shared" si="190"/>
        <v>0</v>
      </c>
      <c r="CY175">
        <f t="shared" si="191"/>
        <v>2279.04</v>
      </c>
      <c r="CZ175">
        <f t="shared" si="192"/>
        <v>1709.28</v>
      </c>
      <c r="DC175" t="s">
        <v>6</v>
      </c>
      <c r="DD175" t="s">
        <v>6</v>
      </c>
      <c r="DE175" t="s">
        <v>6</v>
      </c>
      <c r="DF175" t="s">
        <v>6</v>
      </c>
      <c r="DG175" t="s">
        <v>6</v>
      </c>
      <c r="DH175" t="s">
        <v>6</v>
      </c>
      <c r="DI175" t="s">
        <v>6</v>
      </c>
      <c r="DJ175" t="s">
        <v>6</v>
      </c>
      <c r="DK175" t="s">
        <v>6</v>
      </c>
      <c r="DL175" t="s">
        <v>6</v>
      </c>
      <c r="DM175" t="s">
        <v>6</v>
      </c>
      <c r="DN175">
        <v>0</v>
      </c>
      <c r="DO175">
        <v>0</v>
      </c>
      <c r="DP175">
        <v>1</v>
      </c>
      <c r="DQ175">
        <v>1</v>
      </c>
      <c r="DU175">
        <v>1013</v>
      </c>
      <c r="DV175" t="s">
        <v>366</v>
      </c>
      <c r="DW175" t="s">
        <v>366</v>
      </c>
      <c r="DX175">
        <v>1</v>
      </c>
      <c r="EE175">
        <v>16510417</v>
      </c>
      <c r="EF175">
        <v>3</v>
      </c>
      <c r="EG175" t="s">
        <v>390</v>
      </c>
      <c r="EH175">
        <v>0</v>
      </c>
      <c r="EI175" t="s">
        <v>6</v>
      </c>
      <c r="EJ175">
        <v>2</v>
      </c>
      <c r="EK175">
        <v>110011</v>
      </c>
      <c r="EL175" t="s">
        <v>430</v>
      </c>
      <c r="EM175" t="s">
        <v>431</v>
      </c>
      <c r="EO175" t="s">
        <v>6</v>
      </c>
      <c r="EQ175">
        <v>131072</v>
      </c>
      <c r="ER175">
        <v>5.29</v>
      </c>
      <c r="ES175">
        <v>0.41</v>
      </c>
      <c r="ET175">
        <v>0</v>
      </c>
      <c r="EU175">
        <v>0</v>
      </c>
      <c r="EV175">
        <v>4.88</v>
      </c>
      <c r="EW175">
        <v>0.5</v>
      </c>
      <c r="EX175">
        <v>0</v>
      </c>
      <c r="EY175">
        <v>0</v>
      </c>
      <c r="FQ175">
        <v>0</v>
      </c>
      <c r="FR175">
        <f t="shared" si="193"/>
        <v>0</v>
      </c>
      <c r="FS175">
        <v>0</v>
      </c>
      <c r="FX175">
        <v>80</v>
      </c>
      <c r="FY175">
        <v>60</v>
      </c>
      <c r="GA175" t="s">
        <v>6</v>
      </c>
      <c r="GD175">
        <v>0</v>
      </c>
      <c r="GF175">
        <v>287023441</v>
      </c>
      <c r="GG175">
        <v>1</v>
      </c>
      <c r="GH175">
        <v>1</v>
      </c>
      <c r="GI175">
        <v>4</v>
      </c>
      <c r="GJ175">
        <v>0</v>
      </c>
      <c r="GK175">
        <f>ROUND(R175*(R12)/100,2)</f>
        <v>0</v>
      </c>
      <c r="GL175">
        <f t="shared" si="194"/>
        <v>0</v>
      </c>
      <c r="GM175">
        <f t="shared" si="195"/>
        <v>7076.47</v>
      </c>
      <c r="GN175">
        <f t="shared" si="196"/>
        <v>0</v>
      </c>
      <c r="GO175">
        <f t="shared" si="197"/>
        <v>7076.47</v>
      </c>
      <c r="GP175">
        <f t="shared" si="198"/>
        <v>0</v>
      </c>
      <c r="GR175">
        <v>0</v>
      </c>
      <c r="GS175">
        <v>3</v>
      </c>
      <c r="GT175">
        <v>0</v>
      </c>
      <c r="GU175" t="s">
        <v>6</v>
      </c>
      <c r="GV175">
        <f t="shared" si="199"/>
        <v>0</v>
      </c>
      <c r="GW175">
        <v>1</v>
      </c>
      <c r="GX175">
        <f t="shared" si="200"/>
        <v>0</v>
      </c>
      <c r="HA175">
        <v>0</v>
      </c>
      <c r="HB175">
        <v>0</v>
      </c>
      <c r="HC175">
        <f t="shared" si="201"/>
        <v>0</v>
      </c>
      <c r="IK175">
        <v>0</v>
      </c>
    </row>
    <row r="176" spans="1:245" x14ac:dyDescent="0.2">
      <c r="A176">
        <v>18</v>
      </c>
      <c r="B176">
        <v>1</v>
      </c>
      <c r="C176">
        <v>238</v>
      </c>
      <c r="E176" t="s">
        <v>432</v>
      </c>
      <c r="F176" t="s">
        <v>433</v>
      </c>
      <c r="G176" t="s">
        <v>434</v>
      </c>
      <c r="H176" t="s">
        <v>435</v>
      </c>
      <c r="I176">
        <f>I175*J176</f>
        <v>8.6999999999999993</v>
      </c>
      <c r="J176">
        <v>9.9999999999999992E-2</v>
      </c>
      <c r="O176">
        <f t="shared" si="168"/>
        <v>3642.72</v>
      </c>
      <c r="P176">
        <f t="shared" si="169"/>
        <v>3642.72</v>
      </c>
      <c r="Q176">
        <f t="shared" si="170"/>
        <v>0</v>
      </c>
      <c r="R176">
        <f t="shared" si="171"/>
        <v>0</v>
      </c>
      <c r="S176">
        <f t="shared" si="172"/>
        <v>0</v>
      </c>
      <c r="T176">
        <f t="shared" si="173"/>
        <v>0</v>
      </c>
      <c r="U176">
        <f t="shared" si="174"/>
        <v>0</v>
      </c>
      <c r="V176">
        <f t="shared" si="175"/>
        <v>0</v>
      </c>
      <c r="W176">
        <f t="shared" si="176"/>
        <v>0</v>
      </c>
      <c r="X176">
        <f t="shared" si="177"/>
        <v>0</v>
      </c>
      <c r="Y176">
        <f t="shared" si="178"/>
        <v>0</v>
      </c>
      <c r="AA176">
        <v>16802145</v>
      </c>
      <c r="AB176">
        <f t="shared" si="179"/>
        <v>62.4</v>
      </c>
      <c r="AC176">
        <f t="shared" si="202"/>
        <v>62.4</v>
      </c>
      <c r="AD176">
        <f t="shared" si="203"/>
        <v>0</v>
      </c>
      <c r="AE176">
        <f t="shared" si="204"/>
        <v>0</v>
      </c>
      <c r="AF176">
        <f t="shared" si="205"/>
        <v>0</v>
      </c>
      <c r="AG176">
        <f t="shared" si="180"/>
        <v>0</v>
      </c>
      <c r="AH176">
        <f t="shared" si="206"/>
        <v>0</v>
      </c>
      <c r="AI176">
        <f t="shared" si="207"/>
        <v>0</v>
      </c>
      <c r="AJ176">
        <f t="shared" si="181"/>
        <v>0</v>
      </c>
      <c r="AK176">
        <v>62.4</v>
      </c>
      <c r="AL176">
        <v>62.4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80</v>
      </c>
      <c r="AU176">
        <v>60</v>
      </c>
      <c r="AV176">
        <v>1</v>
      </c>
      <c r="AW176">
        <v>1</v>
      </c>
      <c r="AZ176">
        <v>6.71</v>
      </c>
      <c r="BA176">
        <v>1</v>
      </c>
      <c r="BB176">
        <v>1</v>
      </c>
      <c r="BC176">
        <v>6.71</v>
      </c>
      <c r="BD176" t="s">
        <v>6</v>
      </c>
      <c r="BE176" t="s">
        <v>6</v>
      </c>
      <c r="BF176" t="s">
        <v>6</v>
      </c>
      <c r="BG176" t="s">
        <v>6</v>
      </c>
      <c r="BH176">
        <v>3</v>
      </c>
      <c r="BI176">
        <v>2</v>
      </c>
      <c r="BJ176" t="s">
        <v>436</v>
      </c>
      <c r="BM176">
        <v>110011</v>
      </c>
      <c r="BN176">
        <v>0</v>
      </c>
      <c r="BO176" t="s">
        <v>6</v>
      </c>
      <c r="BP176">
        <v>0</v>
      </c>
      <c r="BQ176">
        <v>3</v>
      </c>
      <c r="BR176">
        <v>0</v>
      </c>
      <c r="BS176">
        <v>1</v>
      </c>
      <c r="BT176">
        <v>1</v>
      </c>
      <c r="BU176">
        <v>1</v>
      </c>
      <c r="BV176">
        <v>1</v>
      </c>
      <c r="BW176">
        <v>1</v>
      </c>
      <c r="BX176">
        <v>1</v>
      </c>
      <c r="BY176" t="s">
        <v>6</v>
      </c>
      <c r="BZ176">
        <v>80</v>
      </c>
      <c r="CA176">
        <v>60</v>
      </c>
      <c r="CE176">
        <v>0</v>
      </c>
      <c r="CF176">
        <v>0</v>
      </c>
      <c r="CG176">
        <v>0</v>
      </c>
      <c r="CM176">
        <v>0</v>
      </c>
      <c r="CN176" t="s">
        <v>6</v>
      </c>
      <c r="CO176">
        <v>0</v>
      </c>
      <c r="CP176">
        <f t="shared" si="182"/>
        <v>3642.72</v>
      </c>
      <c r="CQ176">
        <f t="shared" si="183"/>
        <v>418.70400000000001</v>
      </c>
      <c r="CR176">
        <f t="shared" si="184"/>
        <v>0</v>
      </c>
      <c r="CS176">
        <f t="shared" si="185"/>
        <v>0</v>
      </c>
      <c r="CT176">
        <f t="shared" si="186"/>
        <v>0</v>
      </c>
      <c r="CU176">
        <f t="shared" si="187"/>
        <v>0</v>
      </c>
      <c r="CV176">
        <f t="shared" si="188"/>
        <v>0</v>
      </c>
      <c r="CW176">
        <f t="shared" si="189"/>
        <v>0</v>
      </c>
      <c r="CX176">
        <f t="shared" si="190"/>
        <v>0</v>
      </c>
      <c r="CY176">
        <f t="shared" si="191"/>
        <v>0</v>
      </c>
      <c r="CZ176">
        <f t="shared" si="192"/>
        <v>0</v>
      </c>
      <c r="DC176" t="s">
        <v>6</v>
      </c>
      <c r="DD176" t="s">
        <v>6</v>
      </c>
      <c r="DE176" t="s">
        <v>6</v>
      </c>
      <c r="DF176" t="s">
        <v>6</v>
      </c>
      <c r="DG176" t="s">
        <v>6</v>
      </c>
      <c r="DH176" t="s">
        <v>6</v>
      </c>
      <c r="DI176" t="s">
        <v>6</v>
      </c>
      <c r="DJ176" t="s">
        <v>6</v>
      </c>
      <c r="DK176" t="s">
        <v>6</v>
      </c>
      <c r="DL176" t="s">
        <v>6</v>
      </c>
      <c r="DM176" t="s">
        <v>6</v>
      </c>
      <c r="DN176">
        <v>0</v>
      </c>
      <c r="DO176">
        <v>0</v>
      </c>
      <c r="DP176">
        <v>1</v>
      </c>
      <c r="DQ176">
        <v>1</v>
      </c>
      <c r="DU176">
        <v>1010</v>
      </c>
      <c r="DV176" t="s">
        <v>435</v>
      </c>
      <c r="DW176" t="s">
        <v>435</v>
      </c>
      <c r="DX176">
        <v>10</v>
      </c>
      <c r="EE176">
        <v>16510417</v>
      </c>
      <c r="EF176">
        <v>3</v>
      </c>
      <c r="EG176" t="s">
        <v>390</v>
      </c>
      <c r="EH176">
        <v>0</v>
      </c>
      <c r="EI176" t="s">
        <v>6</v>
      </c>
      <c r="EJ176">
        <v>2</v>
      </c>
      <c r="EK176">
        <v>110011</v>
      </c>
      <c r="EL176" t="s">
        <v>430</v>
      </c>
      <c r="EM176" t="s">
        <v>431</v>
      </c>
      <c r="EO176" t="s">
        <v>6</v>
      </c>
      <c r="EQ176">
        <v>0</v>
      </c>
      <c r="ER176">
        <v>62.4</v>
      </c>
      <c r="ES176">
        <v>62.4</v>
      </c>
      <c r="ET176">
        <v>0</v>
      </c>
      <c r="EU176">
        <v>0</v>
      </c>
      <c r="EV176">
        <v>0</v>
      </c>
      <c r="EW176">
        <v>0</v>
      </c>
      <c r="EX176">
        <v>0</v>
      </c>
      <c r="FQ176">
        <v>0</v>
      </c>
      <c r="FR176">
        <f t="shared" si="193"/>
        <v>0</v>
      </c>
      <c r="FS176">
        <v>0</v>
      </c>
      <c r="FX176">
        <v>80</v>
      </c>
      <c r="FY176">
        <v>60</v>
      </c>
      <c r="GA176" t="s">
        <v>6</v>
      </c>
      <c r="GD176">
        <v>0</v>
      </c>
      <c r="GF176">
        <v>1303598448</v>
      </c>
      <c r="GG176">
        <v>1</v>
      </c>
      <c r="GH176">
        <v>1</v>
      </c>
      <c r="GI176">
        <v>4</v>
      </c>
      <c r="GJ176">
        <v>0</v>
      </c>
      <c r="GK176">
        <f>ROUND(R176*(R12)/100,2)</f>
        <v>0</v>
      </c>
      <c r="GL176">
        <f t="shared" si="194"/>
        <v>0</v>
      </c>
      <c r="GM176">
        <f t="shared" si="195"/>
        <v>3642.72</v>
      </c>
      <c r="GN176">
        <f t="shared" si="196"/>
        <v>0</v>
      </c>
      <c r="GO176">
        <f t="shared" si="197"/>
        <v>3642.72</v>
      </c>
      <c r="GP176">
        <f t="shared" si="198"/>
        <v>0</v>
      </c>
      <c r="GR176">
        <v>0</v>
      </c>
      <c r="GS176">
        <v>3</v>
      </c>
      <c r="GT176">
        <v>0</v>
      </c>
      <c r="GU176" t="s">
        <v>6</v>
      </c>
      <c r="GV176">
        <f t="shared" si="199"/>
        <v>0</v>
      </c>
      <c r="GW176">
        <v>1</v>
      </c>
      <c r="GX176">
        <f t="shared" si="200"/>
        <v>0</v>
      </c>
      <c r="HA176">
        <v>0</v>
      </c>
      <c r="HB176">
        <v>0</v>
      </c>
      <c r="HC176">
        <f t="shared" si="201"/>
        <v>0</v>
      </c>
      <c r="IK176">
        <v>0</v>
      </c>
    </row>
    <row r="177" spans="1:245" x14ac:dyDescent="0.2">
      <c r="A177">
        <v>17</v>
      </c>
      <c r="B177">
        <v>1</v>
      </c>
      <c r="C177">
        <f>ROW(SmtRes!A246)</f>
        <v>246</v>
      </c>
      <c r="D177">
        <f>ROW(EtalonRes!A243)</f>
        <v>243</v>
      </c>
      <c r="E177" t="s">
        <v>437</v>
      </c>
      <c r="F177" t="s">
        <v>438</v>
      </c>
      <c r="G177" t="s">
        <v>439</v>
      </c>
      <c r="H177" t="s">
        <v>18</v>
      </c>
      <c r="I177">
        <f>ROUND(42.5/100,9)</f>
        <v>0.42499999999999999</v>
      </c>
      <c r="J177">
        <v>0</v>
      </c>
      <c r="O177">
        <f t="shared" si="168"/>
        <v>818.22</v>
      </c>
      <c r="P177">
        <f t="shared" si="169"/>
        <v>265.98</v>
      </c>
      <c r="Q177">
        <f t="shared" si="170"/>
        <v>0.88</v>
      </c>
      <c r="R177">
        <f t="shared" si="171"/>
        <v>0.4</v>
      </c>
      <c r="S177">
        <f t="shared" si="172"/>
        <v>551.36</v>
      </c>
      <c r="T177">
        <f t="shared" si="173"/>
        <v>0</v>
      </c>
      <c r="U177">
        <f t="shared" si="174"/>
        <v>8.6402499999999982</v>
      </c>
      <c r="V177">
        <f t="shared" si="175"/>
        <v>4.2500000000000003E-3</v>
      </c>
      <c r="W177">
        <f t="shared" si="176"/>
        <v>0</v>
      </c>
      <c r="X177">
        <f t="shared" si="177"/>
        <v>524.16999999999996</v>
      </c>
      <c r="Y177">
        <f t="shared" si="178"/>
        <v>358.64</v>
      </c>
      <c r="AA177">
        <v>16802145</v>
      </c>
      <c r="AB177">
        <f t="shared" si="179"/>
        <v>286.92</v>
      </c>
      <c r="AC177">
        <f t="shared" si="202"/>
        <v>93.27</v>
      </c>
      <c r="AD177">
        <f t="shared" si="203"/>
        <v>0.31</v>
      </c>
      <c r="AE177">
        <f t="shared" si="204"/>
        <v>0.14000000000000001</v>
      </c>
      <c r="AF177">
        <f t="shared" si="205"/>
        <v>193.34</v>
      </c>
      <c r="AG177">
        <f t="shared" si="180"/>
        <v>0</v>
      </c>
      <c r="AH177">
        <f t="shared" si="206"/>
        <v>20.329999999999998</v>
      </c>
      <c r="AI177">
        <f t="shared" si="207"/>
        <v>0.01</v>
      </c>
      <c r="AJ177">
        <f t="shared" si="181"/>
        <v>0</v>
      </c>
      <c r="AK177">
        <v>286.92</v>
      </c>
      <c r="AL177">
        <v>93.27</v>
      </c>
      <c r="AM177">
        <v>0.31</v>
      </c>
      <c r="AN177">
        <v>0.14000000000000001</v>
      </c>
      <c r="AO177">
        <v>193.34</v>
      </c>
      <c r="AP177">
        <v>0</v>
      </c>
      <c r="AQ177">
        <v>20.329999999999998</v>
      </c>
      <c r="AR177">
        <v>0.01</v>
      </c>
      <c r="AS177">
        <v>0</v>
      </c>
      <c r="AT177">
        <v>95</v>
      </c>
      <c r="AU177">
        <v>65</v>
      </c>
      <c r="AV177">
        <v>1</v>
      </c>
      <c r="AW177">
        <v>1</v>
      </c>
      <c r="AZ177">
        <v>6.71</v>
      </c>
      <c r="BA177">
        <v>6.71</v>
      </c>
      <c r="BB177">
        <v>6.71</v>
      </c>
      <c r="BC177">
        <v>6.71</v>
      </c>
      <c r="BD177" t="s">
        <v>6</v>
      </c>
      <c r="BE177" t="s">
        <v>6</v>
      </c>
      <c r="BF177" t="s">
        <v>6</v>
      </c>
      <c r="BG177" t="s">
        <v>6</v>
      </c>
      <c r="BH177">
        <v>0</v>
      </c>
      <c r="BI177">
        <v>2</v>
      </c>
      <c r="BJ177" t="s">
        <v>440</v>
      </c>
      <c r="BM177">
        <v>108001</v>
      </c>
      <c r="BN177">
        <v>0</v>
      </c>
      <c r="BO177" t="s">
        <v>6</v>
      </c>
      <c r="BP177">
        <v>0</v>
      </c>
      <c r="BQ177">
        <v>3</v>
      </c>
      <c r="BR177">
        <v>0</v>
      </c>
      <c r="BS177">
        <v>6.71</v>
      </c>
      <c r="BT177">
        <v>1</v>
      </c>
      <c r="BU177">
        <v>1</v>
      </c>
      <c r="BV177">
        <v>1</v>
      </c>
      <c r="BW177">
        <v>1</v>
      </c>
      <c r="BX177">
        <v>1</v>
      </c>
      <c r="BY177" t="s">
        <v>6</v>
      </c>
      <c r="BZ177">
        <v>95</v>
      </c>
      <c r="CA177">
        <v>65</v>
      </c>
      <c r="CE177">
        <v>0</v>
      </c>
      <c r="CF177">
        <v>0</v>
      </c>
      <c r="CG177">
        <v>0</v>
      </c>
      <c r="CM177">
        <v>0</v>
      </c>
      <c r="CN177" t="s">
        <v>6</v>
      </c>
      <c r="CO177">
        <v>0</v>
      </c>
      <c r="CP177">
        <f t="shared" si="182"/>
        <v>818.22</v>
      </c>
      <c r="CQ177">
        <f t="shared" si="183"/>
        <v>625.84169999999995</v>
      </c>
      <c r="CR177">
        <f t="shared" si="184"/>
        <v>2.0800999999999998</v>
      </c>
      <c r="CS177">
        <f t="shared" si="185"/>
        <v>0.93940000000000012</v>
      </c>
      <c r="CT177">
        <f t="shared" si="186"/>
        <v>1297.3114</v>
      </c>
      <c r="CU177">
        <f t="shared" si="187"/>
        <v>0</v>
      </c>
      <c r="CV177">
        <f t="shared" si="188"/>
        <v>20.329999999999998</v>
      </c>
      <c r="CW177">
        <f t="shared" si="189"/>
        <v>0.01</v>
      </c>
      <c r="CX177">
        <f t="shared" si="190"/>
        <v>0</v>
      </c>
      <c r="CY177">
        <f t="shared" si="191"/>
        <v>524.17200000000003</v>
      </c>
      <c r="CZ177">
        <f t="shared" si="192"/>
        <v>358.64400000000001</v>
      </c>
      <c r="DC177" t="s">
        <v>6</v>
      </c>
      <c r="DD177" t="s">
        <v>6</v>
      </c>
      <c r="DE177" t="s">
        <v>6</v>
      </c>
      <c r="DF177" t="s">
        <v>6</v>
      </c>
      <c r="DG177" t="s">
        <v>6</v>
      </c>
      <c r="DH177" t="s">
        <v>6</v>
      </c>
      <c r="DI177" t="s">
        <v>6</v>
      </c>
      <c r="DJ177" t="s">
        <v>6</v>
      </c>
      <c r="DK177" t="s">
        <v>6</v>
      </c>
      <c r="DL177" t="s">
        <v>6</v>
      </c>
      <c r="DM177" t="s">
        <v>6</v>
      </c>
      <c r="DN177">
        <v>0</v>
      </c>
      <c r="DO177">
        <v>0</v>
      </c>
      <c r="DP177">
        <v>1</v>
      </c>
      <c r="DQ177">
        <v>1</v>
      </c>
      <c r="DU177">
        <v>1003</v>
      </c>
      <c r="DV177" t="s">
        <v>18</v>
      </c>
      <c r="DW177" t="s">
        <v>18</v>
      </c>
      <c r="DX177">
        <v>100</v>
      </c>
      <c r="EE177">
        <v>16510370</v>
      </c>
      <c r="EF177">
        <v>3</v>
      </c>
      <c r="EG177" t="s">
        <v>390</v>
      </c>
      <c r="EH177">
        <v>0</v>
      </c>
      <c r="EI177" t="s">
        <v>6</v>
      </c>
      <c r="EJ177">
        <v>2</v>
      </c>
      <c r="EK177">
        <v>108001</v>
      </c>
      <c r="EL177" t="s">
        <v>391</v>
      </c>
      <c r="EM177" t="s">
        <v>392</v>
      </c>
      <c r="EO177" t="s">
        <v>6</v>
      </c>
      <c r="EQ177">
        <v>131072</v>
      </c>
      <c r="ER177">
        <v>286.92</v>
      </c>
      <c r="ES177">
        <v>93.27</v>
      </c>
      <c r="ET177">
        <v>0.31</v>
      </c>
      <c r="EU177">
        <v>0.14000000000000001</v>
      </c>
      <c r="EV177">
        <v>193.34</v>
      </c>
      <c r="EW177">
        <v>20.329999999999998</v>
      </c>
      <c r="EX177">
        <v>0.01</v>
      </c>
      <c r="EY177">
        <v>0</v>
      </c>
      <c r="FQ177">
        <v>0</v>
      </c>
      <c r="FR177">
        <f t="shared" si="193"/>
        <v>0</v>
      </c>
      <c r="FS177">
        <v>0</v>
      </c>
      <c r="FX177">
        <v>95</v>
      </c>
      <c r="FY177">
        <v>65</v>
      </c>
      <c r="GA177" t="s">
        <v>6</v>
      </c>
      <c r="GD177">
        <v>0</v>
      </c>
      <c r="GF177">
        <v>1809591214</v>
      </c>
      <c r="GG177">
        <v>1</v>
      </c>
      <c r="GH177">
        <v>1</v>
      </c>
      <c r="GI177">
        <v>4</v>
      </c>
      <c r="GJ177">
        <v>0</v>
      </c>
      <c r="GK177">
        <f>ROUND(R177*(R12)/100,2)</f>
        <v>0</v>
      </c>
      <c r="GL177">
        <f t="shared" si="194"/>
        <v>0</v>
      </c>
      <c r="GM177">
        <f t="shared" si="195"/>
        <v>1701.03</v>
      </c>
      <c r="GN177">
        <f t="shared" si="196"/>
        <v>0</v>
      </c>
      <c r="GO177">
        <f t="shared" si="197"/>
        <v>1701.03</v>
      </c>
      <c r="GP177">
        <f t="shared" si="198"/>
        <v>0</v>
      </c>
      <c r="GR177">
        <v>0</v>
      </c>
      <c r="GS177">
        <v>3</v>
      </c>
      <c r="GT177">
        <v>0</v>
      </c>
      <c r="GU177" t="s">
        <v>6</v>
      </c>
      <c r="GV177">
        <f t="shared" si="199"/>
        <v>0</v>
      </c>
      <c r="GW177">
        <v>1</v>
      </c>
      <c r="GX177">
        <f t="shared" si="200"/>
        <v>0</v>
      </c>
      <c r="HA177">
        <v>0</v>
      </c>
      <c r="HB177">
        <v>0</v>
      </c>
      <c r="HC177">
        <f t="shared" si="201"/>
        <v>0</v>
      </c>
      <c r="IK177">
        <v>0</v>
      </c>
    </row>
    <row r="178" spans="1:245" x14ac:dyDescent="0.2">
      <c r="A178">
        <v>18</v>
      </c>
      <c r="B178">
        <v>1</v>
      </c>
      <c r="C178">
        <v>245</v>
      </c>
      <c r="E178" t="s">
        <v>441</v>
      </c>
      <c r="F178" t="s">
        <v>442</v>
      </c>
      <c r="G178" t="s">
        <v>443</v>
      </c>
      <c r="H178" t="s">
        <v>18</v>
      </c>
      <c r="I178">
        <f>I177*J178</f>
        <v>0.42499999999999999</v>
      </c>
      <c r="J178">
        <v>1</v>
      </c>
      <c r="O178">
        <f t="shared" si="168"/>
        <v>3878.38</v>
      </c>
      <c r="P178">
        <f t="shared" si="169"/>
        <v>3878.38</v>
      </c>
      <c r="Q178">
        <f t="shared" si="170"/>
        <v>0</v>
      </c>
      <c r="R178">
        <f t="shared" si="171"/>
        <v>0</v>
      </c>
      <c r="S178">
        <f t="shared" si="172"/>
        <v>0</v>
      </c>
      <c r="T178">
        <f t="shared" si="173"/>
        <v>0</v>
      </c>
      <c r="U178">
        <f t="shared" si="174"/>
        <v>0</v>
      </c>
      <c r="V178">
        <f t="shared" si="175"/>
        <v>0</v>
      </c>
      <c r="W178">
        <f t="shared" si="176"/>
        <v>0</v>
      </c>
      <c r="X178">
        <f t="shared" si="177"/>
        <v>0</v>
      </c>
      <c r="Y178">
        <f t="shared" si="178"/>
        <v>0</v>
      </c>
      <c r="AA178">
        <v>16802145</v>
      </c>
      <c r="AB178">
        <f t="shared" si="179"/>
        <v>1360</v>
      </c>
      <c r="AC178">
        <f t="shared" si="202"/>
        <v>1360</v>
      </c>
      <c r="AD178">
        <f t="shared" si="203"/>
        <v>0</v>
      </c>
      <c r="AE178">
        <f t="shared" si="204"/>
        <v>0</v>
      </c>
      <c r="AF178">
        <f t="shared" si="205"/>
        <v>0</v>
      </c>
      <c r="AG178">
        <f t="shared" si="180"/>
        <v>0</v>
      </c>
      <c r="AH178">
        <f t="shared" si="206"/>
        <v>0</v>
      </c>
      <c r="AI178">
        <f t="shared" si="207"/>
        <v>0</v>
      </c>
      <c r="AJ178">
        <f t="shared" si="181"/>
        <v>0</v>
      </c>
      <c r="AK178">
        <v>1360</v>
      </c>
      <c r="AL178">
        <v>1360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95</v>
      </c>
      <c r="AU178">
        <v>65</v>
      </c>
      <c r="AV178">
        <v>1</v>
      </c>
      <c r="AW178">
        <v>1</v>
      </c>
      <c r="AZ178">
        <v>6.71</v>
      </c>
      <c r="BA178">
        <v>1</v>
      </c>
      <c r="BB178">
        <v>1</v>
      </c>
      <c r="BC178">
        <v>6.71</v>
      </c>
      <c r="BD178" t="s">
        <v>6</v>
      </c>
      <c r="BE178" t="s">
        <v>6</v>
      </c>
      <c r="BF178" t="s">
        <v>6</v>
      </c>
      <c r="BG178" t="s">
        <v>6</v>
      </c>
      <c r="BH178">
        <v>3</v>
      </c>
      <c r="BI178">
        <v>2</v>
      </c>
      <c r="BJ178" t="s">
        <v>444</v>
      </c>
      <c r="BM178">
        <v>108001</v>
      </c>
      <c r="BN178">
        <v>0</v>
      </c>
      <c r="BO178" t="s">
        <v>6</v>
      </c>
      <c r="BP178">
        <v>0</v>
      </c>
      <c r="BQ178">
        <v>3</v>
      </c>
      <c r="BR178">
        <v>0</v>
      </c>
      <c r="BS178">
        <v>1</v>
      </c>
      <c r="BT178">
        <v>1</v>
      </c>
      <c r="BU178">
        <v>1</v>
      </c>
      <c r="BV178">
        <v>1</v>
      </c>
      <c r="BW178">
        <v>1</v>
      </c>
      <c r="BX178">
        <v>1</v>
      </c>
      <c r="BY178" t="s">
        <v>6</v>
      </c>
      <c r="BZ178">
        <v>95</v>
      </c>
      <c r="CA178">
        <v>65</v>
      </c>
      <c r="CE178">
        <v>0</v>
      </c>
      <c r="CF178">
        <v>0</v>
      </c>
      <c r="CG178">
        <v>0</v>
      </c>
      <c r="CM178">
        <v>0</v>
      </c>
      <c r="CN178" t="s">
        <v>6</v>
      </c>
      <c r="CO178">
        <v>0</v>
      </c>
      <c r="CP178">
        <f t="shared" si="182"/>
        <v>3878.38</v>
      </c>
      <c r="CQ178">
        <f t="shared" si="183"/>
        <v>9125.6</v>
      </c>
      <c r="CR178">
        <f t="shared" si="184"/>
        <v>0</v>
      </c>
      <c r="CS178">
        <f t="shared" si="185"/>
        <v>0</v>
      </c>
      <c r="CT178">
        <f t="shared" si="186"/>
        <v>0</v>
      </c>
      <c r="CU178">
        <f t="shared" si="187"/>
        <v>0</v>
      </c>
      <c r="CV178">
        <f t="shared" si="188"/>
        <v>0</v>
      </c>
      <c r="CW178">
        <f t="shared" si="189"/>
        <v>0</v>
      </c>
      <c r="CX178">
        <f t="shared" si="190"/>
        <v>0</v>
      </c>
      <c r="CY178">
        <f t="shared" si="191"/>
        <v>0</v>
      </c>
      <c r="CZ178">
        <f t="shared" si="192"/>
        <v>0</v>
      </c>
      <c r="DC178" t="s">
        <v>6</v>
      </c>
      <c r="DD178" t="s">
        <v>6</v>
      </c>
      <c r="DE178" t="s">
        <v>6</v>
      </c>
      <c r="DF178" t="s">
        <v>6</v>
      </c>
      <c r="DG178" t="s">
        <v>6</v>
      </c>
      <c r="DH178" t="s">
        <v>6</v>
      </c>
      <c r="DI178" t="s">
        <v>6</v>
      </c>
      <c r="DJ178" t="s">
        <v>6</v>
      </c>
      <c r="DK178" t="s">
        <v>6</v>
      </c>
      <c r="DL178" t="s">
        <v>6</v>
      </c>
      <c r="DM178" t="s">
        <v>6</v>
      </c>
      <c r="DN178">
        <v>0</v>
      </c>
      <c r="DO178">
        <v>0</v>
      </c>
      <c r="DP178">
        <v>1</v>
      </c>
      <c r="DQ178">
        <v>1</v>
      </c>
      <c r="DU178">
        <v>1003</v>
      </c>
      <c r="DV178" t="s">
        <v>18</v>
      </c>
      <c r="DW178" t="s">
        <v>18</v>
      </c>
      <c r="DX178">
        <v>100</v>
      </c>
      <c r="EE178">
        <v>16510370</v>
      </c>
      <c r="EF178">
        <v>3</v>
      </c>
      <c r="EG178" t="s">
        <v>390</v>
      </c>
      <c r="EH178">
        <v>0</v>
      </c>
      <c r="EI178" t="s">
        <v>6</v>
      </c>
      <c r="EJ178">
        <v>2</v>
      </c>
      <c r="EK178">
        <v>108001</v>
      </c>
      <c r="EL178" t="s">
        <v>391</v>
      </c>
      <c r="EM178" t="s">
        <v>392</v>
      </c>
      <c r="EO178" t="s">
        <v>6</v>
      </c>
      <c r="EQ178">
        <v>0</v>
      </c>
      <c r="ER178">
        <v>1360</v>
      </c>
      <c r="ES178">
        <v>1360</v>
      </c>
      <c r="ET178">
        <v>0</v>
      </c>
      <c r="EU178">
        <v>0</v>
      </c>
      <c r="EV178">
        <v>0</v>
      </c>
      <c r="EW178">
        <v>0</v>
      </c>
      <c r="EX178">
        <v>0</v>
      </c>
      <c r="FQ178">
        <v>0</v>
      </c>
      <c r="FR178">
        <f t="shared" si="193"/>
        <v>0</v>
      </c>
      <c r="FS178">
        <v>0</v>
      </c>
      <c r="FX178">
        <v>95</v>
      </c>
      <c r="FY178">
        <v>65</v>
      </c>
      <c r="GA178" t="s">
        <v>6</v>
      </c>
      <c r="GD178">
        <v>0</v>
      </c>
      <c r="GF178">
        <v>-2044184701</v>
      </c>
      <c r="GG178">
        <v>1</v>
      </c>
      <c r="GH178">
        <v>1</v>
      </c>
      <c r="GI178">
        <v>4</v>
      </c>
      <c r="GJ178">
        <v>0</v>
      </c>
      <c r="GK178">
        <f>ROUND(R178*(R12)/100,2)</f>
        <v>0</v>
      </c>
      <c r="GL178">
        <f t="shared" si="194"/>
        <v>0</v>
      </c>
      <c r="GM178">
        <f t="shared" si="195"/>
        <v>3878.38</v>
      </c>
      <c r="GN178">
        <f t="shared" si="196"/>
        <v>0</v>
      </c>
      <c r="GO178">
        <f t="shared" si="197"/>
        <v>3878.38</v>
      </c>
      <c r="GP178">
        <f t="shared" si="198"/>
        <v>0</v>
      </c>
      <c r="GR178">
        <v>0</v>
      </c>
      <c r="GS178">
        <v>3</v>
      </c>
      <c r="GT178">
        <v>0</v>
      </c>
      <c r="GU178" t="s">
        <v>6</v>
      </c>
      <c r="GV178">
        <f t="shared" si="199"/>
        <v>0</v>
      </c>
      <c r="GW178">
        <v>1</v>
      </c>
      <c r="GX178">
        <f t="shared" si="200"/>
        <v>0</v>
      </c>
      <c r="HA178">
        <v>0</v>
      </c>
      <c r="HB178">
        <v>0</v>
      </c>
      <c r="HC178">
        <f t="shared" si="201"/>
        <v>0</v>
      </c>
      <c r="IK178">
        <v>0</v>
      </c>
    </row>
    <row r="179" spans="1:245" x14ac:dyDescent="0.2">
      <c r="A179">
        <v>17</v>
      </c>
      <c r="B179">
        <v>1</v>
      </c>
      <c r="C179">
        <f>ROW(SmtRes!A250)</f>
        <v>250</v>
      </c>
      <c r="D179">
        <f>ROW(EtalonRes!A246)</f>
        <v>246</v>
      </c>
      <c r="E179" t="s">
        <v>445</v>
      </c>
      <c r="F179" t="s">
        <v>446</v>
      </c>
      <c r="G179" t="s">
        <v>447</v>
      </c>
      <c r="H179" t="s">
        <v>18</v>
      </c>
      <c r="I179">
        <f>ROUND(272/100,9)</f>
        <v>2.72</v>
      </c>
      <c r="J179">
        <v>0</v>
      </c>
      <c r="O179">
        <f t="shared" si="168"/>
        <v>2853.21</v>
      </c>
      <c r="P179">
        <f t="shared" si="169"/>
        <v>306.44</v>
      </c>
      <c r="Q179">
        <f t="shared" si="170"/>
        <v>0</v>
      </c>
      <c r="R179">
        <f t="shared" si="171"/>
        <v>0</v>
      </c>
      <c r="S179">
        <f t="shared" si="172"/>
        <v>2546.77</v>
      </c>
      <c r="T179">
        <f t="shared" si="173"/>
        <v>0</v>
      </c>
      <c r="U179">
        <f t="shared" si="174"/>
        <v>41.344000000000001</v>
      </c>
      <c r="V179">
        <f t="shared" si="175"/>
        <v>0</v>
      </c>
      <c r="W179">
        <f t="shared" si="176"/>
        <v>0</v>
      </c>
      <c r="X179">
        <f t="shared" si="177"/>
        <v>2419.4299999999998</v>
      </c>
      <c r="Y179">
        <f t="shared" si="178"/>
        <v>1655.4</v>
      </c>
      <c r="AA179">
        <v>16802145</v>
      </c>
      <c r="AB179">
        <f t="shared" si="179"/>
        <v>156.33000000000001</v>
      </c>
      <c r="AC179">
        <f t="shared" si="202"/>
        <v>16.79</v>
      </c>
      <c r="AD179">
        <f t="shared" si="203"/>
        <v>0</v>
      </c>
      <c r="AE179">
        <f t="shared" si="204"/>
        <v>0</v>
      </c>
      <c r="AF179">
        <f t="shared" si="205"/>
        <v>139.54</v>
      </c>
      <c r="AG179">
        <f t="shared" si="180"/>
        <v>0</v>
      </c>
      <c r="AH179">
        <f t="shared" si="206"/>
        <v>15.2</v>
      </c>
      <c r="AI179">
        <f t="shared" si="207"/>
        <v>0</v>
      </c>
      <c r="AJ179">
        <f t="shared" si="181"/>
        <v>0</v>
      </c>
      <c r="AK179">
        <v>156.33000000000001</v>
      </c>
      <c r="AL179">
        <v>16.79</v>
      </c>
      <c r="AM179">
        <v>0</v>
      </c>
      <c r="AN179">
        <v>0</v>
      </c>
      <c r="AO179">
        <v>139.54</v>
      </c>
      <c r="AP179">
        <v>0</v>
      </c>
      <c r="AQ179">
        <v>15.2</v>
      </c>
      <c r="AR179">
        <v>0</v>
      </c>
      <c r="AS179">
        <v>0</v>
      </c>
      <c r="AT179">
        <v>95</v>
      </c>
      <c r="AU179">
        <v>65</v>
      </c>
      <c r="AV179">
        <v>1</v>
      </c>
      <c r="AW179">
        <v>1</v>
      </c>
      <c r="AZ179">
        <v>6.71</v>
      </c>
      <c r="BA179">
        <v>6.71</v>
      </c>
      <c r="BB179">
        <v>6.71</v>
      </c>
      <c r="BC179">
        <v>6.71</v>
      </c>
      <c r="BD179" t="s">
        <v>6</v>
      </c>
      <c r="BE179" t="s">
        <v>6</v>
      </c>
      <c r="BF179" t="s">
        <v>6</v>
      </c>
      <c r="BG179" t="s">
        <v>6</v>
      </c>
      <c r="BH179">
        <v>0</v>
      </c>
      <c r="BI179">
        <v>2</v>
      </c>
      <c r="BJ179" t="s">
        <v>448</v>
      </c>
      <c r="BM179">
        <v>108001</v>
      </c>
      <c r="BN179">
        <v>0</v>
      </c>
      <c r="BO179" t="s">
        <v>6</v>
      </c>
      <c r="BP179">
        <v>0</v>
      </c>
      <c r="BQ179">
        <v>3</v>
      </c>
      <c r="BR179">
        <v>0</v>
      </c>
      <c r="BS179">
        <v>6.71</v>
      </c>
      <c r="BT179">
        <v>1</v>
      </c>
      <c r="BU179">
        <v>1</v>
      </c>
      <c r="BV179">
        <v>1</v>
      </c>
      <c r="BW179">
        <v>1</v>
      </c>
      <c r="BX179">
        <v>1</v>
      </c>
      <c r="BY179" t="s">
        <v>6</v>
      </c>
      <c r="BZ179">
        <v>95</v>
      </c>
      <c r="CA179">
        <v>65</v>
      </c>
      <c r="CE179">
        <v>0</v>
      </c>
      <c r="CF179">
        <v>0</v>
      </c>
      <c r="CG179">
        <v>0</v>
      </c>
      <c r="CM179">
        <v>0</v>
      </c>
      <c r="CN179" t="s">
        <v>6</v>
      </c>
      <c r="CO179">
        <v>0</v>
      </c>
      <c r="CP179">
        <f t="shared" si="182"/>
        <v>2853.21</v>
      </c>
      <c r="CQ179">
        <f t="shared" si="183"/>
        <v>112.6609</v>
      </c>
      <c r="CR179">
        <f t="shared" si="184"/>
        <v>0</v>
      </c>
      <c r="CS179">
        <f t="shared" si="185"/>
        <v>0</v>
      </c>
      <c r="CT179">
        <f t="shared" si="186"/>
        <v>936.31339999999989</v>
      </c>
      <c r="CU179">
        <f t="shared" si="187"/>
        <v>0</v>
      </c>
      <c r="CV179">
        <f t="shared" si="188"/>
        <v>15.2</v>
      </c>
      <c r="CW179">
        <f t="shared" si="189"/>
        <v>0</v>
      </c>
      <c r="CX179">
        <f t="shared" si="190"/>
        <v>0</v>
      </c>
      <c r="CY179">
        <f t="shared" si="191"/>
        <v>2419.4315000000001</v>
      </c>
      <c r="CZ179">
        <f t="shared" si="192"/>
        <v>1655.4005</v>
      </c>
      <c r="DC179" t="s">
        <v>6</v>
      </c>
      <c r="DD179" t="s">
        <v>6</v>
      </c>
      <c r="DE179" t="s">
        <v>6</v>
      </c>
      <c r="DF179" t="s">
        <v>6</v>
      </c>
      <c r="DG179" t="s">
        <v>6</v>
      </c>
      <c r="DH179" t="s">
        <v>6</v>
      </c>
      <c r="DI179" t="s">
        <v>6</v>
      </c>
      <c r="DJ179" t="s">
        <v>6</v>
      </c>
      <c r="DK179" t="s">
        <v>6</v>
      </c>
      <c r="DL179" t="s">
        <v>6</v>
      </c>
      <c r="DM179" t="s">
        <v>6</v>
      </c>
      <c r="DN179">
        <v>0</v>
      </c>
      <c r="DO179">
        <v>0</v>
      </c>
      <c r="DP179">
        <v>1</v>
      </c>
      <c r="DQ179">
        <v>1</v>
      </c>
      <c r="DU179">
        <v>1003</v>
      </c>
      <c r="DV179" t="s">
        <v>18</v>
      </c>
      <c r="DW179" t="s">
        <v>18</v>
      </c>
      <c r="DX179">
        <v>100</v>
      </c>
      <c r="EE179">
        <v>16510370</v>
      </c>
      <c r="EF179">
        <v>3</v>
      </c>
      <c r="EG179" t="s">
        <v>390</v>
      </c>
      <c r="EH179">
        <v>0</v>
      </c>
      <c r="EI179" t="s">
        <v>6</v>
      </c>
      <c r="EJ179">
        <v>2</v>
      </c>
      <c r="EK179">
        <v>108001</v>
      </c>
      <c r="EL179" t="s">
        <v>391</v>
      </c>
      <c r="EM179" t="s">
        <v>392</v>
      </c>
      <c r="EO179" t="s">
        <v>6</v>
      </c>
      <c r="EQ179">
        <v>131072</v>
      </c>
      <c r="ER179">
        <v>156.33000000000001</v>
      </c>
      <c r="ES179">
        <v>16.79</v>
      </c>
      <c r="ET179">
        <v>0</v>
      </c>
      <c r="EU179">
        <v>0</v>
      </c>
      <c r="EV179">
        <v>139.54</v>
      </c>
      <c r="EW179">
        <v>15.2</v>
      </c>
      <c r="EX179">
        <v>0</v>
      </c>
      <c r="EY179">
        <v>0</v>
      </c>
      <c r="FQ179">
        <v>0</v>
      </c>
      <c r="FR179">
        <f t="shared" si="193"/>
        <v>0</v>
      </c>
      <c r="FS179">
        <v>0</v>
      </c>
      <c r="FX179">
        <v>95</v>
      </c>
      <c r="FY179">
        <v>65</v>
      </c>
      <c r="GA179" t="s">
        <v>6</v>
      </c>
      <c r="GD179">
        <v>0</v>
      </c>
      <c r="GF179">
        <v>-596386547</v>
      </c>
      <c r="GG179">
        <v>1</v>
      </c>
      <c r="GH179">
        <v>1</v>
      </c>
      <c r="GI179">
        <v>4</v>
      </c>
      <c r="GJ179">
        <v>0</v>
      </c>
      <c r="GK179">
        <f>ROUND(R179*(R12)/100,2)</f>
        <v>0</v>
      </c>
      <c r="GL179">
        <f t="shared" si="194"/>
        <v>0</v>
      </c>
      <c r="GM179">
        <f t="shared" si="195"/>
        <v>6928.04</v>
      </c>
      <c r="GN179">
        <f t="shared" si="196"/>
        <v>0</v>
      </c>
      <c r="GO179">
        <f t="shared" si="197"/>
        <v>6928.04</v>
      </c>
      <c r="GP179">
        <f t="shared" si="198"/>
        <v>0</v>
      </c>
      <c r="GR179">
        <v>0</v>
      </c>
      <c r="GS179">
        <v>3</v>
      </c>
      <c r="GT179">
        <v>0</v>
      </c>
      <c r="GU179" t="s">
        <v>6</v>
      </c>
      <c r="GV179">
        <f t="shared" si="199"/>
        <v>0</v>
      </c>
      <c r="GW179">
        <v>1</v>
      </c>
      <c r="GX179">
        <f t="shared" si="200"/>
        <v>0</v>
      </c>
      <c r="HA179">
        <v>0</v>
      </c>
      <c r="HB179">
        <v>0</v>
      </c>
      <c r="HC179">
        <f t="shared" si="201"/>
        <v>0</v>
      </c>
      <c r="IK179">
        <v>0</v>
      </c>
    </row>
    <row r="180" spans="1:245" x14ac:dyDescent="0.2">
      <c r="A180">
        <v>18</v>
      </c>
      <c r="B180">
        <v>1</v>
      </c>
      <c r="C180">
        <v>249</v>
      </c>
      <c r="E180" t="s">
        <v>449</v>
      </c>
      <c r="F180" t="s">
        <v>450</v>
      </c>
      <c r="G180" t="s">
        <v>451</v>
      </c>
      <c r="H180" t="s">
        <v>424</v>
      </c>
      <c r="I180">
        <f>I179*J180</f>
        <v>27.199999999999996</v>
      </c>
      <c r="J180">
        <v>9.9999999999999982</v>
      </c>
      <c r="O180">
        <f t="shared" si="168"/>
        <v>5767.38</v>
      </c>
      <c r="P180">
        <f t="shared" si="169"/>
        <v>5767.38</v>
      </c>
      <c r="Q180">
        <f t="shared" si="170"/>
        <v>0</v>
      </c>
      <c r="R180">
        <f t="shared" si="171"/>
        <v>0</v>
      </c>
      <c r="S180">
        <f t="shared" si="172"/>
        <v>0</v>
      </c>
      <c r="T180">
        <f t="shared" si="173"/>
        <v>0</v>
      </c>
      <c r="U180">
        <f t="shared" si="174"/>
        <v>0</v>
      </c>
      <c r="V180">
        <f t="shared" si="175"/>
        <v>0</v>
      </c>
      <c r="W180">
        <f t="shared" si="176"/>
        <v>0</v>
      </c>
      <c r="X180">
        <f t="shared" si="177"/>
        <v>0</v>
      </c>
      <c r="Y180">
        <f t="shared" si="178"/>
        <v>0</v>
      </c>
      <c r="AA180">
        <v>16802145</v>
      </c>
      <c r="AB180">
        <f t="shared" si="179"/>
        <v>31.6</v>
      </c>
      <c r="AC180">
        <f t="shared" si="202"/>
        <v>31.6</v>
      </c>
      <c r="AD180">
        <f t="shared" si="203"/>
        <v>0</v>
      </c>
      <c r="AE180">
        <f t="shared" si="204"/>
        <v>0</v>
      </c>
      <c r="AF180">
        <f t="shared" si="205"/>
        <v>0</v>
      </c>
      <c r="AG180">
        <f t="shared" si="180"/>
        <v>0</v>
      </c>
      <c r="AH180">
        <f t="shared" si="206"/>
        <v>0</v>
      </c>
      <c r="AI180">
        <f t="shared" si="207"/>
        <v>0</v>
      </c>
      <c r="AJ180">
        <f t="shared" si="181"/>
        <v>0</v>
      </c>
      <c r="AK180">
        <v>31.6</v>
      </c>
      <c r="AL180">
        <v>31.6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95</v>
      </c>
      <c r="AU180">
        <v>65</v>
      </c>
      <c r="AV180">
        <v>1</v>
      </c>
      <c r="AW180">
        <v>1</v>
      </c>
      <c r="AZ180">
        <v>6.71</v>
      </c>
      <c r="BA180">
        <v>1</v>
      </c>
      <c r="BB180">
        <v>1</v>
      </c>
      <c r="BC180">
        <v>6.71</v>
      </c>
      <c r="BD180" t="s">
        <v>6</v>
      </c>
      <c r="BE180" t="s">
        <v>6</v>
      </c>
      <c r="BF180" t="s">
        <v>6</v>
      </c>
      <c r="BG180" t="s">
        <v>6</v>
      </c>
      <c r="BH180">
        <v>3</v>
      </c>
      <c r="BI180">
        <v>2</v>
      </c>
      <c r="BJ180" t="s">
        <v>452</v>
      </c>
      <c r="BM180">
        <v>108001</v>
      </c>
      <c r="BN180">
        <v>0</v>
      </c>
      <c r="BO180" t="s">
        <v>6</v>
      </c>
      <c r="BP180">
        <v>0</v>
      </c>
      <c r="BQ180">
        <v>3</v>
      </c>
      <c r="BR180">
        <v>0</v>
      </c>
      <c r="BS180">
        <v>1</v>
      </c>
      <c r="BT180">
        <v>1</v>
      </c>
      <c r="BU180">
        <v>1</v>
      </c>
      <c r="BV180">
        <v>1</v>
      </c>
      <c r="BW180">
        <v>1</v>
      </c>
      <c r="BX180">
        <v>1</v>
      </c>
      <c r="BY180" t="s">
        <v>6</v>
      </c>
      <c r="BZ180">
        <v>95</v>
      </c>
      <c r="CA180">
        <v>65</v>
      </c>
      <c r="CE180">
        <v>0</v>
      </c>
      <c r="CF180">
        <v>0</v>
      </c>
      <c r="CG180">
        <v>0</v>
      </c>
      <c r="CM180">
        <v>0</v>
      </c>
      <c r="CN180" t="s">
        <v>6</v>
      </c>
      <c r="CO180">
        <v>0</v>
      </c>
      <c r="CP180">
        <f t="shared" si="182"/>
        <v>5767.38</v>
      </c>
      <c r="CQ180">
        <f t="shared" si="183"/>
        <v>212.036</v>
      </c>
      <c r="CR180">
        <f t="shared" si="184"/>
        <v>0</v>
      </c>
      <c r="CS180">
        <f t="shared" si="185"/>
        <v>0</v>
      </c>
      <c r="CT180">
        <f t="shared" si="186"/>
        <v>0</v>
      </c>
      <c r="CU180">
        <f t="shared" si="187"/>
        <v>0</v>
      </c>
      <c r="CV180">
        <f t="shared" si="188"/>
        <v>0</v>
      </c>
      <c r="CW180">
        <f t="shared" si="189"/>
        <v>0</v>
      </c>
      <c r="CX180">
        <f t="shared" si="190"/>
        <v>0</v>
      </c>
      <c r="CY180">
        <f t="shared" si="191"/>
        <v>0</v>
      </c>
      <c r="CZ180">
        <f t="shared" si="192"/>
        <v>0</v>
      </c>
      <c r="DC180" t="s">
        <v>6</v>
      </c>
      <c r="DD180" t="s">
        <v>6</v>
      </c>
      <c r="DE180" t="s">
        <v>6</v>
      </c>
      <c r="DF180" t="s">
        <v>6</v>
      </c>
      <c r="DG180" t="s">
        <v>6</v>
      </c>
      <c r="DH180" t="s">
        <v>6</v>
      </c>
      <c r="DI180" t="s">
        <v>6</v>
      </c>
      <c r="DJ180" t="s">
        <v>6</v>
      </c>
      <c r="DK180" t="s">
        <v>6</v>
      </c>
      <c r="DL180" t="s">
        <v>6</v>
      </c>
      <c r="DM180" t="s">
        <v>6</v>
      </c>
      <c r="DN180">
        <v>0</v>
      </c>
      <c r="DO180">
        <v>0</v>
      </c>
      <c r="DP180">
        <v>1</v>
      </c>
      <c r="DQ180">
        <v>1</v>
      </c>
      <c r="DU180">
        <v>1003</v>
      </c>
      <c r="DV180" t="s">
        <v>424</v>
      </c>
      <c r="DW180" t="s">
        <v>424</v>
      </c>
      <c r="DX180">
        <v>10</v>
      </c>
      <c r="EE180">
        <v>16510370</v>
      </c>
      <c r="EF180">
        <v>3</v>
      </c>
      <c r="EG180" t="s">
        <v>390</v>
      </c>
      <c r="EH180">
        <v>0</v>
      </c>
      <c r="EI180" t="s">
        <v>6</v>
      </c>
      <c r="EJ180">
        <v>2</v>
      </c>
      <c r="EK180">
        <v>108001</v>
      </c>
      <c r="EL180" t="s">
        <v>391</v>
      </c>
      <c r="EM180" t="s">
        <v>392</v>
      </c>
      <c r="EO180" t="s">
        <v>6</v>
      </c>
      <c r="EQ180">
        <v>0</v>
      </c>
      <c r="ER180">
        <v>31.6</v>
      </c>
      <c r="ES180">
        <v>31.6</v>
      </c>
      <c r="ET180">
        <v>0</v>
      </c>
      <c r="EU180">
        <v>0</v>
      </c>
      <c r="EV180">
        <v>0</v>
      </c>
      <c r="EW180">
        <v>0</v>
      </c>
      <c r="EX180">
        <v>0</v>
      </c>
      <c r="FQ180">
        <v>0</v>
      </c>
      <c r="FR180">
        <f t="shared" si="193"/>
        <v>0</v>
      </c>
      <c r="FS180">
        <v>0</v>
      </c>
      <c r="FX180">
        <v>95</v>
      </c>
      <c r="FY180">
        <v>65</v>
      </c>
      <c r="GA180" t="s">
        <v>6</v>
      </c>
      <c r="GD180">
        <v>0</v>
      </c>
      <c r="GF180">
        <v>1745554190</v>
      </c>
      <c r="GG180">
        <v>1</v>
      </c>
      <c r="GH180">
        <v>1</v>
      </c>
      <c r="GI180">
        <v>4</v>
      </c>
      <c r="GJ180">
        <v>0</v>
      </c>
      <c r="GK180">
        <f>ROUND(R180*(R12)/100,2)</f>
        <v>0</v>
      </c>
      <c r="GL180">
        <f t="shared" si="194"/>
        <v>0</v>
      </c>
      <c r="GM180">
        <f t="shared" si="195"/>
        <v>5767.38</v>
      </c>
      <c r="GN180">
        <f t="shared" si="196"/>
        <v>0</v>
      </c>
      <c r="GO180">
        <f t="shared" si="197"/>
        <v>5767.38</v>
      </c>
      <c r="GP180">
        <f t="shared" si="198"/>
        <v>0</v>
      </c>
      <c r="GR180">
        <v>0</v>
      </c>
      <c r="GS180">
        <v>3</v>
      </c>
      <c r="GT180">
        <v>0</v>
      </c>
      <c r="GU180" t="s">
        <v>6</v>
      </c>
      <c r="GV180">
        <f t="shared" si="199"/>
        <v>0</v>
      </c>
      <c r="GW180">
        <v>1</v>
      </c>
      <c r="GX180">
        <f t="shared" si="200"/>
        <v>0</v>
      </c>
      <c r="HA180">
        <v>0</v>
      </c>
      <c r="HB180">
        <v>0</v>
      </c>
      <c r="HC180">
        <f t="shared" si="201"/>
        <v>0</v>
      </c>
      <c r="IK180">
        <v>0</v>
      </c>
    </row>
    <row r="181" spans="1:245" x14ac:dyDescent="0.2">
      <c r="A181">
        <v>17</v>
      </c>
      <c r="B181">
        <v>1</v>
      </c>
      <c r="C181">
        <f>ROW(SmtRes!A259)</f>
        <v>259</v>
      </c>
      <c r="D181">
        <f>ROW(EtalonRes!A254)</f>
        <v>254</v>
      </c>
      <c r="E181" t="s">
        <v>453</v>
      </c>
      <c r="F181" t="s">
        <v>454</v>
      </c>
      <c r="G181" t="s">
        <v>455</v>
      </c>
      <c r="H181" t="s">
        <v>18</v>
      </c>
      <c r="I181">
        <f>ROUND(60/100,9)</f>
        <v>0.6</v>
      </c>
      <c r="J181">
        <v>0</v>
      </c>
      <c r="O181">
        <f t="shared" si="168"/>
        <v>204.2</v>
      </c>
      <c r="P181">
        <f t="shared" si="169"/>
        <v>54.75</v>
      </c>
      <c r="Q181">
        <f t="shared" si="170"/>
        <v>7.17</v>
      </c>
      <c r="R181">
        <f t="shared" si="171"/>
        <v>1.05</v>
      </c>
      <c r="S181">
        <f t="shared" si="172"/>
        <v>142.28</v>
      </c>
      <c r="T181">
        <f t="shared" si="173"/>
        <v>0</v>
      </c>
      <c r="U181">
        <f t="shared" si="174"/>
        <v>2.2559999999999998</v>
      </c>
      <c r="V181">
        <f t="shared" si="175"/>
        <v>1.2E-2</v>
      </c>
      <c r="W181">
        <f t="shared" si="176"/>
        <v>0</v>
      </c>
      <c r="X181">
        <f t="shared" si="177"/>
        <v>136.16</v>
      </c>
      <c r="Y181">
        <f t="shared" si="178"/>
        <v>93.16</v>
      </c>
      <c r="AA181">
        <v>16802145</v>
      </c>
      <c r="AB181">
        <f t="shared" si="179"/>
        <v>50.72</v>
      </c>
      <c r="AC181">
        <f t="shared" si="202"/>
        <v>13.6</v>
      </c>
      <c r="AD181">
        <f t="shared" si="203"/>
        <v>1.78</v>
      </c>
      <c r="AE181">
        <f t="shared" si="204"/>
        <v>0.26</v>
      </c>
      <c r="AF181">
        <f t="shared" si="205"/>
        <v>35.340000000000003</v>
      </c>
      <c r="AG181">
        <f t="shared" si="180"/>
        <v>0</v>
      </c>
      <c r="AH181">
        <f t="shared" si="206"/>
        <v>3.76</v>
      </c>
      <c r="AI181">
        <f t="shared" si="207"/>
        <v>0.02</v>
      </c>
      <c r="AJ181">
        <f t="shared" si="181"/>
        <v>0</v>
      </c>
      <c r="AK181">
        <v>50.72</v>
      </c>
      <c r="AL181">
        <v>13.6</v>
      </c>
      <c r="AM181">
        <v>1.78</v>
      </c>
      <c r="AN181">
        <v>0.26</v>
      </c>
      <c r="AO181">
        <v>35.340000000000003</v>
      </c>
      <c r="AP181">
        <v>0</v>
      </c>
      <c r="AQ181">
        <v>3.76</v>
      </c>
      <c r="AR181">
        <v>0.02</v>
      </c>
      <c r="AS181">
        <v>0</v>
      </c>
      <c r="AT181">
        <v>95</v>
      </c>
      <c r="AU181">
        <v>65</v>
      </c>
      <c r="AV181">
        <v>1</v>
      </c>
      <c r="AW181">
        <v>1</v>
      </c>
      <c r="AZ181">
        <v>6.71</v>
      </c>
      <c r="BA181">
        <v>6.71</v>
      </c>
      <c r="BB181">
        <v>6.71</v>
      </c>
      <c r="BC181">
        <v>6.71</v>
      </c>
      <c r="BD181" t="s">
        <v>6</v>
      </c>
      <c r="BE181" t="s">
        <v>6</v>
      </c>
      <c r="BF181" t="s">
        <v>6</v>
      </c>
      <c r="BG181" t="s">
        <v>6</v>
      </c>
      <c r="BH181">
        <v>0</v>
      </c>
      <c r="BI181">
        <v>2</v>
      </c>
      <c r="BJ181" t="s">
        <v>456</v>
      </c>
      <c r="BM181">
        <v>108001</v>
      </c>
      <c r="BN181">
        <v>0</v>
      </c>
      <c r="BO181" t="s">
        <v>6</v>
      </c>
      <c r="BP181">
        <v>0</v>
      </c>
      <c r="BQ181">
        <v>3</v>
      </c>
      <c r="BR181">
        <v>0</v>
      </c>
      <c r="BS181">
        <v>6.71</v>
      </c>
      <c r="BT181">
        <v>1</v>
      </c>
      <c r="BU181">
        <v>1</v>
      </c>
      <c r="BV181">
        <v>1</v>
      </c>
      <c r="BW181">
        <v>1</v>
      </c>
      <c r="BX181">
        <v>1</v>
      </c>
      <c r="BY181" t="s">
        <v>6</v>
      </c>
      <c r="BZ181">
        <v>95</v>
      </c>
      <c r="CA181">
        <v>65</v>
      </c>
      <c r="CE181">
        <v>0</v>
      </c>
      <c r="CF181">
        <v>0</v>
      </c>
      <c r="CG181">
        <v>0</v>
      </c>
      <c r="CM181">
        <v>0</v>
      </c>
      <c r="CN181" t="s">
        <v>6</v>
      </c>
      <c r="CO181">
        <v>0</v>
      </c>
      <c r="CP181">
        <f t="shared" si="182"/>
        <v>204.2</v>
      </c>
      <c r="CQ181">
        <f t="shared" si="183"/>
        <v>91.256</v>
      </c>
      <c r="CR181">
        <f t="shared" si="184"/>
        <v>11.9438</v>
      </c>
      <c r="CS181">
        <f t="shared" si="185"/>
        <v>1.7446000000000002</v>
      </c>
      <c r="CT181">
        <f t="shared" si="186"/>
        <v>237.13140000000001</v>
      </c>
      <c r="CU181">
        <f t="shared" si="187"/>
        <v>0</v>
      </c>
      <c r="CV181">
        <f t="shared" si="188"/>
        <v>3.76</v>
      </c>
      <c r="CW181">
        <f t="shared" si="189"/>
        <v>0.02</v>
      </c>
      <c r="CX181">
        <f t="shared" si="190"/>
        <v>0</v>
      </c>
      <c r="CY181">
        <f t="shared" si="191"/>
        <v>136.1635</v>
      </c>
      <c r="CZ181">
        <f t="shared" si="192"/>
        <v>93.164500000000004</v>
      </c>
      <c r="DC181" t="s">
        <v>6</v>
      </c>
      <c r="DD181" t="s">
        <v>6</v>
      </c>
      <c r="DE181" t="s">
        <v>6</v>
      </c>
      <c r="DF181" t="s">
        <v>6</v>
      </c>
      <c r="DG181" t="s">
        <v>6</v>
      </c>
      <c r="DH181" t="s">
        <v>6</v>
      </c>
      <c r="DI181" t="s">
        <v>6</v>
      </c>
      <c r="DJ181" t="s">
        <v>6</v>
      </c>
      <c r="DK181" t="s">
        <v>6</v>
      </c>
      <c r="DL181" t="s">
        <v>6</v>
      </c>
      <c r="DM181" t="s">
        <v>6</v>
      </c>
      <c r="DN181">
        <v>0</v>
      </c>
      <c r="DO181">
        <v>0</v>
      </c>
      <c r="DP181">
        <v>1</v>
      </c>
      <c r="DQ181">
        <v>1</v>
      </c>
      <c r="DU181">
        <v>1003</v>
      </c>
      <c r="DV181" t="s">
        <v>18</v>
      </c>
      <c r="DW181" t="s">
        <v>18</v>
      </c>
      <c r="DX181">
        <v>100</v>
      </c>
      <c r="EE181">
        <v>16510370</v>
      </c>
      <c r="EF181">
        <v>3</v>
      </c>
      <c r="EG181" t="s">
        <v>390</v>
      </c>
      <c r="EH181">
        <v>0</v>
      </c>
      <c r="EI181" t="s">
        <v>6</v>
      </c>
      <c r="EJ181">
        <v>2</v>
      </c>
      <c r="EK181">
        <v>108001</v>
      </c>
      <c r="EL181" t="s">
        <v>391</v>
      </c>
      <c r="EM181" t="s">
        <v>392</v>
      </c>
      <c r="EO181" t="s">
        <v>6</v>
      </c>
      <c r="EQ181">
        <v>131072</v>
      </c>
      <c r="ER181">
        <v>50.72</v>
      </c>
      <c r="ES181">
        <v>13.6</v>
      </c>
      <c r="ET181">
        <v>1.78</v>
      </c>
      <c r="EU181">
        <v>0.26</v>
      </c>
      <c r="EV181">
        <v>35.340000000000003</v>
      </c>
      <c r="EW181">
        <v>3.76</v>
      </c>
      <c r="EX181">
        <v>0.02</v>
      </c>
      <c r="EY181">
        <v>0</v>
      </c>
      <c r="FQ181">
        <v>0</v>
      </c>
      <c r="FR181">
        <f t="shared" si="193"/>
        <v>0</v>
      </c>
      <c r="FS181">
        <v>0</v>
      </c>
      <c r="FX181">
        <v>95</v>
      </c>
      <c r="FY181">
        <v>65</v>
      </c>
      <c r="GA181" t="s">
        <v>6</v>
      </c>
      <c r="GD181">
        <v>0</v>
      </c>
      <c r="GF181">
        <v>-1593673300</v>
      </c>
      <c r="GG181">
        <v>1</v>
      </c>
      <c r="GH181">
        <v>1</v>
      </c>
      <c r="GI181">
        <v>4</v>
      </c>
      <c r="GJ181">
        <v>0</v>
      </c>
      <c r="GK181">
        <f>ROUND(R181*(R12)/100,2)</f>
        <v>0</v>
      </c>
      <c r="GL181">
        <f t="shared" si="194"/>
        <v>0</v>
      </c>
      <c r="GM181">
        <f t="shared" si="195"/>
        <v>433.52</v>
      </c>
      <c r="GN181">
        <f t="shared" si="196"/>
        <v>0</v>
      </c>
      <c r="GO181">
        <f t="shared" si="197"/>
        <v>433.52</v>
      </c>
      <c r="GP181">
        <f t="shared" si="198"/>
        <v>0</v>
      </c>
      <c r="GR181">
        <v>0</v>
      </c>
      <c r="GS181">
        <v>3</v>
      </c>
      <c r="GT181">
        <v>0</v>
      </c>
      <c r="GU181" t="s">
        <v>6</v>
      </c>
      <c r="GV181">
        <f t="shared" si="199"/>
        <v>0</v>
      </c>
      <c r="GW181">
        <v>1</v>
      </c>
      <c r="GX181">
        <f t="shared" si="200"/>
        <v>0</v>
      </c>
      <c r="HA181">
        <v>0</v>
      </c>
      <c r="HB181">
        <v>0</v>
      </c>
      <c r="HC181">
        <f t="shared" si="201"/>
        <v>0</v>
      </c>
      <c r="IK181">
        <v>0</v>
      </c>
    </row>
    <row r="182" spans="1:245" x14ac:dyDescent="0.2">
      <c r="A182">
        <v>18</v>
      </c>
      <c r="B182">
        <v>1</v>
      </c>
      <c r="C182">
        <v>258</v>
      </c>
      <c r="E182" t="s">
        <v>457</v>
      </c>
      <c r="F182" t="s">
        <v>458</v>
      </c>
      <c r="G182" t="s">
        <v>459</v>
      </c>
      <c r="H182" t="s">
        <v>460</v>
      </c>
      <c r="I182">
        <f>I181*J182</f>
        <v>0.06</v>
      </c>
      <c r="J182">
        <v>0.1</v>
      </c>
      <c r="O182">
        <f t="shared" si="168"/>
        <v>2786.16</v>
      </c>
      <c r="P182">
        <f t="shared" si="169"/>
        <v>2786.16</v>
      </c>
      <c r="Q182">
        <f t="shared" si="170"/>
        <v>0</v>
      </c>
      <c r="R182">
        <f t="shared" si="171"/>
        <v>0</v>
      </c>
      <c r="S182">
        <f t="shared" si="172"/>
        <v>0</v>
      </c>
      <c r="T182">
        <f t="shared" si="173"/>
        <v>0</v>
      </c>
      <c r="U182">
        <f t="shared" si="174"/>
        <v>0</v>
      </c>
      <c r="V182">
        <f t="shared" si="175"/>
        <v>0</v>
      </c>
      <c r="W182">
        <f t="shared" si="176"/>
        <v>0</v>
      </c>
      <c r="X182">
        <f t="shared" si="177"/>
        <v>0</v>
      </c>
      <c r="Y182">
        <f t="shared" si="178"/>
        <v>0</v>
      </c>
      <c r="AA182">
        <v>16802145</v>
      </c>
      <c r="AB182">
        <f t="shared" si="179"/>
        <v>6920.41</v>
      </c>
      <c r="AC182">
        <f t="shared" si="202"/>
        <v>6920.41</v>
      </c>
      <c r="AD182">
        <f t="shared" si="203"/>
        <v>0</v>
      </c>
      <c r="AE182">
        <f t="shared" si="204"/>
        <v>0</v>
      </c>
      <c r="AF182">
        <f t="shared" si="205"/>
        <v>0</v>
      </c>
      <c r="AG182">
        <f t="shared" si="180"/>
        <v>0</v>
      </c>
      <c r="AH182">
        <f t="shared" si="206"/>
        <v>0</v>
      </c>
      <c r="AI182">
        <f t="shared" si="207"/>
        <v>0</v>
      </c>
      <c r="AJ182">
        <f t="shared" si="181"/>
        <v>0</v>
      </c>
      <c r="AK182">
        <v>6920.41</v>
      </c>
      <c r="AL182">
        <v>6920.41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95</v>
      </c>
      <c r="AU182">
        <v>65</v>
      </c>
      <c r="AV182">
        <v>1</v>
      </c>
      <c r="AW182">
        <v>1</v>
      </c>
      <c r="AZ182">
        <v>6.71</v>
      </c>
      <c r="BA182">
        <v>1</v>
      </c>
      <c r="BB182">
        <v>1</v>
      </c>
      <c r="BC182">
        <v>6.71</v>
      </c>
      <c r="BD182" t="s">
        <v>6</v>
      </c>
      <c r="BE182" t="s">
        <v>6</v>
      </c>
      <c r="BF182" t="s">
        <v>6</v>
      </c>
      <c r="BG182" t="s">
        <v>6</v>
      </c>
      <c r="BH182">
        <v>3</v>
      </c>
      <c r="BI182">
        <v>2</v>
      </c>
      <c r="BJ182" t="s">
        <v>461</v>
      </c>
      <c r="BM182">
        <v>108001</v>
      </c>
      <c r="BN182">
        <v>0</v>
      </c>
      <c r="BO182" t="s">
        <v>6</v>
      </c>
      <c r="BP182">
        <v>0</v>
      </c>
      <c r="BQ182">
        <v>3</v>
      </c>
      <c r="BR182">
        <v>0</v>
      </c>
      <c r="BS182">
        <v>1</v>
      </c>
      <c r="BT182">
        <v>1</v>
      </c>
      <c r="BU182">
        <v>1</v>
      </c>
      <c r="BV182">
        <v>1</v>
      </c>
      <c r="BW182">
        <v>1</v>
      </c>
      <c r="BX182">
        <v>1</v>
      </c>
      <c r="BY182" t="s">
        <v>6</v>
      </c>
      <c r="BZ182">
        <v>95</v>
      </c>
      <c r="CA182">
        <v>65</v>
      </c>
      <c r="CE182">
        <v>0</v>
      </c>
      <c r="CF182">
        <v>0</v>
      </c>
      <c r="CG182">
        <v>0</v>
      </c>
      <c r="CM182">
        <v>0</v>
      </c>
      <c r="CN182" t="s">
        <v>6</v>
      </c>
      <c r="CO182">
        <v>0</v>
      </c>
      <c r="CP182">
        <f t="shared" si="182"/>
        <v>2786.16</v>
      </c>
      <c r="CQ182">
        <f t="shared" si="183"/>
        <v>46435.951099999998</v>
      </c>
      <c r="CR182">
        <f t="shared" si="184"/>
        <v>0</v>
      </c>
      <c r="CS182">
        <f t="shared" si="185"/>
        <v>0</v>
      </c>
      <c r="CT182">
        <f t="shared" si="186"/>
        <v>0</v>
      </c>
      <c r="CU182">
        <f t="shared" si="187"/>
        <v>0</v>
      </c>
      <c r="CV182">
        <f t="shared" si="188"/>
        <v>0</v>
      </c>
      <c r="CW182">
        <f t="shared" si="189"/>
        <v>0</v>
      </c>
      <c r="CX182">
        <f t="shared" si="190"/>
        <v>0</v>
      </c>
      <c r="CY182">
        <f t="shared" si="191"/>
        <v>0</v>
      </c>
      <c r="CZ182">
        <f t="shared" si="192"/>
        <v>0</v>
      </c>
      <c r="DC182" t="s">
        <v>6</v>
      </c>
      <c r="DD182" t="s">
        <v>6</v>
      </c>
      <c r="DE182" t="s">
        <v>6</v>
      </c>
      <c r="DF182" t="s">
        <v>6</v>
      </c>
      <c r="DG182" t="s">
        <v>6</v>
      </c>
      <c r="DH182" t="s">
        <v>6</v>
      </c>
      <c r="DI182" t="s">
        <v>6</v>
      </c>
      <c r="DJ182" t="s">
        <v>6</v>
      </c>
      <c r="DK182" t="s">
        <v>6</v>
      </c>
      <c r="DL182" t="s">
        <v>6</v>
      </c>
      <c r="DM182" t="s">
        <v>6</v>
      </c>
      <c r="DN182">
        <v>0</v>
      </c>
      <c r="DO182">
        <v>0</v>
      </c>
      <c r="DP182">
        <v>1</v>
      </c>
      <c r="DQ182">
        <v>1</v>
      </c>
      <c r="DU182">
        <v>1013</v>
      </c>
      <c r="DV182" t="s">
        <v>460</v>
      </c>
      <c r="DW182" t="s">
        <v>462</v>
      </c>
      <c r="DX182">
        <v>1</v>
      </c>
      <c r="EE182">
        <v>16510370</v>
      </c>
      <c r="EF182">
        <v>3</v>
      </c>
      <c r="EG182" t="s">
        <v>390</v>
      </c>
      <c r="EH182">
        <v>0</v>
      </c>
      <c r="EI182" t="s">
        <v>6</v>
      </c>
      <c r="EJ182">
        <v>2</v>
      </c>
      <c r="EK182">
        <v>108001</v>
      </c>
      <c r="EL182" t="s">
        <v>391</v>
      </c>
      <c r="EM182" t="s">
        <v>392</v>
      </c>
      <c r="EO182" t="s">
        <v>6</v>
      </c>
      <c r="EQ182">
        <v>0</v>
      </c>
      <c r="ER182">
        <v>6920.41</v>
      </c>
      <c r="ES182">
        <v>6920.41</v>
      </c>
      <c r="ET182">
        <v>0</v>
      </c>
      <c r="EU182">
        <v>0</v>
      </c>
      <c r="EV182">
        <v>0</v>
      </c>
      <c r="EW182">
        <v>0</v>
      </c>
      <c r="EX182">
        <v>0</v>
      </c>
      <c r="FQ182">
        <v>0</v>
      </c>
      <c r="FR182">
        <f t="shared" si="193"/>
        <v>0</v>
      </c>
      <c r="FS182">
        <v>0</v>
      </c>
      <c r="FX182">
        <v>95</v>
      </c>
      <c r="FY182">
        <v>65</v>
      </c>
      <c r="GA182" t="s">
        <v>6</v>
      </c>
      <c r="GD182">
        <v>0</v>
      </c>
      <c r="GF182">
        <v>559331636</v>
      </c>
      <c r="GG182">
        <v>1</v>
      </c>
      <c r="GH182">
        <v>1</v>
      </c>
      <c r="GI182">
        <v>4</v>
      </c>
      <c r="GJ182">
        <v>0</v>
      </c>
      <c r="GK182">
        <f>ROUND(R182*(R12)/100,2)</f>
        <v>0</v>
      </c>
      <c r="GL182">
        <f t="shared" si="194"/>
        <v>0</v>
      </c>
      <c r="GM182">
        <f t="shared" si="195"/>
        <v>2786.16</v>
      </c>
      <c r="GN182">
        <f t="shared" si="196"/>
        <v>0</v>
      </c>
      <c r="GO182">
        <f t="shared" si="197"/>
        <v>2786.16</v>
      </c>
      <c r="GP182">
        <f t="shared" si="198"/>
        <v>0</v>
      </c>
      <c r="GR182">
        <v>0</v>
      </c>
      <c r="GS182">
        <v>3</v>
      </c>
      <c r="GT182">
        <v>0</v>
      </c>
      <c r="GU182" t="s">
        <v>6</v>
      </c>
      <c r="GV182">
        <f t="shared" si="199"/>
        <v>0</v>
      </c>
      <c r="GW182">
        <v>1</v>
      </c>
      <c r="GX182">
        <f t="shared" si="200"/>
        <v>0</v>
      </c>
      <c r="HA182">
        <v>0</v>
      </c>
      <c r="HB182">
        <v>0</v>
      </c>
      <c r="HC182">
        <f t="shared" si="201"/>
        <v>0</v>
      </c>
      <c r="IK182">
        <v>0</v>
      </c>
    </row>
    <row r="183" spans="1:245" x14ac:dyDescent="0.2">
      <c r="A183">
        <v>17</v>
      </c>
      <c r="B183">
        <v>1</v>
      </c>
      <c r="C183">
        <f>ROW(SmtRes!A270)</f>
        <v>270</v>
      </c>
      <c r="D183">
        <f>ROW(EtalonRes!A264)</f>
        <v>264</v>
      </c>
      <c r="E183" t="s">
        <v>463</v>
      </c>
      <c r="F183" t="s">
        <v>464</v>
      </c>
      <c r="G183" t="s">
        <v>465</v>
      </c>
      <c r="H183" t="s">
        <v>18</v>
      </c>
      <c r="I183">
        <f>ROUND(532/100,9)</f>
        <v>5.32</v>
      </c>
      <c r="J183">
        <v>0</v>
      </c>
      <c r="O183">
        <f t="shared" si="168"/>
        <v>3111.02</v>
      </c>
      <c r="P183">
        <f t="shared" si="169"/>
        <v>809.97</v>
      </c>
      <c r="Q183">
        <f t="shared" si="170"/>
        <v>190.27</v>
      </c>
      <c r="R183">
        <f t="shared" si="171"/>
        <v>27.13</v>
      </c>
      <c r="S183">
        <f t="shared" si="172"/>
        <v>2110.7800000000002</v>
      </c>
      <c r="T183">
        <f t="shared" si="173"/>
        <v>0</v>
      </c>
      <c r="U183">
        <f t="shared" si="174"/>
        <v>33.462800000000001</v>
      </c>
      <c r="V183">
        <f t="shared" si="175"/>
        <v>0.31919999999999998</v>
      </c>
      <c r="W183">
        <f t="shared" si="176"/>
        <v>0</v>
      </c>
      <c r="X183">
        <f t="shared" si="177"/>
        <v>2031.01</v>
      </c>
      <c r="Y183">
        <f t="shared" si="178"/>
        <v>1389.64</v>
      </c>
      <c r="AA183">
        <v>16802145</v>
      </c>
      <c r="AB183">
        <f t="shared" si="179"/>
        <v>87.15</v>
      </c>
      <c r="AC183">
        <f t="shared" si="202"/>
        <v>22.69</v>
      </c>
      <c r="AD183">
        <f t="shared" si="203"/>
        <v>5.33</v>
      </c>
      <c r="AE183">
        <f t="shared" si="204"/>
        <v>0.76</v>
      </c>
      <c r="AF183">
        <f t="shared" si="205"/>
        <v>59.13</v>
      </c>
      <c r="AG183">
        <f t="shared" si="180"/>
        <v>0</v>
      </c>
      <c r="AH183">
        <f t="shared" si="206"/>
        <v>6.29</v>
      </c>
      <c r="AI183">
        <f t="shared" si="207"/>
        <v>0.06</v>
      </c>
      <c r="AJ183">
        <f t="shared" si="181"/>
        <v>0</v>
      </c>
      <c r="AK183">
        <v>87.15</v>
      </c>
      <c r="AL183">
        <v>22.69</v>
      </c>
      <c r="AM183">
        <v>5.33</v>
      </c>
      <c r="AN183">
        <v>0.76</v>
      </c>
      <c r="AO183">
        <v>59.13</v>
      </c>
      <c r="AP183">
        <v>0</v>
      </c>
      <c r="AQ183">
        <v>6.29</v>
      </c>
      <c r="AR183">
        <v>0.06</v>
      </c>
      <c r="AS183">
        <v>0</v>
      </c>
      <c r="AT183">
        <v>95</v>
      </c>
      <c r="AU183">
        <v>65</v>
      </c>
      <c r="AV183">
        <v>1</v>
      </c>
      <c r="AW183">
        <v>1</v>
      </c>
      <c r="AZ183">
        <v>6.71</v>
      </c>
      <c r="BA183">
        <v>6.71</v>
      </c>
      <c r="BB183">
        <v>6.71</v>
      </c>
      <c r="BC183">
        <v>6.71</v>
      </c>
      <c r="BD183" t="s">
        <v>6</v>
      </c>
      <c r="BE183" t="s">
        <v>6</v>
      </c>
      <c r="BF183" t="s">
        <v>6</v>
      </c>
      <c r="BG183" t="s">
        <v>6</v>
      </c>
      <c r="BH183">
        <v>0</v>
      </c>
      <c r="BI183">
        <v>2</v>
      </c>
      <c r="BJ183" t="s">
        <v>466</v>
      </c>
      <c r="BM183">
        <v>108001</v>
      </c>
      <c r="BN183">
        <v>0</v>
      </c>
      <c r="BO183" t="s">
        <v>6</v>
      </c>
      <c r="BP183">
        <v>0</v>
      </c>
      <c r="BQ183">
        <v>3</v>
      </c>
      <c r="BR183">
        <v>0</v>
      </c>
      <c r="BS183">
        <v>6.71</v>
      </c>
      <c r="BT183">
        <v>1</v>
      </c>
      <c r="BU183">
        <v>1</v>
      </c>
      <c r="BV183">
        <v>1</v>
      </c>
      <c r="BW183">
        <v>1</v>
      </c>
      <c r="BX183">
        <v>1</v>
      </c>
      <c r="BY183" t="s">
        <v>6</v>
      </c>
      <c r="BZ183">
        <v>95</v>
      </c>
      <c r="CA183">
        <v>65</v>
      </c>
      <c r="CE183">
        <v>0</v>
      </c>
      <c r="CF183">
        <v>0</v>
      </c>
      <c r="CG183">
        <v>0</v>
      </c>
      <c r="CM183">
        <v>0</v>
      </c>
      <c r="CN183" t="s">
        <v>6</v>
      </c>
      <c r="CO183">
        <v>0</v>
      </c>
      <c r="CP183">
        <f t="shared" si="182"/>
        <v>3111.0200000000004</v>
      </c>
      <c r="CQ183">
        <f t="shared" si="183"/>
        <v>152.2499</v>
      </c>
      <c r="CR183">
        <f t="shared" si="184"/>
        <v>35.764299999999999</v>
      </c>
      <c r="CS183">
        <f t="shared" si="185"/>
        <v>5.0995999999999997</v>
      </c>
      <c r="CT183">
        <f t="shared" si="186"/>
        <v>396.76230000000004</v>
      </c>
      <c r="CU183">
        <f t="shared" si="187"/>
        <v>0</v>
      </c>
      <c r="CV183">
        <f t="shared" si="188"/>
        <v>6.29</v>
      </c>
      <c r="CW183">
        <f t="shared" si="189"/>
        <v>0.06</v>
      </c>
      <c r="CX183">
        <f t="shared" si="190"/>
        <v>0</v>
      </c>
      <c r="CY183">
        <f t="shared" si="191"/>
        <v>2031.0145000000005</v>
      </c>
      <c r="CZ183">
        <f t="shared" si="192"/>
        <v>1389.6415000000002</v>
      </c>
      <c r="DC183" t="s">
        <v>6</v>
      </c>
      <c r="DD183" t="s">
        <v>6</v>
      </c>
      <c r="DE183" t="s">
        <v>6</v>
      </c>
      <c r="DF183" t="s">
        <v>6</v>
      </c>
      <c r="DG183" t="s">
        <v>6</v>
      </c>
      <c r="DH183" t="s">
        <v>6</v>
      </c>
      <c r="DI183" t="s">
        <v>6</v>
      </c>
      <c r="DJ183" t="s">
        <v>6</v>
      </c>
      <c r="DK183" t="s">
        <v>6</v>
      </c>
      <c r="DL183" t="s">
        <v>6</v>
      </c>
      <c r="DM183" t="s">
        <v>6</v>
      </c>
      <c r="DN183">
        <v>0</v>
      </c>
      <c r="DO183">
        <v>0</v>
      </c>
      <c r="DP183">
        <v>1</v>
      </c>
      <c r="DQ183">
        <v>1</v>
      </c>
      <c r="DU183">
        <v>1003</v>
      </c>
      <c r="DV183" t="s">
        <v>18</v>
      </c>
      <c r="DW183" t="s">
        <v>18</v>
      </c>
      <c r="DX183">
        <v>100</v>
      </c>
      <c r="EE183">
        <v>16510370</v>
      </c>
      <c r="EF183">
        <v>3</v>
      </c>
      <c r="EG183" t="s">
        <v>390</v>
      </c>
      <c r="EH183">
        <v>0</v>
      </c>
      <c r="EI183" t="s">
        <v>6</v>
      </c>
      <c r="EJ183">
        <v>2</v>
      </c>
      <c r="EK183">
        <v>108001</v>
      </c>
      <c r="EL183" t="s">
        <v>391</v>
      </c>
      <c r="EM183" t="s">
        <v>392</v>
      </c>
      <c r="EO183" t="s">
        <v>6</v>
      </c>
      <c r="EQ183">
        <v>131072</v>
      </c>
      <c r="ER183">
        <v>87.15</v>
      </c>
      <c r="ES183">
        <v>22.69</v>
      </c>
      <c r="ET183">
        <v>5.33</v>
      </c>
      <c r="EU183">
        <v>0.76</v>
      </c>
      <c r="EV183">
        <v>59.13</v>
      </c>
      <c r="EW183">
        <v>6.29</v>
      </c>
      <c r="EX183">
        <v>0.06</v>
      </c>
      <c r="EY183">
        <v>0</v>
      </c>
      <c r="FQ183">
        <v>0</v>
      </c>
      <c r="FR183">
        <f t="shared" si="193"/>
        <v>0</v>
      </c>
      <c r="FS183">
        <v>0</v>
      </c>
      <c r="FX183">
        <v>95</v>
      </c>
      <c r="FY183">
        <v>65</v>
      </c>
      <c r="GA183" t="s">
        <v>6</v>
      </c>
      <c r="GD183">
        <v>0</v>
      </c>
      <c r="GF183">
        <v>1667817228</v>
      </c>
      <c r="GG183">
        <v>1</v>
      </c>
      <c r="GH183">
        <v>1</v>
      </c>
      <c r="GI183">
        <v>4</v>
      </c>
      <c r="GJ183">
        <v>0</v>
      </c>
      <c r="GK183">
        <f>ROUND(R183*(R12)/100,2)</f>
        <v>0</v>
      </c>
      <c r="GL183">
        <f t="shared" si="194"/>
        <v>0</v>
      </c>
      <c r="GM183">
        <f t="shared" si="195"/>
        <v>6531.67</v>
      </c>
      <c r="GN183">
        <f t="shared" si="196"/>
        <v>0</v>
      </c>
      <c r="GO183">
        <f t="shared" si="197"/>
        <v>6531.67</v>
      </c>
      <c r="GP183">
        <f t="shared" si="198"/>
        <v>0</v>
      </c>
      <c r="GR183">
        <v>0</v>
      </c>
      <c r="GS183">
        <v>3</v>
      </c>
      <c r="GT183">
        <v>0</v>
      </c>
      <c r="GU183" t="s">
        <v>6</v>
      </c>
      <c r="GV183">
        <f t="shared" si="199"/>
        <v>0</v>
      </c>
      <c r="GW183">
        <v>1</v>
      </c>
      <c r="GX183">
        <f t="shared" si="200"/>
        <v>0</v>
      </c>
      <c r="HA183">
        <v>0</v>
      </c>
      <c r="HB183">
        <v>0</v>
      </c>
      <c r="HC183">
        <f t="shared" si="201"/>
        <v>0</v>
      </c>
      <c r="IK183">
        <v>0</v>
      </c>
    </row>
    <row r="184" spans="1:245" x14ac:dyDescent="0.2">
      <c r="A184">
        <v>18</v>
      </c>
      <c r="B184">
        <v>1</v>
      </c>
      <c r="C184">
        <v>269</v>
      </c>
      <c r="E184" t="s">
        <v>467</v>
      </c>
      <c r="F184" t="s">
        <v>458</v>
      </c>
      <c r="G184" t="s">
        <v>459</v>
      </c>
      <c r="H184" t="s">
        <v>460</v>
      </c>
      <c r="I184">
        <f>I183*J184</f>
        <v>0.53200000000000003</v>
      </c>
      <c r="J184">
        <v>0.1</v>
      </c>
      <c r="O184">
        <f t="shared" si="168"/>
        <v>24703.93</v>
      </c>
      <c r="P184">
        <f t="shared" si="169"/>
        <v>24703.93</v>
      </c>
      <c r="Q184">
        <f t="shared" si="170"/>
        <v>0</v>
      </c>
      <c r="R184">
        <f t="shared" si="171"/>
        <v>0</v>
      </c>
      <c r="S184">
        <f t="shared" si="172"/>
        <v>0</v>
      </c>
      <c r="T184">
        <f t="shared" si="173"/>
        <v>0</v>
      </c>
      <c r="U184">
        <f t="shared" si="174"/>
        <v>0</v>
      </c>
      <c r="V184">
        <f t="shared" si="175"/>
        <v>0</v>
      </c>
      <c r="W184">
        <f t="shared" si="176"/>
        <v>0</v>
      </c>
      <c r="X184">
        <f t="shared" si="177"/>
        <v>0</v>
      </c>
      <c r="Y184">
        <f t="shared" si="178"/>
        <v>0</v>
      </c>
      <c r="AA184">
        <v>16802145</v>
      </c>
      <c r="AB184">
        <f t="shared" si="179"/>
        <v>6920.41</v>
      </c>
      <c r="AC184">
        <f t="shared" si="202"/>
        <v>6920.41</v>
      </c>
      <c r="AD184">
        <f t="shared" si="203"/>
        <v>0</v>
      </c>
      <c r="AE184">
        <f t="shared" si="204"/>
        <v>0</v>
      </c>
      <c r="AF184">
        <f t="shared" si="205"/>
        <v>0</v>
      </c>
      <c r="AG184">
        <f t="shared" si="180"/>
        <v>0</v>
      </c>
      <c r="AH184">
        <f t="shared" si="206"/>
        <v>0</v>
      </c>
      <c r="AI184">
        <f t="shared" si="207"/>
        <v>0</v>
      </c>
      <c r="AJ184">
        <f t="shared" si="181"/>
        <v>0</v>
      </c>
      <c r="AK184">
        <v>6920.41</v>
      </c>
      <c r="AL184">
        <v>6920.41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95</v>
      </c>
      <c r="AU184">
        <v>65</v>
      </c>
      <c r="AV184">
        <v>1</v>
      </c>
      <c r="AW184">
        <v>1</v>
      </c>
      <c r="AZ184">
        <v>6.71</v>
      </c>
      <c r="BA184">
        <v>1</v>
      </c>
      <c r="BB184">
        <v>1</v>
      </c>
      <c r="BC184">
        <v>6.71</v>
      </c>
      <c r="BD184" t="s">
        <v>6</v>
      </c>
      <c r="BE184" t="s">
        <v>6</v>
      </c>
      <c r="BF184" t="s">
        <v>6</v>
      </c>
      <c r="BG184" t="s">
        <v>6</v>
      </c>
      <c r="BH184">
        <v>3</v>
      </c>
      <c r="BI184">
        <v>2</v>
      </c>
      <c r="BJ184" t="s">
        <v>461</v>
      </c>
      <c r="BM184">
        <v>108001</v>
      </c>
      <c r="BN184">
        <v>0</v>
      </c>
      <c r="BO184" t="s">
        <v>6</v>
      </c>
      <c r="BP184">
        <v>0</v>
      </c>
      <c r="BQ184">
        <v>3</v>
      </c>
      <c r="BR184">
        <v>0</v>
      </c>
      <c r="BS184">
        <v>1</v>
      </c>
      <c r="BT184">
        <v>1</v>
      </c>
      <c r="BU184">
        <v>1</v>
      </c>
      <c r="BV184">
        <v>1</v>
      </c>
      <c r="BW184">
        <v>1</v>
      </c>
      <c r="BX184">
        <v>1</v>
      </c>
      <c r="BY184" t="s">
        <v>6</v>
      </c>
      <c r="BZ184">
        <v>95</v>
      </c>
      <c r="CA184">
        <v>65</v>
      </c>
      <c r="CE184">
        <v>0</v>
      </c>
      <c r="CF184">
        <v>0</v>
      </c>
      <c r="CG184">
        <v>0</v>
      </c>
      <c r="CM184">
        <v>0</v>
      </c>
      <c r="CN184" t="s">
        <v>6</v>
      </c>
      <c r="CO184">
        <v>0</v>
      </c>
      <c r="CP184">
        <f t="shared" si="182"/>
        <v>24703.93</v>
      </c>
      <c r="CQ184">
        <f t="shared" si="183"/>
        <v>46435.951099999998</v>
      </c>
      <c r="CR184">
        <f t="shared" si="184"/>
        <v>0</v>
      </c>
      <c r="CS184">
        <f t="shared" si="185"/>
        <v>0</v>
      </c>
      <c r="CT184">
        <f t="shared" si="186"/>
        <v>0</v>
      </c>
      <c r="CU184">
        <f t="shared" si="187"/>
        <v>0</v>
      </c>
      <c r="CV184">
        <f t="shared" si="188"/>
        <v>0</v>
      </c>
      <c r="CW184">
        <f t="shared" si="189"/>
        <v>0</v>
      </c>
      <c r="CX184">
        <f t="shared" si="190"/>
        <v>0</v>
      </c>
      <c r="CY184">
        <f t="shared" si="191"/>
        <v>0</v>
      </c>
      <c r="CZ184">
        <f t="shared" si="192"/>
        <v>0</v>
      </c>
      <c r="DC184" t="s">
        <v>6</v>
      </c>
      <c r="DD184" t="s">
        <v>6</v>
      </c>
      <c r="DE184" t="s">
        <v>6</v>
      </c>
      <c r="DF184" t="s">
        <v>6</v>
      </c>
      <c r="DG184" t="s">
        <v>6</v>
      </c>
      <c r="DH184" t="s">
        <v>6</v>
      </c>
      <c r="DI184" t="s">
        <v>6</v>
      </c>
      <c r="DJ184" t="s">
        <v>6</v>
      </c>
      <c r="DK184" t="s">
        <v>6</v>
      </c>
      <c r="DL184" t="s">
        <v>6</v>
      </c>
      <c r="DM184" t="s">
        <v>6</v>
      </c>
      <c r="DN184">
        <v>0</v>
      </c>
      <c r="DO184">
        <v>0</v>
      </c>
      <c r="DP184">
        <v>1</v>
      </c>
      <c r="DQ184">
        <v>1</v>
      </c>
      <c r="DU184">
        <v>1013</v>
      </c>
      <c r="DV184" t="s">
        <v>460</v>
      </c>
      <c r="DW184" t="s">
        <v>462</v>
      </c>
      <c r="DX184">
        <v>1</v>
      </c>
      <c r="EE184">
        <v>16510370</v>
      </c>
      <c r="EF184">
        <v>3</v>
      </c>
      <c r="EG184" t="s">
        <v>390</v>
      </c>
      <c r="EH184">
        <v>0</v>
      </c>
      <c r="EI184" t="s">
        <v>6</v>
      </c>
      <c r="EJ184">
        <v>2</v>
      </c>
      <c r="EK184">
        <v>108001</v>
      </c>
      <c r="EL184" t="s">
        <v>391</v>
      </c>
      <c r="EM184" t="s">
        <v>392</v>
      </c>
      <c r="EO184" t="s">
        <v>6</v>
      </c>
      <c r="EQ184">
        <v>0</v>
      </c>
      <c r="ER184">
        <v>6920.41</v>
      </c>
      <c r="ES184">
        <v>6920.41</v>
      </c>
      <c r="ET184">
        <v>0</v>
      </c>
      <c r="EU184">
        <v>0</v>
      </c>
      <c r="EV184">
        <v>0</v>
      </c>
      <c r="EW184">
        <v>0</v>
      </c>
      <c r="EX184">
        <v>0</v>
      </c>
      <c r="FQ184">
        <v>0</v>
      </c>
      <c r="FR184">
        <f t="shared" si="193"/>
        <v>0</v>
      </c>
      <c r="FS184">
        <v>0</v>
      </c>
      <c r="FX184">
        <v>95</v>
      </c>
      <c r="FY184">
        <v>65</v>
      </c>
      <c r="GA184" t="s">
        <v>6</v>
      </c>
      <c r="GD184">
        <v>0</v>
      </c>
      <c r="GF184">
        <v>559331636</v>
      </c>
      <c r="GG184">
        <v>1</v>
      </c>
      <c r="GH184">
        <v>1</v>
      </c>
      <c r="GI184">
        <v>4</v>
      </c>
      <c r="GJ184">
        <v>0</v>
      </c>
      <c r="GK184">
        <f>ROUND(R184*(R12)/100,2)</f>
        <v>0</v>
      </c>
      <c r="GL184">
        <f t="shared" si="194"/>
        <v>0</v>
      </c>
      <c r="GM184">
        <f t="shared" si="195"/>
        <v>24703.93</v>
      </c>
      <c r="GN184">
        <f t="shared" si="196"/>
        <v>0</v>
      </c>
      <c r="GO184">
        <f t="shared" si="197"/>
        <v>24703.93</v>
      </c>
      <c r="GP184">
        <f t="shared" si="198"/>
        <v>0</v>
      </c>
      <c r="GR184">
        <v>0</v>
      </c>
      <c r="GS184">
        <v>3</v>
      </c>
      <c r="GT184">
        <v>0</v>
      </c>
      <c r="GU184" t="s">
        <v>6</v>
      </c>
      <c r="GV184">
        <f t="shared" si="199"/>
        <v>0</v>
      </c>
      <c r="GW184">
        <v>1</v>
      </c>
      <c r="GX184">
        <f t="shared" si="200"/>
        <v>0</v>
      </c>
      <c r="HA184">
        <v>0</v>
      </c>
      <c r="HB184">
        <v>0</v>
      </c>
      <c r="HC184">
        <f t="shared" si="201"/>
        <v>0</v>
      </c>
      <c r="IK184">
        <v>0</v>
      </c>
    </row>
    <row r="185" spans="1:245" x14ac:dyDescent="0.2">
      <c r="A185">
        <v>17</v>
      </c>
      <c r="B185">
        <v>1</v>
      </c>
      <c r="C185">
        <f>ROW(SmtRes!A279)</f>
        <v>279</v>
      </c>
      <c r="D185">
        <f>ROW(EtalonRes!A272)</f>
        <v>272</v>
      </c>
      <c r="E185" t="s">
        <v>468</v>
      </c>
      <c r="F185" t="s">
        <v>469</v>
      </c>
      <c r="G185" t="s">
        <v>470</v>
      </c>
      <c r="H185" t="s">
        <v>35</v>
      </c>
      <c r="I185">
        <f>ROUND(5/100,9)</f>
        <v>0.05</v>
      </c>
      <c r="J185">
        <v>0</v>
      </c>
      <c r="O185">
        <f t="shared" si="168"/>
        <v>153.11000000000001</v>
      </c>
      <c r="P185">
        <f t="shared" si="169"/>
        <v>34.619999999999997</v>
      </c>
      <c r="Q185">
        <f t="shared" si="170"/>
        <v>1.57</v>
      </c>
      <c r="R185">
        <f t="shared" si="171"/>
        <v>0.21</v>
      </c>
      <c r="S185">
        <f t="shared" si="172"/>
        <v>116.92</v>
      </c>
      <c r="T185">
        <f t="shared" si="173"/>
        <v>0</v>
      </c>
      <c r="U185">
        <f t="shared" si="174"/>
        <v>1.7565000000000002</v>
      </c>
      <c r="V185">
        <f t="shared" si="175"/>
        <v>2.5000000000000005E-3</v>
      </c>
      <c r="W185">
        <f t="shared" si="176"/>
        <v>0</v>
      </c>
      <c r="X185">
        <f t="shared" si="177"/>
        <v>111.27</v>
      </c>
      <c r="Y185">
        <f t="shared" si="178"/>
        <v>76.13</v>
      </c>
      <c r="AA185">
        <v>16802145</v>
      </c>
      <c r="AB185">
        <f t="shared" si="179"/>
        <v>456.35</v>
      </c>
      <c r="AC185">
        <f t="shared" si="202"/>
        <v>103.19</v>
      </c>
      <c r="AD185">
        <f t="shared" si="203"/>
        <v>4.67</v>
      </c>
      <c r="AE185">
        <f t="shared" si="204"/>
        <v>0.64</v>
      </c>
      <c r="AF185">
        <f t="shared" si="205"/>
        <v>348.49</v>
      </c>
      <c r="AG185">
        <f t="shared" si="180"/>
        <v>0</v>
      </c>
      <c r="AH185">
        <f t="shared" si="206"/>
        <v>35.130000000000003</v>
      </c>
      <c r="AI185">
        <f t="shared" si="207"/>
        <v>0.05</v>
      </c>
      <c r="AJ185">
        <f t="shared" si="181"/>
        <v>0</v>
      </c>
      <c r="AK185">
        <v>456.35</v>
      </c>
      <c r="AL185">
        <v>103.19</v>
      </c>
      <c r="AM185">
        <v>4.67</v>
      </c>
      <c r="AN185">
        <v>0.64</v>
      </c>
      <c r="AO185">
        <v>348.49</v>
      </c>
      <c r="AP185">
        <v>0</v>
      </c>
      <c r="AQ185">
        <v>35.130000000000003</v>
      </c>
      <c r="AR185">
        <v>0.05</v>
      </c>
      <c r="AS185">
        <v>0</v>
      </c>
      <c r="AT185">
        <v>95</v>
      </c>
      <c r="AU185">
        <v>65</v>
      </c>
      <c r="AV185">
        <v>1</v>
      </c>
      <c r="AW185">
        <v>1</v>
      </c>
      <c r="AZ185">
        <v>6.71</v>
      </c>
      <c r="BA185">
        <v>6.71</v>
      </c>
      <c r="BB185">
        <v>6.71</v>
      </c>
      <c r="BC185">
        <v>6.71</v>
      </c>
      <c r="BD185" t="s">
        <v>6</v>
      </c>
      <c r="BE185" t="s">
        <v>6</v>
      </c>
      <c r="BF185" t="s">
        <v>6</v>
      </c>
      <c r="BG185" t="s">
        <v>6</v>
      </c>
      <c r="BH185">
        <v>0</v>
      </c>
      <c r="BI185">
        <v>2</v>
      </c>
      <c r="BJ185" t="s">
        <v>471</v>
      </c>
      <c r="BM185">
        <v>108001</v>
      </c>
      <c r="BN185">
        <v>0</v>
      </c>
      <c r="BO185" t="s">
        <v>6</v>
      </c>
      <c r="BP185">
        <v>0</v>
      </c>
      <c r="BQ185">
        <v>3</v>
      </c>
      <c r="BR185">
        <v>0</v>
      </c>
      <c r="BS185">
        <v>6.71</v>
      </c>
      <c r="BT185">
        <v>1</v>
      </c>
      <c r="BU185">
        <v>1</v>
      </c>
      <c r="BV185">
        <v>1</v>
      </c>
      <c r="BW185">
        <v>1</v>
      </c>
      <c r="BX185">
        <v>1</v>
      </c>
      <c r="BY185" t="s">
        <v>6</v>
      </c>
      <c r="BZ185">
        <v>95</v>
      </c>
      <c r="CA185">
        <v>65</v>
      </c>
      <c r="CE185">
        <v>0</v>
      </c>
      <c r="CF185">
        <v>0</v>
      </c>
      <c r="CG185">
        <v>0</v>
      </c>
      <c r="CM185">
        <v>0</v>
      </c>
      <c r="CN185" t="s">
        <v>6</v>
      </c>
      <c r="CO185">
        <v>0</v>
      </c>
      <c r="CP185">
        <f t="shared" si="182"/>
        <v>153.11000000000001</v>
      </c>
      <c r="CQ185">
        <f t="shared" si="183"/>
        <v>692.4049</v>
      </c>
      <c r="CR185">
        <f t="shared" si="184"/>
        <v>31.335699999999999</v>
      </c>
      <c r="CS185">
        <f t="shared" si="185"/>
        <v>4.2944000000000004</v>
      </c>
      <c r="CT185">
        <f t="shared" si="186"/>
        <v>2338.3679000000002</v>
      </c>
      <c r="CU185">
        <f t="shared" si="187"/>
        <v>0</v>
      </c>
      <c r="CV185">
        <f t="shared" si="188"/>
        <v>35.130000000000003</v>
      </c>
      <c r="CW185">
        <f t="shared" si="189"/>
        <v>0.05</v>
      </c>
      <c r="CX185">
        <f t="shared" si="190"/>
        <v>0</v>
      </c>
      <c r="CY185">
        <f t="shared" si="191"/>
        <v>111.2735</v>
      </c>
      <c r="CZ185">
        <f t="shared" si="192"/>
        <v>76.134500000000003</v>
      </c>
      <c r="DC185" t="s">
        <v>6</v>
      </c>
      <c r="DD185" t="s">
        <v>6</v>
      </c>
      <c r="DE185" t="s">
        <v>6</v>
      </c>
      <c r="DF185" t="s">
        <v>6</v>
      </c>
      <c r="DG185" t="s">
        <v>6</v>
      </c>
      <c r="DH185" t="s">
        <v>6</v>
      </c>
      <c r="DI185" t="s">
        <v>6</v>
      </c>
      <c r="DJ185" t="s">
        <v>6</v>
      </c>
      <c r="DK185" t="s">
        <v>6</v>
      </c>
      <c r="DL185" t="s">
        <v>6</v>
      </c>
      <c r="DM185" t="s">
        <v>6</v>
      </c>
      <c r="DN185">
        <v>0</v>
      </c>
      <c r="DO185">
        <v>0</v>
      </c>
      <c r="DP185">
        <v>1</v>
      </c>
      <c r="DQ185">
        <v>1</v>
      </c>
      <c r="DU185">
        <v>1013</v>
      </c>
      <c r="DV185" t="s">
        <v>35</v>
      </c>
      <c r="DW185" t="s">
        <v>35</v>
      </c>
      <c r="DX185">
        <v>1</v>
      </c>
      <c r="EE185">
        <v>16510370</v>
      </c>
      <c r="EF185">
        <v>3</v>
      </c>
      <c r="EG185" t="s">
        <v>390</v>
      </c>
      <c r="EH185">
        <v>0</v>
      </c>
      <c r="EI185" t="s">
        <v>6</v>
      </c>
      <c r="EJ185">
        <v>2</v>
      </c>
      <c r="EK185">
        <v>108001</v>
      </c>
      <c r="EL185" t="s">
        <v>391</v>
      </c>
      <c r="EM185" t="s">
        <v>392</v>
      </c>
      <c r="EO185" t="s">
        <v>6</v>
      </c>
      <c r="EQ185">
        <v>131072</v>
      </c>
      <c r="ER185">
        <v>456.35</v>
      </c>
      <c r="ES185">
        <v>103.19</v>
      </c>
      <c r="ET185">
        <v>4.67</v>
      </c>
      <c r="EU185">
        <v>0.64</v>
      </c>
      <c r="EV185">
        <v>348.49</v>
      </c>
      <c r="EW185">
        <v>35.130000000000003</v>
      </c>
      <c r="EX185">
        <v>0.05</v>
      </c>
      <c r="EY185">
        <v>0</v>
      </c>
      <c r="FQ185">
        <v>0</v>
      </c>
      <c r="FR185">
        <f t="shared" si="193"/>
        <v>0</v>
      </c>
      <c r="FS185">
        <v>0</v>
      </c>
      <c r="FX185">
        <v>95</v>
      </c>
      <c r="FY185">
        <v>65</v>
      </c>
      <c r="GA185" t="s">
        <v>6</v>
      </c>
      <c r="GD185">
        <v>0</v>
      </c>
      <c r="GF185">
        <v>-991288307</v>
      </c>
      <c r="GG185">
        <v>1</v>
      </c>
      <c r="GH185">
        <v>1</v>
      </c>
      <c r="GI185">
        <v>4</v>
      </c>
      <c r="GJ185">
        <v>0</v>
      </c>
      <c r="GK185">
        <f>ROUND(R185*(R12)/100,2)</f>
        <v>0</v>
      </c>
      <c r="GL185">
        <f t="shared" si="194"/>
        <v>0</v>
      </c>
      <c r="GM185">
        <f t="shared" si="195"/>
        <v>340.51</v>
      </c>
      <c r="GN185">
        <f t="shared" si="196"/>
        <v>0</v>
      </c>
      <c r="GO185">
        <f t="shared" si="197"/>
        <v>340.51</v>
      </c>
      <c r="GP185">
        <f t="shared" si="198"/>
        <v>0</v>
      </c>
      <c r="GR185">
        <v>0</v>
      </c>
      <c r="GS185">
        <v>3</v>
      </c>
      <c r="GT185">
        <v>0</v>
      </c>
      <c r="GU185" t="s">
        <v>6</v>
      </c>
      <c r="GV185">
        <f t="shared" si="199"/>
        <v>0</v>
      </c>
      <c r="GW185">
        <v>1</v>
      </c>
      <c r="GX185">
        <f t="shared" si="200"/>
        <v>0</v>
      </c>
      <c r="HA185">
        <v>0</v>
      </c>
      <c r="HB185">
        <v>0</v>
      </c>
      <c r="HC185">
        <f t="shared" si="201"/>
        <v>0</v>
      </c>
      <c r="IK185">
        <v>0</v>
      </c>
    </row>
    <row r="186" spans="1:245" x14ac:dyDescent="0.2">
      <c r="A186">
        <v>18</v>
      </c>
      <c r="B186">
        <v>1</v>
      </c>
      <c r="C186">
        <v>278</v>
      </c>
      <c r="E186" t="s">
        <v>472</v>
      </c>
      <c r="F186" t="s">
        <v>473</v>
      </c>
      <c r="G186" t="s">
        <v>474</v>
      </c>
      <c r="H186" t="s">
        <v>435</v>
      </c>
      <c r="I186">
        <f>I185*J186</f>
        <v>0.5</v>
      </c>
      <c r="J186">
        <v>10</v>
      </c>
      <c r="O186">
        <f t="shared" si="168"/>
        <v>287.19</v>
      </c>
      <c r="P186">
        <f t="shared" si="169"/>
        <v>287.19</v>
      </c>
      <c r="Q186">
        <f t="shared" si="170"/>
        <v>0</v>
      </c>
      <c r="R186">
        <f t="shared" si="171"/>
        <v>0</v>
      </c>
      <c r="S186">
        <f t="shared" si="172"/>
        <v>0</v>
      </c>
      <c r="T186">
        <f t="shared" si="173"/>
        <v>0</v>
      </c>
      <c r="U186">
        <f t="shared" si="174"/>
        <v>0</v>
      </c>
      <c r="V186">
        <f t="shared" si="175"/>
        <v>0</v>
      </c>
      <c r="W186">
        <f t="shared" si="176"/>
        <v>0</v>
      </c>
      <c r="X186">
        <f t="shared" si="177"/>
        <v>0</v>
      </c>
      <c r="Y186">
        <f t="shared" si="178"/>
        <v>0</v>
      </c>
      <c r="AA186">
        <v>16802145</v>
      </c>
      <c r="AB186">
        <f t="shared" si="179"/>
        <v>85.6</v>
      </c>
      <c r="AC186">
        <f t="shared" si="202"/>
        <v>85.6</v>
      </c>
      <c r="AD186">
        <f t="shared" si="203"/>
        <v>0</v>
      </c>
      <c r="AE186">
        <f t="shared" si="204"/>
        <v>0</v>
      </c>
      <c r="AF186">
        <f t="shared" si="205"/>
        <v>0</v>
      </c>
      <c r="AG186">
        <f t="shared" si="180"/>
        <v>0</v>
      </c>
      <c r="AH186">
        <f t="shared" si="206"/>
        <v>0</v>
      </c>
      <c r="AI186">
        <f t="shared" si="207"/>
        <v>0</v>
      </c>
      <c r="AJ186">
        <f t="shared" si="181"/>
        <v>0</v>
      </c>
      <c r="AK186">
        <v>85.6</v>
      </c>
      <c r="AL186">
        <v>85.6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95</v>
      </c>
      <c r="AU186">
        <v>65</v>
      </c>
      <c r="AV186">
        <v>1</v>
      </c>
      <c r="AW186">
        <v>1</v>
      </c>
      <c r="AZ186">
        <v>6.71</v>
      </c>
      <c r="BA186">
        <v>1</v>
      </c>
      <c r="BB186">
        <v>1</v>
      </c>
      <c r="BC186">
        <v>6.71</v>
      </c>
      <c r="BD186" t="s">
        <v>6</v>
      </c>
      <c r="BE186" t="s">
        <v>6</v>
      </c>
      <c r="BF186" t="s">
        <v>6</v>
      </c>
      <c r="BG186" t="s">
        <v>6</v>
      </c>
      <c r="BH186">
        <v>3</v>
      </c>
      <c r="BI186">
        <v>2</v>
      </c>
      <c r="BJ186" t="s">
        <v>475</v>
      </c>
      <c r="BM186">
        <v>108001</v>
      </c>
      <c r="BN186">
        <v>0</v>
      </c>
      <c r="BO186" t="s">
        <v>6</v>
      </c>
      <c r="BP186">
        <v>0</v>
      </c>
      <c r="BQ186">
        <v>3</v>
      </c>
      <c r="BR186">
        <v>0</v>
      </c>
      <c r="BS186">
        <v>1</v>
      </c>
      <c r="BT186">
        <v>1</v>
      </c>
      <c r="BU186">
        <v>1</v>
      </c>
      <c r="BV186">
        <v>1</v>
      </c>
      <c r="BW186">
        <v>1</v>
      </c>
      <c r="BX186">
        <v>1</v>
      </c>
      <c r="BY186" t="s">
        <v>6</v>
      </c>
      <c r="BZ186">
        <v>95</v>
      </c>
      <c r="CA186">
        <v>65</v>
      </c>
      <c r="CE186">
        <v>0</v>
      </c>
      <c r="CF186">
        <v>0</v>
      </c>
      <c r="CG186">
        <v>0</v>
      </c>
      <c r="CM186">
        <v>0</v>
      </c>
      <c r="CN186" t="s">
        <v>6</v>
      </c>
      <c r="CO186">
        <v>0</v>
      </c>
      <c r="CP186">
        <f t="shared" si="182"/>
        <v>287.19</v>
      </c>
      <c r="CQ186">
        <f t="shared" si="183"/>
        <v>574.37599999999998</v>
      </c>
      <c r="CR186">
        <f t="shared" si="184"/>
        <v>0</v>
      </c>
      <c r="CS186">
        <f t="shared" si="185"/>
        <v>0</v>
      </c>
      <c r="CT186">
        <f t="shared" si="186"/>
        <v>0</v>
      </c>
      <c r="CU186">
        <f t="shared" si="187"/>
        <v>0</v>
      </c>
      <c r="CV186">
        <f t="shared" si="188"/>
        <v>0</v>
      </c>
      <c r="CW186">
        <f t="shared" si="189"/>
        <v>0</v>
      </c>
      <c r="CX186">
        <f t="shared" si="190"/>
        <v>0</v>
      </c>
      <c r="CY186">
        <f t="shared" si="191"/>
        <v>0</v>
      </c>
      <c r="CZ186">
        <f t="shared" si="192"/>
        <v>0</v>
      </c>
      <c r="DC186" t="s">
        <v>6</v>
      </c>
      <c r="DD186" t="s">
        <v>6</v>
      </c>
      <c r="DE186" t="s">
        <v>6</v>
      </c>
      <c r="DF186" t="s">
        <v>6</v>
      </c>
      <c r="DG186" t="s">
        <v>6</v>
      </c>
      <c r="DH186" t="s">
        <v>6</v>
      </c>
      <c r="DI186" t="s">
        <v>6</v>
      </c>
      <c r="DJ186" t="s">
        <v>6</v>
      </c>
      <c r="DK186" t="s">
        <v>6</v>
      </c>
      <c r="DL186" t="s">
        <v>6</v>
      </c>
      <c r="DM186" t="s">
        <v>6</v>
      </c>
      <c r="DN186">
        <v>0</v>
      </c>
      <c r="DO186">
        <v>0</v>
      </c>
      <c r="DP186">
        <v>1</v>
      </c>
      <c r="DQ186">
        <v>1</v>
      </c>
      <c r="DU186">
        <v>1010</v>
      </c>
      <c r="DV186" t="s">
        <v>435</v>
      </c>
      <c r="DW186" t="s">
        <v>435</v>
      </c>
      <c r="DX186">
        <v>10</v>
      </c>
      <c r="EE186">
        <v>16510370</v>
      </c>
      <c r="EF186">
        <v>3</v>
      </c>
      <c r="EG186" t="s">
        <v>390</v>
      </c>
      <c r="EH186">
        <v>0</v>
      </c>
      <c r="EI186" t="s">
        <v>6</v>
      </c>
      <c r="EJ186">
        <v>2</v>
      </c>
      <c r="EK186">
        <v>108001</v>
      </c>
      <c r="EL186" t="s">
        <v>391</v>
      </c>
      <c r="EM186" t="s">
        <v>392</v>
      </c>
      <c r="EO186" t="s">
        <v>6</v>
      </c>
      <c r="EQ186">
        <v>0</v>
      </c>
      <c r="ER186">
        <v>85.6</v>
      </c>
      <c r="ES186">
        <v>85.6</v>
      </c>
      <c r="ET186">
        <v>0</v>
      </c>
      <c r="EU186">
        <v>0</v>
      </c>
      <c r="EV186">
        <v>0</v>
      </c>
      <c r="EW186">
        <v>0</v>
      </c>
      <c r="EX186">
        <v>0</v>
      </c>
      <c r="FQ186">
        <v>0</v>
      </c>
      <c r="FR186">
        <f t="shared" si="193"/>
        <v>0</v>
      </c>
      <c r="FS186">
        <v>0</v>
      </c>
      <c r="FX186">
        <v>95</v>
      </c>
      <c r="FY186">
        <v>65</v>
      </c>
      <c r="GA186" t="s">
        <v>6</v>
      </c>
      <c r="GD186">
        <v>0</v>
      </c>
      <c r="GF186">
        <v>-656475998</v>
      </c>
      <c r="GG186">
        <v>1</v>
      </c>
      <c r="GH186">
        <v>1</v>
      </c>
      <c r="GI186">
        <v>4</v>
      </c>
      <c r="GJ186">
        <v>0</v>
      </c>
      <c r="GK186">
        <f>ROUND(R186*(R12)/100,2)</f>
        <v>0</v>
      </c>
      <c r="GL186">
        <f t="shared" si="194"/>
        <v>0</v>
      </c>
      <c r="GM186">
        <f t="shared" si="195"/>
        <v>287.19</v>
      </c>
      <c r="GN186">
        <f t="shared" si="196"/>
        <v>0</v>
      </c>
      <c r="GO186">
        <f t="shared" si="197"/>
        <v>287.19</v>
      </c>
      <c r="GP186">
        <f t="shared" si="198"/>
        <v>0</v>
      </c>
      <c r="GR186">
        <v>0</v>
      </c>
      <c r="GS186">
        <v>3</v>
      </c>
      <c r="GT186">
        <v>0</v>
      </c>
      <c r="GU186" t="s">
        <v>6</v>
      </c>
      <c r="GV186">
        <f t="shared" si="199"/>
        <v>0</v>
      </c>
      <c r="GW186">
        <v>1</v>
      </c>
      <c r="GX186">
        <f t="shared" si="200"/>
        <v>0</v>
      </c>
      <c r="HA186">
        <v>0</v>
      </c>
      <c r="HB186">
        <v>0</v>
      </c>
      <c r="HC186">
        <f t="shared" si="201"/>
        <v>0</v>
      </c>
      <c r="IK186">
        <v>0</v>
      </c>
    </row>
    <row r="187" spans="1:245" x14ac:dyDescent="0.2">
      <c r="A187">
        <v>17</v>
      </c>
      <c r="B187">
        <v>1</v>
      </c>
      <c r="C187">
        <f>ROW(SmtRes!A290)</f>
        <v>290</v>
      </c>
      <c r="D187">
        <f>ROW(EtalonRes!A281)</f>
        <v>281</v>
      </c>
      <c r="E187" t="s">
        <v>476</v>
      </c>
      <c r="F187" t="s">
        <v>477</v>
      </c>
      <c r="G187" t="s">
        <v>478</v>
      </c>
      <c r="H187" t="s">
        <v>35</v>
      </c>
      <c r="I187">
        <f>ROUND(29/100,9)</f>
        <v>0.28999999999999998</v>
      </c>
      <c r="J187">
        <v>0</v>
      </c>
      <c r="O187">
        <f t="shared" si="168"/>
        <v>883.3</v>
      </c>
      <c r="P187">
        <f t="shared" si="169"/>
        <v>207.08</v>
      </c>
      <c r="Q187">
        <f t="shared" si="170"/>
        <v>9.09</v>
      </c>
      <c r="R187">
        <f t="shared" si="171"/>
        <v>1.25</v>
      </c>
      <c r="S187">
        <f t="shared" si="172"/>
        <v>667.13</v>
      </c>
      <c r="T187">
        <f t="shared" si="173"/>
        <v>0</v>
      </c>
      <c r="U187">
        <f t="shared" si="174"/>
        <v>10.022399999999999</v>
      </c>
      <c r="V187">
        <f t="shared" si="175"/>
        <v>1.4499999999999999E-2</v>
      </c>
      <c r="W187">
        <f t="shared" si="176"/>
        <v>0</v>
      </c>
      <c r="X187">
        <f t="shared" si="177"/>
        <v>634.96</v>
      </c>
      <c r="Y187">
        <f t="shared" si="178"/>
        <v>434.45</v>
      </c>
      <c r="AA187">
        <v>16802145</v>
      </c>
      <c r="AB187">
        <f t="shared" si="179"/>
        <v>453.93</v>
      </c>
      <c r="AC187">
        <f t="shared" si="202"/>
        <v>106.42</v>
      </c>
      <c r="AD187">
        <f t="shared" si="203"/>
        <v>4.67</v>
      </c>
      <c r="AE187">
        <f t="shared" si="204"/>
        <v>0.64</v>
      </c>
      <c r="AF187">
        <f t="shared" si="205"/>
        <v>342.84</v>
      </c>
      <c r="AG187">
        <f t="shared" si="180"/>
        <v>0</v>
      </c>
      <c r="AH187">
        <f t="shared" si="206"/>
        <v>34.56</v>
      </c>
      <c r="AI187">
        <f t="shared" si="207"/>
        <v>0.05</v>
      </c>
      <c r="AJ187">
        <f t="shared" si="181"/>
        <v>0</v>
      </c>
      <c r="AK187">
        <v>453.93</v>
      </c>
      <c r="AL187">
        <v>106.42</v>
      </c>
      <c r="AM187">
        <v>4.67</v>
      </c>
      <c r="AN187">
        <v>0.64</v>
      </c>
      <c r="AO187">
        <v>342.84</v>
      </c>
      <c r="AP187">
        <v>0</v>
      </c>
      <c r="AQ187">
        <v>34.56</v>
      </c>
      <c r="AR187">
        <v>0.05</v>
      </c>
      <c r="AS187">
        <v>0</v>
      </c>
      <c r="AT187">
        <v>95</v>
      </c>
      <c r="AU187">
        <v>65</v>
      </c>
      <c r="AV187">
        <v>1</v>
      </c>
      <c r="AW187">
        <v>1</v>
      </c>
      <c r="AZ187">
        <v>6.71</v>
      </c>
      <c r="BA187">
        <v>6.71</v>
      </c>
      <c r="BB187">
        <v>6.71</v>
      </c>
      <c r="BC187">
        <v>6.71</v>
      </c>
      <c r="BD187" t="s">
        <v>6</v>
      </c>
      <c r="BE187" t="s">
        <v>6</v>
      </c>
      <c r="BF187" t="s">
        <v>6</v>
      </c>
      <c r="BG187" t="s">
        <v>6</v>
      </c>
      <c r="BH187">
        <v>0</v>
      </c>
      <c r="BI187">
        <v>2</v>
      </c>
      <c r="BJ187" t="s">
        <v>479</v>
      </c>
      <c r="BM187">
        <v>108001</v>
      </c>
      <c r="BN187">
        <v>0</v>
      </c>
      <c r="BO187" t="s">
        <v>6</v>
      </c>
      <c r="BP187">
        <v>0</v>
      </c>
      <c r="BQ187">
        <v>3</v>
      </c>
      <c r="BR187">
        <v>0</v>
      </c>
      <c r="BS187">
        <v>6.71</v>
      </c>
      <c r="BT187">
        <v>1</v>
      </c>
      <c r="BU187">
        <v>1</v>
      </c>
      <c r="BV187">
        <v>1</v>
      </c>
      <c r="BW187">
        <v>1</v>
      </c>
      <c r="BX187">
        <v>1</v>
      </c>
      <c r="BY187" t="s">
        <v>6</v>
      </c>
      <c r="BZ187">
        <v>95</v>
      </c>
      <c r="CA187">
        <v>65</v>
      </c>
      <c r="CE187">
        <v>0</v>
      </c>
      <c r="CF187">
        <v>0</v>
      </c>
      <c r="CG187">
        <v>0</v>
      </c>
      <c r="CM187">
        <v>0</v>
      </c>
      <c r="CN187" t="s">
        <v>6</v>
      </c>
      <c r="CO187">
        <v>0</v>
      </c>
      <c r="CP187">
        <f t="shared" si="182"/>
        <v>883.3</v>
      </c>
      <c r="CQ187">
        <f t="shared" si="183"/>
        <v>714.07820000000004</v>
      </c>
      <c r="CR187">
        <f t="shared" si="184"/>
        <v>31.335699999999999</v>
      </c>
      <c r="CS187">
        <f t="shared" si="185"/>
        <v>4.2944000000000004</v>
      </c>
      <c r="CT187">
        <f t="shared" si="186"/>
        <v>2300.4564</v>
      </c>
      <c r="CU187">
        <f t="shared" si="187"/>
        <v>0</v>
      </c>
      <c r="CV187">
        <f t="shared" si="188"/>
        <v>34.56</v>
      </c>
      <c r="CW187">
        <f t="shared" si="189"/>
        <v>0.05</v>
      </c>
      <c r="CX187">
        <f t="shared" si="190"/>
        <v>0</v>
      </c>
      <c r="CY187">
        <f t="shared" si="191"/>
        <v>634.96100000000001</v>
      </c>
      <c r="CZ187">
        <f t="shared" si="192"/>
        <v>434.44699999999995</v>
      </c>
      <c r="DC187" t="s">
        <v>6</v>
      </c>
      <c r="DD187" t="s">
        <v>6</v>
      </c>
      <c r="DE187" t="s">
        <v>6</v>
      </c>
      <c r="DF187" t="s">
        <v>6</v>
      </c>
      <c r="DG187" t="s">
        <v>6</v>
      </c>
      <c r="DH187" t="s">
        <v>6</v>
      </c>
      <c r="DI187" t="s">
        <v>6</v>
      </c>
      <c r="DJ187" t="s">
        <v>6</v>
      </c>
      <c r="DK187" t="s">
        <v>6</v>
      </c>
      <c r="DL187" t="s">
        <v>6</v>
      </c>
      <c r="DM187" t="s">
        <v>6</v>
      </c>
      <c r="DN187">
        <v>0</v>
      </c>
      <c r="DO187">
        <v>0</v>
      </c>
      <c r="DP187">
        <v>1</v>
      </c>
      <c r="DQ187">
        <v>1</v>
      </c>
      <c r="DU187">
        <v>1013</v>
      </c>
      <c r="DV187" t="s">
        <v>35</v>
      </c>
      <c r="DW187" t="s">
        <v>35</v>
      </c>
      <c r="DX187">
        <v>1</v>
      </c>
      <c r="EE187">
        <v>16510370</v>
      </c>
      <c r="EF187">
        <v>3</v>
      </c>
      <c r="EG187" t="s">
        <v>390</v>
      </c>
      <c r="EH187">
        <v>0</v>
      </c>
      <c r="EI187" t="s">
        <v>6</v>
      </c>
      <c r="EJ187">
        <v>2</v>
      </c>
      <c r="EK187">
        <v>108001</v>
      </c>
      <c r="EL187" t="s">
        <v>391</v>
      </c>
      <c r="EM187" t="s">
        <v>392</v>
      </c>
      <c r="EO187" t="s">
        <v>6</v>
      </c>
      <c r="EQ187">
        <v>131072</v>
      </c>
      <c r="ER187">
        <v>453.93</v>
      </c>
      <c r="ES187">
        <v>106.42</v>
      </c>
      <c r="ET187">
        <v>4.67</v>
      </c>
      <c r="EU187">
        <v>0.64</v>
      </c>
      <c r="EV187">
        <v>342.84</v>
      </c>
      <c r="EW187">
        <v>34.56</v>
      </c>
      <c r="EX187">
        <v>0.05</v>
      </c>
      <c r="EY187">
        <v>0</v>
      </c>
      <c r="FQ187">
        <v>0</v>
      </c>
      <c r="FR187">
        <f t="shared" si="193"/>
        <v>0</v>
      </c>
      <c r="FS187">
        <v>0</v>
      </c>
      <c r="FX187">
        <v>95</v>
      </c>
      <c r="FY187">
        <v>65</v>
      </c>
      <c r="GA187" t="s">
        <v>6</v>
      </c>
      <c r="GD187">
        <v>0</v>
      </c>
      <c r="GF187">
        <v>1188648583</v>
      </c>
      <c r="GG187">
        <v>1</v>
      </c>
      <c r="GH187">
        <v>1</v>
      </c>
      <c r="GI187">
        <v>4</v>
      </c>
      <c r="GJ187">
        <v>0</v>
      </c>
      <c r="GK187">
        <f>ROUND(R187*(R12)/100,2)</f>
        <v>0</v>
      </c>
      <c r="GL187">
        <f t="shared" si="194"/>
        <v>0</v>
      </c>
      <c r="GM187">
        <f t="shared" si="195"/>
        <v>1952.71</v>
      </c>
      <c r="GN187">
        <f t="shared" si="196"/>
        <v>0</v>
      </c>
      <c r="GO187">
        <f t="shared" si="197"/>
        <v>1952.71</v>
      </c>
      <c r="GP187">
        <f t="shared" si="198"/>
        <v>0</v>
      </c>
      <c r="GR187">
        <v>0</v>
      </c>
      <c r="GS187">
        <v>3</v>
      </c>
      <c r="GT187">
        <v>0</v>
      </c>
      <c r="GU187" t="s">
        <v>6</v>
      </c>
      <c r="GV187">
        <f t="shared" si="199"/>
        <v>0</v>
      </c>
      <c r="GW187">
        <v>1</v>
      </c>
      <c r="GX187">
        <f t="shared" si="200"/>
        <v>0</v>
      </c>
      <c r="HA187">
        <v>0</v>
      </c>
      <c r="HB187">
        <v>0</v>
      </c>
      <c r="HC187">
        <f t="shared" si="201"/>
        <v>0</v>
      </c>
      <c r="IK187">
        <v>0</v>
      </c>
    </row>
    <row r="188" spans="1:245" x14ac:dyDescent="0.2">
      <c r="A188">
        <v>18</v>
      </c>
      <c r="B188">
        <v>1</v>
      </c>
      <c r="C188">
        <v>288</v>
      </c>
      <c r="E188" t="s">
        <v>480</v>
      </c>
      <c r="F188" t="s">
        <v>481</v>
      </c>
      <c r="G188" t="s">
        <v>482</v>
      </c>
      <c r="H188" t="s">
        <v>126</v>
      </c>
      <c r="I188">
        <f>I187*J188</f>
        <v>0.24</v>
      </c>
      <c r="J188">
        <v>0.82758620689655171</v>
      </c>
      <c r="O188">
        <f t="shared" si="168"/>
        <v>1447.75</v>
      </c>
      <c r="P188">
        <f t="shared" si="169"/>
        <v>1447.75</v>
      </c>
      <c r="Q188">
        <f t="shared" si="170"/>
        <v>0</v>
      </c>
      <c r="R188">
        <f t="shared" si="171"/>
        <v>0</v>
      </c>
      <c r="S188">
        <f t="shared" si="172"/>
        <v>0</v>
      </c>
      <c r="T188">
        <f t="shared" si="173"/>
        <v>0</v>
      </c>
      <c r="U188">
        <f t="shared" si="174"/>
        <v>0</v>
      </c>
      <c r="V188">
        <f t="shared" si="175"/>
        <v>0</v>
      </c>
      <c r="W188">
        <f t="shared" si="176"/>
        <v>0</v>
      </c>
      <c r="X188">
        <f t="shared" si="177"/>
        <v>0</v>
      </c>
      <c r="Y188">
        <f t="shared" si="178"/>
        <v>0</v>
      </c>
      <c r="AA188">
        <v>16802145</v>
      </c>
      <c r="AB188">
        <f t="shared" si="179"/>
        <v>899</v>
      </c>
      <c r="AC188">
        <f t="shared" si="202"/>
        <v>899</v>
      </c>
      <c r="AD188">
        <f t="shared" si="203"/>
        <v>0</v>
      </c>
      <c r="AE188">
        <f t="shared" si="204"/>
        <v>0</v>
      </c>
      <c r="AF188">
        <f t="shared" si="205"/>
        <v>0</v>
      </c>
      <c r="AG188">
        <f t="shared" si="180"/>
        <v>0</v>
      </c>
      <c r="AH188">
        <f t="shared" si="206"/>
        <v>0</v>
      </c>
      <c r="AI188">
        <f t="shared" si="207"/>
        <v>0</v>
      </c>
      <c r="AJ188">
        <f t="shared" si="181"/>
        <v>0</v>
      </c>
      <c r="AK188">
        <v>899</v>
      </c>
      <c r="AL188">
        <v>899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95</v>
      </c>
      <c r="AU188">
        <v>65</v>
      </c>
      <c r="AV188">
        <v>1</v>
      </c>
      <c r="AW188">
        <v>1</v>
      </c>
      <c r="AZ188">
        <v>6.71</v>
      </c>
      <c r="BA188">
        <v>1</v>
      </c>
      <c r="BB188">
        <v>1</v>
      </c>
      <c r="BC188">
        <v>6.71</v>
      </c>
      <c r="BD188" t="s">
        <v>6</v>
      </c>
      <c r="BE188" t="s">
        <v>6</v>
      </c>
      <c r="BF188" t="s">
        <v>6</v>
      </c>
      <c r="BG188" t="s">
        <v>6</v>
      </c>
      <c r="BH188">
        <v>3</v>
      </c>
      <c r="BI188">
        <v>2</v>
      </c>
      <c r="BJ188" t="s">
        <v>483</v>
      </c>
      <c r="BM188">
        <v>108001</v>
      </c>
      <c r="BN188">
        <v>0</v>
      </c>
      <c r="BO188" t="s">
        <v>6</v>
      </c>
      <c r="BP188">
        <v>0</v>
      </c>
      <c r="BQ188">
        <v>3</v>
      </c>
      <c r="BR188">
        <v>0</v>
      </c>
      <c r="BS188">
        <v>1</v>
      </c>
      <c r="BT188">
        <v>1</v>
      </c>
      <c r="BU188">
        <v>1</v>
      </c>
      <c r="BV188">
        <v>1</v>
      </c>
      <c r="BW188">
        <v>1</v>
      </c>
      <c r="BX188">
        <v>1</v>
      </c>
      <c r="BY188" t="s">
        <v>6</v>
      </c>
      <c r="BZ188">
        <v>95</v>
      </c>
      <c r="CA188">
        <v>65</v>
      </c>
      <c r="CE188">
        <v>0</v>
      </c>
      <c r="CF188">
        <v>0</v>
      </c>
      <c r="CG188">
        <v>0</v>
      </c>
      <c r="CM188">
        <v>0</v>
      </c>
      <c r="CN188" t="s">
        <v>6</v>
      </c>
      <c r="CO188">
        <v>0</v>
      </c>
      <c r="CP188">
        <f t="shared" si="182"/>
        <v>1447.75</v>
      </c>
      <c r="CQ188">
        <f t="shared" si="183"/>
        <v>6032.29</v>
      </c>
      <c r="CR188">
        <f t="shared" si="184"/>
        <v>0</v>
      </c>
      <c r="CS188">
        <f t="shared" si="185"/>
        <v>0</v>
      </c>
      <c r="CT188">
        <f t="shared" si="186"/>
        <v>0</v>
      </c>
      <c r="CU188">
        <f t="shared" si="187"/>
        <v>0</v>
      </c>
      <c r="CV188">
        <f t="shared" si="188"/>
        <v>0</v>
      </c>
      <c r="CW188">
        <f t="shared" si="189"/>
        <v>0</v>
      </c>
      <c r="CX188">
        <f t="shared" si="190"/>
        <v>0</v>
      </c>
      <c r="CY188">
        <f t="shared" si="191"/>
        <v>0</v>
      </c>
      <c r="CZ188">
        <f t="shared" si="192"/>
        <v>0</v>
      </c>
      <c r="DC188" t="s">
        <v>6</v>
      </c>
      <c r="DD188" t="s">
        <v>6</v>
      </c>
      <c r="DE188" t="s">
        <v>6</v>
      </c>
      <c r="DF188" t="s">
        <v>6</v>
      </c>
      <c r="DG188" t="s">
        <v>6</v>
      </c>
      <c r="DH188" t="s">
        <v>6</v>
      </c>
      <c r="DI188" t="s">
        <v>6</v>
      </c>
      <c r="DJ188" t="s">
        <v>6</v>
      </c>
      <c r="DK188" t="s">
        <v>6</v>
      </c>
      <c r="DL188" t="s">
        <v>6</v>
      </c>
      <c r="DM188" t="s">
        <v>6</v>
      </c>
      <c r="DN188">
        <v>0</v>
      </c>
      <c r="DO188">
        <v>0</v>
      </c>
      <c r="DP188">
        <v>1</v>
      </c>
      <c r="DQ188">
        <v>1</v>
      </c>
      <c r="DU188">
        <v>1010</v>
      </c>
      <c r="DV188" t="s">
        <v>126</v>
      </c>
      <c r="DW188" t="s">
        <v>126</v>
      </c>
      <c r="DX188">
        <v>100</v>
      </c>
      <c r="EE188">
        <v>16510370</v>
      </c>
      <c r="EF188">
        <v>3</v>
      </c>
      <c r="EG188" t="s">
        <v>390</v>
      </c>
      <c r="EH188">
        <v>0</v>
      </c>
      <c r="EI188" t="s">
        <v>6</v>
      </c>
      <c r="EJ188">
        <v>2</v>
      </c>
      <c r="EK188">
        <v>108001</v>
      </c>
      <c r="EL188" t="s">
        <v>391</v>
      </c>
      <c r="EM188" t="s">
        <v>392</v>
      </c>
      <c r="EO188" t="s">
        <v>6</v>
      </c>
      <c r="EQ188">
        <v>0</v>
      </c>
      <c r="ER188">
        <v>899</v>
      </c>
      <c r="ES188">
        <v>899</v>
      </c>
      <c r="ET188">
        <v>0</v>
      </c>
      <c r="EU188">
        <v>0</v>
      </c>
      <c r="EV188">
        <v>0</v>
      </c>
      <c r="EW188">
        <v>0</v>
      </c>
      <c r="EX188">
        <v>0</v>
      </c>
      <c r="FQ188">
        <v>0</v>
      </c>
      <c r="FR188">
        <f t="shared" si="193"/>
        <v>0</v>
      </c>
      <c r="FS188">
        <v>0</v>
      </c>
      <c r="FX188">
        <v>95</v>
      </c>
      <c r="FY188">
        <v>65</v>
      </c>
      <c r="GA188" t="s">
        <v>6</v>
      </c>
      <c r="GD188">
        <v>0</v>
      </c>
      <c r="GF188">
        <v>-2051776460</v>
      </c>
      <c r="GG188">
        <v>1</v>
      </c>
      <c r="GH188">
        <v>1</v>
      </c>
      <c r="GI188">
        <v>4</v>
      </c>
      <c r="GJ188">
        <v>0</v>
      </c>
      <c r="GK188">
        <f>ROUND(R188*(R12)/100,2)</f>
        <v>0</v>
      </c>
      <c r="GL188">
        <f t="shared" si="194"/>
        <v>0</v>
      </c>
      <c r="GM188">
        <f t="shared" si="195"/>
        <v>1447.75</v>
      </c>
      <c r="GN188">
        <f t="shared" si="196"/>
        <v>0</v>
      </c>
      <c r="GO188">
        <f t="shared" si="197"/>
        <v>1447.75</v>
      </c>
      <c r="GP188">
        <f t="shared" si="198"/>
        <v>0</v>
      </c>
      <c r="GR188">
        <v>0</v>
      </c>
      <c r="GS188">
        <v>3</v>
      </c>
      <c r="GT188">
        <v>0</v>
      </c>
      <c r="GU188" t="s">
        <v>6</v>
      </c>
      <c r="GV188">
        <f t="shared" si="199"/>
        <v>0</v>
      </c>
      <c r="GW188">
        <v>1</v>
      </c>
      <c r="GX188">
        <f t="shared" si="200"/>
        <v>0</v>
      </c>
      <c r="HA188">
        <v>0</v>
      </c>
      <c r="HB188">
        <v>0</v>
      </c>
      <c r="HC188">
        <f t="shared" si="201"/>
        <v>0</v>
      </c>
      <c r="IK188">
        <v>0</v>
      </c>
    </row>
    <row r="189" spans="1:245" x14ac:dyDescent="0.2">
      <c r="A189">
        <v>18</v>
      </c>
      <c r="B189">
        <v>1</v>
      </c>
      <c r="C189">
        <v>289</v>
      </c>
      <c r="E189" t="s">
        <v>484</v>
      </c>
      <c r="F189" t="s">
        <v>485</v>
      </c>
      <c r="G189" t="s">
        <v>486</v>
      </c>
      <c r="H189" t="s">
        <v>126</v>
      </c>
      <c r="I189">
        <f>I187*J189</f>
        <v>0.05</v>
      </c>
      <c r="J189">
        <v>0.17241379310344829</v>
      </c>
      <c r="O189">
        <f t="shared" si="168"/>
        <v>246.26</v>
      </c>
      <c r="P189">
        <f t="shared" si="169"/>
        <v>246.26</v>
      </c>
      <c r="Q189">
        <f t="shared" si="170"/>
        <v>0</v>
      </c>
      <c r="R189">
        <f t="shared" si="171"/>
        <v>0</v>
      </c>
      <c r="S189">
        <f t="shared" si="172"/>
        <v>0</v>
      </c>
      <c r="T189">
        <f t="shared" si="173"/>
        <v>0</v>
      </c>
      <c r="U189">
        <f t="shared" si="174"/>
        <v>0</v>
      </c>
      <c r="V189">
        <f t="shared" si="175"/>
        <v>0</v>
      </c>
      <c r="W189">
        <f t="shared" si="176"/>
        <v>0</v>
      </c>
      <c r="X189">
        <f t="shared" si="177"/>
        <v>0</v>
      </c>
      <c r="Y189">
        <f t="shared" si="178"/>
        <v>0</v>
      </c>
      <c r="AA189">
        <v>16802145</v>
      </c>
      <c r="AB189">
        <f t="shared" si="179"/>
        <v>734</v>
      </c>
      <c r="AC189">
        <f t="shared" si="202"/>
        <v>734</v>
      </c>
      <c r="AD189">
        <f t="shared" si="203"/>
        <v>0</v>
      </c>
      <c r="AE189">
        <f t="shared" si="204"/>
        <v>0</v>
      </c>
      <c r="AF189">
        <f t="shared" si="205"/>
        <v>0</v>
      </c>
      <c r="AG189">
        <f t="shared" si="180"/>
        <v>0</v>
      </c>
      <c r="AH189">
        <f t="shared" si="206"/>
        <v>0</v>
      </c>
      <c r="AI189">
        <f t="shared" si="207"/>
        <v>0</v>
      </c>
      <c r="AJ189">
        <f t="shared" si="181"/>
        <v>0</v>
      </c>
      <c r="AK189">
        <v>734</v>
      </c>
      <c r="AL189">
        <v>734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95</v>
      </c>
      <c r="AU189">
        <v>65</v>
      </c>
      <c r="AV189">
        <v>1</v>
      </c>
      <c r="AW189">
        <v>1</v>
      </c>
      <c r="AZ189">
        <v>6.71</v>
      </c>
      <c r="BA189">
        <v>1</v>
      </c>
      <c r="BB189">
        <v>1</v>
      </c>
      <c r="BC189">
        <v>6.71</v>
      </c>
      <c r="BD189" t="s">
        <v>6</v>
      </c>
      <c r="BE189" t="s">
        <v>6</v>
      </c>
      <c r="BF189" t="s">
        <v>6</v>
      </c>
      <c r="BG189" t="s">
        <v>6</v>
      </c>
      <c r="BH189">
        <v>3</v>
      </c>
      <c r="BI189">
        <v>2</v>
      </c>
      <c r="BJ189" t="s">
        <v>487</v>
      </c>
      <c r="BM189">
        <v>108001</v>
      </c>
      <c r="BN189">
        <v>0</v>
      </c>
      <c r="BO189" t="s">
        <v>6</v>
      </c>
      <c r="BP189">
        <v>0</v>
      </c>
      <c r="BQ189">
        <v>3</v>
      </c>
      <c r="BR189">
        <v>0</v>
      </c>
      <c r="BS189">
        <v>1</v>
      </c>
      <c r="BT189">
        <v>1</v>
      </c>
      <c r="BU189">
        <v>1</v>
      </c>
      <c r="BV189">
        <v>1</v>
      </c>
      <c r="BW189">
        <v>1</v>
      </c>
      <c r="BX189">
        <v>1</v>
      </c>
      <c r="BY189" t="s">
        <v>6</v>
      </c>
      <c r="BZ189">
        <v>95</v>
      </c>
      <c r="CA189">
        <v>65</v>
      </c>
      <c r="CE189">
        <v>0</v>
      </c>
      <c r="CF189">
        <v>0</v>
      </c>
      <c r="CG189">
        <v>0</v>
      </c>
      <c r="CM189">
        <v>0</v>
      </c>
      <c r="CN189" t="s">
        <v>6</v>
      </c>
      <c r="CO189">
        <v>0</v>
      </c>
      <c r="CP189">
        <f t="shared" si="182"/>
        <v>246.26</v>
      </c>
      <c r="CQ189">
        <f t="shared" si="183"/>
        <v>4925.1400000000003</v>
      </c>
      <c r="CR189">
        <f t="shared" si="184"/>
        <v>0</v>
      </c>
      <c r="CS189">
        <f t="shared" si="185"/>
        <v>0</v>
      </c>
      <c r="CT189">
        <f t="shared" si="186"/>
        <v>0</v>
      </c>
      <c r="CU189">
        <f t="shared" si="187"/>
        <v>0</v>
      </c>
      <c r="CV189">
        <f t="shared" si="188"/>
        <v>0</v>
      </c>
      <c r="CW189">
        <f t="shared" si="189"/>
        <v>0</v>
      </c>
      <c r="CX189">
        <f t="shared" si="190"/>
        <v>0</v>
      </c>
      <c r="CY189">
        <f t="shared" si="191"/>
        <v>0</v>
      </c>
      <c r="CZ189">
        <f t="shared" si="192"/>
        <v>0</v>
      </c>
      <c r="DC189" t="s">
        <v>6</v>
      </c>
      <c r="DD189" t="s">
        <v>6</v>
      </c>
      <c r="DE189" t="s">
        <v>6</v>
      </c>
      <c r="DF189" t="s">
        <v>6</v>
      </c>
      <c r="DG189" t="s">
        <v>6</v>
      </c>
      <c r="DH189" t="s">
        <v>6</v>
      </c>
      <c r="DI189" t="s">
        <v>6</v>
      </c>
      <c r="DJ189" t="s">
        <v>6</v>
      </c>
      <c r="DK189" t="s">
        <v>6</v>
      </c>
      <c r="DL189" t="s">
        <v>6</v>
      </c>
      <c r="DM189" t="s">
        <v>6</v>
      </c>
      <c r="DN189">
        <v>0</v>
      </c>
      <c r="DO189">
        <v>0</v>
      </c>
      <c r="DP189">
        <v>1</v>
      </c>
      <c r="DQ189">
        <v>1</v>
      </c>
      <c r="DU189">
        <v>1010</v>
      </c>
      <c r="DV189" t="s">
        <v>126</v>
      </c>
      <c r="DW189" t="s">
        <v>126</v>
      </c>
      <c r="DX189">
        <v>100</v>
      </c>
      <c r="EE189">
        <v>16510370</v>
      </c>
      <c r="EF189">
        <v>3</v>
      </c>
      <c r="EG189" t="s">
        <v>390</v>
      </c>
      <c r="EH189">
        <v>0</v>
      </c>
      <c r="EI189" t="s">
        <v>6</v>
      </c>
      <c r="EJ189">
        <v>2</v>
      </c>
      <c r="EK189">
        <v>108001</v>
      </c>
      <c r="EL189" t="s">
        <v>391</v>
      </c>
      <c r="EM189" t="s">
        <v>392</v>
      </c>
      <c r="EO189" t="s">
        <v>6</v>
      </c>
      <c r="EQ189">
        <v>0</v>
      </c>
      <c r="ER189">
        <v>734</v>
      </c>
      <c r="ES189">
        <v>734</v>
      </c>
      <c r="ET189">
        <v>0</v>
      </c>
      <c r="EU189">
        <v>0</v>
      </c>
      <c r="EV189">
        <v>0</v>
      </c>
      <c r="EW189">
        <v>0</v>
      </c>
      <c r="EX189">
        <v>0</v>
      </c>
      <c r="FQ189">
        <v>0</v>
      </c>
      <c r="FR189">
        <f t="shared" si="193"/>
        <v>0</v>
      </c>
      <c r="FS189">
        <v>0</v>
      </c>
      <c r="FX189">
        <v>95</v>
      </c>
      <c r="FY189">
        <v>65</v>
      </c>
      <c r="GA189" t="s">
        <v>6</v>
      </c>
      <c r="GD189">
        <v>0</v>
      </c>
      <c r="GF189">
        <v>375004976</v>
      </c>
      <c r="GG189">
        <v>1</v>
      </c>
      <c r="GH189">
        <v>1</v>
      </c>
      <c r="GI189">
        <v>4</v>
      </c>
      <c r="GJ189">
        <v>0</v>
      </c>
      <c r="GK189">
        <f>ROUND(R189*(R12)/100,2)</f>
        <v>0</v>
      </c>
      <c r="GL189">
        <f t="shared" si="194"/>
        <v>0</v>
      </c>
      <c r="GM189">
        <f t="shared" si="195"/>
        <v>246.26</v>
      </c>
      <c r="GN189">
        <f t="shared" si="196"/>
        <v>0</v>
      </c>
      <c r="GO189">
        <f t="shared" si="197"/>
        <v>246.26</v>
      </c>
      <c r="GP189">
        <f t="shared" si="198"/>
        <v>0</v>
      </c>
      <c r="GR189">
        <v>0</v>
      </c>
      <c r="GS189">
        <v>3</v>
      </c>
      <c r="GT189">
        <v>0</v>
      </c>
      <c r="GU189" t="s">
        <v>6</v>
      </c>
      <c r="GV189">
        <f t="shared" si="199"/>
        <v>0</v>
      </c>
      <c r="GW189">
        <v>1</v>
      </c>
      <c r="GX189">
        <f t="shared" si="200"/>
        <v>0</v>
      </c>
      <c r="HA189">
        <v>0</v>
      </c>
      <c r="HB189">
        <v>0</v>
      </c>
      <c r="HC189">
        <f t="shared" si="201"/>
        <v>0</v>
      </c>
      <c r="IK189">
        <v>0</v>
      </c>
    </row>
    <row r="190" spans="1:245" x14ac:dyDescent="0.2">
      <c r="A190">
        <v>17</v>
      </c>
      <c r="B190">
        <v>1</v>
      </c>
      <c r="C190">
        <f>ROW(SmtRes!A299)</f>
        <v>299</v>
      </c>
      <c r="D190">
        <f>ROW(EtalonRes!A289)</f>
        <v>289</v>
      </c>
      <c r="E190" t="s">
        <v>488</v>
      </c>
      <c r="F190" t="s">
        <v>489</v>
      </c>
      <c r="G190" t="s">
        <v>490</v>
      </c>
      <c r="H190" t="s">
        <v>366</v>
      </c>
      <c r="I190">
        <v>5</v>
      </c>
      <c r="J190">
        <v>0</v>
      </c>
      <c r="O190">
        <f t="shared" si="168"/>
        <v>1121.24</v>
      </c>
      <c r="P190">
        <f t="shared" si="169"/>
        <v>208.01</v>
      </c>
      <c r="Q190">
        <f t="shared" si="170"/>
        <v>596.17999999999995</v>
      </c>
      <c r="R190">
        <f t="shared" si="171"/>
        <v>84.21</v>
      </c>
      <c r="S190">
        <f t="shared" si="172"/>
        <v>317.05</v>
      </c>
      <c r="T190">
        <f t="shared" si="173"/>
        <v>0</v>
      </c>
      <c r="U190">
        <f t="shared" si="174"/>
        <v>4.5</v>
      </c>
      <c r="V190">
        <f t="shared" si="175"/>
        <v>1</v>
      </c>
      <c r="W190">
        <f t="shared" si="176"/>
        <v>0</v>
      </c>
      <c r="X190">
        <f t="shared" si="177"/>
        <v>381.2</v>
      </c>
      <c r="Y190">
        <f t="shared" si="178"/>
        <v>260.82</v>
      </c>
      <c r="AA190">
        <v>16802145</v>
      </c>
      <c r="AB190">
        <f t="shared" si="179"/>
        <v>33.42</v>
      </c>
      <c r="AC190">
        <f t="shared" si="202"/>
        <v>6.2</v>
      </c>
      <c r="AD190">
        <f t="shared" si="203"/>
        <v>17.77</v>
      </c>
      <c r="AE190">
        <f t="shared" si="204"/>
        <v>2.5099999999999998</v>
      </c>
      <c r="AF190">
        <f t="shared" si="205"/>
        <v>9.4499999999999993</v>
      </c>
      <c r="AG190">
        <f t="shared" si="180"/>
        <v>0</v>
      </c>
      <c r="AH190">
        <f t="shared" si="206"/>
        <v>0.9</v>
      </c>
      <c r="AI190">
        <f t="shared" si="207"/>
        <v>0.2</v>
      </c>
      <c r="AJ190">
        <f t="shared" si="181"/>
        <v>0</v>
      </c>
      <c r="AK190">
        <v>33.42</v>
      </c>
      <c r="AL190">
        <v>6.2</v>
      </c>
      <c r="AM190">
        <v>17.77</v>
      </c>
      <c r="AN190">
        <v>2.5099999999999998</v>
      </c>
      <c r="AO190">
        <v>9.4499999999999993</v>
      </c>
      <c r="AP190">
        <v>0</v>
      </c>
      <c r="AQ190">
        <v>0.9</v>
      </c>
      <c r="AR190">
        <v>0.2</v>
      </c>
      <c r="AS190">
        <v>0</v>
      </c>
      <c r="AT190">
        <v>95</v>
      </c>
      <c r="AU190">
        <v>65</v>
      </c>
      <c r="AV190">
        <v>1</v>
      </c>
      <c r="AW190">
        <v>1</v>
      </c>
      <c r="AZ190">
        <v>6.71</v>
      </c>
      <c r="BA190">
        <v>6.71</v>
      </c>
      <c r="BB190">
        <v>6.71</v>
      </c>
      <c r="BC190">
        <v>6.71</v>
      </c>
      <c r="BD190" t="s">
        <v>6</v>
      </c>
      <c r="BE190" t="s">
        <v>6</v>
      </c>
      <c r="BF190" t="s">
        <v>6</v>
      </c>
      <c r="BG190" t="s">
        <v>6</v>
      </c>
      <c r="BH190">
        <v>0</v>
      </c>
      <c r="BI190">
        <v>2</v>
      </c>
      <c r="BJ190" t="s">
        <v>491</v>
      </c>
      <c r="BM190">
        <v>108001</v>
      </c>
      <c r="BN190">
        <v>0</v>
      </c>
      <c r="BO190" t="s">
        <v>6</v>
      </c>
      <c r="BP190">
        <v>0</v>
      </c>
      <c r="BQ190">
        <v>3</v>
      </c>
      <c r="BR190">
        <v>0</v>
      </c>
      <c r="BS190">
        <v>6.71</v>
      </c>
      <c r="BT190">
        <v>1</v>
      </c>
      <c r="BU190">
        <v>1</v>
      </c>
      <c r="BV190">
        <v>1</v>
      </c>
      <c r="BW190">
        <v>1</v>
      </c>
      <c r="BX190">
        <v>1</v>
      </c>
      <c r="BY190" t="s">
        <v>6</v>
      </c>
      <c r="BZ190">
        <v>95</v>
      </c>
      <c r="CA190">
        <v>65</v>
      </c>
      <c r="CE190">
        <v>0</v>
      </c>
      <c r="CF190">
        <v>0</v>
      </c>
      <c r="CG190">
        <v>0</v>
      </c>
      <c r="CM190">
        <v>0</v>
      </c>
      <c r="CN190" t="s">
        <v>6</v>
      </c>
      <c r="CO190">
        <v>0</v>
      </c>
      <c r="CP190">
        <f t="shared" si="182"/>
        <v>1121.24</v>
      </c>
      <c r="CQ190">
        <f t="shared" si="183"/>
        <v>41.602000000000004</v>
      </c>
      <c r="CR190">
        <f t="shared" si="184"/>
        <v>119.2367</v>
      </c>
      <c r="CS190">
        <f t="shared" si="185"/>
        <v>16.842099999999999</v>
      </c>
      <c r="CT190">
        <f t="shared" si="186"/>
        <v>63.409499999999994</v>
      </c>
      <c r="CU190">
        <f t="shared" si="187"/>
        <v>0</v>
      </c>
      <c r="CV190">
        <f t="shared" si="188"/>
        <v>0.9</v>
      </c>
      <c r="CW190">
        <f t="shared" si="189"/>
        <v>0.2</v>
      </c>
      <c r="CX190">
        <f t="shared" si="190"/>
        <v>0</v>
      </c>
      <c r="CY190">
        <f t="shared" si="191"/>
        <v>381.19699999999995</v>
      </c>
      <c r="CZ190">
        <f t="shared" si="192"/>
        <v>260.81899999999996</v>
      </c>
      <c r="DC190" t="s">
        <v>6</v>
      </c>
      <c r="DD190" t="s">
        <v>6</v>
      </c>
      <c r="DE190" t="s">
        <v>6</v>
      </c>
      <c r="DF190" t="s">
        <v>6</v>
      </c>
      <c r="DG190" t="s">
        <v>6</v>
      </c>
      <c r="DH190" t="s">
        <v>6</v>
      </c>
      <c r="DI190" t="s">
        <v>6</v>
      </c>
      <c r="DJ190" t="s">
        <v>6</v>
      </c>
      <c r="DK190" t="s">
        <v>6</v>
      </c>
      <c r="DL190" t="s">
        <v>6</v>
      </c>
      <c r="DM190" t="s">
        <v>6</v>
      </c>
      <c r="DN190">
        <v>0</v>
      </c>
      <c r="DO190">
        <v>0</v>
      </c>
      <c r="DP190">
        <v>1</v>
      </c>
      <c r="DQ190">
        <v>1</v>
      </c>
      <c r="DU190">
        <v>1013</v>
      </c>
      <c r="DV190" t="s">
        <v>366</v>
      </c>
      <c r="DW190" t="s">
        <v>366</v>
      </c>
      <c r="DX190">
        <v>1</v>
      </c>
      <c r="EE190">
        <v>16510370</v>
      </c>
      <c r="EF190">
        <v>3</v>
      </c>
      <c r="EG190" t="s">
        <v>390</v>
      </c>
      <c r="EH190">
        <v>0</v>
      </c>
      <c r="EI190" t="s">
        <v>6</v>
      </c>
      <c r="EJ190">
        <v>2</v>
      </c>
      <c r="EK190">
        <v>108001</v>
      </c>
      <c r="EL190" t="s">
        <v>391</v>
      </c>
      <c r="EM190" t="s">
        <v>392</v>
      </c>
      <c r="EO190" t="s">
        <v>6</v>
      </c>
      <c r="EQ190">
        <v>131072</v>
      </c>
      <c r="ER190">
        <v>33.42</v>
      </c>
      <c r="ES190">
        <v>6.2</v>
      </c>
      <c r="ET190">
        <v>17.77</v>
      </c>
      <c r="EU190">
        <v>2.5099999999999998</v>
      </c>
      <c r="EV190">
        <v>9.4499999999999993</v>
      </c>
      <c r="EW190">
        <v>0.9</v>
      </c>
      <c r="EX190">
        <v>0.2</v>
      </c>
      <c r="EY190">
        <v>0</v>
      </c>
      <c r="FQ190">
        <v>0</v>
      </c>
      <c r="FR190">
        <f t="shared" si="193"/>
        <v>0</v>
      </c>
      <c r="FS190">
        <v>0</v>
      </c>
      <c r="FX190">
        <v>95</v>
      </c>
      <c r="FY190">
        <v>65</v>
      </c>
      <c r="GA190" t="s">
        <v>6</v>
      </c>
      <c r="GD190">
        <v>0</v>
      </c>
      <c r="GF190">
        <v>-64978218</v>
      </c>
      <c r="GG190">
        <v>1</v>
      </c>
      <c r="GH190">
        <v>1</v>
      </c>
      <c r="GI190">
        <v>4</v>
      </c>
      <c r="GJ190">
        <v>0</v>
      </c>
      <c r="GK190">
        <f>ROUND(R190*(R12)/100,2)</f>
        <v>0</v>
      </c>
      <c r="GL190">
        <f t="shared" si="194"/>
        <v>0</v>
      </c>
      <c r="GM190">
        <f t="shared" si="195"/>
        <v>1763.26</v>
      </c>
      <c r="GN190">
        <f t="shared" si="196"/>
        <v>0</v>
      </c>
      <c r="GO190">
        <f t="shared" si="197"/>
        <v>1763.26</v>
      </c>
      <c r="GP190">
        <f t="shared" si="198"/>
        <v>0</v>
      </c>
      <c r="GR190">
        <v>0</v>
      </c>
      <c r="GS190">
        <v>3</v>
      </c>
      <c r="GT190">
        <v>0</v>
      </c>
      <c r="GU190" t="s">
        <v>6</v>
      </c>
      <c r="GV190">
        <f t="shared" si="199"/>
        <v>0</v>
      </c>
      <c r="GW190">
        <v>1</v>
      </c>
      <c r="GX190">
        <f t="shared" si="200"/>
        <v>0</v>
      </c>
      <c r="HA190">
        <v>0</v>
      </c>
      <c r="HB190">
        <v>0</v>
      </c>
      <c r="HC190">
        <f t="shared" si="201"/>
        <v>0</v>
      </c>
      <c r="IK190">
        <v>0</v>
      </c>
    </row>
    <row r="191" spans="1:245" x14ac:dyDescent="0.2">
      <c r="A191">
        <v>18</v>
      </c>
      <c r="B191">
        <v>1</v>
      </c>
      <c r="C191">
        <v>298</v>
      </c>
      <c r="E191" t="s">
        <v>492</v>
      </c>
      <c r="F191" t="s">
        <v>493</v>
      </c>
      <c r="G191" t="s">
        <v>494</v>
      </c>
      <c r="H191" t="s">
        <v>435</v>
      </c>
      <c r="I191">
        <f>I190*J191</f>
        <v>0.5</v>
      </c>
      <c r="J191">
        <v>0.1</v>
      </c>
      <c r="O191">
        <f t="shared" si="168"/>
        <v>632.41999999999996</v>
      </c>
      <c r="P191">
        <f t="shared" si="169"/>
        <v>632.41999999999996</v>
      </c>
      <c r="Q191">
        <f t="shared" si="170"/>
        <v>0</v>
      </c>
      <c r="R191">
        <f t="shared" si="171"/>
        <v>0</v>
      </c>
      <c r="S191">
        <f t="shared" si="172"/>
        <v>0</v>
      </c>
      <c r="T191">
        <f t="shared" si="173"/>
        <v>0</v>
      </c>
      <c r="U191">
        <f t="shared" si="174"/>
        <v>0</v>
      </c>
      <c r="V191">
        <f t="shared" si="175"/>
        <v>0</v>
      </c>
      <c r="W191">
        <f t="shared" si="176"/>
        <v>0</v>
      </c>
      <c r="X191">
        <f t="shared" si="177"/>
        <v>0</v>
      </c>
      <c r="Y191">
        <f t="shared" si="178"/>
        <v>0</v>
      </c>
      <c r="AA191">
        <v>16802145</v>
      </c>
      <c r="AB191">
        <f t="shared" si="179"/>
        <v>188.5</v>
      </c>
      <c r="AC191">
        <f t="shared" si="202"/>
        <v>188.5</v>
      </c>
      <c r="AD191">
        <f t="shared" si="203"/>
        <v>0</v>
      </c>
      <c r="AE191">
        <f t="shared" si="204"/>
        <v>0</v>
      </c>
      <c r="AF191">
        <f t="shared" si="205"/>
        <v>0</v>
      </c>
      <c r="AG191">
        <f t="shared" si="180"/>
        <v>0</v>
      </c>
      <c r="AH191">
        <f t="shared" si="206"/>
        <v>0</v>
      </c>
      <c r="AI191">
        <f t="shared" si="207"/>
        <v>0</v>
      </c>
      <c r="AJ191">
        <f t="shared" si="181"/>
        <v>0</v>
      </c>
      <c r="AK191">
        <v>188.5</v>
      </c>
      <c r="AL191">
        <v>188.5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95</v>
      </c>
      <c r="AU191">
        <v>65</v>
      </c>
      <c r="AV191">
        <v>1</v>
      </c>
      <c r="AW191">
        <v>1</v>
      </c>
      <c r="AZ191">
        <v>6.71</v>
      </c>
      <c r="BA191">
        <v>1</v>
      </c>
      <c r="BB191">
        <v>1</v>
      </c>
      <c r="BC191">
        <v>6.71</v>
      </c>
      <c r="BD191" t="s">
        <v>6</v>
      </c>
      <c r="BE191" t="s">
        <v>6</v>
      </c>
      <c r="BF191" t="s">
        <v>6</v>
      </c>
      <c r="BG191" t="s">
        <v>6</v>
      </c>
      <c r="BH191">
        <v>3</v>
      </c>
      <c r="BI191">
        <v>2</v>
      </c>
      <c r="BJ191" t="s">
        <v>495</v>
      </c>
      <c r="BM191">
        <v>108001</v>
      </c>
      <c r="BN191">
        <v>0</v>
      </c>
      <c r="BO191" t="s">
        <v>6</v>
      </c>
      <c r="BP191">
        <v>0</v>
      </c>
      <c r="BQ191">
        <v>3</v>
      </c>
      <c r="BR191">
        <v>0</v>
      </c>
      <c r="BS191">
        <v>1</v>
      </c>
      <c r="BT191">
        <v>1</v>
      </c>
      <c r="BU191">
        <v>1</v>
      </c>
      <c r="BV191">
        <v>1</v>
      </c>
      <c r="BW191">
        <v>1</v>
      </c>
      <c r="BX191">
        <v>1</v>
      </c>
      <c r="BY191" t="s">
        <v>6</v>
      </c>
      <c r="BZ191">
        <v>95</v>
      </c>
      <c r="CA191">
        <v>65</v>
      </c>
      <c r="CE191">
        <v>0</v>
      </c>
      <c r="CF191">
        <v>0</v>
      </c>
      <c r="CG191">
        <v>0</v>
      </c>
      <c r="CM191">
        <v>0</v>
      </c>
      <c r="CN191" t="s">
        <v>6</v>
      </c>
      <c r="CO191">
        <v>0</v>
      </c>
      <c r="CP191">
        <f t="shared" si="182"/>
        <v>632.41999999999996</v>
      </c>
      <c r="CQ191">
        <f t="shared" si="183"/>
        <v>1264.835</v>
      </c>
      <c r="CR191">
        <f t="shared" si="184"/>
        <v>0</v>
      </c>
      <c r="CS191">
        <f t="shared" si="185"/>
        <v>0</v>
      </c>
      <c r="CT191">
        <f t="shared" si="186"/>
        <v>0</v>
      </c>
      <c r="CU191">
        <f t="shared" si="187"/>
        <v>0</v>
      </c>
      <c r="CV191">
        <f t="shared" si="188"/>
        <v>0</v>
      </c>
      <c r="CW191">
        <f t="shared" si="189"/>
        <v>0</v>
      </c>
      <c r="CX191">
        <f t="shared" si="190"/>
        <v>0</v>
      </c>
      <c r="CY191">
        <f t="shared" si="191"/>
        <v>0</v>
      </c>
      <c r="CZ191">
        <f t="shared" si="192"/>
        <v>0</v>
      </c>
      <c r="DC191" t="s">
        <v>6</v>
      </c>
      <c r="DD191" t="s">
        <v>6</v>
      </c>
      <c r="DE191" t="s">
        <v>6</v>
      </c>
      <c r="DF191" t="s">
        <v>6</v>
      </c>
      <c r="DG191" t="s">
        <v>6</v>
      </c>
      <c r="DH191" t="s">
        <v>6</v>
      </c>
      <c r="DI191" t="s">
        <v>6</v>
      </c>
      <c r="DJ191" t="s">
        <v>6</v>
      </c>
      <c r="DK191" t="s">
        <v>6</v>
      </c>
      <c r="DL191" t="s">
        <v>6</v>
      </c>
      <c r="DM191" t="s">
        <v>6</v>
      </c>
      <c r="DN191">
        <v>0</v>
      </c>
      <c r="DO191">
        <v>0</v>
      </c>
      <c r="DP191">
        <v>1</v>
      </c>
      <c r="DQ191">
        <v>1</v>
      </c>
      <c r="DU191">
        <v>1010</v>
      </c>
      <c r="DV191" t="s">
        <v>435</v>
      </c>
      <c r="DW191" t="s">
        <v>435</v>
      </c>
      <c r="DX191">
        <v>10</v>
      </c>
      <c r="EE191">
        <v>16510370</v>
      </c>
      <c r="EF191">
        <v>3</v>
      </c>
      <c r="EG191" t="s">
        <v>390</v>
      </c>
      <c r="EH191">
        <v>0</v>
      </c>
      <c r="EI191" t="s">
        <v>6</v>
      </c>
      <c r="EJ191">
        <v>2</v>
      </c>
      <c r="EK191">
        <v>108001</v>
      </c>
      <c r="EL191" t="s">
        <v>391</v>
      </c>
      <c r="EM191" t="s">
        <v>392</v>
      </c>
      <c r="EO191" t="s">
        <v>6</v>
      </c>
      <c r="EQ191">
        <v>0</v>
      </c>
      <c r="ER191">
        <v>188.5</v>
      </c>
      <c r="ES191">
        <v>188.5</v>
      </c>
      <c r="ET191">
        <v>0</v>
      </c>
      <c r="EU191">
        <v>0</v>
      </c>
      <c r="EV191">
        <v>0</v>
      </c>
      <c r="EW191">
        <v>0</v>
      </c>
      <c r="EX191">
        <v>0</v>
      </c>
      <c r="FQ191">
        <v>0</v>
      </c>
      <c r="FR191">
        <f t="shared" si="193"/>
        <v>0</v>
      </c>
      <c r="FS191">
        <v>0</v>
      </c>
      <c r="FX191">
        <v>95</v>
      </c>
      <c r="FY191">
        <v>65</v>
      </c>
      <c r="GA191" t="s">
        <v>6</v>
      </c>
      <c r="GD191">
        <v>0</v>
      </c>
      <c r="GF191">
        <v>-1428264759</v>
      </c>
      <c r="GG191">
        <v>1</v>
      </c>
      <c r="GH191">
        <v>1</v>
      </c>
      <c r="GI191">
        <v>4</v>
      </c>
      <c r="GJ191">
        <v>0</v>
      </c>
      <c r="GK191">
        <f>ROUND(R191*(R12)/100,2)</f>
        <v>0</v>
      </c>
      <c r="GL191">
        <f t="shared" si="194"/>
        <v>0</v>
      </c>
      <c r="GM191">
        <f t="shared" si="195"/>
        <v>632.41999999999996</v>
      </c>
      <c r="GN191">
        <f t="shared" si="196"/>
        <v>0</v>
      </c>
      <c r="GO191">
        <f t="shared" si="197"/>
        <v>632.41999999999996</v>
      </c>
      <c r="GP191">
        <f t="shared" si="198"/>
        <v>0</v>
      </c>
      <c r="GR191">
        <v>0</v>
      </c>
      <c r="GS191">
        <v>3</v>
      </c>
      <c r="GT191">
        <v>0</v>
      </c>
      <c r="GU191" t="s">
        <v>6</v>
      </c>
      <c r="GV191">
        <f t="shared" si="199"/>
        <v>0</v>
      </c>
      <c r="GW191">
        <v>1</v>
      </c>
      <c r="GX191">
        <f t="shared" si="200"/>
        <v>0</v>
      </c>
      <c r="HA191">
        <v>0</v>
      </c>
      <c r="HB191">
        <v>0</v>
      </c>
      <c r="HC191">
        <f t="shared" si="201"/>
        <v>0</v>
      </c>
      <c r="IK191">
        <v>0</v>
      </c>
    </row>
    <row r="192" spans="1:245" x14ac:dyDescent="0.2">
      <c r="A192">
        <v>17</v>
      </c>
      <c r="B192">
        <v>1</v>
      </c>
      <c r="C192">
        <f>ROW(SmtRes!A318)</f>
        <v>318</v>
      </c>
      <c r="D192">
        <f>ROW(EtalonRes!A303)</f>
        <v>303</v>
      </c>
      <c r="E192" t="s">
        <v>496</v>
      </c>
      <c r="F192" t="s">
        <v>497</v>
      </c>
      <c r="G192" t="s">
        <v>498</v>
      </c>
      <c r="H192" t="s">
        <v>366</v>
      </c>
      <c r="I192">
        <v>32</v>
      </c>
      <c r="J192">
        <v>0</v>
      </c>
      <c r="O192">
        <f t="shared" si="168"/>
        <v>7725.62</v>
      </c>
      <c r="P192">
        <f t="shared" si="169"/>
        <v>4313.72</v>
      </c>
      <c r="Q192">
        <f t="shared" si="170"/>
        <v>225.46</v>
      </c>
      <c r="R192">
        <f t="shared" si="171"/>
        <v>0</v>
      </c>
      <c r="S192">
        <f t="shared" si="172"/>
        <v>3186.44</v>
      </c>
      <c r="T192">
        <f t="shared" si="173"/>
        <v>0</v>
      </c>
      <c r="U192">
        <f t="shared" si="174"/>
        <v>49.92</v>
      </c>
      <c r="V192">
        <f t="shared" si="175"/>
        <v>0</v>
      </c>
      <c r="W192">
        <f t="shared" si="176"/>
        <v>0</v>
      </c>
      <c r="X192">
        <f t="shared" si="177"/>
        <v>3027.12</v>
      </c>
      <c r="Y192">
        <f t="shared" si="178"/>
        <v>2071.19</v>
      </c>
      <c r="AA192">
        <v>16802145</v>
      </c>
      <c r="AB192">
        <f t="shared" si="179"/>
        <v>35.979999999999997</v>
      </c>
      <c r="AC192">
        <f t="shared" si="202"/>
        <v>20.09</v>
      </c>
      <c r="AD192">
        <f t="shared" si="203"/>
        <v>1.05</v>
      </c>
      <c r="AE192">
        <f t="shared" si="204"/>
        <v>0</v>
      </c>
      <c r="AF192">
        <f t="shared" si="205"/>
        <v>14.84</v>
      </c>
      <c r="AG192">
        <f t="shared" si="180"/>
        <v>0</v>
      </c>
      <c r="AH192">
        <f t="shared" si="206"/>
        <v>1.56</v>
      </c>
      <c r="AI192">
        <f t="shared" si="207"/>
        <v>0</v>
      </c>
      <c r="AJ192">
        <f t="shared" si="181"/>
        <v>0</v>
      </c>
      <c r="AK192">
        <v>35.979999999999997</v>
      </c>
      <c r="AL192">
        <v>20.09</v>
      </c>
      <c r="AM192">
        <v>1.05</v>
      </c>
      <c r="AN192">
        <v>0</v>
      </c>
      <c r="AO192">
        <v>14.84</v>
      </c>
      <c r="AP192">
        <v>0</v>
      </c>
      <c r="AQ192">
        <v>1.56</v>
      </c>
      <c r="AR192">
        <v>0</v>
      </c>
      <c r="AS192">
        <v>0</v>
      </c>
      <c r="AT192">
        <v>95</v>
      </c>
      <c r="AU192">
        <v>65</v>
      </c>
      <c r="AV192">
        <v>1</v>
      </c>
      <c r="AW192">
        <v>1</v>
      </c>
      <c r="AZ192">
        <v>6.71</v>
      </c>
      <c r="BA192">
        <v>6.71</v>
      </c>
      <c r="BB192">
        <v>6.71</v>
      </c>
      <c r="BC192">
        <v>6.71</v>
      </c>
      <c r="BD192" t="s">
        <v>6</v>
      </c>
      <c r="BE192" t="s">
        <v>6</v>
      </c>
      <c r="BF192" t="s">
        <v>6</v>
      </c>
      <c r="BG192" t="s">
        <v>6</v>
      </c>
      <c r="BH192">
        <v>0</v>
      </c>
      <c r="BI192">
        <v>2</v>
      </c>
      <c r="BJ192" t="s">
        <v>499</v>
      </c>
      <c r="BM192">
        <v>108001</v>
      </c>
      <c r="BN192">
        <v>0</v>
      </c>
      <c r="BO192" t="s">
        <v>6</v>
      </c>
      <c r="BP192">
        <v>0</v>
      </c>
      <c r="BQ192">
        <v>3</v>
      </c>
      <c r="BR192">
        <v>0</v>
      </c>
      <c r="BS192">
        <v>6.71</v>
      </c>
      <c r="BT192">
        <v>1</v>
      </c>
      <c r="BU192">
        <v>1</v>
      </c>
      <c r="BV192">
        <v>1</v>
      </c>
      <c r="BW192">
        <v>1</v>
      </c>
      <c r="BX192">
        <v>1</v>
      </c>
      <c r="BY192" t="s">
        <v>6</v>
      </c>
      <c r="BZ192">
        <v>95</v>
      </c>
      <c r="CA192">
        <v>65</v>
      </c>
      <c r="CE192">
        <v>0</v>
      </c>
      <c r="CF192">
        <v>0</v>
      </c>
      <c r="CG192">
        <v>0</v>
      </c>
      <c r="CM192">
        <v>0</v>
      </c>
      <c r="CN192" t="s">
        <v>6</v>
      </c>
      <c r="CO192">
        <v>0</v>
      </c>
      <c r="CP192">
        <f t="shared" si="182"/>
        <v>7725.6200000000008</v>
      </c>
      <c r="CQ192">
        <f t="shared" si="183"/>
        <v>134.8039</v>
      </c>
      <c r="CR192">
        <f t="shared" si="184"/>
        <v>7.0455000000000005</v>
      </c>
      <c r="CS192">
        <f t="shared" si="185"/>
        <v>0</v>
      </c>
      <c r="CT192">
        <f t="shared" si="186"/>
        <v>99.576399999999992</v>
      </c>
      <c r="CU192">
        <f t="shared" si="187"/>
        <v>0</v>
      </c>
      <c r="CV192">
        <f t="shared" si="188"/>
        <v>1.56</v>
      </c>
      <c r="CW192">
        <f t="shared" si="189"/>
        <v>0</v>
      </c>
      <c r="CX192">
        <f t="shared" si="190"/>
        <v>0</v>
      </c>
      <c r="CY192">
        <f t="shared" si="191"/>
        <v>3027.1179999999999</v>
      </c>
      <c r="CZ192">
        <f t="shared" si="192"/>
        <v>2071.1860000000001</v>
      </c>
      <c r="DC192" t="s">
        <v>6</v>
      </c>
      <c r="DD192" t="s">
        <v>6</v>
      </c>
      <c r="DE192" t="s">
        <v>6</v>
      </c>
      <c r="DF192" t="s">
        <v>6</v>
      </c>
      <c r="DG192" t="s">
        <v>6</v>
      </c>
      <c r="DH192" t="s">
        <v>6</v>
      </c>
      <c r="DI192" t="s">
        <v>6</v>
      </c>
      <c r="DJ192" t="s">
        <v>6</v>
      </c>
      <c r="DK192" t="s">
        <v>6</v>
      </c>
      <c r="DL192" t="s">
        <v>6</v>
      </c>
      <c r="DM192" t="s">
        <v>6</v>
      </c>
      <c r="DN192">
        <v>0</v>
      </c>
      <c r="DO192">
        <v>0</v>
      </c>
      <c r="DP192">
        <v>1</v>
      </c>
      <c r="DQ192">
        <v>1</v>
      </c>
      <c r="DU192">
        <v>1013</v>
      </c>
      <c r="DV192" t="s">
        <v>366</v>
      </c>
      <c r="DW192" t="s">
        <v>366</v>
      </c>
      <c r="DX192">
        <v>1</v>
      </c>
      <c r="EE192">
        <v>16510370</v>
      </c>
      <c r="EF192">
        <v>3</v>
      </c>
      <c r="EG192" t="s">
        <v>390</v>
      </c>
      <c r="EH192">
        <v>0</v>
      </c>
      <c r="EI192" t="s">
        <v>6</v>
      </c>
      <c r="EJ192">
        <v>2</v>
      </c>
      <c r="EK192">
        <v>108001</v>
      </c>
      <c r="EL192" t="s">
        <v>391</v>
      </c>
      <c r="EM192" t="s">
        <v>392</v>
      </c>
      <c r="EO192" t="s">
        <v>6</v>
      </c>
      <c r="EQ192">
        <v>131072</v>
      </c>
      <c r="ER192">
        <v>35.979999999999997</v>
      </c>
      <c r="ES192">
        <v>20.09</v>
      </c>
      <c r="ET192">
        <v>1.05</v>
      </c>
      <c r="EU192">
        <v>0</v>
      </c>
      <c r="EV192">
        <v>14.84</v>
      </c>
      <c r="EW192">
        <v>1.56</v>
      </c>
      <c r="EX192">
        <v>0</v>
      </c>
      <c r="EY192">
        <v>0</v>
      </c>
      <c r="FQ192">
        <v>0</v>
      </c>
      <c r="FR192">
        <f t="shared" si="193"/>
        <v>0</v>
      </c>
      <c r="FS192">
        <v>0</v>
      </c>
      <c r="FX192">
        <v>95</v>
      </c>
      <c r="FY192">
        <v>65</v>
      </c>
      <c r="GA192" t="s">
        <v>6</v>
      </c>
      <c r="GD192">
        <v>0</v>
      </c>
      <c r="GF192">
        <v>-1917629301</v>
      </c>
      <c r="GG192">
        <v>1</v>
      </c>
      <c r="GH192">
        <v>1</v>
      </c>
      <c r="GI192">
        <v>4</v>
      </c>
      <c r="GJ192">
        <v>0</v>
      </c>
      <c r="GK192">
        <f>ROUND(R192*(R12)/100,2)</f>
        <v>0</v>
      </c>
      <c r="GL192">
        <f t="shared" si="194"/>
        <v>0</v>
      </c>
      <c r="GM192">
        <f t="shared" si="195"/>
        <v>12823.93</v>
      </c>
      <c r="GN192">
        <f t="shared" si="196"/>
        <v>0</v>
      </c>
      <c r="GO192">
        <f t="shared" si="197"/>
        <v>12823.93</v>
      </c>
      <c r="GP192">
        <f t="shared" si="198"/>
        <v>0</v>
      </c>
      <c r="GR192">
        <v>0</v>
      </c>
      <c r="GS192">
        <v>3</v>
      </c>
      <c r="GT192">
        <v>0</v>
      </c>
      <c r="GU192" t="s">
        <v>6</v>
      </c>
      <c r="GV192">
        <f t="shared" si="199"/>
        <v>0</v>
      </c>
      <c r="GW192">
        <v>1</v>
      </c>
      <c r="GX192">
        <f t="shared" si="200"/>
        <v>0</v>
      </c>
      <c r="HA192">
        <v>0</v>
      </c>
      <c r="HB192">
        <v>0</v>
      </c>
      <c r="HC192">
        <f t="shared" si="201"/>
        <v>0</v>
      </c>
      <c r="IK192">
        <v>0</v>
      </c>
    </row>
    <row r="193" spans="1:245" x14ac:dyDescent="0.2">
      <c r="A193">
        <v>18</v>
      </c>
      <c r="B193">
        <v>1</v>
      </c>
      <c r="C193">
        <v>314</v>
      </c>
      <c r="E193" t="s">
        <v>500</v>
      </c>
      <c r="F193" t="s">
        <v>501</v>
      </c>
      <c r="G193" t="s">
        <v>502</v>
      </c>
      <c r="H193" t="s">
        <v>42</v>
      </c>
      <c r="I193">
        <f>I192*J193</f>
        <v>12</v>
      </c>
      <c r="J193">
        <v>0.375</v>
      </c>
      <c r="O193">
        <f t="shared" si="168"/>
        <v>5352.97</v>
      </c>
      <c r="P193">
        <f t="shared" si="169"/>
        <v>5352.97</v>
      </c>
      <c r="Q193">
        <f t="shared" si="170"/>
        <v>0</v>
      </c>
      <c r="R193">
        <f t="shared" si="171"/>
        <v>0</v>
      </c>
      <c r="S193">
        <f t="shared" si="172"/>
        <v>0</v>
      </c>
      <c r="T193">
        <f t="shared" si="173"/>
        <v>0</v>
      </c>
      <c r="U193">
        <f t="shared" si="174"/>
        <v>0</v>
      </c>
      <c r="V193">
        <f t="shared" si="175"/>
        <v>0</v>
      </c>
      <c r="W193">
        <f t="shared" si="176"/>
        <v>0</v>
      </c>
      <c r="X193">
        <f t="shared" si="177"/>
        <v>0</v>
      </c>
      <c r="Y193">
        <f t="shared" si="178"/>
        <v>0</v>
      </c>
      <c r="AA193">
        <v>16802145</v>
      </c>
      <c r="AB193">
        <f t="shared" si="179"/>
        <v>66.48</v>
      </c>
      <c r="AC193">
        <f t="shared" si="202"/>
        <v>66.48</v>
      </c>
      <c r="AD193">
        <f t="shared" si="203"/>
        <v>0</v>
      </c>
      <c r="AE193">
        <f t="shared" si="204"/>
        <v>0</v>
      </c>
      <c r="AF193">
        <f t="shared" si="205"/>
        <v>0</v>
      </c>
      <c r="AG193">
        <f t="shared" si="180"/>
        <v>0</v>
      </c>
      <c r="AH193">
        <f t="shared" si="206"/>
        <v>0</v>
      </c>
      <c r="AI193">
        <f t="shared" si="207"/>
        <v>0</v>
      </c>
      <c r="AJ193">
        <f t="shared" si="181"/>
        <v>0</v>
      </c>
      <c r="AK193">
        <v>66.48</v>
      </c>
      <c r="AL193">
        <v>66.48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95</v>
      </c>
      <c r="AU193">
        <v>65</v>
      </c>
      <c r="AV193">
        <v>1</v>
      </c>
      <c r="AW193">
        <v>1</v>
      </c>
      <c r="AZ193">
        <v>6.71</v>
      </c>
      <c r="BA193">
        <v>1</v>
      </c>
      <c r="BB193">
        <v>1</v>
      </c>
      <c r="BC193">
        <v>6.71</v>
      </c>
      <c r="BD193" t="s">
        <v>6</v>
      </c>
      <c r="BE193" t="s">
        <v>6</v>
      </c>
      <c r="BF193" t="s">
        <v>6</v>
      </c>
      <c r="BG193" t="s">
        <v>6</v>
      </c>
      <c r="BH193">
        <v>3</v>
      </c>
      <c r="BI193">
        <v>2</v>
      </c>
      <c r="BJ193" t="s">
        <v>503</v>
      </c>
      <c r="BM193">
        <v>108001</v>
      </c>
      <c r="BN193">
        <v>0</v>
      </c>
      <c r="BO193" t="s">
        <v>6</v>
      </c>
      <c r="BP193">
        <v>0</v>
      </c>
      <c r="BQ193">
        <v>3</v>
      </c>
      <c r="BR193">
        <v>0</v>
      </c>
      <c r="BS193">
        <v>1</v>
      </c>
      <c r="BT193">
        <v>1</v>
      </c>
      <c r="BU193">
        <v>1</v>
      </c>
      <c r="BV193">
        <v>1</v>
      </c>
      <c r="BW193">
        <v>1</v>
      </c>
      <c r="BX193">
        <v>1</v>
      </c>
      <c r="BY193" t="s">
        <v>6</v>
      </c>
      <c r="BZ193">
        <v>95</v>
      </c>
      <c r="CA193">
        <v>65</v>
      </c>
      <c r="CE193">
        <v>0</v>
      </c>
      <c r="CF193">
        <v>0</v>
      </c>
      <c r="CG193">
        <v>0</v>
      </c>
      <c r="CM193">
        <v>0</v>
      </c>
      <c r="CN193" t="s">
        <v>6</v>
      </c>
      <c r="CO193">
        <v>0</v>
      </c>
      <c r="CP193">
        <f t="shared" si="182"/>
        <v>5352.97</v>
      </c>
      <c r="CQ193">
        <f t="shared" si="183"/>
        <v>446.08080000000001</v>
      </c>
      <c r="CR193">
        <f t="shared" si="184"/>
        <v>0</v>
      </c>
      <c r="CS193">
        <f t="shared" si="185"/>
        <v>0</v>
      </c>
      <c r="CT193">
        <f t="shared" si="186"/>
        <v>0</v>
      </c>
      <c r="CU193">
        <f t="shared" si="187"/>
        <v>0</v>
      </c>
      <c r="CV193">
        <f t="shared" si="188"/>
        <v>0</v>
      </c>
      <c r="CW193">
        <f t="shared" si="189"/>
        <v>0</v>
      </c>
      <c r="CX193">
        <f t="shared" si="190"/>
        <v>0</v>
      </c>
      <c r="CY193">
        <f t="shared" si="191"/>
        <v>0</v>
      </c>
      <c r="CZ193">
        <f t="shared" si="192"/>
        <v>0</v>
      </c>
      <c r="DC193" t="s">
        <v>6</v>
      </c>
      <c r="DD193" t="s">
        <v>6</v>
      </c>
      <c r="DE193" t="s">
        <v>6</v>
      </c>
      <c r="DF193" t="s">
        <v>6</v>
      </c>
      <c r="DG193" t="s">
        <v>6</v>
      </c>
      <c r="DH193" t="s">
        <v>6</v>
      </c>
      <c r="DI193" t="s">
        <v>6</v>
      </c>
      <c r="DJ193" t="s">
        <v>6</v>
      </c>
      <c r="DK193" t="s">
        <v>6</v>
      </c>
      <c r="DL193" t="s">
        <v>6</v>
      </c>
      <c r="DM193" t="s">
        <v>6</v>
      </c>
      <c r="DN193">
        <v>0</v>
      </c>
      <c r="DO193">
        <v>0</v>
      </c>
      <c r="DP193">
        <v>1</v>
      </c>
      <c r="DQ193">
        <v>1</v>
      </c>
      <c r="DU193">
        <v>1010</v>
      </c>
      <c r="DV193" t="s">
        <v>42</v>
      </c>
      <c r="DW193" t="s">
        <v>42</v>
      </c>
      <c r="DX193">
        <v>1</v>
      </c>
      <c r="EE193">
        <v>16510370</v>
      </c>
      <c r="EF193">
        <v>3</v>
      </c>
      <c r="EG193" t="s">
        <v>390</v>
      </c>
      <c r="EH193">
        <v>0</v>
      </c>
      <c r="EI193" t="s">
        <v>6</v>
      </c>
      <c r="EJ193">
        <v>2</v>
      </c>
      <c r="EK193">
        <v>108001</v>
      </c>
      <c r="EL193" t="s">
        <v>391</v>
      </c>
      <c r="EM193" t="s">
        <v>392</v>
      </c>
      <c r="EO193" t="s">
        <v>6</v>
      </c>
      <c r="EQ193">
        <v>0</v>
      </c>
      <c r="ER193">
        <v>66.48</v>
      </c>
      <c r="ES193">
        <v>66.48</v>
      </c>
      <c r="ET193">
        <v>0</v>
      </c>
      <c r="EU193">
        <v>0</v>
      </c>
      <c r="EV193">
        <v>0</v>
      </c>
      <c r="EW193">
        <v>0</v>
      </c>
      <c r="EX193">
        <v>0</v>
      </c>
      <c r="FQ193">
        <v>0</v>
      </c>
      <c r="FR193">
        <f t="shared" si="193"/>
        <v>0</v>
      </c>
      <c r="FS193">
        <v>0</v>
      </c>
      <c r="FX193">
        <v>95</v>
      </c>
      <c r="FY193">
        <v>65</v>
      </c>
      <c r="GA193" t="s">
        <v>6</v>
      </c>
      <c r="GD193">
        <v>0</v>
      </c>
      <c r="GF193">
        <v>1644612973</v>
      </c>
      <c r="GG193">
        <v>1</v>
      </c>
      <c r="GH193">
        <v>1</v>
      </c>
      <c r="GI193">
        <v>4</v>
      </c>
      <c r="GJ193">
        <v>0</v>
      </c>
      <c r="GK193">
        <f>ROUND(R193*(R12)/100,2)</f>
        <v>0</v>
      </c>
      <c r="GL193">
        <f t="shared" si="194"/>
        <v>0</v>
      </c>
      <c r="GM193">
        <f t="shared" si="195"/>
        <v>5352.97</v>
      </c>
      <c r="GN193">
        <f t="shared" si="196"/>
        <v>0</v>
      </c>
      <c r="GO193">
        <f t="shared" si="197"/>
        <v>5352.97</v>
      </c>
      <c r="GP193">
        <f t="shared" si="198"/>
        <v>0</v>
      </c>
      <c r="GR193">
        <v>0</v>
      </c>
      <c r="GS193">
        <v>3</v>
      </c>
      <c r="GT193">
        <v>0</v>
      </c>
      <c r="GU193" t="s">
        <v>6</v>
      </c>
      <c r="GV193">
        <f t="shared" si="199"/>
        <v>0</v>
      </c>
      <c r="GW193">
        <v>1</v>
      </c>
      <c r="GX193">
        <f t="shared" si="200"/>
        <v>0</v>
      </c>
      <c r="HA193">
        <v>0</v>
      </c>
      <c r="HB193">
        <v>0</v>
      </c>
      <c r="HC193">
        <f t="shared" si="201"/>
        <v>0</v>
      </c>
      <c r="IK193">
        <v>0</v>
      </c>
    </row>
    <row r="194" spans="1:245" x14ac:dyDescent="0.2">
      <c r="A194">
        <v>18</v>
      </c>
      <c r="B194">
        <v>1</v>
      </c>
      <c r="C194">
        <v>313</v>
      </c>
      <c r="E194" t="s">
        <v>504</v>
      </c>
      <c r="F194" t="s">
        <v>505</v>
      </c>
      <c r="G194" t="s">
        <v>506</v>
      </c>
      <c r="H194" t="s">
        <v>42</v>
      </c>
      <c r="I194">
        <f>I192*J194</f>
        <v>5</v>
      </c>
      <c r="J194">
        <v>0.15625</v>
      </c>
      <c r="O194">
        <f t="shared" si="168"/>
        <v>2470.29</v>
      </c>
      <c r="P194">
        <f t="shared" si="169"/>
        <v>2470.29</v>
      </c>
      <c r="Q194">
        <f t="shared" si="170"/>
        <v>0</v>
      </c>
      <c r="R194">
        <f t="shared" si="171"/>
        <v>0</v>
      </c>
      <c r="S194">
        <f t="shared" si="172"/>
        <v>0</v>
      </c>
      <c r="T194">
        <f t="shared" si="173"/>
        <v>0</v>
      </c>
      <c r="U194">
        <f t="shared" si="174"/>
        <v>0</v>
      </c>
      <c r="V194">
        <f t="shared" si="175"/>
        <v>0</v>
      </c>
      <c r="W194">
        <f t="shared" si="176"/>
        <v>0</v>
      </c>
      <c r="X194">
        <f t="shared" si="177"/>
        <v>0</v>
      </c>
      <c r="Y194">
        <f t="shared" si="178"/>
        <v>0</v>
      </c>
      <c r="AA194">
        <v>16802145</v>
      </c>
      <c r="AB194">
        <f t="shared" si="179"/>
        <v>73.63</v>
      </c>
      <c r="AC194">
        <f t="shared" si="202"/>
        <v>73.63</v>
      </c>
      <c r="AD194">
        <f t="shared" si="203"/>
        <v>0</v>
      </c>
      <c r="AE194">
        <f t="shared" si="204"/>
        <v>0</v>
      </c>
      <c r="AF194">
        <f t="shared" si="205"/>
        <v>0</v>
      </c>
      <c r="AG194">
        <f t="shared" si="180"/>
        <v>0</v>
      </c>
      <c r="AH194">
        <f t="shared" si="206"/>
        <v>0</v>
      </c>
      <c r="AI194">
        <f t="shared" si="207"/>
        <v>0</v>
      </c>
      <c r="AJ194">
        <f t="shared" si="181"/>
        <v>0</v>
      </c>
      <c r="AK194">
        <v>73.63</v>
      </c>
      <c r="AL194">
        <v>73.63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95</v>
      </c>
      <c r="AU194">
        <v>65</v>
      </c>
      <c r="AV194">
        <v>1</v>
      </c>
      <c r="AW194">
        <v>1</v>
      </c>
      <c r="AZ194">
        <v>6.71</v>
      </c>
      <c r="BA194">
        <v>1</v>
      </c>
      <c r="BB194">
        <v>1</v>
      </c>
      <c r="BC194">
        <v>6.71</v>
      </c>
      <c r="BD194" t="s">
        <v>6</v>
      </c>
      <c r="BE194" t="s">
        <v>6</v>
      </c>
      <c r="BF194" t="s">
        <v>6</v>
      </c>
      <c r="BG194" t="s">
        <v>6</v>
      </c>
      <c r="BH194">
        <v>3</v>
      </c>
      <c r="BI194">
        <v>2</v>
      </c>
      <c r="BJ194" t="s">
        <v>507</v>
      </c>
      <c r="BM194">
        <v>108001</v>
      </c>
      <c r="BN194">
        <v>0</v>
      </c>
      <c r="BO194" t="s">
        <v>6</v>
      </c>
      <c r="BP194">
        <v>0</v>
      </c>
      <c r="BQ194">
        <v>3</v>
      </c>
      <c r="BR194">
        <v>0</v>
      </c>
      <c r="BS194">
        <v>1</v>
      </c>
      <c r="BT194">
        <v>1</v>
      </c>
      <c r="BU194">
        <v>1</v>
      </c>
      <c r="BV194">
        <v>1</v>
      </c>
      <c r="BW194">
        <v>1</v>
      </c>
      <c r="BX194">
        <v>1</v>
      </c>
      <c r="BY194" t="s">
        <v>6</v>
      </c>
      <c r="BZ194">
        <v>95</v>
      </c>
      <c r="CA194">
        <v>65</v>
      </c>
      <c r="CE194">
        <v>0</v>
      </c>
      <c r="CF194">
        <v>0</v>
      </c>
      <c r="CG194">
        <v>0</v>
      </c>
      <c r="CM194">
        <v>0</v>
      </c>
      <c r="CN194" t="s">
        <v>6</v>
      </c>
      <c r="CO194">
        <v>0</v>
      </c>
      <c r="CP194">
        <f t="shared" si="182"/>
        <v>2470.29</v>
      </c>
      <c r="CQ194">
        <f t="shared" si="183"/>
        <v>494.05729999999994</v>
      </c>
      <c r="CR194">
        <f t="shared" si="184"/>
        <v>0</v>
      </c>
      <c r="CS194">
        <f t="shared" si="185"/>
        <v>0</v>
      </c>
      <c r="CT194">
        <f t="shared" si="186"/>
        <v>0</v>
      </c>
      <c r="CU194">
        <f t="shared" si="187"/>
        <v>0</v>
      </c>
      <c r="CV194">
        <f t="shared" si="188"/>
        <v>0</v>
      </c>
      <c r="CW194">
        <f t="shared" si="189"/>
        <v>0</v>
      </c>
      <c r="CX194">
        <f t="shared" si="190"/>
        <v>0</v>
      </c>
      <c r="CY194">
        <f t="shared" si="191"/>
        <v>0</v>
      </c>
      <c r="CZ194">
        <f t="shared" si="192"/>
        <v>0</v>
      </c>
      <c r="DC194" t="s">
        <v>6</v>
      </c>
      <c r="DD194" t="s">
        <v>6</v>
      </c>
      <c r="DE194" t="s">
        <v>6</v>
      </c>
      <c r="DF194" t="s">
        <v>6</v>
      </c>
      <c r="DG194" t="s">
        <v>6</v>
      </c>
      <c r="DH194" t="s">
        <v>6</v>
      </c>
      <c r="DI194" t="s">
        <v>6</v>
      </c>
      <c r="DJ194" t="s">
        <v>6</v>
      </c>
      <c r="DK194" t="s">
        <v>6</v>
      </c>
      <c r="DL194" t="s">
        <v>6</v>
      </c>
      <c r="DM194" t="s">
        <v>6</v>
      </c>
      <c r="DN194">
        <v>0</v>
      </c>
      <c r="DO194">
        <v>0</v>
      </c>
      <c r="DP194">
        <v>1</v>
      </c>
      <c r="DQ194">
        <v>1</v>
      </c>
      <c r="DU194">
        <v>1010</v>
      </c>
      <c r="DV194" t="s">
        <v>42</v>
      </c>
      <c r="DW194" t="s">
        <v>42</v>
      </c>
      <c r="DX194">
        <v>1</v>
      </c>
      <c r="EE194">
        <v>16510370</v>
      </c>
      <c r="EF194">
        <v>3</v>
      </c>
      <c r="EG194" t="s">
        <v>390</v>
      </c>
      <c r="EH194">
        <v>0</v>
      </c>
      <c r="EI194" t="s">
        <v>6</v>
      </c>
      <c r="EJ194">
        <v>2</v>
      </c>
      <c r="EK194">
        <v>108001</v>
      </c>
      <c r="EL194" t="s">
        <v>391</v>
      </c>
      <c r="EM194" t="s">
        <v>392</v>
      </c>
      <c r="EO194" t="s">
        <v>6</v>
      </c>
      <c r="EQ194">
        <v>0</v>
      </c>
      <c r="ER194">
        <v>73.63</v>
      </c>
      <c r="ES194">
        <v>73.63</v>
      </c>
      <c r="ET194">
        <v>0</v>
      </c>
      <c r="EU194">
        <v>0</v>
      </c>
      <c r="EV194">
        <v>0</v>
      </c>
      <c r="EW194">
        <v>0</v>
      </c>
      <c r="EX194">
        <v>0</v>
      </c>
      <c r="FQ194">
        <v>0</v>
      </c>
      <c r="FR194">
        <f t="shared" si="193"/>
        <v>0</v>
      </c>
      <c r="FS194">
        <v>0</v>
      </c>
      <c r="FX194">
        <v>95</v>
      </c>
      <c r="FY194">
        <v>65</v>
      </c>
      <c r="GA194" t="s">
        <v>6</v>
      </c>
      <c r="GD194">
        <v>0</v>
      </c>
      <c r="GF194">
        <v>1012048153</v>
      </c>
      <c r="GG194">
        <v>1</v>
      </c>
      <c r="GH194">
        <v>1</v>
      </c>
      <c r="GI194">
        <v>4</v>
      </c>
      <c r="GJ194">
        <v>0</v>
      </c>
      <c r="GK194">
        <f>ROUND(R194*(R12)/100,2)</f>
        <v>0</v>
      </c>
      <c r="GL194">
        <f t="shared" si="194"/>
        <v>0</v>
      </c>
      <c r="GM194">
        <f t="shared" si="195"/>
        <v>2470.29</v>
      </c>
      <c r="GN194">
        <f t="shared" si="196"/>
        <v>0</v>
      </c>
      <c r="GO194">
        <f t="shared" si="197"/>
        <v>2470.29</v>
      </c>
      <c r="GP194">
        <f t="shared" si="198"/>
        <v>0</v>
      </c>
      <c r="GR194">
        <v>0</v>
      </c>
      <c r="GS194">
        <v>3</v>
      </c>
      <c r="GT194">
        <v>0</v>
      </c>
      <c r="GU194" t="s">
        <v>6</v>
      </c>
      <c r="GV194">
        <f t="shared" si="199"/>
        <v>0</v>
      </c>
      <c r="GW194">
        <v>1</v>
      </c>
      <c r="GX194">
        <f t="shared" si="200"/>
        <v>0</v>
      </c>
      <c r="HA194">
        <v>0</v>
      </c>
      <c r="HB194">
        <v>0</v>
      </c>
      <c r="HC194">
        <f t="shared" si="201"/>
        <v>0</v>
      </c>
      <c r="IK194">
        <v>0</v>
      </c>
    </row>
    <row r="195" spans="1:245" x14ac:dyDescent="0.2">
      <c r="A195">
        <v>18</v>
      </c>
      <c r="B195">
        <v>1</v>
      </c>
      <c r="C195">
        <v>316</v>
      </c>
      <c r="E195" t="s">
        <v>508</v>
      </c>
      <c r="F195" t="s">
        <v>509</v>
      </c>
      <c r="G195" t="s">
        <v>510</v>
      </c>
      <c r="H195" t="s">
        <v>42</v>
      </c>
      <c r="I195">
        <f>I192*J195</f>
        <v>5</v>
      </c>
      <c r="J195">
        <v>0.15625</v>
      </c>
      <c r="O195">
        <f t="shared" si="168"/>
        <v>7760.12</v>
      </c>
      <c r="P195">
        <f t="shared" si="169"/>
        <v>7760.12</v>
      </c>
      <c r="Q195">
        <f t="shared" si="170"/>
        <v>0</v>
      </c>
      <c r="R195">
        <f t="shared" si="171"/>
        <v>0</v>
      </c>
      <c r="S195">
        <f t="shared" si="172"/>
        <v>0</v>
      </c>
      <c r="T195">
        <f t="shared" si="173"/>
        <v>0</v>
      </c>
      <c r="U195">
        <f t="shared" si="174"/>
        <v>0</v>
      </c>
      <c r="V195">
        <f t="shared" si="175"/>
        <v>0</v>
      </c>
      <c r="W195">
        <f t="shared" si="176"/>
        <v>0</v>
      </c>
      <c r="X195">
        <f t="shared" si="177"/>
        <v>0</v>
      </c>
      <c r="Y195">
        <f t="shared" si="178"/>
        <v>0</v>
      </c>
      <c r="AA195">
        <v>16802145</v>
      </c>
      <c r="AB195">
        <f t="shared" si="179"/>
        <v>231.3</v>
      </c>
      <c r="AC195">
        <f t="shared" si="202"/>
        <v>231.3</v>
      </c>
      <c r="AD195">
        <f t="shared" si="203"/>
        <v>0</v>
      </c>
      <c r="AE195">
        <f t="shared" si="204"/>
        <v>0</v>
      </c>
      <c r="AF195">
        <f t="shared" si="205"/>
        <v>0</v>
      </c>
      <c r="AG195">
        <f t="shared" si="180"/>
        <v>0</v>
      </c>
      <c r="AH195">
        <f t="shared" si="206"/>
        <v>0</v>
      </c>
      <c r="AI195">
        <f t="shared" si="207"/>
        <v>0</v>
      </c>
      <c r="AJ195">
        <f t="shared" si="181"/>
        <v>0</v>
      </c>
      <c r="AK195">
        <v>231.3</v>
      </c>
      <c r="AL195">
        <v>231.3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95</v>
      </c>
      <c r="AU195">
        <v>65</v>
      </c>
      <c r="AV195">
        <v>1</v>
      </c>
      <c r="AW195">
        <v>1</v>
      </c>
      <c r="AZ195">
        <v>6.71</v>
      </c>
      <c r="BA195">
        <v>1</v>
      </c>
      <c r="BB195">
        <v>1</v>
      </c>
      <c r="BC195">
        <v>6.71</v>
      </c>
      <c r="BD195" t="s">
        <v>6</v>
      </c>
      <c r="BE195" t="s">
        <v>6</v>
      </c>
      <c r="BF195" t="s">
        <v>6</v>
      </c>
      <c r="BG195" t="s">
        <v>6</v>
      </c>
      <c r="BH195">
        <v>3</v>
      </c>
      <c r="BI195">
        <v>2</v>
      </c>
      <c r="BJ195" t="s">
        <v>511</v>
      </c>
      <c r="BM195">
        <v>108001</v>
      </c>
      <c r="BN195">
        <v>0</v>
      </c>
      <c r="BO195" t="s">
        <v>6</v>
      </c>
      <c r="BP195">
        <v>0</v>
      </c>
      <c r="BQ195">
        <v>3</v>
      </c>
      <c r="BR195">
        <v>0</v>
      </c>
      <c r="BS195">
        <v>1</v>
      </c>
      <c r="BT195">
        <v>1</v>
      </c>
      <c r="BU195">
        <v>1</v>
      </c>
      <c r="BV195">
        <v>1</v>
      </c>
      <c r="BW195">
        <v>1</v>
      </c>
      <c r="BX195">
        <v>1</v>
      </c>
      <c r="BY195" t="s">
        <v>6</v>
      </c>
      <c r="BZ195">
        <v>95</v>
      </c>
      <c r="CA195">
        <v>65</v>
      </c>
      <c r="CE195">
        <v>0</v>
      </c>
      <c r="CF195">
        <v>0</v>
      </c>
      <c r="CG195">
        <v>0</v>
      </c>
      <c r="CM195">
        <v>0</v>
      </c>
      <c r="CN195" t="s">
        <v>6</v>
      </c>
      <c r="CO195">
        <v>0</v>
      </c>
      <c r="CP195">
        <f t="shared" si="182"/>
        <v>7760.12</v>
      </c>
      <c r="CQ195">
        <f t="shared" si="183"/>
        <v>1552.0230000000001</v>
      </c>
      <c r="CR195">
        <f t="shared" si="184"/>
        <v>0</v>
      </c>
      <c r="CS195">
        <f t="shared" si="185"/>
        <v>0</v>
      </c>
      <c r="CT195">
        <f t="shared" si="186"/>
        <v>0</v>
      </c>
      <c r="CU195">
        <f t="shared" si="187"/>
        <v>0</v>
      </c>
      <c r="CV195">
        <f t="shared" si="188"/>
        <v>0</v>
      </c>
      <c r="CW195">
        <f t="shared" si="189"/>
        <v>0</v>
      </c>
      <c r="CX195">
        <f t="shared" si="190"/>
        <v>0</v>
      </c>
      <c r="CY195">
        <f t="shared" si="191"/>
        <v>0</v>
      </c>
      <c r="CZ195">
        <f t="shared" si="192"/>
        <v>0</v>
      </c>
      <c r="DC195" t="s">
        <v>6</v>
      </c>
      <c r="DD195" t="s">
        <v>6</v>
      </c>
      <c r="DE195" t="s">
        <v>6</v>
      </c>
      <c r="DF195" t="s">
        <v>6</v>
      </c>
      <c r="DG195" t="s">
        <v>6</v>
      </c>
      <c r="DH195" t="s">
        <v>6</v>
      </c>
      <c r="DI195" t="s">
        <v>6</v>
      </c>
      <c r="DJ195" t="s">
        <v>6</v>
      </c>
      <c r="DK195" t="s">
        <v>6</v>
      </c>
      <c r="DL195" t="s">
        <v>6</v>
      </c>
      <c r="DM195" t="s">
        <v>6</v>
      </c>
      <c r="DN195">
        <v>0</v>
      </c>
      <c r="DO195">
        <v>0</v>
      </c>
      <c r="DP195">
        <v>1</v>
      </c>
      <c r="DQ195">
        <v>1</v>
      </c>
      <c r="DU195">
        <v>1010</v>
      </c>
      <c r="DV195" t="s">
        <v>42</v>
      </c>
      <c r="DW195" t="s">
        <v>42</v>
      </c>
      <c r="DX195">
        <v>1</v>
      </c>
      <c r="EE195">
        <v>16510370</v>
      </c>
      <c r="EF195">
        <v>3</v>
      </c>
      <c r="EG195" t="s">
        <v>390</v>
      </c>
      <c r="EH195">
        <v>0</v>
      </c>
      <c r="EI195" t="s">
        <v>6</v>
      </c>
      <c r="EJ195">
        <v>2</v>
      </c>
      <c r="EK195">
        <v>108001</v>
      </c>
      <c r="EL195" t="s">
        <v>391</v>
      </c>
      <c r="EM195" t="s">
        <v>392</v>
      </c>
      <c r="EO195" t="s">
        <v>6</v>
      </c>
      <c r="EQ195">
        <v>0</v>
      </c>
      <c r="ER195">
        <v>231.3</v>
      </c>
      <c r="ES195">
        <v>231.3</v>
      </c>
      <c r="ET195">
        <v>0</v>
      </c>
      <c r="EU195">
        <v>0</v>
      </c>
      <c r="EV195">
        <v>0</v>
      </c>
      <c r="EW195">
        <v>0</v>
      </c>
      <c r="EX195">
        <v>0</v>
      </c>
      <c r="FQ195">
        <v>0</v>
      </c>
      <c r="FR195">
        <f t="shared" si="193"/>
        <v>0</v>
      </c>
      <c r="FS195">
        <v>0</v>
      </c>
      <c r="FX195">
        <v>95</v>
      </c>
      <c r="FY195">
        <v>65</v>
      </c>
      <c r="GA195" t="s">
        <v>6</v>
      </c>
      <c r="GD195">
        <v>0</v>
      </c>
      <c r="GF195">
        <v>-476651515</v>
      </c>
      <c r="GG195">
        <v>1</v>
      </c>
      <c r="GH195">
        <v>1</v>
      </c>
      <c r="GI195">
        <v>4</v>
      </c>
      <c r="GJ195">
        <v>0</v>
      </c>
      <c r="GK195">
        <f>ROUND(R195*(R12)/100,2)</f>
        <v>0</v>
      </c>
      <c r="GL195">
        <f t="shared" si="194"/>
        <v>0</v>
      </c>
      <c r="GM195">
        <f t="shared" si="195"/>
        <v>7760.12</v>
      </c>
      <c r="GN195">
        <f t="shared" si="196"/>
        <v>0</v>
      </c>
      <c r="GO195">
        <f t="shared" si="197"/>
        <v>7760.12</v>
      </c>
      <c r="GP195">
        <f t="shared" si="198"/>
        <v>0</v>
      </c>
      <c r="GR195">
        <v>0</v>
      </c>
      <c r="GS195">
        <v>3</v>
      </c>
      <c r="GT195">
        <v>0</v>
      </c>
      <c r="GU195" t="s">
        <v>6</v>
      </c>
      <c r="GV195">
        <f t="shared" si="199"/>
        <v>0</v>
      </c>
      <c r="GW195">
        <v>1</v>
      </c>
      <c r="GX195">
        <f t="shared" si="200"/>
        <v>0</v>
      </c>
      <c r="HA195">
        <v>0</v>
      </c>
      <c r="HB195">
        <v>0</v>
      </c>
      <c r="HC195">
        <f t="shared" si="201"/>
        <v>0</v>
      </c>
      <c r="IK195">
        <v>0</v>
      </c>
    </row>
    <row r="196" spans="1:245" x14ac:dyDescent="0.2">
      <c r="A196">
        <v>18</v>
      </c>
      <c r="B196">
        <v>1</v>
      </c>
      <c r="C196">
        <v>317</v>
      </c>
      <c r="E196" t="s">
        <v>512</v>
      </c>
      <c r="F196" t="s">
        <v>513</v>
      </c>
      <c r="G196" t="s">
        <v>514</v>
      </c>
      <c r="H196" t="s">
        <v>42</v>
      </c>
      <c r="I196">
        <f>I192*J196</f>
        <v>5</v>
      </c>
      <c r="J196">
        <v>0.15625</v>
      </c>
      <c r="O196">
        <f t="shared" si="168"/>
        <v>10137.469999999999</v>
      </c>
      <c r="P196">
        <f t="shared" si="169"/>
        <v>10137.469999999999</v>
      </c>
      <c r="Q196">
        <f t="shared" si="170"/>
        <v>0</v>
      </c>
      <c r="R196">
        <f t="shared" si="171"/>
        <v>0</v>
      </c>
      <c r="S196">
        <f t="shared" si="172"/>
        <v>0</v>
      </c>
      <c r="T196">
        <f t="shared" si="173"/>
        <v>0</v>
      </c>
      <c r="U196">
        <f t="shared" si="174"/>
        <v>0</v>
      </c>
      <c r="V196">
        <f t="shared" si="175"/>
        <v>0</v>
      </c>
      <c r="W196">
        <f t="shared" si="176"/>
        <v>0</v>
      </c>
      <c r="X196">
        <f t="shared" si="177"/>
        <v>0</v>
      </c>
      <c r="Y196">
        <f t="shared" si="178"/>
        <v>0</v>
      </c>
      <c r="AA196">
        <v>16802145</v>
      </c>
      <c r="AB196">
        <f t="shared" si="179"/>
        <v>302.16000000000003</v>
      </c>
      <c r="AC196">
        <f t="shared" si="202"/>
        <v>302.16000000000003</v>
      </c>
      <c r="AD196">
        <f t="shared" si="203"/>
        <v>0</v>
      </c>
      <c r="AE196">
        <f t="shared" si="204"/>
        <v>0</v>
      </c>
      <c r="AF196">
        <f t="shared" si="205"/>
        <v>0</v>
      </c>
      <c r="AG196">
        <f t="shared" si="180"/>
        <v>0</v>
      </c>
      <c r="AH196">
        <f t="shared" si="206"/>
        <v>0</v>
      </c>
      <c r="AI196">
        <f t="shared" si="207"/>
        <v>0</v>
      </c>
      <c r="AJ196">
        <f t="shared" si="181"/>
        <v>0</v>
      </c>
      <c r="AK196">
        <v>302.16000000000003</v>
      </c>
      <c r="AL196">
        <v>302.16000000000003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95</v>
      </c>
      <c r="AU196">
        <v>65</v>
      </c>
      <c r="AV196">
        <v>1</v>
      </c>
      <c r="AW196">
        <v>1</v>
      </c>
      <c r="AZ196">
        <v>6.71</v>
      </c>
      <c r="BA196">
        <v>1</v>
      </c>
      <c r="BB196">
        <v>1</v>
      </c>
      <c r="BC196">
        <v>6.71</v>
      </c>
      <c r="BD196" t="s">
        <v>6</v>
      </c>
      <c r="BE196" t="s">
        <v>6</v>
      </c>
      <c r="BF196" t="s">
        <v>6</v>
      </c>
      <c r="BG196" t="s">
        <v>6</v>
      </c>
      <c r="BH196">
        <v>3</v>
      </c>
      <c r="BI196">
        <v>2</v>
      </c>
      <c r="BJ196" t="s">
        <v>515</v>
      </c>
      <c r="BM196">
        <v>108001</v>
      </c>
      <c r="BN196">
        <v>0</v>
      </c>
      <c r="BO196" t="s">
        <v>6</v>
      </c>
      <c r="BP196">
        <v>0</v>
      </c>
      <c r="BQ196">
        <v>3</v>
      </c>
      <c r="BR196">
        <v>0</v>
      </c>
      <c r="BS196">
        <v>1</v>
      </c>
      <c r="BT196">
        <v>1</v>
      </c>
      <c r="BU196">
        <v>1</v>
      </c>
      <c r="BV196">
        <v>1</v>
      </c>
      <c r="BW196">
        <v>1</v>
      </c>
      <c r="BX196">
        <v>1</v>
      </c>
      <c r="BY196" t="s">
        <v>6</v>
      </c>
      <c r="BZ196">
        <v>95</v>
      </c>
      <c r="CA196">
        <v>65</v>
      </c>
      <c r="CE196">
        <v>0</v>
      </c>
      <c r="CF196">
        <v>0</v>
      </c>
      <c r="CG196">
        <v>0</v>
      </c>
      <c r="CM196">
        <v>0</v>
      </c>
      <c r="CN196" t="s">
        <v>6</v>
      </c>
      <c r="CO196">
        <v>0</v>
      </c>
      <c r="CP196">
        <f t="shared" si="182"/>
        <v>10137.469999999999</v>
      </c>
      <c r="CQ196">
        <f t="shared" si="183"/>
        <v>2027.4936000000002</v>
      </c>
      <c r="CR196">
        <f t="shared" si="184"/>
        <v>0</v>
      </c>
      <c r="CS196">
        <f t="shared" si="185"/>
        <v>0</v>
      </c>
      <c r="CT196">
        <f t="shared" si="186"/>
        <v>0</v>
      </c>
      <c r="CU196">
        <f t="shared" si="187"/>
        <v>0</v>
      </c>
      <c r="CV196">
        <f t="shared" si="188"/>
        <v>0</v>
      </c>
      <c r="CW196">
        <f t="shared" si="189"/>
        <v>0</v>
      </c>
      <c r="CX196">
        <f t="shared" si="190"/>
        <v>0</v>
      </c>
      <c r="CY196">
        <f t="shared" si="191"/>
        <v>0</v>
      </c>
      <c r="CZ196">
        <f t="shared" si="192"/>
        <v>0</v>
      </c>
      <c r="DC196" t="s">
        <v>6</v>
      </c>
      <c r="DD196" t="s">
        <v>6</v>
      </c>
      <c r="DE196" t="s">
        <v>6</v>
      </c>
      <c r="DF196" t="s">
        <v>6</v>
      </c>
      <c r="DG196" t="s">
        <v>6</v>
      </c>
      <c r="DH196" t="s">
        <v>6</v>
      </c>
      <c r="DI196" t="s">
        <v>6</v>
      </c>
      <c r="DJ196" t="s">
        <v>6</v>
      </c>
      <c r="DK196" t="s">
        <v>6</v>
      </c>
      <c r="DL196" t="s">
        <v>6</v>
      </c>
      <c r="DM196" t="s">
        <v>6</v>
      </c>
      <c r="DN196">
        <v>0</v>
      </c>
      <c r="DO196">
        <v>0</v>
      </c>
      <c r="DP196">
        <v>1</v>
      </c>
      <c r="DQ196">
        <v>1</v>
      </c>
      <c r="DU196">
        <v>1010</v>
      </c>
      <c r="DV196" t="s">
        <v>42</v>
      </c>
      <c r="DW196" t="s">
        <v>42</v>
      </c>
      <c r="DX196">
        <v>1</v>
      </c>
      <c r="EE196">
        <v>16510370</v>
      </c>
      <c r="EF196">
        <v>3</v>
      </c>
      <c r="EG196" t="s">
        <v>390</v>
      </c>
      <c r="EH196">
        <v>0</v>
      </c>
      <c r="EI196" t="s">
        <v>6</v>
      </c>
      <c r="EJ196">
        <v>2</v>
      </c>
      <c r="EK196">
        <v>108001</v>
      </c>
      <c r="EL196" t="s">
        <v>391</v>
      </c>
      <c r="EM196" t="s">
        <v>392</v>
      </c>
      <c r="EO196" t="s">
        <v>6</v>
      </c>
      <c r="EQ196">
        <v>0</v>
      </c>
      <c r="ER196">
        <v>302.16000000000003</v>
      </c>
      <c r="ES196">
        <v>302.16000000000003</v>
      </c>
      <c r="ET196">
        <v>0</v>
      </c>
      <c r="EU196">
        <v>0</v>
      </c>
      <c r="EV196">
        <v>0</v>
      </c>
      <c r="EW196">
        <v>0</v>
      </c>
      <c r="EX196">
        <v>0</v>
      </c>
      <c r="FQ196">
        <v>0</v>
      </c>
      <c r="FR196">
        <f t="shared" si="193"/>
        <v>0</v>
      </c>
      <c r="FS196">
        <v>0</v>
      </c>
      <c r="FX196">
        <v>95</v>
      </c>
      <c r="FY196">
        <v>65</v>
      </c>
      <c r="GA196" t="s">
        <v>6</v>
      </c>
      <c r="GD196">
        <v>0</v>
      </c>
      <c r="GF196">
        <v>2110826262</v>
      </c>
      <c r="GG196">
        <v>1</v>
      </c>
      <c r="GH196">
        <v>1</v>
      </c>
      <c r="GI196">
        <v>4</v>
      </c>
      <c r="GJ196">
        <v>0</v>
      </c>
      <c r="GK196">
        <f>ROUND(R196*(R12)/100,2)</f>
        <v>0</v>
      </c>
      <c r="GL196">
        <f t="shared" si="194"/>
        <v>0</v>
      </c>
      <c r="GM196">
        <f t="shared" si="195"/>
        <v>10137.469999999999</v>
      </c>
      <c r="GN196">
        <f t="shared" si="196"/>
        <v>0</v>
      </c>
      <c r="GO196">
        <f t="shared" si="197"/>
        <v>10137.469999999999</v>
      </c>
      <c r="GP196">
        <f t="shared" si="198"/>
        <v>0</v>
      </c>
      <c r="GR196">
        <v>0</v>
      </c>
      <c r="GS196">
        <v>3</v>
      </c>
      <c r="GT196">
        <v>0</v>
      </c>
      <c r="GU196" t="s">
        <v>6</v>
      </c>
      <c r="GV196">
        <f t="shared" si="199"/>
        <v>0</v>
      </c>
      <c r="GW196">
        <v>1</v>
      </c>
      <c r="GX196">
        <f t="shared" si="200"/>
        <v>0</v>
      </c>
      <c r="HA196">
        <v>0</v>
      </c>
      <c r="HB196">
        <v>0</v>
      </c>
      <c r="HC196">
        <f t="shared" si="201"/>
        <v>0</v>
      </c>
      <c r="IK196">
        <v>0</v>
      </c>
    </row>
    <row r="197" spans="1:245" x14ac:dyDescent="0.2">
      <c r="A197">
        <v>18</v>
      </c>
      <c r="B197">
        <v>1</v>
      </c>
      <c r="C197">
        <v>315</v>
      </c>
      <c r="E197" t="s">
        <v>516</v>
      </c>
      <c r="F197" t="s">
        <v>517</v>
      </c>
      <c r="G197" t="s">
        <v>518</v>
      </c>
      <c r="H197" t="s">
        <v>42</v>
      </c>
      <c r="I197">
        <f>I192*J197</f>
        <v>5</v>
      </c>
      <c r="J197">
        <v>0.15625</v>
      </c>
      <c r="O197">
        <f t="shared" si="168"/>
        <v>2458.88</v>
      </c>
      <c r="P197">
        <f t="shared" si="169"/>
        <v>2458.88</v>
      </c>
      <c r="Q197">
        <f t="shared" si="170"/>
        <v>0</v>
      </c>
      <c r="R197">
        <f t="shared" si="171"/>
        <v>0</v>
      </c>
      <c r="S197">
        <f t="shared" si="172"/>
        <v>0</v>
      </c>
      <c r="T197">
        <f t="shared" si="173"/>
        <v>0</v>
      </c>
      <c r="U197">
        <f t="shared" si="174"/>
        <v>0</v>
      </c>
      <c r="V197">
        <f t="shared" si="175"/>
        <v>0</v>
      </c>
      <c r="W197">
        <f t="shared" si="176"/>
        <v>0</v>
      </c>
      <c r="X197">
        <f t="shared" si="177"/>
        <v>0</v>
      </c>
      <c r="Y197">
        <f t="shared" si="178"/>
        <v>0</v>
      </c>
      <c r="AA197">
        <v>16802145</v>
      </c>
      <c r="AB197">
        <f t="shared" si="179"/>
        <v>73.290000000000006</v>
      </c>
      <c r="AC197">
        <f t="shared" si="202"/>
        <v>73.290000000000006</v>
      </c>
      <c r="AD197">
        <f t="shared" si="203"/>
        <v>0</v>
      </c>
      <c r="AE197">
        <f t="shared" si="204"/>
        <v>0</v>
      </c>
      <c r="AF197">
        <f t="shared" si="205"/>
        <v>0</v>
      </c>
      <c r="AG197">
        <f t="shared" si="180"/>
        <v>0</v>
      </c>
      <c r="AH197">
        <f t="shared" si="206"/>
        <v>0</v>
      </c>
      <c r="AI197">
        <f t="shared" si="207"/>
        <v>0</v>
      </c>
      <c r="AJ197">
        <f t="shared" si="181"/>
        <v>0</v>
      </c>
      <c r="AK197">
        <v>73.290000000000006</v>
      </c>
      <c r="AL197">
        <v>73.290000000000006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95</v>
      </c>
      <c r="AU197">
        <v>65</v>
      </c>
      <c r="AV197">
        <v>1</v>
      </c>
      <c r="AW197">
        <v>1</v>
      </c>
      <c r="AZ197">
        <v>6.71</v>
      </c>
      <c r="BA197">
        <v>1</v>
      </c>
      <c r="BB197">
        <v>1</v>
      </c>
      <c r="BC197">
        <v>6.71</v>
      </c>
      <c r="BD197" t="s">
        <v>6</v>
      </c>
      <c r="BE197" t="s">
        <v>6</v>
      </c>
      <c r="BF197" t="s">
        <v>6</v>
      </c>
      <c r="BG197" t="s">
        <v>6</v>
      </c>
      <c r="BH197">
        <v>3</v>
      </c>
      <c r="BI197">
        <v>2</v>
      </c>
      <c r="BJ197" t="s">
        <v>519</v>
      </c>
      <c r="BM197">
        <v>108001</v>
      </c>
      <c r="BN197">
        <v>0</v>
      </c>
      <c r="BO197" t="s">
        <v>6</v>
      </c>
      <c r="BP197">
        <v>0</v>
      </c>
      <c r="BQ197">
        <v>3</v>
      </c>
      <c r="BR197">
        <v>0</v>
      </c>
      <c r="BS197">
        <v>1</v>
      </c>
      <c r="BT197">
        <v>1</v>
      </c>
      <c r="BU197">
        <v>1</v>
      </c>
      <c r="BV197">
        <v>1</v>
      </c>
      <c r="BW197">
        <v>1</v>
      </c>
      <c r="BX197">
        <v>1</v>
      </c>
      <c r="BY197" t="s">
        <v>6</v>
      </c>
      <c r="BZ197">
        <v>95</v>
      </c>
      <c r="CA197">
        <v>65</v>
      </c>
      <c r="CE197">
        <v>0</v>
      </c>
      <c r="CF197">
        <v>0</v>
      </c>
      <c r="CG197">
        <v>0</v>
      </c>
      <c r="CM197">
        <v>0</v>
      </c>
      <c r="CN197" t="s">
        <v>6</v>
      </c>
      <c r="CO197">
        <v>0</v>
      </c>
      <c r="CP197">
        <f t="shared" si="182"/>
        <v>2458.88</v>
      </c>
      <c r="CQ197">
        <f t="shared" si="183"/>
        <v>491.77590000000004</v>
      </c>
      <c r="CR197">
        <f t="shared" si="184"/>
        <v>0</v>
      </c>
      <c r="CS197">
        <f t="shared" si="185"/>
        <v>0</v>
      </c>
      <c r="CT197">
        <f t="shared" si="186"/>
        <v>0</v>
      </c>
      <c r="CU197">
        <f t="shared" si="187"/>
        <v>0</v>
      </c>
      <c r="CV197">
        <f t="shared" si="188"/>
        <v>0</v>
      </c>
      <c r="CW197">
        <f t="shared" si="189"/>
        <v>0</v>
      </c>
      <c r="CX197">
        <f t="shared" si="190"/>
        <v>0</v>
      </c>
      <c r="CY197">
        <f t="shared" si="191"/>
        <v>0</v>
      </c>
      <c r="CZ197">
        <f t="shared" si="192"/>
        <v>0</v>
      </c>
      <c r="DC197" t="s">
        <v>6</v>
      </c>
      <c r="DD197" t="s">
        <v>6</v>
      </c>
      <c r="DE197" t="s">
        <v>6</v>
      </c>
      <c r="DF197" t="s">
        <v>6</v>
      </c>
      <c r="DG197" t="s">
        <v>6</v>
      </c>
      <c r="DH197" t="s">
        <v>6</v>
      </c>
      <c r="DI197" t="s">
        <v>6</v>
      </c>
      <c r="DJ197" t="s">
        <v>6</v>
      </c>
      <c r="DK197" t="s">
        <v>6</v>
      </c>
      <c r="DL197" t="s">
        <v>6</v>
      </c>
      <c r="DM197" t="s">
        <v>6</v>
      </c>
      <c r="DN197">
        <v>0</v>
      </c>
      <c r="DO197">
        <v>0</v>
      </c>
      <c r="DP197">
        <v>1</v>
      </c>
      <c r="DQ197">
        <v>1</v>
      </c>
      <c r="DU197">
        <v>1010</v>
      </c>
      <c r="DV197" t="s">
        <v>42</v>
      </c>
      <c r="DW197" t="s">
        <v>42</v>
      </c>
      <c r="DX197">
        <v>1</v>
      </c>
      <c r="EE197">
        <v>16510370</v>
      </c>
      <c r="EF197">
        <v>3</v>
      </c>
      <c r="EG197" t="s">
        <v>390</v>
      </c>
      <c r="EH197">
        <v>0</v>
      </c>
      <c r="EI197" t="s">
        <v>6</v>
      </c>
      <c r="EJ197">
        <v>2</v>
      </c>
      <c r="EK197">
        <v>108001</v>
      </c>
      <c r="EL197" t="s">
        <v>391</v>
      </c>
      <c r="EM197" t="s">
        <v>392</v>
      </c>
      <c r="EO197" t="s">
        <v>6</v>
      </c>
      <c r="EQ197">
        <v>0</v>
      </c>
      <c r="ER197">
        <v>73.290000000000006</v>
      </c>
      <c r="ES197">
        <v>73.290000000000006</v>
      </c>
      <c r="ET197">
        <v>0</v>
      </c>
      <c r="EU197">
        <v>0</v>
      </c>
      <c r="EV197">
        <v>0</v>
      </c>
      <c r="EW197">
        <v>0</v>
      </c>
      <c r="EX197">
        <v>0</v>
      </c>
      <c r="FQ197">
        <v>0</v>
      </c>
      <c r="FR197">
        <f t="shared" si="193"/>
        <v>0</v>
      </c>
      <c r="FS197">
        <v>0</v>
      </c>
      <c r="FX197">
        <v>95</v>
      </c>
      <c r="FY197">
        <v>65</v>
      </c>
      <c r="GA197" t="s">
        <v>6</v>
      </c>
      <c r="GD197">
        <v>0</v>
      </c>
      <c r="GF197">
        <v>470103916</v>
      </c>
      <c r="GG197">
        <v>1</v>
      </c>
      <c r="GH197">
        <v>1</v>
      </c>
      <c r="GI197">
        <v>4</v>
      </c>
      <c r="GJ197">
        <v>0</v>
      </c>
      <c r="GK197">
        <f>ROUND(R197*(R12)/100,2)</f>
        <v>0</v>
      </c>
      <c r="GL197">
        <f t="shared" si="194"/>
        <v>0</v>
      </c>
      <c r="GM197">
        <f t="shared" si="195"/>
        <v>2458.88</v>
      </c>
      <c r="GN197">
        <f t="shared" si="196"/>
        <v>0</v>
      </c>
      <c r="GO197">
        <f t="shared" si="197"/>
        <v>2458.88</v>
      </c>
      <c r="GP197">
        <f t="shared" si="198"/>
        <v>0</v>
      </c>
      <c r="GR197">
        <v>0</v>
      </c>
      <c r="GS197">
        <v>3</v>
      </c>
      <c r="GT197">
        <v>0</v>
      </c>
      <c r="GU197" t="s">
        <v>6</v>
      </c>
      <c r="GV197">
        <f t="shared" si="199"/>
        <v>0</v>
      </c>
      <c r="GW197">
        <v>1</v>
      </c>
      <c r="GX197">
        <f t="shared" si="200"/>
        <v>0</v>
      </c>
      <c r="HA197">
        <v>0</v>
      </c>
      <c r="HB197">
        <v>0</v>
      </c>
      <c r="HC197">
        <f t="shared" si="201"/>
        <v>0</v>
      </c>
      <c r="IK197">
        <v>0</v>
      </c>
    </row>
    <row r="198" spans="1:245" x14ac:dyDescent="0.2">
      <c r="A198">
        <v>17</v>
      </c>
      <c r="B198">
        <v>1</v>
      </c>
      <c r="C198">
        <f>ROW(SmtRes!A331)</f>
        <v>331</v>
      </c>
      <c r="D198">
        <f>ROW(EtalonRes!A315)</f>
        <v>315</v>
      </c>
      <c r="E198" t="s">
        <v>520</v>
      </c>
      <c r="F198" t="s">
        <v>521</v>
      </c>
      <c r="G198" t="s">
        <v>522</v>
      </c>
      <c r="H198" t="s">
        <v>35</v>
      </c>
      <c r="I198">
        <f>ROUND(72/100,9)</f>
        <v>0.72</v>
      </c>
      <c r="J198">
        <v>0</v>
      </c>
      <c r="O198">
        <f t="shared" si="168"/>
        <v>16055.19</v>
      </c>
      <c r="P198">
        <f t="shared" si="169"/>
        <v>4923.8100000000004</v>
      </c>
      <c r="Q198">
        <f t="shared" si="170"/>
        <v>894.5</v>
      </c>
      <c r="R198">
        <f t="shared" si="171"/>
        <v>120.06</v>
      </c>
      <c r="S198">
        <f t="shared" si="172"/>
        <v>10236.879999999999</v>
      </c>
      <c r="T198">
        <f t="shared" si="173"/>
        <v>0</v>
      </c>
      <c r="U198">
        <f t="shared" si="174"/>
        <v>153.792</v>
      </c>
      <c r="V198">
        <f t="shared" si="175"/>
        <v>1.4256</v>
      </c>
      <c r="W198">
        <f t="shared" si="176"/>
        <v>0</v>
      </c>
      <c r="X198">
        <f t="shared" si="177"/>
        <v>9839.09</v>
      </c>
      <c r="Y198">
        <f t="shared" si="178"/>
        <v>6732.01</v>
      </c>
      <c r="AA198">
        <v>16802145</v>
      </c>
      <c r="AB198">
        <f t="shared" si="179"/>
        <v>3323.23</v>
      </c>
      <c r="AC198">
        <f t="shared" si="202"/>
        <v>1019.17</v>
      </c>
      <c r="AD198">
        <f t="shared" si="203"/>
        <v>185.15</v>
      </c>
      <c r="AE198">
        <f t="shared" si="204"/>
        <v>24.85</v>
      </c>
      <c r="AF198">
        <f t="shared" si="205"/>
        <v>2118.91</v>
      </c>
      <c r="AG198">
        <f t="shared" si="180"/>
        <v>0</v>
      </c>
      <c r="AH198">
        <f t="shared" si="206"/>
        <v>213.6</v>
      </c>
      <c r="AI198">
        <f t="shared" si="207"/>
        <v>1.98</v>
      </c>
      <c r="AJ198">
        <f t="shared" si="181"/>
        <v>0</v>
      </c>
      <c r="AK198">
        <v>3323.23</v>
      </c>
      <c r="AL198">
        <v>1019.17</v>
      </c>
      <c r="AM198">
        <v>185.15</v>
      </c>
      <c r="AN198">
        <v>24.85</v>
      </c>
      <c r="AO198">
        <v>2118.91</v>
      </c>
      <c r="AP198">
        <v>0</v>
      </c>
      <c r="AQ198">
        <v>213.6</v>
      </c>
      <c r="AR198">
        <v>1.98</v>
      </c>
      <c r="AS198">
        <v>0</v>
      </c>
      <c r="AT198">
        <v>95</v>
      </c>
      <c r="AU198">
        <v>65</v>
      </c>
      <c r="AV198">
        <v>1</v>
      </c>
      <c r="AW198">
        <v>1</v>
      </c>
      <c r="AZ198">
        <v>6.71</v>
      </c>
      <c r="BA198">
        <v>6.71</v>
      </c>
      <c r="BB198">
        <v>6.71</v>
      </c>
      <c r="BC198">
        <v>6.71</v>
      </c>
      <c r="BD198" t="s">
        <v>6</v>
      </c>
      <c r="BE198" t="s">
        <v>6</v>
      </c>
      <c r="BF198" t="s">
        <v>6</v>
      </c>
      <c r="BG198" t="s">
        <v>6</v>
      </c>
      <c r="BH198">
        <v>0</v>
      </c>
      <c r="BI198">
        <v>2</v>
      </c>
      <c r="BJ198" t="s">
        <v>523</v>
      </c>
      <c r="BM198">
        <v>108001</v>
      </c>
      <c r="BN198">
        <v>0</v>
      </c>
      <c r="BO198" t="s">
        <v>6</v>
      </c>
      <c r="BP198">
        <v>0</v>
      </c>
      <c r="BQ198">
        <v>3</v>
      </c>
      <c r="BR198">
        <v>0</v>
      </c>
      <c r="BS198">
        <v>6.71</v>
      </c>
      <c r="BT198">
        <v>1</v>
      </c>
      <c r="BU198">
        <v>1</v>
      </c>
      <c r="BV198">
        <v>1</v>
      </c>
      <c r="BW198">
        <v>1</v>
      </c>
      <c r="BX198">
        <v>1</v>
      </c>
      <c r="BY198" t="s">
        <v>6</v>
      </c>
      <c r="BZ198">
        <v>95</v>
      </c>
      <c r="CA198">
        <v>65</v>
      </c>
      <c r="CE198">
        <v>0</v>
      </c>
      <c r="CF198">
        <v>0</v>
      </c>
      <c r="CG198">
        <v>0</v>
      </c>
      <c r="CM198">
        <v>0</v>
      </c>
      <c r="CN198" t="s">
        <v>6</v>
      </c>
      <c r="CO198">
        <v>0</v>
      </c>
      <c r="CP198">
        <f t="shared" si="182"/>
        <v>16055.189999999999</v>
      </c>
      <c r="CQ198">
        <f t="shared" si="183"/>
        <v>6838.6306999999997</v>
      </c>
      <c r="CR198">
        <f t="shared" si="184"/>
        <v>1242.3565000000001</v>
      </c>
      <c r="CS198">
        <f t="shared" si="185"/>
        <v>166.74350000000001</v>
      </c>
      <c r="CT198">
        <f t="shared" si="186"/>
        <v>14217.8861</v>
      </c>
      <c r="CU198">
        <f t="shared" si="187"/>
        <v>0</v>
      </c>
      <c r="CV198">
        <f t="shared" si="188"/>
        <v>213.6</v>
      </c>
      <c r="CW198">
        <f t="shared" si="189"/>
        <v>1.98</v>
      </c>
      <c r="CX198">
        <f t="shared" si="190"/>
        <v>0</v>
      </c>
      <c r="CY198">
        <f t="shared" si="191"/>
        <v>9839.0929999999989</v>
      </c>
      <c r="CZ198">
        <f t="shared" si="192"/>
        <v>6732.0109999999986</v>
      </c>
      <c r="DC198" t="s">
        <v>6</v>
      </c>
      <c r="DD198" t="s">
        <v>6</v>
      </c>
      <c r="DE198" t="s">
        <v>6</v>
      </c>
      <c r="DF198" t="s">
        <v>6</v>
      </c>
      <c r="DG198" t="s">
        <v>6</v>
      </c>
      <c r="DH198" t="s">
        <v>6</v>
      </c>
      <c r="DI198" t="s">
        <v>6</v>
      </c>
      <c r="DJ198" t="s">
        <v>6</v>
      </c>
      <c r="DK198" t="s">
        <v>6</v>
      </c>
      <c r="DL198" t="s">
        <v>6</v>
      </c>
      <c r="DM198" t="s">
        <v>6</v>
      </c>
      <c r="DN198">
        <v>0</v>
      </c>
      <c r="DO198">
        <v>0</v>
      </c>
      <c r="DP198">
        <v>1</v>
      </c>
      <c r="DQ198">
        <v>1</v>
      </c>
      <c r="DU198">
        <v>1013</v>
      </c>
      <c r="DV198" t="s">
        <v>35</v>
      </c>
      <c r="DW198" t="s">
        <v>35</v>
      </c>
      <c r="DX198">
        <v>1</v>
      </c>
      <c r="EE198">
        <v>16510370</v>
      </c>
      <c r="EF198">
        <v>3</v>
      </c>
      <c r="EG198" t="s">
        <v>390</v>
      </c>
      <c r="EH198">
        <v>0</v>
      </c>
      <c r="EI198" t="s">
        <v>6</v>
      </c>
      <c r="EJ198">
        <v>2</v>
      </c>
      <c r="EK198">
        <v>108001</v>
      </c>
      <c r="EL198" t="s">
        <v>391</v>
      </c>
      <c r="EM198" t="s">
        <v>392</v>
      </c>
      <c r="EO198" t="s">
        <v>6</v>
      </c>
      <c r="EQ198">
        <v>131072</v>
      </c>
      <c r="ER198">
        <v>3323.23</v>
      </c>
      <c r="ES198">
        <v>1019.17</v>
      </c>
      <c r="ET198">
        <v>185.15</v>
      </c>
      <c r="EU198">
        <v>24.85</v>
      </c>
      <c r="EV198">
        <v>2118.91</v>
      </c>
      <c r="EW198">
        <v>213.6</v>
      </c>
      <c r="EX198">
        <v>1.98</v>
      </c>
      <c r="EY198">
        <v>0</v>
      </c>
      <c r="FQ198">
        <v>0</v>
      </c>
      <c r="FR198">
        <f t="shared" si="193"/>
        <v>0</v>
      </c>
      <c r="FS198">
        <v>0</v>
      </c>
      <c r="FX198">
        <v>95</v>
      </c>
      <c r="FY198">
        <v>65</v>
      </c>
      <c r="GA198" t="s">
        <v>6</v>
      </c>
      <c r="GD198">
        <v>0</v>
      </c>
      <c r="GF198">
        <v>-822875163</v>
      </c>
      <c r="GG198">
        <v>1</v>
      </c>
      <c r="GH198">
        <v>1</v>
      </c>
      <c r="GI198">
        <v>4</v>
      </c>
      <c r="GJ198">
        <v>0</v>
      </c>
      <c r="GK198">
        <f>ROUND(R198*(R12)/100,2)</f>
        <v>0</v>
      </c>
      <c r="GL198">
        <f t="shared" si="194"/>
        <v>0</v>
      </c>
      <c r="GM198">
        <f t="shared" si="195"/>
        <v>32626.29</v>
      </c>
      <c r="GN198">
        <f t="shared" si="196"/>
        <v>0</v>
      </c>
      <c r="GO198">
        <f t="shared" si="197"/>
        <v>32626.29</v>
      </c>
      <c r="GP198">
        <f t="shared" si="198"/>
        <v>0</v>
      </c>
      <c r="GR198">
        <v>0</v>
      </c>
      <c r="GS198">
        <v>3</v>
      </c>
      <c r="GT198">
        <v>0</v>
      </c>
      <c r="GU198" t="s">
        <v>6</v>
      </c>
      <c r="GV198">
        <f t="shared" si="199"/>
        <v>0</v>
      </c>
      <c r="GW198">
        <v>1</v>
      </c>
      <c r="GX198">
        <f t="shared" si="200"/>
        <v>0</v>
      </c>
      <c r="HA198">
        <v>0</v>
      </c>
      <c r="HB198">
        <v>0</v>
      </c>
      <c r="HC198">
        <f t="shared" si="201"/>
        <v>0</v>
      </c>
      <c r="IK198">
        <v>0</v>
      </c>
    </row>
    <row r="199" spans="1:245" x14ac:dyDescent="0.2">
      <c r="A199">
        <v>18</v>
      </c>
      <c r="B199">
        <v>1</v>
      </c>
      <c r="C199">
        <v>330</v>
      </c>
      <c r="E199" t="s">
        <v>524</v>
      </c>
      <c r="F199" t="s">
        <v>525</v>
      </c>
      <c r="G199" t="s">
        <v>526</v>
      </c>
      <c r="H199" t="s">
        <v>42</v>
      </c>
      <c r="I199">
        <f>I198*J199</f>
        <v>72</v>
      </c>
      <c r="J199">
        <v>100</v>
      </c>
      <c r="O199">
        <f t="shared" si="168"/>
        <v>408791.99</v>
      </c>
      <c r="P199">
        <f t="shared" si="169"/>
        <v>408791.99</v>
      </c>
      <c r="Q199">
        <f t="shared" si="170"/>
        <v>0</v>
      </c>
      <c r="R199">
        <f t="shared" si="171"/>
        <v>0</v>
      </c>
      <c r="S199">
        <f t="shared" si="172"/>
        <v>0</v>
      </c>
      <c r="T199">
        <f t="shared" si="173"/>
        <v>0</v>
      </c>
      <c r="U199">
        <f t="shared" si="174"/>
        <v>0</v>
      </c>
      <c r="V199">
        <f t="shared" si="175"/>
        <v>0</v>
      </c>
      <c r="W199">
        <f t="shared" si="176"/>
        <v>0</v>
      </c>
      <c r="X199">
        <f t="shared" si="177"/>
        <v>0</v>
      </c>
      <c r="Y199">
        <f t="shared" si="178"/>
        <v>0</v>
      </c>
      <c r="AA199">
        <v>16802145</v>
      </c>
      <c r="AB199">
        <f t="shared" si="179"/>
        <v>846.15</v>
      </c>
      <c r="AC199">
        <f t="shared" si="202"/>
        <v>846.15</v>
      </c>
      <c r="AD199">
        <f t="shared" si="203"/>
        <v>0</v>
      </c>
      <c r="AE199">
        <f t="shared" si="204"/>
        <v>0</v>
      </c>
      <c r="AF199">
        <f t="shared" si="205"/>
        <v>0</v>
      </c>
      <c r="AG199">
        <f t="shared" si="180"/>
        <v>0</v>
      </c>
      <c r="AH199">
        <f t="shared" si="206"/>
        <v>0</v>
      </c>
      <c r="AI199">
        <f t="shared" si="207"/>
        <v>0</v>
      </c>
      <c r="AJ199">
        <f t="shared" si="181"/>
        <v>0</v>
      </c>
      <c r="AK199">
        <v>846.15</v>
      </c>
      <c r="AL199">
        <v>846.15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95</v>
      </c>
      <c r="AU199">
        <v>65</v>
      </c>
      <c r="AV199">
        <v>1</v>
      </c>
      <c r="AW199">
        <v>1</v>
      </c>
      <c r="AZ199">
        <v>6.71</v>
      </c>
      <c r="BA199">
        <v>1</v>
      </c>
      <c r="BB199">
        <v>1</v>
      </c>
      <c r="BC199">
        <v>6.71</v>
      </c>
      <c r="BD199" t="s">
        <v>6</v>
      </c>
      <c r="BE199" t="s">
        <v>6</v>
      </c>
      <c r="BF199" t="s">
        <v>6</v>
      </c>
      <c r="BG199" t="s">
        <v>6</v>
      </c>
      <c r="BH199">
        <v>3</v>
      </c>
      <c r="BI199">
        <v>2</v>
      </c>
      <c r="BJ199" t="s">
        <v>527</v>
      </c>
      <c r="BM199">
        <v>108001</v>
      </c>
      <c r="BN199">
        <v>0</v>
      </c>
      <c r="BO199" t="s">
        <v>6</v>
      </c>
      <c r="BP199">
        <v>0</v>
      </c>
      <c r="BQ199">
        <v>3</v>
      </c>
      <c r="BR199">
        <v>0</v>
      </c>
      <c r="BS199">
        <v>1</v>
      </c>
      <c r="BT199">
        <v>1</v>
      </c>
      <c r="BU199">
        <v>1</v>
      </c>
      <c r="BV199">
        <v>1</v>
      </c>
      <c r="BW199">
        <v>1</v>
      </c>
      <c r="BX199">
        <v>1</v>
      </c>
      <c r="BY199" t="s">
        <v>6</v>
      </c>
      <c r="BZ199">
        <v>95</v>
      </c>
      <c r="CA199">
        <v>65</v>
      </c>
      <c r="CE199">
        <v>0</v>
      </c>
      <c r="CF199">
        <v>0</v>
      </c>
      <c r="CG199">
        <v>0</v>
      </c>
      <c r="CM199">
        <v>0</v>
      </c>
      <c r="CN199" t="s">
        <v>6</v>
      </c>
      <c r="CO199">
        <v>0</v>
      </c>
      <c r="CP199">
        <f t="shared" si="182"/>
        <v>408791.99</v>
      </c>
      <c r="CQ199">
        <f t="shared" si="183"/>
        <v>5677.6665000000003</v>
      </c>
      <c r="CR199">
        <f t="shared" si="184"/>
        <v>0</v>
      </c>
      <c r="CS199">
        <f t="shared" si="185"/>
        <v>0</v>
      </c>
      <c r="CT199">
        <f t="shared" si="186"/>
        <v>0</v>
      </c>
      <c r="CU199">
        <f t="shared" si="187"/>
        <v>0</v>
      </c>
      <c r="CV199">
        <f t="shared" si="188"/>
        <v>0</v>
      </c>
      <c r="CW199">
        <f t="shared" si="189"/>
        <v>0</v>
      </c>
      <c r="CX199">
        <f t="shared" si="190"/>
        <v>0</v>
      </c>
      <c r="CY199">
        <f t="shared" si="191"/>
        <v>0</v>
      </c>
      <c r="CZ199">
        <f t="shared" si="192"/>
        <v>0</v>
      </c>
      <c r="DC199" t="s">
        <v>6</v>
      </c>
      <c r="DD199" t="s">
        <v>6</v>
      </c>
      <c r="DE199" t="s">
        <v>6</v>
      </c>
      <c r="DF199" t="s">
        <v>6</v>
      </c>
      <c r="DG199" t="s">
        <v>6</v>
      </c>
      <c r="DH199" t="s">
        <v>6</v>
      </c>
      <c r="DI199" t="s">
        <v>6</v>
      </c>
      <c r="DJ199" t="s">
        <v>6</v>
      </c>
      <c r="DK199" t="s">
        <v>6</v>
      </c>
      <c r="DL199" t="s">
        <v>6</v>
      </c>
      <c r="DM199" t="s">
        <v>6</v>
      </c>
      <c r="DN199">
        <v>0</v>
      </c>
      <c r="DO199">
        <v>0</v>
      </c>
      <c r="DP199">
        <v>1</v>
      </c>
      <c r="DQ199">
        <v>1</v>
      </c>
      <c r="DU199">
        <v>1010</v>
      </c>
      <c r="DV199" t="s">
        <v>42</v>
      </c>
      <c r="DW199" t="s">
        <v>42</v>
      </c>
      <c r="DX199">
        <v>1</v>
      </c>
      <c r="EE199">
        <v>16510370</v>
      </c>
      <c r="EF199">
        <v>3</v>
      </c>
      <c r="EG199" t="s">
        <v>390</v>
      </c>
      <c r="EH199">
        <v>0</v>
      </c>
      <c r="EI199" t="s">
        <v>6</v>
      </c>
      <c r="EJ199">
        <v>2</v>
      </c>
      <c r="EK199">
        <v>108001</v>
      </c>
      <c r="EL199" t="s">
        <v>391</v>
      </c>
      <c r="EM199" t="s">
        <v>392</v>
      </c>
      <c r="EO199" t="s">
        <v>6</v>
      </c>
      <c r="EQ199">
        <v>0</v>
      </c>
      <c r="ER199">
        <v>846.15</v>
      </c>
      <c r="ES199">
        <v>846.15</v>
      </c>
      <c r="ET199">
        <v>0</v>
      </c>
      <c r="EU199">
        <v>0</v>
      </c>
      <c r="EV199">
        <v>0</v>
      </c>
      <c r="EW199">
        <v>0</v>
      </c>
      <c r="EX199">
        <v>0</v>
      </c>
      <c r="FQ199">
        <v>0</v>
      </c>
      <c r="FR199">
        <f t="shared" si="193"/>
        <v>0</v>
      </c>
      <c r="FS199">
        <v>0</v>
      </c>
      <c r="FX199">
        <v>95</v>
      </c>
      <c r="FY199">
        <v>65</v>
      </c>
      <c r="GA199" t="s">
        <v>6</v>
      </c>
      <c r="GD199">
        <v>0</v>
      </c>
      <c r="GF199">
        <v>141057028</v>
      </c>
      <c r="GG199">
        <v>1</v>
      </c>
      <c r="GH199">
        <v>1</v>
      </c>
      <c r="GI199">
        <v>4</v>
      </c>
      <c r="GJ199">
        <v>0</v>
      </c>
      <c r="GK199">
        <f>ROUND(R199*(R12)/100,2)</f>
        <v>0</v>
      </c>
      <c r="GL199">
        <f t="shared" si="194"/>
        <v>0</v>
      </c>
      <c r="GM199">
        <f t="shared" si="195"/>
        <v>408791.99</v>
      </c>
      <c r="GN199">
        <f t="shared" si="196"/>
        <v>0</v>
      </c>
      <c r="GO199">
        <f t="shared" si="197"/>
        <v>408791.99</v>
      </c>
      <c r="GP199">
        <f t="shared" si="198"/>
        <v>0</v>
      </c>
      <c r="GR199">
        <v>0</v>
      </c>
      <c r="GS199">
        <v>3</v>
      </c>
      <c r="GT199">
        <v>0</v>
      </c>
      <c r="GU199" t="s">
        <v>6</v>
      </c>
      <c r="GV199">
        <f t="shared" si="199"/>
        <v>0</v>
      </c>
      <c r="GW199">
        <v>1</v>
      </c>
      <c r="GX199">
        <f t="shared" si="200"/>
        <v>0</v>
      </c>
      <c r="HA199">
        <v>0</v>
      </c>
      <c r="HB199">
        <v>0</v>
      </c>
      <c r="HC199">
        <f t="shared" si="201"/>
        <v>0</v>
      </c>
      <c r="IK199">
        <v>0</v>
      </c>
    </row>
    <row r="201" spans="1:245" x14ac:dyDescent="0.2">
      <c r="A201" s="2">
        <v>51</v>
      </c>
      <c r="B201" s="2">
        <f>B162</f>
        <v>1</v>
      </c>
      <c r="C201" s="2">
        <f>A162</f>
        <v>4</v>
      </c>
      <c r="D201" s="2">
        <f>ROW(A162)</f>
        <v>162</v>
      </c>
      <c r="E201" s="2"/>
      <c r="F201" s="2" t="str">
        <f>IF(F162&lt;&gt;"",F162,"")</f>
        <v>Новый раздел</v>
      </c>
      <c r="G201" s="2" t="str">
        <f>IF(G162&lt;&gt;"",G162,"")</f>
        <v>3 Электромонтажные работы</v>
      </c>
      <c r="H201" s="2">
        <v>0</v>
      </c>
      <c r="I201" s="2"/>
      <c r="J201" s="2"/>
      <c r="K201" s="2"/>
      <c r="L201" s="2"/>
      <c r="M201" s="2"/>
      <c r="N201" s="2"/>
      <c r="O201" s="2">
        <f t="shared" ref="O201:T201" si="208">ROUND(AB201,2)</f>
        <v>523563.59</v>
      </c>
      <c r="P201" s="2">
        <f t="shared" si="208"/>
        <v>492528.12</v>
      </c>
      <c r="Q201" s="2">
        <f t="shared" si="208"/>
        <v>2131.34</v>
      </c>
      <c r="R201" s="2">
        <f t="shared" si="208"/>
        <v>262.67</v>
      </c>
      <c r="S201" s="2">
        <f t="shared" si="208"/>
        <v>28904.13</v>
      </c>
      <c r="T201" s="2">
        <f t="shared" si="208"/>
        <v>0</v>
      </c>
      <c r="U201" s="2">
        <f>AH201</f>
        <v>444.40493000000004</v>
      </c>
      <c r="V201" s="2">
        <f>AI201</f>
        <v>3.1146699999999998</v>
      </c>
      <c r="W201" s="2">
        <f>ROUND(AJ201,2)</f>
        <v>0</v>
      </c>
      <c r="X201" s="2">
        <f>ROUND(AK201,2)</f>
        <v>27190.240000000002</v>
      </c>
      <c r="Y201" s="2">
        <f>ROUND(AL201,2)</f>
        <v>18748.87</v>
      </c>
      <c r="Z201" s="2"/>
      <c r="AA201" s="2"/>
      <c r="AB201" s="2">
        <f>ROUND(SUMIF(AA166:AA199,"=16802145",O166:O199),2)</f>
        <v>523563.59</v>
      </c>
      <c r="AC201" s="2">
        <f>ROUND(SUMIF(AA166:AA199,"=16802145",P166:P199),2)</f>
        <v>492528.12</v>
      </c>
      <c r="AD201" s="2">
        <f>ROUND(SUMIF(AA166:AA199,"=16802145",Q166:Q199),2)</f>
        <v>2131.34</v>
      </c>
      <c r="AE201" s="2">
        <f>ROUND(SUMIF(AA166:AA199,"=16802145",R166:R199),2)</f>
        <v>262.67</v>
      </c>
      <c r="AF201" s="2">
        <f>ROUND(SUMIF(AA166:AA199,"=16802145",S166:S199),2)</f>
        <v>28904.13</v>
      </c>
      <c r="AG201" s="2">
        <f>ROUND(SUMIF(AA166:AA199,"=16802145",T166:T199),2)</f>
        <v>0</v>
      </c>
      <c r="AH201" s="2">
        <f>SUMIF(AA166:AA199,"=16802145",U166:U199)</f>
        <v>444.40493000000004</v>
      </c>
      <c r="AI201" s="2">
        <f>SUMIF(AA166:AA199,"=16802145",V166:V199)</f>
        <v>3.1146699999999998</v>
      </c>
      <c r="AJ201" s="2">
        <f>ROUND(SUMIF(AA166:AA199,"=16802145",W166:W199),2)</f>
        <v>0</v>
      </c>
      <c r="AK201" s="2">
        <f>ROUND(SUMIF(AA166:AA199,"=16802145",X166:X199),2)</f>
        <v>27190.240000000002</v>
      </c>
      <c r="AL201" s="2">
        <f>ROUND(SUMIF(AA166:AA199,"=16802145",Y166:Y199),2)</f>
        <v>18748.87</v>
      </c>
      <c r="AM201" s="2"/>
      <c r="AN201" s="2"/>
      <c r="AO201" s="2">
        <f t="shared" ref="AO201:BC201" si="209">ROUND(BX201,2)</f>
        <v>0</v>
      </c>
      <c r="AP201" s="2">
        <f t="shared" si="209"/>
        <v>0</v>
      </c>
      <c r="AQ201" s="2">
        <f t="shared" si="209"/>
        <v>0</v>
      </c>
      <c r="AR201" s="2">
        <f t="shared" si="209"/>
        <v>569502.69999999995</v>
      </c>
      <c r="AS201" s="2">
        <f t="shared" si="209"/>
        <v>1390.74</v>
      </c>
      <c r="AT201" s="2">
        <f t="shared" si="209"/>
        <v>568111.96</v>
      </c>
      <c r="AU201" s="2">
        <f t="shared" si="209"/>
        <v>0</v>
      </c>
      <c r="AV201" s="2">
        <f t="shared" si="209"/>
        <v>492528.12</v>
      </c>
      <c r="AW201" s="2">
        <f t="shared" si="209"/>
        <v>492528.12</v>
      </c>
      <c r="AX201" s="2">
        <f t="shared" si="209"/>
        <v>0</v>
      </c>
      <c r="AY201" s="2">
        <f t="shared" si="209"/>
        <v>492528.12</v>
      </c>
      <c r="AZ201" s="2">
        <f t="shared" si="209"/>
        <v>0</v>
      </c>
      <c r="BA201" s="2">
        <f t="shared" si="209"/>
        <v>0</v>
      </c>
      <c r="BB201" s="2">
        <f t="shared" si="209"/>
        <v>0</v>
      </c>
      <c r="BC201" s="2">
        <f t="shared" si="209"/>
        <v>0</v>
      </c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>
        <f>ROUND(SUMIF(AA166:AA199,"=16802145",FQ166:FQ199),2)</f>
        <v>0</v>
      </c>
      <c r="BY201" s="2">
        <f>ROUND(SUMIF(AA166:AA199,"=16802145",FR166:FR199),2)</f>
        <v>0</v>
      </c>
      <c r="BZ201" s="2">
        <f>ROUND(SUMIF(AA166:AA199,"=16802145",GL166:GL199),2)</f>
        <v>0</v>
      </c>
      <c r="CA201" s="2">
        <f>ROUND(SUMIF(AA166:AA199,"=16802145",GM166:GM199),2)</f>
        <v>569502.69999999995</v>
      </c>
      <c r="CB201" s="2">
        <f>ROUND(SUMIF(AA166:AA199,"=16802145",GN166:GN199),2)</f>
        <v>1390.74</v>
      </c>
      <c r="CC201" s="2">
        <f>ROUND(SUMIF(AA166:AA199,"=16802145",GO166:GO199),2)</f>
        <v>568111.96</v>
      </c>
      <c r="CD201" s="2">
        <f>ROUND(SUMIF(AA166:AA199,"=16802145",GP166:GP199),2)</f>
        <v>0</v>
      </c>
      <c r="CE201" s="2">
        <f>AC201-BX201</f>
        <v>492528.12</v>
      </c>
      <c r="CF201" s="2">
        <f>AC201-BY201</f>
        <v>492528.12</v>
      </c>
      <c r="CG201" s="2">
        <f>BX201-BZ201</f>
        <v>0</v>
      </c>
      <c r="CH201" s="2">
        <f>AC201-BX201-BY201+BZ201</f>
        <v>492528.12</v>
      </c>
      <c r="CI201" s="2">
        <f>BY201-BZ201</f>
        <v>0</v>
      </c>
      <c r="CJ201" s="2">
        <f>ROUND(SUMIF(AA166:AA199,"=16802145",GX166:GX199),2)</f>
        <v>0</v>
      </c>
      <c r="CK201" s="2">
        <f>ROUND(SUMIF(AA166:AA199,"=16802145",GY166:GY199),2)</f>
        <v>0</v>
      </c>
      <c r="CL201" s="2">
        <f>ROUND(SUMIF(AA166:AA199,"=16802145",GZ166:GZ199),2)</f>
        <v>0</v>
      </c>
      <c r="CM201" s="2"/>
      <c r="CN201" s="2"/>
      <c r="CO201" s="2"/>
      <c r="CP201" s="2"/>
      <c r="CQ201" s="2"/>
      <c r="CR201" s="2"/>
      <c r="CS201" s="2"/>
      <c r="CT201" s="2"/>
      <c r="CU201" s="2"/>
      <c r="CV201" s="2"/>
      <c r="CW201" s="2"/>
      <c r="CX201" s="2"/>
      <c r="CY201" s="2"/>
      <c r="CZ201" s="2"/>
      <c r="DA201" s="2"/>
      <c r="DB201" s="2"/>
      <c r="DC201" s="2"/>
      <c r="DD201" s="2"/>
      <c r="DE201" s="2"/>
      <c r="DF201" s="2"/>
      <c r="DG201" s="3"/>
      <c r="DH201" s="3"/>
      <c r="DI201" s="3"/>
      <c r="DJ201" s="3"/>
      <c r="DK201" s="3"/>
      <c r="DL201" s="3"/>
      <c r="DM201" s="3"/>
      <c r="DN201" s="3"/>
      <c r="DO201" s="3"/>
      <c r="DP201" s="3"/>
      <c r="DQ201" s="3"/>
      <c r="DR201" s="3"/>
      <c r="DS201" s="3"/>
      <c r="DT201" s="3"/>
      <c r="DU201" s="3"/>
      <c r="DV201" s="3"/>
      <c r="DW201" s="3"/>
      <c r="DX201" s="3"/>
      <c r="DY201" s="3"/>
      <c r="DZ201" s="3"/>
      <c r="EA201" s="3"/>
      <c r="EB201" s="3"/>
      <c r="EC201" s="3"/>
      <c r="ED201" s="3"/>
      <c r="EE201" s="3"/>
      <c r="EF201" s="3"/>
      <c r="EG201" s="3"/>
      <c r="EH201" s="3"/>
      <c r="EI201" s="3"/>
      <c r="EJ201" s="3"/>
      <c r="EK201" s="3"/>
      <c r="EL201" s="3"/>
      <c r="EM201" s="3"/>
      <c r="EN201" s="3"/>
      <c r="EO201" s="3"/>
      <c r="EP201" s="3"/>
      <c r="EQ201" s="3"/>
      <c r="ER201" s="3"/>
      <c r="ES201" s="3"/>
      <c r="ET201" s="3"/>
      <c r="EU201" s="3"/>
      <c r="EV201" s="3"/>
      <c r="EW201" s="3"/>
      <c r="EX201" s="3"/>
      <c r="EY201" s="3"/>
      <c r="EZ201" s="3"/>
      <c r="FA201" s="3"/>
      <c r="FB201" s="3"/>
      <c r="FC201" s="3"/>
      <c r="FD201" s="3"/>
      <c r="FE201" s="3"/>
      <c r="FF201" s="3"/>
      <c r="FG201" s="3"/>
      <c r="FH201" s="3"/>
      <c r="FI201" s="3"/>
      <c r="FJ201" s="3"/>
      <c r="FK201" s="3"/>
      <c r="FL201" s="3"/>
      <c r="FM201" s="3"/>
      <c r="FN201" s="3"/>
      <c r="FO201" s="3"/>
      <c r="FP201" s="3"/>
      <c r="FQ201" s="3"/>
      <c r="FR201" s="3"/>
      <c r="FS201" s="3"/>
      <c r="FT201" s="3"/>
      <c r="FU201" s="3"/>
      <c r="FV201" s="3"/>
      <c r="FW201" s="3"/>
      <c r="FX201" s="3"/>
      <c r="FY201" s="3"/>
      <c r="FZ201" s="3"/>
      <c r="GA201" s="3"/>
      <c r="GB201" s="3"/>
      <c r="GC201" s="3"/>
      <c r="GD201" s="3"/>
      <c r="GE201" s="3"/>
      <c r="GF201" s="3"/>
      <c r="GG201" s="3"/>
      <c r="GH201" s="3"/>
      <c r="GI201" s="3"/>
      <c r="GJ201" s="3"/>
      <c r="GK201" s="3"/>
      <c r="GL201" s="3"/>
      <c r="GM201" s="3"/>
      <c r="GN201" s="3"/>
      <c r="GO201" s="3"/>
      <c r="GP201" s="3"/>
      <c r="GQ201" s="3"/>
      <c r="GR201" s="3"/>
      <c r="GS201" s="3"/>
      <c r="GT201" s="3"/>
      <c r="GU201" s="3"/>
      <c r="GV201" s="3"/>
      <c r="GW201" s="3"/>
      <c r="GX201" s="3">
        <v>0</v>
      </c>
    </row>
    <row r="203" spans="1:245" x14ac:dyDescent="0.2">
      <c r="A203" s="4">
        <v>50</v>
      </c>
      <c r="B203" s="4">
        <v>0</v>
      </c>
      <c r="C203" s="4">
        <v>0</v>
      </c>
      <c r="D203" s="4">
        <v>1</v>
      </c>
      <c r="E203" s="4">
        <v>201</v>
      </c>
      <c r="F203" s="4">
        <f>ROUND(Source!O201,O203)</f>
        <v>523563.59</v>
      </c>
      <c r="G203" s="4" t="s">
        <v>279</v>
      </c>
      <c r="H203" s="4" t="s">
        <v>280</v>
      </c>
      <c r="I203" s="4"/>
      <c r="J203" s="4"/>
      <c r="K203" s="4">
        <v>201</v>
      </c>
      <c r="L203" s="4">
        <v>1</v>
      </c>
      <c r="M203" s="4">
        <v>3</v>
      </c>
      <c r="N203" s="4" t="s">
        <v>6</v>
      </c>
      <c r="O203" s="4">
        <v>2</v>
      </c>
      <c r="P203" s="4"/>
      <c r="Q203" s="4"/>
      <c r="R203" s="4"/>
      <c r="S203" s="4"/>
      <c r="T203" s="4"/>
      <c r="U203" s="4"/>
      <c r="V203" s="4"/>
      <c r="W203" s="4"/>
    </row>
    <row r="204" spans="1:245" x14ac:dyDescent="0.2">
      <c r="A204" s="4">
        <v>50</v>
      </c>
      <c r="B204" s="4">
        <v>0</v>
      </c>
      <c r="C204" s="4">
        <v>0</v>
      </c>
      <c r="D204" s="4">
        <v>1</v>
      </c>
      <c r="E204" s="4">
        <v>202</v>
      </c>
      <c r="F204" s="4">
        <f>ROUND(Source!P201,O204)</f>
        <v>492528.12</v>
      </c>
      <c r="G204" s="4" t="s">
        <v>281</v>
      </c>
      <c r="H204" s="4" t="s">
        <v>282</v>
      </c>
      <c r="I204" s="4"/>
      <c r="J204" s="4"/>
      <c r="K204" s="4">
        <v>202</v>
      </c>
      <c r="L204" s="4">
        <v>2</v>
      </c>
      <c r="M204" s="4">
        <v>3</v>
      </c>
      <c r="N204" s="4" t="s">
        <v>6</v>
      </c>
      <c r="O204" s="4">
        <v>2</v>
      </c>
      <c r="P204" s="4"/>
      <c r="Q204" s="4"/>
      <c r="R204" s="4"/>
      <c r="S204" s="4"/>
      <c r="T204" s="4"/>
      <c r="U204" s="4"/>
      <c r="V204" s="4"/>
      <c r="W204" s="4"/>
    </row>
    <row r="205" spans="1:245" x14ac:dyDescent="0.2">
      <c r="A205" s="4">
        <v>50</v>
      </c>
      <c r="B205" s="4">
        <v>0</v>
      </c>
      <c r="C205" s="4">
        <v>0</v>
      </c>
      <c r="D205" s="4">
        <v>1</v>
      </c>
      <c r="E205" s="4">
        <v>222</v>
      </c>
      <c r="F205" s="4">
        <f>ROUND(Source!AO201,O205)</f>
        <v>0</v>
      </c>
      <c r="G205" s="4" t="s">
        <v>283</v>
      </c>
      <c r="H205" s="4" t="s">
        <v>284</v>
      </c>
      <c r="I205" s="4"/>
      <c r="J205" s="4"/>
      <c r="K205" s="4">
        <v>222</v>
      </c>
      <c r="L205" s="4">
        <v>3</v>
      </c>
      <c r="M205" s="4">
        <v>3</v>
      </c>
      <c r="N205" s="4" t="s">
        <v>6</v>
      </c>
      <c r="O205" s="4">
        <v>2</v>
      </c>
      <c r="P205" s="4"/>
      <c r="Q205" s="4"/>
      <c r="R205" s="4"/>
      <c r="S205" s="4"/>
      <c r="T205" s="4"/>
      <c r="U205" s="4"/>
      <c r="V205" s="4"/>
      <c r="W205" s="4"/>
    </row>
    <row r="206" spans="1:245" x14ac:dyDescent="0.2">
      <c r="A206" s="4">
        <v>50</v>
      </c>
      <c r="B206" s="4">
        <v>0</v>
      </c>
      <c r="C206" s="4">
        <v>0</v>
      </c>
      <c r="D206" s="4">
        <v>1</v>
      </c>
      <c r="E206" s="4">
        <v>225</v>
      </c>
      <c r="F206" s="4">
        <f>ROUND(Source!AV201,O206)</f>
        <v>492528.12</v>
      </c>
      <c r="G206" s="4" t="s">
        <v>285</v>
      </c>
      <c r="H206" s="4" t="s">
        <v>286</v>
      </c>
      <c r="I206" s="4"/>
      <c r="J206" s="4"/>
      <c r="K206" s="4">
        <v>225</v>
      </c>
      <c r="L206" s="4">
        <v>4</v>
      </c>
      <c r="M206" s="4">
        <v>3</v>
      </c>
      <c r="N206" s="4" t="s">
        <v>6</v>
      </c>
      <c r="O206" s="4">
        <v>2</v>
      </c>
      <c r="P206" s="4"/>
      <c r="Q206" s="4"/>
      <c r="R206" s="4"/>
      <c r="S206" s="4"/>
      <c r="T206" s="4"/>
      <c r="U206" s="4"/>
      <c r="V206" s="4"/>
      <c r="W206" s="4"/>
    </row>
    <row r="207" spans="1:245" x14ac:dyDescent="0.2">
      <c r="A207" s="4">
        <v>50</v>
      </c>
      <c r="B207" s="4">
        <v>0</v>
      </c>
      <c r="C207" s="4">
        <v>0</v>
      </c>
      <c r="D207" s="4">
        <v>1</v>
      </c>
      <c r="E207" s="4">
        <v>226</v>
      </c>
      <c r="F207" s="4">
        <f>ROUND(Source!AW201,O207)</f>
        <v>492528.12</v>
      </c>
      <c r="G207" s="4" t="s">
        <v>287</v>
      </c>
      <c r="H207" s="4" t="s">
        <v>288</v>
      </c>
      <c r="I207" s="4"/>
      <c r="J207" s="4"/>
      <c r="K207" s="4">
        <v>226</v>
      </c>
      <c r="L207" s="4">
        <v>5</v>
      </c>
      <c r="M207" s="4">
        <v>3</v>
      </c>
      <c r="N207" s="4" t="s">
        <v>6</v>
      </c>
      <c r="O207" s="4">
        <v>2</v>
      </c>
      <c r="P207" s="4"/>
      <c r="Q207" s="4"/>
      <c r="R207" s="4"/>
      <c r="S207" s="4"/>
      <c r="T207" s="4"/>
      <c r="U207" s="4"/>
      <c r="V207" s="4"/>
      <c r="W207" s="4"/>
    </row>
    <row r="208" spans="1:245" x14ac:dyDescent="0.2">
      <c r="A208" s="4">
        <v>50</v>
      </c>
      <c r="B208" s="4">
        <v>0</v>
      </c>
      <c r="C208" s="4">
        <v>0</v>
      </c>
      <c r="D208" s="4">
        <v>1</v>
      </c>
      <c r="E208" s="4">
        <v>227</v>
      </c>
      <c r="F208" s="4">
        <f>ROUND(Source!AX201,O208)</f>
        <v>0</v>
      </c>
      <c r="G208" s="4" t="s">
        <v>289</v>
      </c>
      <c r="H208" s="4" t="s">
        <v>290</v>
      </c>
      <c r="I208" s="4"/>
      <c r="J208" s="4"/>
      <c r="K208" s="4">
        <v>227</v>
      </c>
      <c r="L208" s="4">
        <v>6</v>
      </c>
      <c r="M208" s="4">
        <v>3</v>
      </c>
      <c r="N208" s="4" t="s">
        <v>6</v>
      </c>
      <c r="O208" s="4">
        <v>2</v>
      </c>
      <c r="P208" s="4"/>
      <c r="Q208" s="4"/>
      <c r="R208" s="4"/>
      <c r="S208" s="4"/>
      <c r="T208" s="4"/>
      <c r="U208" s="4"/>
      <c r="V208" s="4"/>
      <c r="W208" s="4"/>
    </row>
    <row r="209" spans="1:23" x14ac:dyDescent="0.2">
      <c r="A209" s="4">
        <v>50</v>
      </c>
      <c r="B209" s="4">
        <v>0</v>
      </c>
      <c r="C209" s="4">
        <v>0</v>
      </c>
      <c r="D209" s="4">
        <v>1</v>
      </c>
      <c r="E209" s="4">
        <v>228</v>
      </c>
      <c r="F209" s="4">
        <f>ROUND(Source!AY201,O209)</f>
        <v>492528.12</v>
      </c>
      <c r="G209" s="4" t="s">
        <v>291</v>
      </c>
      <c r="H209" s="4" t="s">
        <v>292</v>
      </c>
      <c r="I209" s="4"/>
      <c r="J209" s="4"/>
      <c r="K209" s="4">
        <v>228</v>
      </c>
      <c r="L209" s="4">
        <v>7</v>
      </c>
      <c r="M209" s="4">
        <v>3</v>
      </c>
      <c r="N209" s="4" t="s">
        <v>6</v>
      </c>
      <c r="O209" s="4">
        <v>2</v>
      </c>
      <c r="P209" s="4"/>
      <c r="Q209" s="4"/>
      <c r="R209" s="4"/>
      <c r="S209" s="4"/>
      <c r="T209" s="4"/>
      <c r="U209" s="4"/>
      <c r="V209" s="4"/>
      <c r="W209" s="4"/>
    </row>
    <row r="210" spans="1:23" x14ac:dyDescent="0.2">
      <c r="A210" s="4">
        <v>50</v>
      </c>
      <c r="B210" s="4">
        <v>0</v>
      </c>
      <c r="C210" s="4">
        <v>0</v>
      </c>
      <c r="D210" s="4">
        <v>1</v>
      </c>
      <c r="E210" s="4">
        <v>216</v>
      </c>
      <c r="F210" s="4">
        <f>ROUND(Source!AP201,O210)</f>
        <v>0</v>
      </c>
      <c r="G210" s="4" t="s">
        <v>293</v>
      </c>
      <c r="H210" s="4" t="s">
        <v>294</v>
      </c>
      <c r="I210" s="4"/>
      <c r="J210" s="4"/>
      <c r="K210" s="4">
        <v>216</v>
      </c>
      <c r="L210" s="4">
        <v>8</v>
      </c>
      <c r="M210" s="4">
        <v>3</v>
      </c>
      <c r="N210" s="4" t="s">
        <v>6</v>
      </c>
      <c r="O210" s="4">
        <v>2</v>
      </c>
      <c r="P210" s="4"/>
      <c r="Q210" s="4"/>
      <c r="R210" s="4"/>
      <c r="S210" s="4"/>
      <c r="T210" s="4"/>
      <c r="U210" s="4"/>
      <c r="V210" s="4"/>
      <c r="W210" s="4"/>
    </row>
    <row r="211" spans="1:23" x14ac:dyDescent="0.2">
      <c r="A211" s="4">
        <v>50</v>
      </c>
      <c r="B211" s="4">
        <v>0</v>
      </c>
      <c r="C211" s="4">
        <v>0</v>
      </c>
      <c r="D211" s="4">
        <v>1</v>
      </c>
      <c r="E211" s="4">
        <v>223</v>
      </c>
      <c r="F211" s="4">
        <f>ROUND(Source!AQ201,O211)</f>
        <v>0</v>
      </c>
      <c r="G211" s="4" t="s">
        <v>295</v>
      </c>
      <c r="H211" s="4" t="s">
        <v>296</v>
      </c>
      <c r="I211" s="4"/>
      <c r="J211" s="4"/>
      <c r="K211" s="4">
        <v>223</v>
      </c>
      <c r="L211" s="4">
        <v>9</v>
      </c>
      <c r="M211" s="4">
        <v>3</v>
      </c>
      <c r="N211" s="4" t="s">
        <v>6</v>
      </c>
      <c r="O211" s="4">
        <v>2</v>
      </c>
      <c r="P211" s="4"/>
      <c r="Q211" s="4"/>
      <c r="R211" s="4"/>
      <c r="S211" s="4"/>
      <c r="T211" s="4"/>
      <c r="U211" s="4"/>
      <c r="V211" s="4"/>
      <c r="W211" s="4"/>
    </row>
    <row r="212" spans="1:23" x14ac:dyDescent="0.2">
      <c r="A212" s="4">
        <v>50</v>
      </c>
      <c r="B212" s="4">
        <v>0</v>
      </c>
      <c r="C212" s="4">
        <v>0</v>
      </c>
      <c r="D212" s="4">
        <v>1</v>
      </c>
      <c r="E212" s="4">
        <v>229</v>
      </c>
      <c r="F212" s="4">
        <f>ROUND(Source!AZ201,O212)</f>
        <v>0</v>
      </c>
      <c r="G212" s="4" t="s">
        <v>297</v>
      </c>
      <c r="H212" s="4" t="s">
        <v>298</v>
      </c>
      <c r="I212" s="4"/>
      <c r="J212" s="4"/>
      <c r="K212" s="4">
        <v>229</v>
      </c>
      <c r="L212" s="4">
        <v>10</v>
      </c>
      <c r="M212" s="4">
        <v>3</v>
      </c>
      <c r="N212" s="4" t="s">
        <v>6</v>
      </c>
      <c r="O212" s="4">
        <v>2</v>
      </c>
      <c r="P212" s="4"/>
      <c r="Q212" s="4"/>
      <c r="R212" s="4"/>
      <c r="S212" s="4"/>
      <c r="T212" s="4"/>
      <c r="U212" s="4"/>
      <c r="V212" s="4"/>
      <c r="W212" s="4"/>
    </row>
    <row r="213" spans="1:23" x14ac:dyDescent="0.2">
      <c r="A213" s="4">
        <v>50</v>
      </c>
      <c r="B213" s="4">
        <v>0</v>
      </c>
      <c r="C213" s="4">
        <v>0</v>
      </c>
      <c r="D213" s="4">
        <v>1</v>
      </c>
      <c r="E213" s="4">
        <v>203</v>
      </c>
      <c r="F213" s="4">
        <f>ROUND(Source!Q201,O213)</f>
        <v>2131.34</v>
      </c>
      <c r="G213" s="4" t="s">
        <v>299</v>
      </c>
      <c r="H213" s="4" t="s">
        <v>300</v>
      </c>
      <c r="I213" s="4"/>
      <c r="J213" s="4"/>
      <c r="K213" s="4">
        <v>203</v>
      </c>
      <c r="L213" s="4">
        <v>11</v>
      </c>
      <c r="M213" s="4">
        <v>3</v>
      </c>
      <c r="N213" s="4" t="s">
        <v>6</v>
      </c>
      <c r="O213" s="4">
        <v>2</v>
      </c>
      <c r="P213" s="4"/>
      <c r="Q213" s="4"/>
      <c r="R213" s="4"/>
      <c r="S213" s="4"/>
      <c r="T213" s="4"/>
      <c r="U213" s="4"/>
      <c r="V213" s="4"/>
      <c r="W213" s="4"/>
    </row>
    <row r="214" spans="1:23" x14ac:dyDescent="0.2">
      <c r="A214" s="4">
        <v>50</v>
      </c>
      <c r="B214" s="4">
        <v>0</v>
      </c>
      <c r="C214" s="4">
        <v>0</v>
      </c>
      <c r="D214" s="4">
        <v>1</v>
      </c>
      <c r="E214" s="4">
        <v>231</v>
      </c>
      <c r="F214" s="4">
        <f>ROUND(Source!BB201,O214)</f>
        <v>0</v>
      </c>
      <c r="G214" s="4" t="s">
        <v>301</v>
      </c>
      <c r="H214" s="4" t="s">
        <v>302</v>
      </c>
      <c r="I214" s="4"/>
      <c r="J214" s="4"/>
      <c r="K214" s="4">
        <v>231</v>
      </c>
      <c r="L214" s="4">
        <v>12</v>
      </c>
      <c r="M214" s="4">
        <v>3</v>
      </c>
      <c r="N214" s="4" t="s">
        <v>6</v>
      </c>
      <c r="O214" s="4">
        <v>2</v>
      </c>
      <c r="P214" s="4"/>
      <c r="Q214" s="4"/>
      <c r="R214" s="4"/>
      <c r="S214" s="4"/>
      <c r="T214" s="4"/>
      <c r="U214" s="4"/>
      <c r="V214" s="4"/>
      <c r="W214" s="4"/>
    </row>
    <row r="215" spans="1:23" x14ac:dyDescent="0.2">
      <c r="A215" s="4">
        <v>50</v>
      </c>
      <c r="B215" s="4">
        <v>0</v>
      </c>
      <c r="C215" s="4">
        <v>0</v>
      </c>
      <c r="D215" s="4">
        <v>1</v>
      </c>
      <c r="E215" s="4">
        <v>204</v>
      </c>
      <c r="F215" s="4">
        <f>ROUND(Source!R201,O215)</f>
        <v>262.67</v>
      </c>
      <c r="G215" s="4" t="s">
        <v>303</v>
      </c>
      <c r="H215" s="4" t="s">
        <v>304</v>
      </c>
      <c r="I215" s="4"/>
      <c r="J215" s="4"/>
      <c r="K215" s="4">
        <v>204</v>
      </c>
      <c r="L215" s="4">
        <v>13</v>
      </c>
      <c r="M215" s="4">
        <v>3</v>
      </c>
      <c r="N215" s="4" t="s">
        <v>6</v>
      </c>
      <c r="O215" s="4">
        <v>2</v>
      </c>
      <c r="P215" s="4"/>
      <c r="Q215" s="4"/>
      <c r="R215" s="4"/>
      <c r="S215" s="4"/>
      <c r="T215" s="4"/>
      <c r="U215" s="4"/>
      <c r="V215" s="4"/>
      <c r="W215" s="4"/>
    </row>
    <row r="216" spans="1:23" x14ac:dyDescent="0.2">
      <c r="A216" s="4">
        <v>50</v>
      </c>
      <c r="B216" s="4">
        <v>0</v>
      </c>
      <c r="C216" s="4">
        <v>0</v>
      </c>
      <c r="D216" s="4">
        <v>1</v>
      </c>
      <c r="E216" s="4">
        <v>205</v>
      </c>
      <c r="F216" s="4">
        <f>ROUND(Source!S201,O216)</f>
        <v>28904.13</v>
      </c>
      <c r="G216" s="4" t="s">
        <v>305</v>
      </c>
      <c r="H216" s="4" t="s">
        <v>306</v>
      </c>
      <c r="I216" s="4"/>
      <c r="J216" s="4"/>
      <c r="K216" s="4">
        <v>205</v>
      </c>
      <c r="L216" s="4">
        <v>14</v>
      </c>
      <c r="M216" s="4">
        <v>3</v>
      </c>
      <c r="N216" s="4" t="s">
        <v>6</v>
      </c>
      <c r="O216" s="4">
        <v>2</v>
      </c>
      <c r="P216" s="4"/>
      <c r="Q216" s="4"/>
      <c r="R216" s="4"/>
      <c r="S216" s="4"/>
      <c r="T216" s="4"/>
      <c r="U216" s="4"/>
      <c r="V216" s="4"/>
      <c r="W216" s="4"/>
    </row>
    <row r="217" spans="1:23" x14ac:dyDescent="0.2">
      <c r="A217" s="4">
        <v>50</v>
      </c>
      <c r="B217" s="4">
        <v>0</v>
      </c>
      <c r="C217" s="4">
        <v>0</v>
      </c>
      <c r="D217" s="4">
        <v>1</v>
      </c>
      <c r="E217" s="4">
        <v>232</v>
      </c>
      <c r="F217" s="4">
        <f>ROUND(Source!BC201,O217)</f>
        <v>0</v>
      </c>
      <c r="G217" s="4" t="s">
        <v>307</v>
      </c>
      <c r="H217" s="4" t="s">
        <v>308</v>
      </c>
      <c r="I217" s="4"/>
      <c r="J217" s="4"/>
      <c r="K217" s="4">
        <v>232</v>
      </c>
      <c r="L217" s="4">
        <v>15</v>
      </c>
      <c r="M217" s="4">
        <v>3</v>
      </c>
      <c r="N217" s="4" t="s">
        <v>6</v>
      </c>
      <c r="O217" s="4">
        <v>2</v>
      </c>
      <c r="P217" s="4"/>
      <c r="Q217" s="4"/>
      <c r="R217" s="4"/>
      <c r="S217" s="4"/>
      <c r="T217" s="4"/>
      <c r="U217" s="4"/>
      <c r="V217" s="4"/>
      <c r="W217" s="4"/>
    </row>
    <row r="218" spans="1:23" x14ac:dyDescent="0.2">
      <c r="A218" s="4">
        <v>50</v>
      </c>
      <c r="B218" s="4">
        <v>0</v>
      </c>
      <c r="C218" s="4">
        <v>0</v>
      </c>
      <c r="D218" s="4">
        <v>1</v>
      </c>
      <c r="E218" s="4">
        <v>214</v>
      </c>
      <c r="F218" s="4">
        <f>ROUND(Source!AS201,O218)</f>
        <v>1390.74</v>
      </c>
      <c r="G218" s="4" t="s">
        <v>309</v>
      </c>
      <c r="H218" s="4" t="s">
        <v>310</v>
      </c>
      <c r="I218" s="4"/>
      <c r="J218" s="4"/>
      <c r="K218" s="4">
        <v>214</v>
      </c>
      <c r="L218" s="4">
        <v>16</v>
      </c>
      <c r="M218" s="4">
        <v>3</v>
      </c>
      <c r="N218" s="4" t="s">
        <v>6</v>
      </c>
      <c r="O218" s="4">
        <v>2</v>
      </c>
      <c r="P218" s="4"/>
      <c r="Q218" s="4"/>
      <c r="R218" s="4"/>
      <c r="S218" s="4"/>
      <c r="T218" s="4"/>
      <c r="U218" s="4"/>
      <c r="V218" s="4"/>
      <c r="W218" s="4"/>
    </row>
    <row r="219" spans="1:23" x14ac:dyDescent="0.2">
      <c r="A219" s="4">
        <v>50</v>
      </c>
      <c r="B219" s="4">
        <v>0</v>
      </c>
      <c r="C219" s="4">
        <v>0</v>
      </c>
      <c r="D219" s="4">
        <v>1</v>
      </c>
      <c r="E219" s="4">
        <v>215</v>
      </c>
      <c r="F219" s="4">
        <f>ROUND(Source!AT201,O219)</f>
        <v>568111.96</v>
      </c>
      <c r="G219" s="4" t="s">
        <v>311</v>
      </c>
      <c r="H219" s="4" t="s">
        <v>312</v>
      </c>
      <c r="I219" s="4"/>
      <c r="J219" s="4"/>
      <c r="K219" s="4">
        <v>215</v>
      </c>
      <c r="L219" s="4">
        <v>17</v>
      </c>
      <c r="M219" s="4">
        <v>3</v>
      </c>
      <c r="N219" s="4" t="s">
        <v>6</v>
      </c>
      <c r="O219" s="4">
        <v>2</v>
      </c>
      <c r="P219" s="4"/>
      <c r="Q219" s="4"/>
      <c r="R219" s="4"/>
      <c r="S219" s="4"/>
      <c r="T219" s="4"/>
      <c r="U219" s="4"/>
      <c r="V219" s="4"/>
      <c r="W219" s="4"/>
    </row>
    <row r="220" spans="1:23" x14ac:dyDescent="0.2">
      <c r="A220" s="4">
        <v>50</v>
      </c>
      <c r="B220" s="4">
        <v>0</v>
      </c>
      <c r="C220" s="4">
        <v>0</v>
      </c>
      <c r="D220" s="4">
        <v>1</v>
      </c>
      <c r="E220" s="4">
        <v>217</v>
      </c>
      <c r="F220" s="4">
        <f>ROUND(Source!AU201,O220)</f>
        <v>0</v>
      </c>
      <c r="G220" s="4" t="s">
        <v>313</v>
      </c>
      <c r="H220" s="4" t="s">
        <v>314</v>
      </c>
      <c r="I220" s="4"/>
      <c r="J220" s="4"/>
      <c r="K220" s="4">
        <v>217</v>
      </c>
      <c r="L220" s="4">
        <v>18</v>
      </c>
      <c r="M220" s="4">
        <v>3</v>
      </c>
      <c r="N220" s="4" t="s">
        <v>6</v>
      </c>
      <c r="O220" s="4">
        <v>2</v>
      </c>
      <c r="P220" s="4"/>
      <c r="Q220" s="4"/>
      <c r="R220" s="4"/>
      <c r="S220" s="4"/>
      <c r="T220" s="4"/>
      <c r="U220" s="4"/>
      <c r="V220" s="4"/>
      <c r="W220" s="4"/>
    </row>
    <row r="221" spans="1:23" x14ac:dyDescent="0.2">
      <c r="A221" s="4">
        <v>50</v>
      </c>
      <c r="B221" s="4">
        <v>0</v>
      </c>
      <c r="C221" s="4">
        <v>0</v>
      </c>
      <c r="D221" s="4">
        <v>1</v>
      </c>
      <c r="E221" s="4">
        <v>230</v>
      </c>
      <c r="F221" s="4">
        <f>ROUND(Source!BA201,O221)</f>
        <v>0</v>
      </c>
      <c r="G221" s="4" t="s">
        <v>315</v>
      </c>
      <c r="H221" s="4" t="s">
        <v>316</v>
      </c>
      <c r="I221" s="4"/>
      <c r="J221" s="4"/>
      <c r="K221" s="4">
        <v>230</v>
      </c>
      <c r="L221" s="4">
        <v>19</v>
      </c>
      <c r="M221" s="4">
        <v>3</v>
      </c>
      <c r="N221" s="4" t="s">
        <v>6</v>
      </c>
      <c r="O221" s="4">
        <v>2</v>
      </c>
      <c r="P221" s="4"/>
      <c r="Q221" s="4"/>
      <c r="R221" s="4"/>
      <c r="S221" s="4"/>
      <c r="T221" s="4"/>
      <c r="U221" s="4"/>
      <c r="V221" s="4"/>
      <c r="W221" s="4"/>
    </row>
    <row r="222" spans="1:23" x14ac:dyDescent="0.2">
      <c r="A222" s="4">
        <v>50</v>
      </c>
      <c r="B222" s="4">
        <v>0</v>
      </c>
      <c r="C222" s="4">
        <v>0</v>
      </c>
      <c r="D222" s="4">
        <v>1</v>
      </c>
      <c r="E222" s="4">
        <v>206</v>
      </c>
      <c r="F222" s="4">
        <f>ROUND(Source!T201,O222)</f>
        <v>0</v>
      </c>
      <c r="G222" s="4" t="s">
        <v>317</v>
      </c>
      <c r="H222" s="4" t="s">
        <v>318</v>
      </c>
      <c r="I222" s="4"/>
      <c r="J222" s="4"/>
      <c r="K222" s="4">
        <v>206</v>
      </c>
      <c r="L222" s="4">
        <v>20</v>
      </c>
      <c r="M222" s="4">
        <v>3</v>
      </c>
      <c r="N222" s="4" t="s">
        <v>6</v>
      </c>
      <c r="O222" s="4">
        <v>2</v>
      </c>
      <c r="P222" s="4"/>
      <c r="Q222" s="4"/>
      <c r="R222" s="4"/>
      <c r="S222" s="4"/>
      <c r="T222" s="4"/>
      <c r="U222" s="4"/>
      <c r="V222" s="4"/>
      <c r="W222" s="4"/>
    </row>
    <row r="223" spans="1:23" x14ac:dyDescent="0.2">
      <c r="A223" s="4">
        <v>50</v>
      </c>
      <c r="B223" s="4">
        <v>0</v>
      </c>
      <c r="C223" s="4">
        <v>0</v>
      </c>
      <c r="D223" s="4">
        <v>1</v>
      </c>
      <c r="E223" s="4">
        <v>207</v>
      </c>
      <c r="F223" s="4">
        <f>Source!U201</f>
        <v>444.40493000000004</v>
      </c>
      <c r="G223" s="4" t="s">
        <v>319</v>
      </c>
      <c r="H223" s="4" t="s">
        <v>320</v>
      </c>
      <c r="I223" s="4"/>
      <c r="J223" s="4"/>
      <c r="K223" s="4">
        <v>207</v>
      </c>
      <c r="L223" s="4">
        <v>21</v>
      </c>
      <c r="M223" s="4">
        <v>3</v>
      </c>
      <c r="N223" s="4" t="s">
        <v>6</v>
      </c>
      <c r="O223" s="4">
        <v>-1</v>
      </c>
      <c r="P223" s="4"/>
      <c r="Q223" s="4"/>
      <c r="R223" s="4"/>
      <c r="S223" s="4"/>
      <c r="T223" s="4"/>
      <c r="U223" s="4"/>
      <c r="V223" s="4"/>
      <c r="W223" s="4"/>
    </row>
    <row r="224" spans="1:23" x14ac:dyDescent="0.2">
      <c r="A224" s="4">
        <v>50</v>
      </c>
      <c r="B224" s="4">
        <v>0</v>
      </c>
      <c r="C224" s="4">
        <v>0</v>
      </c>
      <c r="D224" s="4">
        <v>1</v>
      </c>
      <c r="E224" s="4">
        <v>208</v>
      </c>
      <c r="F224" s="4">
        <f>Source!V201</f>
        <v>3.1146699999999998</v>
      </c>
      <c r="G224" s="4" t="s">
        <v>321</v>
      </c>
      <c r="H224" s="4" t="s">
        <v>322</v>
      </c>
      <c r="I224" s="4"/>
      <c r="J224" s="4"/>
      <c r="K224" s="4">
        <v>208</v>
      </c>
      <c r="L224" s="4">
        <v>22</v>
      </c>
      <c r="M224" s="4">
        <v>3</v>
      </c>
      <c r="N224" s="4" t="s">
        <v>6</v>
      </c>
      <c r="O224" s="4">
        <v>-1</v>
      </c>
      <c r="P224" s="4"/>
      <c r="Q224" s="4"/>
      <c r="R224" s="4"/>
      <c r="S224" s="4"/>
      <c r="T224" s="4"/>
      <c r="U224" s="4"/>
      <c r="V224" s="4"/>
      <c r="W224" s="4"/>
    </row>
    <row r="225" spans="1:245" x14ac:dyDescent="0.2">
      <c r="A225" s="4">
        <v>50</v>
      </c>
      <c r="B225" s="4">
        <v>0</v>
      </c>
      <c r="C225" s="4">
        <v>0</v>
      </c>
      <c r="D225" s="4">
        <v>1</v>
      </c>
      <c r="E225" s="4">
        <v>209</v>
      </c>
      <c r="F225" s="4">
        <f>ROUND(Source!W201,O225)</f>
        <v>0</v>
      </c>
      <c r="G225" s="4" t="s">
        <v>323</v>
      </c>
      <c r="H225" s="4" t="s">
        <v>324</v>
      </c>
      <c r="I225" s="4"/>
      <c r="J225" s="4"/>
      <c r="K225" s="4">
        <v>209</v>
      </c>
      <c r="L225" s="4">
        <v>23</v>
      </c>
      <c r="M225" s="4">
        <v>3</v>
      </c>
      <c r="N225" s="4" t="s">
        <v>6</v>
      </c>
      <c r="O225" s="4">
        <v>2</v>
      </c>
      <c r="P225" s="4"/>
      <c r="Q225" s="4"/>
      <c r="R225" s="4"/>
      <c r="S225" s="4"/>
      <c r="T225" s="4"/>
      <c r="U225" s="4"/>
      <c r="V225" s="4"/>
      <c r="W225" s="4"/>
    </row>
    <row r="226" spans="1:245" x14ac:dyDescent="0.2">
      <c r="A226" s="4">
        <v>50</v>
      </c>
      <c r="B226" s="4">
        <v>0</v>
      </c>
      <c r="C226" s="4">
        <v>0</v>
      </c>
      <c r="D226" s="4">
        <v>1</v>
      </c>
      <c r="E226" s="4">
        <v>210</v>
      </c>
      <c r="F226" s="4">
        <f>ROUND(Source!X201,O226)</f>
        <v>27190.240000000002</v>
      </c>
      <c r="G226" s="4" t="s">
        <v>325</v>
      </c>
      <c r="H226" s="4" t="s">
        <v>326</v>
      </c>
      <c r="I226" s="4"/>
      <c r="J226" s="4"/>
      <c r="K226" s="4">
        <v>210</v>
      </c>
      <c r="L226" s="4">
        <v>24</v>
      </c>
      <c r="M226" s="4">
        <v>3</v>
      </c>
      <c r="N226" s="4" t="s">
        <v>6</v>
      </c>
      <c r="O226" s="4">
        <v>2</v>
      </c>
      <c r="P226" s="4"/>
      <c r="Q226" s="4"/>
      <c r="R226" s="4"/>
      <c r="S226" s="4"/>
      <c r="T226" s="4"/>
      <c r="U226" s="4"/>
      <c r="V226" s="4"/>
      <c r="W226" s="4"/>
    </row>
    <row r="227" spans="1:245" x14ac:dyDescent="0.2">
      <c r="A227" s="4">
        <v>50</v>
      </c>
      <c r="B227" s="4">
        <v>0</v>
      </c>
      <c r="C227" s="4">
        <v>0</v>
      </c>
      <c r="D227" s="4">
        <v>1</v>
      </c>
      <c r="E227" s="4">
        <v>211</v>
      </c>
      <c r="F227" s="4">
        <f>ROUND(Source!Y201,O227)</f>
        <v>18748.87</v>
      </c>
      <c r="G227" s="4" t="s">
        <v>327</v>
      </c>
      <c r="H227" s="4" t="s">
        <v>328</v>
      </c>
      <c r="I227" s="4"/>
      <c r="J227" s="4"/>
      <c r="K227" s="4">
        <v>211</v>
      </c>
      <c r="L227" s="4">
        <v>25</v>
      </c>
      <c r="M227" s="4">
        <v>3</v>
      </c>
      <c r="N227" s="4" t="s">
        <v>6</v>
      </c>
      <c r="O227" s="4">
        <v>2</v>
      </c>
      <c r="P227" s="4"/>
      <c r="Q227" s="4"/>
      <c r="R227" s="4"/>
      <c r="S227" s="4"/>
      <c r="T227" s="4"/>
      <c r="U227" s="4"/>
      <c r="V227" s="4"/>
      <c r="W227" s="4"/>
    </row>
    <row r="228" spans="1:245" x14ac:dyDescent="0.2">
      <c r="A228" s="4">
        <v>50</v>
      </c>
      <c r="B228" s="4">
        <v>0</v>
      </c>
      <c r="C228" s="4">
        <v>0</v>
      </c>
      <c r="D228" s="4">
        <v>1</v>
      </c>
      <c r="E228" s="4">
        <v>224</v>
      </c>
      <c r="F228" s="4">
        <f>ROUND(Source!AR201,O228)</f>
        <v>569502.69999999995</v>
      </c>
      <c r="G228" s="4" t="s">
        <v>329</v>
      </c>
      <c r="H228" s="4" t="s">
        <v>330</v>
      </c>
      <c r="I228" s="4"/>
      <c r="J228" s="4"/>
      <c r="K228" s="4">
        <v>224</v>
      </c>
      <c r="L228" s="4">
        <v>26</v>
      </c>
      <c r="M228" s="4">
        <v>3</v>
      </c>
      <c r="N228" s="4" t="s">
        <v>6</v>
      </c>
      <c r="O228" s="4">
        <v>2</v>
      </c>
      <c r="P228" s="4"/>
      <c r="Q228" s="4"/>
      <c r="R228" s="4"/>
      <c r="S228" s="4"/>
      <c r="T228" s="4"/>
      <c r="U228" s="4"/>
      <c r="V228" s="4"/>
      <c r="W228" s="4"/>
    </row>
    <row r="229" spans="1:245" x14ac:dyDescent="0.2">
      <c r="A229" s="4">
        <v>50</v>
      </c>
      <c r="B229" s="4">
        <v>1</v>
      </c>
      <c r="C229" s="4">
        <v>0</v>
      </c>
      <c r="D229" s="4">
        <v>2</v>
      </c>
      <c r="E229" s="4">
        <v>0</v>
      </c>
      <c r="F229" s="4">
        <f>ROUND(F228,O229)</f>
        <v>569502.69999999995</v>
      </c>
      <c r="G229" s="4" t="s">
        <v>528</v>
      </c>
      <c r="H229" s="4" t="s">
        <v>529</v>
      </c>
      <c r="I229" s="4"/>
      <c r="J229" s="4"/>
      <c r="K229" s="4">
        <v>212</v>
      </c>
      <c r="L229" s="4">
        <v>27</v>
      </c>
      <c r="M229" s="4">
        <v>0</v>
      </c>
      <c r="N229" s="4" t="s">
        <v>6</v>
      </c>
      <c r="O229" s="4">
        <v>2</v>
      </c>
      <c r="P229" s="4"/>
      <c r="Q229" s="4"/>
      <c r="R229" s="4"/>
      <c r="S229" s="4"/>
      <c r="T229" s="4"/>
      <c r="U229" s="4"/>
      <c r="V229" s="4"/>
      <c r="W229" s="4"/>
    </row>
    <row r="230" spans="1:245" x14ac:dyDescent="0.2">
      <c r="A230" s="4">
        <v>50</v>
      </c>
      <c r="B230" s="4">
        <v>1</v>
      </c>
      <c r="C230" s="4">
        <v>0</v>
      </c>
      <c r="D230" s="4">
        <v>2</v>
      </c>
      <c r="E230" s="4">
        <v>0</v>
      </c>
      <c r="F230" s="4">
        <f>ROUND(F229*0.18,O230)</f>
        <v>102510.49</v>
      </c>
      <c r="G230" s="4" t="s">
        <v>530</v>
      </c>
      <c r="H230" s="4" t="s">
        <v>531</v>
      </c>
      <c r="I230" s="4"/>
      <c r="J230" s="4"/>
      <c r="K230" s="4">
        <v>212</v>
      </c>
      <c r="L230" s="4">
        <v>28</v>
      </c>
      <c r="M230" s="4">
        <v>0</v>
      </c>
      <c r="N230" s="4" t="s">
        <v>6</v>
      </c>
      <c r="O230" s="4">
        <v>2</v>
      </c>
      <c r="P230" s="4"/>
      <c r="Q230" s="4"/>
      <c r="R230" s="4"/>
      <c r="S230" s="4"/>
      <c r="T230" s="4"/>
      <c r="U230" s="4"/>
      <c r="V230" s="4"/>
      <c r="W230" s="4"/>
    </row>
    <row r="231" spans="1:245" x14ac:dyDescent="0.2">
      <c r="A231" s="4">
        <v>50</v>
      </c>
      <c r="B231" s="4">
        <v>1</v>
      </c>
      <c r="C231" s="4">
        <v>0</v>
      </c>
      <c r="D231" s="4">
        <v>2</v>
      </c>
      <c r="E231" s="4">
        <v>213</v>
      </c>
      <c r="F231" s="4">
        <f>ROUND(F229+F230,O231)</f>
        <v>672013.19</v>
      </c>
      <c r="G231" s="4" t="s">
        <v>532</v>
      </c>
      <c r="H231" s="4" t="s">
        <v>329</v>
      </c>
      <c r="I231" s="4"/>
      <c r="J231" s="4"/>
      <c r="K231" s="4">
        <v>212</v>
      </c>
      <c r="L231" s="4">
        <v>29</v>
      </c>
      <c r="M231" s="4">
        <v>0</v>
      </c>
      <c r="N231" s="4" t="s">
        <v>6</v>
      </c>
      <c r="O231" s="4">
        <v>2</v>
      </c>
      <c r="P231" s="4"/>
      <c r="Q231" s="4"/>
      <c r="R231" s="4"/>
      <c r="S231" s="4"/>
      <c r="T231" s="4"/>
      <c r="U231" s="4"/>
      <c r="V231" s="4"/>
      <c r="W231" s="4"/>
    </row>
    <row r="233" spans="1:245" x14ac:dyDescent="0.2">
      <c r="A233" s="1">
        <v>4</v>
      </c>
      <c r="B233" s="1">
        <v>1</v>
      </c>
      <c r="C233" s="1"/>
      <c r="D233" s="1">
        <f>ROW(A242)</f>
        <v>242</v>
      </c>
      <c r="E233" s="1"/>
      <c r="F233" s="1" t="s">
        <v>13</v>
      </c>
      <c r="G233" s="1" t="s">
        <v>533</v>
      </c>
      <c r="H233" s="1" t="s">
        <v>6</v>
      </c>
      <c r="I233" s="1">
        <v>0</v>
      </c>
      <c r="J233" s="1"/>
      <c r="K233" s="1">
        <v>0</v>
      </c>
      <c r="L233" s="1"/>
      <c r="M233" s="1"/>
      <c r="N233" s="1"/>
      <c r="O233" s="1"/>
      <c r="P233" s="1"/>
      <c r="Q233" s="1"/>
      <c r="R233" s="1"/>
      <c r="S233" s="1"/>
      <c r="T233" s="1"/>
      <c r="U233" s="1" t="s">
        <v>6</v>
      </c>
      <c r="V233" s="1">
        <v>0</v>
      </c>
      <c r="W233" s="1"/>
      <c r="X233" s="1"/>
      <c r="Y233" s="1"/>
      <c r="Z233" s="1"/>
      <c r="AA233" s="1"/>
      <c r="AB233" s="1" t="s">
        <v>6</v>
      </c>
      <c r="AC233" s="1" t="s">
        <v>6</v>
      </c>
      <c r="AD233" s="1" t="s">
        <v>6</v>
      </c>
      <c r="AE233" s="1" t="s">
        <v>6</v>
      </c>
      <c r="AF233" s="1" t="s">
        <v>6</v>
      </c>
      <c r="AG233" s="1" t="s">
        <v>6</v>
      </c>
      <c r="AH233" s="1"/>
      <c r="AI233" s="1"/>
      <c r="AJ233" s="1"/>
      <c r="AK233" s="1"/>
      <c r="AL233" s="1"/>
      <c r="AM233" s="1"/>
      <c r="AN233" s="1"/>
      <c r="AO233" s="1"/>
      <c r="AP233" s="1" t="s">
        <v>6</v>
      </c>
      <c r="AQ233" s="1" t="s">
        <v>6</v>
      </c>
      <c r="AR233" s="1" t="s">
        <v>6</v>
      </c>
      <c r="AS233" s="1"/>
      <c r="AT233" s="1"/>
      <c r="AU233" s="1"/>
      <c r="AV233" s="1"/>
      <c r="AW233" s="1"/>
      <c r="AX233" s="1"/>
      <c r="AY233" s="1"/>
      <c r="AZ233" s="1" t="s">
        <v>6</v>
      </c>
      <c r="BA233" s="1"/>
      <c r="BB233" s="1" t="s">
        <v>6</v>
      </c>
      <c r="BC233" s="1" t="s">
        <v>6</v>
      </c>
      <c r="BD233" s="1" t="s">
        <v>6</v>
      </c>
      <c r="BE233" s="1" t="s">
        <v>6</v>
      </c>
      <c r="BF233" s="1" t="s">
        <v>6</v>
      </c>
      <c r="BG233" s="1" t="s">
        <v>6</v>
      </c>
      <c r="BH233" s="1" t="s">
        <v>6</v>
      </c>
      <c r="BI233" s="1" t="s">
        <v>6</v>
      </c>
      <c r="BJ233" s="1" t="s">
        <v>6</v>
      </c>
      <c r="BK233" s="1" t="s">
        <v>6</v>
      </c>
      <c r="BL233" s="1" t="s">
        <v>6</v>
      </c>
      <c r="BM233" s="1" t="s">
        <v>6</v>
      </c>
      <c r="BN233" s="1" t="s">
        <v>6</v>
      </c>
      <c r="BO233" s="1" t="s">
        <v>6</v>
      </c>
      <c r="BP233" s="1" t="s">
        <v>6</v>
      </c>
      <c r="BQ233" s="1"/>
      <c r="BR233" s="1"/>
      <c r="BS233" s="1"/>
      <c r="BT233" s="1"/>
      <c r="BU233" s="1"/>
      <c r="BV233" s="1"/>
      <c r="BW233" s="1"/>
      <c r="BX233" s="1">
        <v>0</v>
      </c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>
        <v>0</v>
      </c>
    </row>
    <row r="235" spans="1:245" x14ac:dyDescent="0.2">
      <c r="A235" s="2">
        <v>52</v>
      </c>
      <c r="B235" s="2">
        <f t="shared" ref="B235:G235" si="210">B242</f>
        <v>1</v>
      </c>
      <c r="C235" s="2">
        <f t="shared" si="210"/>
        <v>4</v>
      </c>
      <c r="D235" s="2">
        <f t="shared" si="210"/>
        <v>233</v>
      </c>
      <c r="E235" s="2">
        <f t="shared" si="210"/>
        <v>0</v>
      </c>
      <c r="F235" s="2" t="str">
        <f t="shared" si="210"/>
        <v>Новый раздел</v>
      </c>
      <c r="G235" s="2" t="str">
        <f t="shared" si="210"/>
        <v>4 Пусконаладочные работы</v>
      </c>
      <c r="H235" s="2"/>
      <c r="I235" s="2"/>
      <c r="J235" s="2"/>
      <c r="K235" s="2"/>
      <c r="L235" s="2"/>
      <c r="M235" s="2"/>
      <c r="N235" s="2"/>
      <c r="O235" s="2">
        <f t="shared" ref="O235:AT235" si="211">O242</f>
        <v>26224.94</v>
      </c>
      <c r="P235" s="2">
        <f t="shared" si="211"/>
        <v>0</v>
      </c>
      <c r="Q235" s="2">
        <f t="shared" si="211"/>
        <v>0</v>
      </c>
      <c r="R235" s="2">
        <f t="shared" si="211"/>
        <v>0</v>
      </c>
      <c r="S235" s="2">
        <f t="shared" si="211"/>
        <v>26224.94</v>
      </c>
      <c r="T235" s="2">
        <f t="shared" si="211"/>
        <v>0</v>
      </c>
      <c r="U235" s="2">
        <f t="shared" si="211"/>
        <v>109.4624</v>
      </c>
      <c r="V235" s="2">
        <f t="shared" si="211"/>
        <v>0</v>
      </c>
      <c r="W235" s="2">
        <f t="shared" si="211"/>
        <v>0</v>
      </c>
      <c r="X235" s="2">
        <f t="shared" si="211"/>
        <v>17046.21</v>
      </c>
      <c r="Y235" s="2">
        <f t="shared" si="211"/>
        <v>10489.97</v>
      </c>
      <c r="Z235" s="2">
        <f t="shared" si="211"/>
        <v>0</v>
      </c>
      <c r="AA235" s="2">
        <f t="shared" si="211"/>
        <v>0</v>
      </c>
      <c r="AB235" s="2">
        <f t="shared" si="211"/>
        <v>26224.94</v>
      </c>
      <c r="AC235" s="2">
        <f t="shared" si="211"/>
        <v>0</v>
      </c>
      <c r="AD235" s="2">
        <f t="shared" si="211"/>
        <v>0</v>
      </c>
      <c r="AE235" s="2">
        <f t="shared" si="211"/>
        <v>0</v>
      </c>
      <c r="AF235" s="2">
        <f t="shared" si="211"/>
        <v>26224.94</v>
      </c>
      <c r="AG235" s="2">
        <f t="shared" si="211"/>
        <v>0</v>
      </c>
      <c r="AH235" s="2">
        <f t="shared" si="211"/>
        <v>109.4624</v>
      </c>
      <c r="AI235" s="2">
        <f t="shared" si="211"/>
        <v>0</v>
      </c>
      <c r="AJ235" s="2">
        <f t="shared" si="211"/>
        <v>0</v>
      </c>
      <c r="AK235" s="2">
        <f t="shared" si="211"/>
        <v>17046.21</v>
      </c>
      <c r="AL235" s="2">
        <f t="shared" si="211"/>
        <v>10489.97</v>
      </c>
      <c r="AM235" s="2">
        <f t="shared" si="211"/>
        <v>0</v>
      </c>
      <c r="AN235" s="2">
        <f t="shared" si="211"/>
        <v>0</v>
      </c>
      <c r="AO235" s="2">
        <f t="shared" si="211"/>
        <v>0</v>
      </c>
      <c r="AP235" s="2">
        <f t="shared" si="211"/>
        <v>0</v>
      </c>
      <c r="AQ235" s="2">
        <f t="shared" si="211"/>
        <v>0</v>
      </c>
      <c r="AR235" s="2">
        <f t="shared" si="211"/>
        <v>53761.120000000003</v>
      </c>
      <c r="AS235" s="2">
        <f t="shared" si="211"/>
        <v>0</v>
      </c>
      <c r="AT235" s="2">
        <f t="shared" si="211"/>
        <v>0</v>
      </c>
      <c r="AU235" s="2">
        <f t="shared" ref="AU235:BZ235" si="212">AU242</f>
        <v>53761.120000000003</v>
      </c>
      <c r="AV235" s="2">
        <f t="shared" si="212"/>
        <v>0</v>
      </c>
      <c r="AW235" s="2">
        <f t="shared" si="212"/>
        <v>0</v>
      </c>
      <c r="AX235" s="2">
        <f t="shared" si="212"/>
        <v>0</v>
      </c>
      <c r="AY235" s="2">
        <f t="shared" si="212"/>
        <v>0</v>
      </c>
      <c r="AZ235" s="2">
        <f t="shared" si="212"/>
        <v>0</v>
      </c>
      <c r="BA235" s="2">
        <f t="shared" si="212"/>
        <v>0</v>
      </c>
      <c r="BB235" s="2">
        <f t="shared" si="212"/>
        <v>0</v>
      </c>
      <c r="BC235" s="2">
        <f t="shared" si="212"/>
        <v>0</v>
      </c>
      <c r="BD235" s="2">
        <f t="shared" si="212"/>
        <v>0</v>
      </c>
      <c r="BE235" s="2">
        <f t="shared" si="212"/>
        <v>0</v>
      </c>
      <c r="BF235" s="2">
        <f t="shared" si="212"/>
        <v>0</v>
      </c>
      <c r="BG235" s="2">
        <f t="shared" si="212"/>
        <v>0</v>
      </c>
      <c r="BH235" s="2">
        <f t="shared" si="212"/>
        <v>0</v>
      </c>
      <c r="BI235" s="2">
        <f t="shared" si="212"/>
        <v>0</v>
      </c>
      <c r="BJ235" s="2">
        <f t="shared" si="212"/>
        <v>0</v>
      </c>
      <c r="BK235" s="2">
        <f t="shared" si="212"/>
        <v>0</v>
      </c>
      <c r="BL235" s="2">
        <f t="shared" si="212"/>
        <v>0</v>
      </c>
      <c r="BM235" s="2">
        <f t="shared" si="212"/>
        <v>0</v>
      </c>
      <c r="BN235" s="2">
        <f t="shared" si="212"/>
        <v>0</v>
      </c>
      <c r="BO235" s="2">
        <f t="shared" si="212"/>
        <v>0</v>
      </c>
      <c r="BP235" s="2">
        <f t="shared" si="212"/>
        <v>0</v>
      </c>
      <c r="BQ235" s="2">
        <f t="shared" si="212"/>
        <v>0</v>
      </c>
      <c r="BR235" s="2">
        <f t="shared" si="212"/>
        <v>0</v>
      </c>
      <c r="BS235" s="2">
        <f t="shared" si="212"/>
        <v>0</v>
      </c>
      <c r="BT235" s="2">
        <f t="shared" si="212"/>
        <v>0</v>
      </c>
      <c r="BU235" s="2">
        <f t="shared" si="212"/>
        <v>0</v>
      </c>
      <c r="BV235" s="2">
        <f t="shared" si="212"/>
        <v>0</v>
      </c>
      <c r="BW235" s="2">
        <f t="shared" si="212"/>
        <v>0</v>
      </c>
      <c r="BX235" s="2">
        <f t="shared" si="212"/>
        <v>0</v>
      </c>
      <c r="BY235" s="2">
        <f t="shared" si="212"/>
        <v>0</v>
      </c>
      <c r="BZ235" s="2">
        <f t="shared" si="212"/>
        <v>0</v>
      </c>
      <c r="CA235" s="2">
        <f t="shared" ref="CA235:DF235" si="213">CA242</f>
        <v>53761.120000000003</v>
      </c>
      <c r="CB235" s="2">
        <f t="shared" si="213"/>
        <v>0</v>
      </c>
      <c r="CC235" s="2">
        <f t="shared" si="213"/>
        <v>0</v>
      </c>
      <c r="CD235" s="2">
        <f t="shared" si="213"/>
        <v>53761.120000000003</v>
      </c>
      <c r="CE235" s="2">
        <f t="shared" si="213"/>
        <v>0</v>
      </c>
      <c r="CF235" s="2">
        <f t="shared" si="213"/>
        <v>0</v>
      </c>
      <c r="CG235" s="2">
        <f t="shared" si="213"/>
        <v>0</v>
      </c>
      <c r="CH235" s="2">
        <f t="shared" si="213"/>
        <v>0</v>
      </c>
      <c r="CI235" s="2">
        <f t="shared" si="213"/>
        <v>0</v>
      </c>
      <c r="CJ235" s="2">
        <f t="shared" si="213"/>
        <v>0</v>
      </c>
      <c r="CK235" s="2">
        <f t="shared" si="213"/>
        <v>0</v>
      </c>
      <c r="CL235" s="2">
        <f t="shared" si="213"/>
        <v>0</v>
      </c>
      <c r="CM235" s="2">
        <f t="shared" si="213"/>
        <v>0</v>
      </c>
      <c r="CN235" s="2">
        <f t="shared" si="213"/>
        <v>0</v>
      </c>
      <c r="CO235" s="2">
        <f t="shared" si="213"/>
        <v>0</v>
      </c>
      <c r="CP235" s="2">
        <f t="shared" si="213"/>
        <v>0</v>
      </c>
      <c r="CQ235" s="2">
        <f t="shared" si="213"/>
        <v>0</v>
      </c>
      <c r="CR235" s="2">
        <f t="shared" si="213"/>
        <v>0</v>
      </c>
      <c r="CS235" s="2">
        <f t="shared" si="213"/>
        <v>0</v>
      </c>
      <c r="CT235" s="2">
        <f t="shared" si="213"/>
        <v>0</v>
      </c>
      <c r="CU235" s="2">
        <f t="shared" si="213"/>
        <v>0</v>
      </c>
      <c r="CV235" s="2">
        <f t="shared" si="213"/>
        <v>0</v>
      </c>
      <c r="CW235" s="2">
        <f t="shared" si="213"/>
        <v>0</v>
      </c>
      <c r="CX235" s="2">
        <f t="shared" si="213"/>
        <v>0</v>
      </c>
      <c r="CY235" s="2">
        <f t="shared" si="213"/>
        <v>0</v>
      </c>
      <c r="CZ235" s="2">
        <f t="shared" si="213"/>
        <v>0</v>
      </c>
      <c r="DA235" s="2">
        <f t="shared" si="213"/>
        <v>0</v>
      </c>
      <c r="DB235" s="2">
        <f t="shared" si="213"/>
        <v>0</v>
      </c>
      <c r="DC235" s="2">
        <f t="shared" si="213"/>
        <v>0</v>
      </c>
      <c r="DD235" s="2">
        <f t="shared" si="213"/>
        <v>0</v>
      </c>
      <c r="DE235" s="2">
        <f t="shared" si="213"/>
        <v>0</v>
      </c>
      <c r="DF235" s="2">
        <f t="shared" si="213"/>
        <v>0</v>
      </c>
      <c r="DG235" s="3">
        <f t="shared" ref="DG235:EL235" si="214">DG242</f>
        <v>0</v>
      </c>
      <c r="DH235" s="3">
        <f t="shared" si="214"/>
        <v>0</v>
      </c>
      <c r="DI235" s="3">
        <f t="shared" si="214"/>
        <v>0</v>
      </c>
      <c r="DJ235" s="3">
        <f t="shared" si="214"/>
        <v>0</v>
      </c>
      <c r="DK235" s="3">
        <f t="shared" si="214"/>
        <v>0</v>
      </c>
      <c r="DL235" s="3">
        <f t="shared" si="214"/>
        <v>0</v>
      </c>
      <c r="DM235" s="3">
        <f t="shared" si="214"/>
        <v>0</v>
      </c>
      <c r="DN235" s="3">
        <f t="shared" si="214"/>
        <v>0</v>
      </c>
      <c r="DO235" s="3">
        <f t="shared" si="214"/>
        <v>0</v>
      </c>
      <c r="DP235" s="3">
        <f t="shared" si="214"/>
        <v>0</v>
      </c>
      <c r="DQ235" s="3">
        <f t="shared" si="214"/>
        <v>0</v>
      </c>
      <c r="DR235" s="3">
        <f t="shared" si="214"/>
        <v>0</v>
      </c>
      <c r="DS235" s="3">
        <f t="shared" si="214"/>
        <v>0</v>
      </c>
      <c r="DT235" s="3">
        <f t="shared" si="214"/>
        <v>0</v>
      </c>
      <c r="DU235" s="3">
        <f t="shared" si="214"/>
        <v>0</v>
      </c>
      <c r="DV235" s="3">
        <f t="shared" si="214"/>
        <v>0</v>
      </c>
      <c r="DW235" s="3">
        <f t="shared" si="214"/>
        <v>0</v>
      </c>
      <c r="DX235" s="3">
        <f t="shared" si="214"/>
        <v>0</v>
      </c>
      <c r="DY235" s="3">
        <f t="shared" si="214"/>
        <v>0</v>
      </c>
      <c r="DZ235" s="3">
        <f t="shared" si="214"/>
        <v>0</v>
      </c>
      <c r="EA235" s="3">
        <f t="shared" si="214"/>
        <v>0</v>
      </c>
      <c r="EB235" s="3">
        <f t="shared" si="214"/>
        <v>0</v>
      </c>
      <c r="EC235" s="3">
        <f t="shared" si="214"/>
        <v>0</v>
      </c>
      <c r="ED235" s="3">
        <f t="shared" si="214"/>
        <v>0</v>
      </c>
      <c r="EE235" s="3">
        <f t="shared" si="214"/>
        <v>0</v>
      </c>
      <c r="EF235" s="3">
        <f t="shared" si="214"/>
        <v>0</v>
      </c>
      <c r="EG235" s="3">
        <f t="shared" si="214"/>
        <v>0</v>
      </c>
      <c r="EH235" s="3">
        <f t="shared" si="214"/>
        <v>0</v>
      </c>
      <c r="EI235" s="3">
        <f t="shared" si="214"/>
        <v>0</v>
      </c>
      <c r="EJ235" s="3">
        <f t="shared" si="214"/>
        <v>0</v>
      </c>
      <c r="EK235" s="3">
        <f t="shared" si="214"/>
        <v>0</v>
      </c>
      <c r="EL235" s="3">
        <f t="shared" si="214"/>
        <v>0</v>
      </c>
      <c r="EM235" s="3">
        <f t="shared" ref="EM235:FR235" si="215">EM242</f>
        <v>0</v>
      </c>
      <c r="EN235" s="3">
        <f t="shared" si="215"/>
        <v>0</v>
      </c>
      <c r="EO235" s="3">
        <f t="shared" si="215"/>
        <v>0</v>
      </c>
      <c r="EP235" s="3">
        <f t="shared" si="215"/>
        <v>0</v>
      </c>
      <c r="EQ235" s="3">
        <f t="shared" si="215"/>
        <v>0</v>
      </c>
      <c r="ER235" s="3">
        <f t="shared" si="215"/>
        <v>0</v>
      </c>
      <c r="ES235" s="3">
        <f t="shared" si="215"/>
        <v>0</v>
      </c>
      <c r="ET235" s="3">
        <f t="shared" si="215"/>
        <v>0</v>
      </c>
      <c r="EU235" s="3">
        <f t="shared" si="215"/>
        <v>0</v>
      </c>
      <c r="EV235" s="3">
        <f t="shared" si="215"/>
        <v>0</v>
      </c>
      <c r="EW235" s="3">
        <f t="shared" si="215"/>
        <v>0</v>
      </c>
      <c r="EX235" s="3">
        <f t="shared" si="215"/>
        <v>0</v>
      </c>
      <c r="EY235" s="3">
        <f t="shared" si="215"/>
        <v>0</v>
      </c>
      <c r="EZ235" s="3">
        <f t="shared" si="215"/>
        <v>0</v>
      </c>
      <c r="FA235" s="3">
        <f t="shared" si="215"/>
        <v>0</v>
      </c>
      <c r="FB235" s="3">
        <f t="shared" si="215"/>
        <v>0</v>
      </c>
      <c r="FC235" s="3">
        <f t="shared" si="215"/>
        <v>0</v>
      </c>
      <c r="FD235" s="3">
        <f t="shared" si="215"/>
        <v>0</v>
      </c>
      <c r="FE235" s="3">
        <f t="shared" si="215"/>
        <v>0</v>
      </c>
      <c r="FF235" s="3">
        <f t="shared" si="215"/>
        <v>0</v>
      </c>
      <c r="FG235" s="3">
        <f t="shared" si="215"/>
        <v>0</v>
      </c>
      <c r="FH235" s="3">
        <f t="shared" si="215"/>
        <v>0</v>
      </c>
      <c r="FI235" s="3">
        <f t="shared" si="215"/>
        <v>0</v>
      </c>
      <c r="FJ235" s="3">
        <f t="shared" si="215"/>
        <v>0</v>
      </c>
      <c r="FK235" s="3">
        <f t="shared" si="215"/>
        <v>0</v>
      </c>
      <c r="FL235" s="3">
        <f t="shared" si="215"/>
        <v>0</v>
      </c>
      <c r="FM235" s="3">
        <f t="shared" si="215"/>
        <v>0</v>
      </c>
      <c r="FN235" s="3">
        <f t="shared" si="215"/>
        <v>0</v>
      </c>
      <c r="FO235" s="3">
        <f t="shared" si="215"/>
        <v>0</v>
      </c>
      <c r="FP235" s="3">
        <f t="shared" si="215"/>
        <v>0</v>
      </c>
      <c r="FQ235" s="3">
        <f t="shared" si="215"/>
        <v>0</v>
      </c>
      <c r="FR235" s="3">
        <f t="shared" si="215"/>
        <v>0</v>
      </c>
      <c r="FS235" s="3">
        <f t="shared" ref="FS235:GX235" si="216">FS242</f>
        <v>0</v>
      </c>
      <c r="FT235" s="3">
        <f t="shared" si="216"/>
        <v>0</v>
      </c>
      <c r="FU235" s="3">
        <f t="shared" si="216"/>
        <v>0</v>
      </c>
      <c r="FV235" s="3">
        <f t="shared" si="216"/>
        <v>0</v>
      </c>
      <c r="FW235" s="3">
        <f t="shared" si="216"/>
        <v>0</v>
      </c>
      <c r="FX235" s="3">
        <f t="shared" si="216"/>
        <v>0</v>
      </c>
      <c r="FY235" s="3">
        <f t="shared" si="216"/>
        <v>0</v>
      </c>
      <c r="FZ235" s="3">
        <f t="shared" si="216"/>
        <v>0</v>
      </c>
      <c r="GA235" s="3">
        <f t="shared" si="216"/>
        <v>0</v>
      </c>
      <c r="GB235" s="3">
        <f t="shared" si="216"/>
        <v>0</v>
      </c>
      <c r="GC235" s="3">
        <f t="shared" si="216"/>
        <v>0</v>
      </c>
      <c r="GD235" s="3">
        <f t="shared" si="216"/>
        <v>0</v>
      </c>
      <c r="GE235" s="3">
        <f t="shared" si="216"/>
        <v>0</v>
      </c>
      <c r="GF235" s="3">
        <f t="shared" si="216"/>
        <v>0</v>
      </c>
      <c r="GG235" s="3">
        <f t="shared" si="216"/>
        <v>0</v>
      </c>
      <c r="GH235" s="3">
        <f t="shared" si="216"/>
        <v>0</v>
      </c>
      <c r="GI235" s="3">
        <f t="shared" si="216"/>
        <v>0</v>
      </c>
      <c r="GJ235" s="3">
        <f t="shared" si="216"/>
        <v>0</v>
      </c>
      <c r="GK235" s="3">
        <f t="shared" si="216"/>
        <v>0</v>
      </c>
      <c r="GL235" s="3">
        <f t="shared" si="216"/>
        <v>0</v>
      </c>
      <c r="GM235" s="3">
        <f t="shared" si="216"/>
        <v>0</v>
      </c>
      <c r="GN235" s="3">
        <f t="shared" si="216"/>
        <v>0</v>
      </c>
      <c r="GO235" s="3">
        <f t="shared" si="216"/>
        <v>0</v>
      </c>
      <c r="GP235" s="3">
        <f t="shared" si="216"/>
        <v>0</v>
      </c>
      <c r="GQ235" s="3">
        <f t="shared" si="216"/>
        <v>0</v>
      </c>
      <c r="GR235" s="3">
        <f t="shared" si="216"/>
        <v>0</v>
      </c>
      <c r="GS235" s="3">
        <f t="shared" si="216"/>
        <v>0</v>
      </c>
      <c r="GT235" s="3">
        <f t="shared" si="216"/>
        <v>0</v>
      </c>
      <c r="GU235" s="3">
        <f t="shared" si="216"/>
        <v>0</v>
      </c>
      <c r="GV235" s="3">
        <f t="shared" si="216"/>
        <v>0</v>
      </c>
      <c r="GW235" s="3">
        <f t="shared" si="216"/>
        <v>0</v>
      </c>
      <c r="GX235" s="3">
        <f t="shared" si="216"/>
        <v>0</v>
      </c>
    </row>
    <row r="237" spans="1:245" x14ac:dyDescent="0.2">
      <c r="A237">
        <v>17</v>
      </c>
      <c r="B237">
        <v>1</v>
      </c>
      <c r="C237">
        <f>ROW(SmtRes!A333)</f>
        <v>333</v>
      </c>
      <c r="D237">
        <f>ROW(EtalonRes!A317)</f>
        <v>317</v>
      </c>
      <c r="E237" t="s">
        <v>534</v>
      </c>
      <c r="F237" t="s">
        <v>535</v>
      </c>
      <c r="G237" t="s">
        <v>536</v>
      </c>
      <c r="H237" t="s">
        <v>366</v>
      </c>
      <c r="I237">
        <v>32</v>
      </c>
      <c r="J237">
        <v>0</v>
      </c>
      <c r="O237">
        <f>ROUND(CP237,2)</f>
        <v>2035.17</v>
      </c>
      <c r="P237">
        <f>ROUND(CQ237*I237,2)</f>
        <v>0</v>
      </c>
      <c r="Q237">
        <f>ROUND(CR237*I237,2)</f>
        <v>0</v>
      </c>
      <c r="R237">
        <f>ROUND(CS237*I237,2)</f>
        <v>0</v>
      </c>
      <c r="S237">
        <f>ROUND(CT237*I237,2)</f>
        <v>2035.17</v>
      </c>
      <c r="T237">
        <f>ROUND(CU237*I237,2)</f>
        <v>0</v>
      </c>
      <c r="U237">
        <f>CV237*I237</f>
        <v>8.1920000000000002</v>
      </c>
      <c r="V237">
        <f>CW237*I237</f>
        <v>0</v>
      </c>
      <c r="W237">
        <f>ROUND(CX237*I237,2)</f>
        <v>0</v>
      </c>
      <c r="X237">
        <f t="shared" ref="X237:Y240" si="217">ROUND(CY237,2)</f>
        <v>1322.86</v>
      </c>
      <c r="Y237">
        <f t="shared" si="217"/>
        <v>814.07</v>
      </c>
      <c r="AA237">
        <v>16802145</v>
      </c>
      <c r="AB237">
        <f>ROUND((AC237+AD237+AF237),2)</f>
        <v>3.28</v>
      </c>
      <c r="AC237">
        <f>ROUND((ES237),2)</f>
        <v>0</v>
      </c>
      <c r="AD237">
        <f>ROUND((((ET237)-(EU237))+AE237),2)</f>
        <v>0</v>
      </c>
      <c r="AE237">
        <f>ROUND((EU237),2)</f>
        <v>0</v>
      </c>
      <c r="AF237">
        <f>ROUND(((EV237*0.8)),2)</f>
        <v>3.28</v>
      </c>
      <c r="AG237">
        <f>ROUND((AP237),2)</f>
        <v>0</v>
      </c>
      <c r="AH237">
        <f>((EW237*0.8))</f>
        <v>0.25600000000000001</v>
      </c>
      <c r="AI237">
        <f>(EX237)</f>
        <v>0</v>
      </c>
      <c r="AJ237">
        <f>(AS237)</f>
        <v>0</v>
      </c>
      <c r="AK237">
        <v>4.0999999999999996</v>
      </c>
      <c r="AL237">
        <v>0</v>
      </c>
      <c r="AM237">
        <v>0</v>
      </c>
      <c r="AN237">
        <v>0</v>
      </c>
      <c r="AO237">
        <v>4.0999999999999996</v>
      </c>
      <c r="AP237">
        <v>0</v>
      </c>
      <c r="AQ237">
        <v>0.32</v>
      </c>
      <c r="AR237">
        <v>0</v>
      </c>
      <c r="AS237">
        <v>0</v>
      </c>
      <c r="AT237">
        <v>65</v>
      </c>
      <c r="AU237">
        <v>40</v>
      </c>
      <c r="AV237">
        <v>1</v>
      </c>
      <c r="AW237">
        <v>1</v>
      </c>
      <c r="AZ237">
        <v>19.39</v>
      </c>
      <c r="BA237">
        <v>19.39</v>
      </c>
      <c r="BB237">
        <v>1</v>
      </c>
      <c r="BC237">
        <v>1</v>
      </c>
      <c r="BD237" t="s">
        <v>6</v>
      </c>
      <c r="BE237" t="s">
        <v>6</v>
      </c>
      <c r="BF237" t="s">
        <v>6</v>
      </c>
      <c r="BG237" t="s">
        <v>6</v>
      </c>
      <c r="BH237">
        <v>0</v>
      </c>
      <c r="BI237">
        <v>4</v>
      </c>
      <c r="BJ237" t="s">
        <v>537</v>
      </c>
      <c r="BM237">
        <v>200001</v>
      </c>
      <c r="BN237">
        <v>0</v>
      </c>
      <c r="BO237" t="s">
        <v>6</v>
      </c>
      <c r="BP237">
        <v>0</v>
      </c>
      <c r="BQ237">
        <v>4</v>
      </c>
      <c r="BR237">
        <v>0</v>
      </c>
      <c r="BS237">
        <v>1</v>
      </c>
      <c r="BT237">
        <v>1</v>
      </c>
      <c r="BU237">
        <v>1</v>
      </c>
      <c r="BV237">
        <v>1</v>
      </c>
      <c r="BW237">
        <v>1</v>
      </c>
      <c r="BX237">
        <v>1</v>
      </c>
      <c r="BY237" t="s">
        <v>6</v>
      </c>
      <c r="BZ237">
        <v>65</v>
      </c>
      <c r="CA237">
        <v>40</v>
      </c>
      <c r="CE237">
        <v>0</v>
      </c>
      <c r="CF237">
        <v>0</v>
      </c>
      <c r="CG237">
        <v>0</v>
      </c>
      <c r="CM237">
        <v>0</v>
      </c>
      <c r="CN237" t="s">
        <v>538</v>
      </c>
      <c r="CO237">
        <v>0</v>
      </c>
      <c r="CP237">
        <f>(P237+Q237+S237)</f>
        <v>2035.17</v>
      </c>
      <c r="CQ237">
        <f>AC237*BC237</f>
        <v>0</v>
      </c>
      <c r="CR237">
        <f>AD237*BB237</f>
        <v>0</v>
      </c>
      <c r="CS237">
        <f>AE237*BS237</f>
        <v>0</v>
      </c>
      <c r="CT237">
        <f>AF237*BA237</f>
        <v>63.599199999999996</v>
      </c>
      <c r="CU237">
        <f t="shared" ref="CU237:CX240" si="218">AG237</f>
        <v>0</v>
      </c>
      <c r="CV237">
        <f t="shared" si="218"/>
        <v>0.25600000000000001</v>
      </c>
      <c r="CW237">
        <f t="shared" si="218"/>
        <v>0</v>
      </c>
      <c r="CX237">
        <f t="shared" si="218"/>
        <v>0</v>
      </c>
      <c r="CY237">
        <f>(((S237+R237)*AT237)/100)</f>
        <v>1322.8605000000002</v>
      </c>
      <c r="CZ237">
        <f>(((S237+R237)*AU237)/100)</f>
        <v>814.06799999999998</v>
      </c>
      <c r="DC237" t="s">
        <v>6</v>
      </c>
      <c r="DD237" t="s">
        <v>6</v>
      </c>
      <c r="DE237" t="s">
        <v>6</v>
      </c>
      <c r="DF237" t="s">
        <v>6</v>
      </c>
      <c r="DG237" t="s">
        <v>228</v>
      </c>
      <c r="DH237" t="s">
        <v>6</v>
      </c>
      <c r="DI237" t="s">
        <v>228</v>
      </c>
      <c r="DJ237" t="s">
        <v>6</v>
      </c>
      <c r="DK237" t="s">
        <v>6</v>
      </c>
      <c r="DL237" t="s">
        <v>6</v>
      </c>
      <c r="DM237" t="s">
        <v>6</v>
      </c>
      <c r="DN237">
        <v>0</v>
      </c>
      <c r="DO237">
        <v>0</v>
      </c>
      <c r="DP237">
        <v>1</v>
      </c>
      <c r="DQ237">
        <v>1</v>
      </c>
      <c r="DU237">
        <v>1013</v>
      </c>
      <c r="DV237" t="s">
        <v>366</v>
      </c>
      <c r="DW237" t="s">
        <v>366</v>
      </c>
      <c r="DX237">
        <v>1</v>
      </c>
      <c r="EE237">
        <v>16510412</v>
      </c>
      <c r="EF237">
        <v>4</v>
      </c>
      <c r="EG237" t="s">
        <v>539</v>
      </c>
      <c r="EH237">
        <v>0</v>
      </c>
      <c r="EI237" t="s">
        <v>6</v>
      </c>
      <c r="EJ237">
        <v>4</v>
      </c>
      <c r="EK237">
        <v>200001</v>
      </c>
      <c r="EL237" t="s">
        <v>540</v>
      </c>
      <c r="EM237" t="s">
        <v>541</v>
      </c>
      <c r="EO237" t="s">
        <v>542</v>
      </c>
      <c r="EQ237">
        <v>131072</v>
      </c>
      <c r="ER237">
        <v>4.0999999999999996</v>
      </c>
      <c r="ES237">
        <v>0</v>
      </c>
      <c r="ET237">
        <v>0</v>
      </c>
      <c r="EU237">
        <v>0</v>
      </c>
      <c r="EV237">
        <v>4.0999999999999996</v>
      </c>
      <c r="EW237">
        <v>0.32</v>
      </c>
      <c r="EX237">
        <v>0</v>
      </c>
      <c r="EY237">
        <v>0</v>
      </c>
      <c r="FQ237">
        <v>0</v>
      </c>
      <c r="FR237">
        <f>ROUND(IF(AND(BH237=3,BI237=3),P237,0),2)</f>
        <v>0</v>
      </c>
      <c r="FS237">
        <v>0</v>
      </c>
      <c r="FX237">
        <v>65</v>
      </c>
      <c r="FY237">
        <v>40</v>
      </c>
      <c r="GA237" t="s">
        <v>6</v>
      </c>
      <c r="GD237">
        <v>0</v>
      </c>
      <c r="GF237">
        <v>-1617765494</v>
      </c>
      <c r="GG237">
        <v>1</v>
      </c>
      <c r="GH237">
        <v>1</v>
      </c>
      <c r="GI237">
        <v>4</v>
      </c>
      <c r="GJ237">
        <v>0</v>
      </c>
      <c r="GK237">
        <f>ROUND(R237*(R12)/100,2)</f>
        <v>0</v>
      </c>
      <c r="GL237">
        <f>ROUND(IF(AND(BH237=3,BI237=3,FS237&lt;&gt;0),P237,0),2)</f>
        <v>0</v>
      </c>
      <c r="GM237">
        <f>ROUND(O237+X237+Y237+GK237,2)+GX237</f>
        <v>4172.1000000000004</v>
      </c>
      <c r="GN237">
        <f>IF(OR(BI237=0,BI237=1),ROUND(O237+X237+Y237+GK237,2),0)</f>
        <v>0</v>
      </c>
      <c r="GO237">
        <f>IF(BI237=2,ROUND(O237+X237+Y237+GK237,2),0)</f>
        <v>0</v>
      </c>
      <c r="GP237">
        <f>IF(BI237=4,ROUND(O237+X237+Y237+GK237,2)+GX237,0)</f>
        <v>4172.1000000000004</v>
      </c>
      <c r="GR237">
        <v>0</v>
      </c>
      <c r="GS237">
        <v>3</v>
      </c>
      <c r="GT237">
        <v>0</v>
      </c>
      <c r="GU237" t="s">
        <v>6</v>
      </c>
      <c r="GV237">
        <f>ROUND((GT237),2)</f>
        <v>0</v>
      </c>
      <c r="GW237">
        <v>1</v>
      </c>
      <c r="GX237">
        <f>ROUND(HC237*I237,2)</f>
        <v>0</v>
      </c>
      <c r="HA237">
        <v>0</v>
      </c>
      <c r="HB237">
        <v>0</v>
      </c>
      <c r="HC237">
        <f>GV237*GW237</f>
        <v>0</v>
      </c>
      <c r="IK237">
        <v>0</v>
      </c>
    </row>
    <row r="238" spans="1:245" x14ac:dyDescent="0.2">
      <c r="A238">
        <v>17</v>
      </c>
      <c r="B238">
        <v>1</v>
      </c>
      <c r="C238">
        <f>ROW(SmtRes!A335)</f>
        <v>335</v>
      </c>
      <c r="D238">
        <f>ROW(EtalonRes!A319)</f>
        <v>319</v>
      </c>
      <c r="E238" t="s">
        <v>543</v>
      </c>
      <c r="F238" t="s">
        <v>544</v>
      </c>
      <c r="G238" t="s">
        <v>545</v>
      </c>
      <c r="H238" t="s">
        <v>546</v>
      </c>
      <c r="I238">
        <f>ROUND(5/100,9)</f>
        <v>0.05</v>
      </c>
      <c r="J238">
        <v>0</v>
      </c>
      <c r="O238">
        <f>ROUND(CP238,2)</f>
        <v>128.71</v>
      </c>
      <c r="P238">
        <f>ROUND(CQ238*I238,2)</f>
        <v>0</v>
      </c>
      <c r="Q238">
        <f>ROUND(CR238*I238,2)</f>
        <v>0</v>
      </c>
      <c r="R238">
        <f>ROUND(CS238*I238,2)</f>
        <v>0</v>
      </c>
      <c r="S238">
        <f>ROUND(CT238*I238,2)</f>
        <v>128.71</v>
      </c>
      <c r="T238">
        <f>ROUND(CU238*I238,2)</f>
        <v>0</v>
      </c>
      <c r="U238">
        <f>CV238*I238</f>
        <v>0.51840000000000008</v>
      </c>
      <c r="V238">
        <f>CW238*I238</f>
        <v>0</v>
      </c>
      <c r="W238">
        <f>ROUND(CX238*I238,2)</f>
        <v>0</v>
      </c>
      <c r="X238">
        <f t="shared" si="217"/>
        <v>83.66</v>
      </c>
      <c r="Y238">
        <f t="shared" si="217"/>
        <v>51.48</v>
      </c>
      <c r="AA238">
        <v>16802145</v>
      </c>
      <c r="AB238">
        <f>ROUND((AC238+AD238+AF238),2)</f>
        <v>132.76</v>
      </c>
      <c r="AC238">
        <f>ROUND((ES238),2)</f>
        <v>0</v>
      </c>
      <c r="AD238">
        <f>ROUND((((ET238)-(EU238))+AE238),2)</f>
        <v>0</v>
      </c>
      <c r="AE238">
        <f>ROUND((EU238),2)</f>
        <v>0</v>
      </c>
      <c r="AF238">
        <f>ROUND(((EV238*0.8)),2)</f>
        <v>132.76</v>
      </c>
      <c r="AG238">
        <f>ROUND((AP238),2)</f>
        <v>0</v>
      </c>
      <c r="AH238">
        <f>((EW238*0.8))</f>
        <v>10.368000000000002</v>
      </c>
      <c r="AI238">
        <f>(EX238)</f>
        <v>0</v>
      </c>
      <c r="AJ238">
        <f>(AS238)</f>
        <v>0</v>
      </c>
      <c r="AK238">
        <v>165.95</v>
      </c>
      <c r="AL238">
        <v>0</v>
      </c>
      <c r="AM238">
        <v>0</v>
      </c>
      <c r="AN238">
        <v>0</v>
      </c>
      <c r="AO238">
        <v>165.95</v>
      </c>
      <c r="AP238">
        <v>0</v>
      </c>
      <c r="AQ238">
        <v>12.96</v>
      </c>
      <c r="AR238">
        <v>0</v>
      </c>
      <c r="AS238">
        <v>0</v>
      </c>
      <c r="AT238">
        <v>65</v>
      </c>
      <c r="AU238">
        <v>40</v>
      </c>
      <c r="AV238">
        <v>1</v>
      </c>
      <c r="AW238">
        <v>1</v>
      </c>
      <c r="AZ238">
        <v>19.39</v>
      </c>
      <c r="BA238">
        <v>19.39</v>
      </c>
      <c r="BB238">
        <v>1</v>
      </c>
      <c r="BC238">
        <v>1</v>
      </c>
      <c r="BD238" t="s">
        <v>6</v>
      </c>
      <c r="BE238" t="s">
        <v>6</v>
      </c>
      <c r="BF238" t="s">
        <v>6</v>
      </c>
      <c r="BG238" t="s">
        <v>6</v>
      </c>
      <c r="BH238">
        <v>0</v>
      </c>
      <c r="BI238">
        <v>4</v>
      </c>
      <c r="BJ238" t="s">
        <v>547</v>
      </c>
      <c r="BM238">
        <v>200001</v>
      </c>
      <c r="BN238">
        <v>0</v>
      </c>
      <c r="BO238" t="s">
        <v>6</v>
      </c>
      <c r="BP238">
        <v>0</v>
      </c>
      <c r="BQ238">
        <v>4</v>
      </c>
      <c r="BR238">
        <v>0</v>
      </c>
      <c r="BS238">
        <v>1</v>
      </c>
      <c r="BT238">
        <v>1</v>
      </c>
      <c r="BU238">
        <v>1</v>
      </c>
      <c r="BV238">
        <v>1</v>
      </c>
      <c r="BW238">
        <v>1</v>
      </c>
      <c r="BX238">
        <v>1</v>
      </c>
      <c r="BY238" t="s">
        <v>6</v>
      </c>
      <c r="BZ238">
        <v>65</v>
      </c>
      <c r="CA238">
        <v>40</v>
      </c>
      <c r="CE238">
        <v>0</v>
      </c>
      <c r="CF238">
        <v>0</v>
      </c>
      <c r="CG238">
        <v>0</v>
      </c>
      <c r="CM238">
        <v>0</v>
      </c>
      <c r="CN238" t="s">
        <v>538</v>
      </c>
      <c r="CO238">
        <v>0</v>
      </c>
      <c r="CP238">
        <f>(P238+Q238+S238)</f>
        <v>128.71</v>
      </c>
      <c r="CQ238">
        <f>AC238*BC238</f>
        <v>0</v>
      </c>
      <c r="CR238">
        <f>AD238*BB238</f>
        <v>0</v>
      </c>
      <c r="CS238">
        <f>AE238*BS238</f>
        <v>0</v>
      </c>
      <c r="CT238">
        <f>AF238*BA238</f>
        <v>2574.2163999999998</v>
      </c>
      <c r="CU238">
        <f t="shared" si="218"/>
        <v>0</v>
      </c>
      <c r="CV238">
        <f t="shared" si="218"/>
        <v>10.368000000000002</v>
      </c>
      <c r="CW238">
        <f t="shared" si="218"/>
        <v>0</v>
      </c>
      <c r="CX238">
        <f t="shared" si="218"/>
        <v>0</v>
      </c>
      <c r="CY238">
        <f>(((S238+R238)*AT238)/100)</f>
        <v>83.66149999999999</v>
      </c>
      <c r="CZ238">
        <f>(((S238+R238)*AU238)/100)</f>
        <v>51.484000000000009</v>
      </c>
      <c r="DC238" t="s">
        <v>6</v>
      </c>
      <c r="DD238" t="s">
        <v>6</v>
      </c>
      <c r="DE238" t="s">
        <v>6</v>
      </c>
      <c r="DF238" t="s">
        <v>6</v>
      </c>
      <c r="DG238" t="s">
        <v>228</v>
      </c>
      <c r="DH238" t="s">
        <v>6</v>
      </c>
      <c r="DI238" t="s">
        <v>228</v>
      </c>
      <c r="DJ238" t="s">
        <v>6</v>
      </c>
      <c r="DK238" t="s">
        <v>6</v>
      </c>
      <c r="DL238" t="s">
        <v>6</v>
      </c>
      <c r="DM238" t="s">
        <v>6</v>
      </c>
      <c r="DN238">
        <v>0</v>
      </c>
      <c r="DO238">
        <v>0</v>
      </c>
      <c r="DP238">
        <v>1</v>
      </c>
      <c r="DQ238">
        <v>1</v>
      </c>
      <c r="DU238">
        <v>1013</v>
      </c>
      <c r="DV238" t="s">
        <v>546</v>
      </c>
      <c r="DW238" t="s">
        <v>546</v>
      </c>
      <c r="DX238">
        <v>1</v>
      </c>
      <c r="EE238">
        <v>16510412</v>
      </c>
      <c r="EF238">
        <v>4</v>
      </c>
      <c r="EG238" t="s">
        <v>539</v>
      </c>
      <c r="EH238">
        <v>0</v>
      </c>
      <c r="EI238" t="s">
        <v>6</v>
      </c>
      <c r="EJ238">
        <v>4</v>
      </c>
      <c r="EK238">
        <v>200001</v>
      </c>
      <c r="EL238" t="s">
        <v>540</v>
      </c>
      <c r="EM238" t="s">
        <v>541</v>
      </c>
      <c r="EO238" t="s">
        <v>542</v>
      </c>
      <c r="EQ238">
        <v>131072</v>
      </c>
      <c r="ER238">
        <v>165.95</v>
      </c>
      <c r="ES238">
        <v>0</v>
      </c>
      <c r="ET238">
        <v>0</v>
      </c>
      <c r="EU238">
        <v>0</v>
      </c>
      <c r="EV238">
        <v>165.95</v>
      </c>
      <c r="EW238">
        <v>12.96</v>
      </c>
      <c r="EX238">
        <v>0</v>
      </c>
      <c r="EY238">
        <v>0</v>
      </c>
      <c r="FQ238">
        <v>0</v>
      </c>
      <c r="FR238">
        <f>ROUND(IF(AND(BH238=3,BI238=3),P238,0),2)</f>
        <v>0</v>
      </c>
      <c r="FS238">
        <v>0</v>
      </c>
      <c r="FX238">
        <v>65</v>
      </c>
      <c r="FY238">
        <v>40</v>
      </c>
      <c r="GA238" t="s">
        <v>6</v>
      </c>
      <c r="GD238">
        <v>0</v>
      </c>
      <c r="GF238">
        <v>-931447527</v>
      </c>
      <c r="GG238">
        <v>1</v>
      </c>
      <c r="GH238">
        <v>1</v>
      </c>
      <c r="GI238">
        <v>4</v>
      </c>
      <c r="GJ238">
        <v>0</v>
      </c>
      <c r="GK238">
        <f>ROUND(R238*(R12)/100,2)</f>
        <v>0</v>
      </c>
      <c r="GL238">
        <f>ROUND(IF(AND(BH238=3,BI238=3,FS238&lt;&gt;0),P238,0),2)</f>
        <v>0</v>
      </c>
      <c r="GM238">
        <f>ROUND(O238+X238+Y238+GK238,2)+GX238</f>
        <v>263.85000000000002</v>
      </c>
      <c r="GN238">
        <f>IF(OR(BI238=0,BI238=1),ROUND(O238+X238+Y238+GK238,2),0)</f>
        <v>0</v>
      </c>
      <c r="GO238">
        <f>IF(BI238=2,ROUND(O238+X238+Y238+GK238,2),0)</f>
        <v>0</v>
      </c>
      <c r="GP238">
        <f>IF(BI238=4,ROUND(O238+X238+Y238+GK238,2)+GX238,0)</f>
        <v>263.85000000000002</v>
      </c>
      <c r="GR238">
        <v>0</v>
      </c>
      <c r="GS238">
        <v>3</v>
      </c>
      <c r="GT238">
        <v>0</v>
      </c>
      <c r="GU238" t="s">
        <v>6</v>
      </c>
      <c r="GV238">
        <f>ROUND((GT238),2)</f>
        <v>0</v>
      </c>
      <c r="GW238">
        <v>1</v>
      </c>
      <c r="GX238">
        <f>ROUND(HC238*I238,2)</f>
        <v>0</v>
      </c>
      <c r="HA238">
        <v>0</v>
      </c>
      <c r="HB238">
        <v>0</v>
      </c>
      <c r="HC238">
        <f>GV238*GW238</f>
        <v>0</v>
      </c>
      <c r="IK238">
        <v>0</v>
      </c>
    </row>
    <row r="239" spans="1:245" x14ac:dyDescent="0.2">
      <c r="A239">
        <v>17</v>
      </c>
      <c r="B239">
        <v>1</v>
      </c>
      <c r="C239">
        <f>ROW(SmtRes!A337)</f>
        <v>337</v>
      </c>
      <c r="D239">
        <f>ROW(EtalonRes!A321)</f>
        <v>321</v>
      </c>
      <c r="E239" t="s">
        <v>548</v>
      </c>
      <c r="F239" t="s">
        <v>549</v>
      </c>
      <c r="G239" t="s">
        <v>550</v>
      </c>
      <c r="H239" t="s">
        <v>366</v>
      </c>
      <c r="I239">
        <v>29</v>
      </c>
      <c r="J239">
        <v>0</v>
      </c>
      <c r="O239">
        <f>ROUND(CP239,2)</f>
        <v>7028.88</v>
      </c>
      <c r="P239">
        <f>ROUND(CQ239*I239,2)</f>
        <v>0</v>
      </c>
      <c r="Q239">
        <f>ROUND(CR239*I239,2)</f>
        <v>0</v>
      </c>
      <c r="R239">
        <f>ROUND(CS239*I239,2)</f>
        <v>0</v>
      </c>
      <c r="S239">
        <f>ROUND(CT239*I239,2)</f>
        <v>7028.88</v>
      </c>
      <c r="T239">
        <f>ROUND(CU239*I239,2)</f>
        <v>0</v>
      </c>
      <c r="U239">
        <f>CV239*I239</f>
        <v>28.303999999999998</v>
      </c>
      <c r="V239">
        <f>CW239*I239</f>
        <v>0</v>
      </c>
      <c r="W239">
        <f>ROUND(CX239*I239,2)</f>
        <v>0</v>
      </c>
      <c r="X239">
        <f t="shared" si="217"/>
        <v>4568.7700000000004</v>
      </c>
      <c r="Y239">
        <f t="shared" si="217"/>
        <v>2811.55</v>
      </c>
      <c r="AA239">
        <v>16802145</v>
      </c>
      <c r="AB239">
        <f>ROUND((AC239+AD239+AF239),2)</f>
        <v>12.5</v>
      </c>
      <c r="AC239">
        <f>ROUND((ES239),2)</f>
        <v>0</v>
      </c>
      <c r="AD239">
        <f>ROUND((((ET239)-(EU239))+AE239),2)</f>
        <v>0</v>
      </c>
      <c r="AE239">
        <f>ROUND((EU239),2)</f>
        <v>0</v>
      </c>
      <c r="AF239">
        <f>ROUND(((EV239*0.8)),2)</f>
        <v>12.5</v>
      </c>
      <c r="AG239">
        <f>ROUND((AP239),2)</f>
        <v>0</v>
      </c>
      <c r="AH239">
        <f>((EW239*0.8))</f>
        <v>0.97599999999999998</v>
      </c>
      <c r="AI239">
        <f>(EX239)</f>
        <v>0</v>
      </c>
      <c r="AJ239">
        <f>(AS239)</f>
        <v>0</v>
      </c>
      <c r="AK239">
        <v>15.62</v>
      </c>
      <c r="AL239">
        <v>0</v>
      </c>
      <c r="AM239">
        <v>0</v>
      </c>
      <c r="AN239">
        <v>0</v>
      </c>
      <c r="AO239">
        <v>15.62</v>
      </c>
      <c r="AP239">
        <v>0</v>
      </c>
      <c r="AQ239">
        <v>1.22</v>
      </c>
      <c r="AR239">
        <v>0</v>
      </c>
      <c r="AS239">
        <v>0</v>
      </c>
      <c r="AT239">
        <v>65</v>
      </c>
      <c r="AU239">
        <v>40</v>
      </c>
      <c r="AV239">
        <v>1</v>
      </c>
      <c r="AW239">
        <v>1</v>
      </c>
      <c r="AZ239">
        <v>19.39</v>
      </c>
      <c r="BA239">
        <v>19.39</v>
      </c>
      <c r="BB239">
        <v>1</v>
      </c>
      <c r="BC239">
        <v>1</v>
      </c>
      <c r="BD239" t="s">
        <v>6</v>
      </c>
      <c r="BE239" t="s">
        <v>6</v>
      </c>
      <c r="BF239" t="s">
        <v>6</v>
      </c>
      <c r="BG239" t="s">
        <v>6</v>
      </c>
      <c r="BH239">
        <v>0</v>
      </c>
      <c r="BI239">
        <v>4</v>
      </c>
      <c r="BJ239" t="s">
        <v>551</v>
      </c>
      <c r="BM239">
        <v>200001</v>
      </c>
      <c r="BN239">
        <v>0</v>
      </c>
      <c r="BO239" t="s">
        <v>6</v>
      </c>
      <c r="BP239">
        <v>0</v>
      </c>
      <c r="BQ239">
        <v>4</v>
      </c>
      <c r="BR239">
        <v>0</v>
      </c>
      <c r="BS239">
        <v>1</v>
      </c>
      <c r="BT239">
        <v>1</v>
      </c>
      <c r="BU239">
        <v>1</v>
      </c>
      <c r="BV239">
        <v>1</v>
      </c>
      <c r="BW239">
        <v>1</v>
      </c>
      <c r="BX239">
        <v>1</v>
      </c>
      <c r="BY239" t="s">
        <v>6</v>
      </c>
      <c r="BZ239">
        <v>65</v>
      </c>
      <c r="CA239">
        <v>40</v>
      </c>
      <c r="CE239">
        <v>0</v>
      </c>
      <c r="CF239">
        <v>0</v>
      </c>
      <c r="CG239">
        <v>0</v>
      </c>
      <c r="CM239">
        <v>0</v>
      </c>
      <c r="CN239" t="s">
        <v>538</v>
      </c>
      <c r="CO239">
        <v>0</v>
      </c>
      <c r="CP239">
        <f>(P239+Q239+S239)</f>
        <v>7028.88</v>
      </c>
      <c r="CQ239">
        <f>AC239*BC239</f>
        <v>0</v>
      </c>
      <c r="CR239">
        <f>AD239*BB239</f>
        <v>0</v>
      </c>
      <c r="CS239">
        <f>AE239*BS239</f>
        <v>0</v>
      </c>
      <c r="CT239">
        <f>AF239*BA239</f>
        <v>242.375</v>
      </c>
      <c r="CU239">
        <f t="shared" si="218"/>
        <v>0</v>
      </c>
      <c r="CV239">
        <f t="shared" si="218"/>
        <v>0.97599999999999998</v>
      </c>
      <c r="CW239">
        <f t="shared" si="218"/>
        <v>0</v>
      </c>
      <c r="CX239">
        <f t="shared" si="218"/>
        <v>0</v>
      </c>
      <c r="CY239">
        <f>(((S239+R239)*AT239)/100)</f>
        <v>4568.7719999999999</v>
      </c>
      <c r="CZ239">
        <f>(((S239+R239)*AU239)/100)</f>
        <v>2811.5520000000001</v>
      </c>
      <c r="DC239" t="s">
        <v>6</v>
      </c>
      <c r="DD239" t="s">
        <v>6</v>
      </c>
      <c r="DE239" t="s">
        <v>6</v>
      </c>
      <c r="DF239" t="s">
        <v>6</v>
      </c>
      <c r="DG239" t="s">
        <v>228</v>
      </c>
      <c r="DH239" t="s">
        <v>6</v>
      </c>
      <c r="DI239" t="s">
        <v>228</v>
      </c>
      <c r="DJ239" t="s">
        <v>6</v>
      </c>
      <c r="DK239" t="s">
        <v>6</v>
      </c>
      <c r="DL239" t="s">
        <v>6</v>
      </c>
      <c r="DM239" t="s">
        <v>6</v>
      </c>
      <c r="DN239">
        <v>0</v>
      </c>
      <c r="DO239">
        <v>0</v>
      </c>
      <c r="DP239">
        <v>1</v>
      </c>
      <c r="DQ239">
        <v>1</v>
      </c>
      <c r="DU239">
        <v>1013</v>
      </c>
      <c r="DV239" t="s">
        <v>366</v>
      </c>
      <c r="DW239" t="s">
        <v>366</v>
      </c>
      <c r="DX239">
        <v>1</v>
      </c>
      <c r="EE239">
        <v>16510412</v>
      </c>
      <c r="EF239">
        <v>4</v>
      </c>
      <c r="EG239" t="s">
        <v>539</v>
      </c>
      <c r="EH239">
        <v>0</v>
      </c>
      <c r="EI239" t="s">
        <v>6</v>
      </c>
      <c r="EJ239">
        <v>4</v>
      </c>
      <c r="EK239">
        <v>200001</v>
      </c>
      <c r="EL239" t="s">
        <v>540</v>
      </c>
      <c r="EM239" t="s">
        <v>541</v>
      </c>
      <c r="EO239" t="s">
        <v>542</v>
      </c>
      <c r="EQ239">
        <v>131072</v>
      </c>
      <c r="ER239">
        <v>15.62</v>
      </c>
      <c r="ES239">
        <v>0</v>
      </c>
      <c r="ET239">
        <v>0</v>
      </c>
      <c r="EU239">
        <v>0</v>
      </c>
      <c r="EV239">
        <v>15.62</v>
      </c>
      <c r="EW239">
        <v>1.22</v>
      </c>
      <c r="EX239">
        <v>0</v>
      </c>
      <c r="EY239">
        <v>0</v>
      </c>
      <c r="FQ239">
        <v>0</v>
      </c>
      <c r="FR239">
        <f>ROUND(IF(AND(BH239=3,BI239=3),P239,0),2)</f>
        <v>0</v>
      </c>
      <c r="FS239">
        <v>0</v>
      </c>
      <c r="FX239">
        <v>65</v>
      </c>
      <c r="FY239">
        <v>40</v>
      </c>
      <c r="GA239" t="s">
        <v>6</v>
      </c>
      <c r="GD239">
        <v>0</v>
      </c>
      <c r="GF239">
        <v>-829332442</v>
      </c>
      <c r="GG239">
        <v>1</v>
      </c>
      <c r="GH239">
        <v>1</v>
      </c>
      <c r="GI239">
        <v>4</v>
      </c>
      <c r="GJ239">
        <v>0</v>
      </c>
      <c r="GK239">
        <f>ROUND(R239*(R12)/100,2)</f>
        <v>0</v>
      </c>
      <c r="GL239">
        <f>ROUND(IF(AND(BH239=3,BI239=3,FS239&lt;&gt;0),P239,0),2)</f>
        <v>0</v>
      </c>
      <c r="GM239">
        <f>ROUND(O239+X239+Y239+GK239,2)+GX239</f>
        <v>14409.2</v>
      </c>
      <c r="GN239">
        <f>IF(OR(BI239=0,BI239=1),ROUND(O239+X239+Y239+GK239,2),0)</f>
        <v>0</v>
      </c>
      <c r="GO239">
        <f>IF(BI239=2,ROUND(O239+X239+Y239+GK239,2),0)</f>
        <v>0</v>
      </c>
      <c r="GP239">
        <f>IF(BI239=4,ROUND(O239+X239+Y239+GK239,2)+GX239,0)</f>
        <v>14409.2</v>
      </c>
      <c r="GR239">
        <v>0</v>
      </c>
      <c r="GS239">
        <v>3</v>
      </c>
      <c r="GT239">
        <v>0</v>
      </c>
      <c r="GU239" t="s">
        <v>6</v>
      </c>
      <c r="GV239">
        <f>ROUND((GT239),2)</f>
        <v>0</v>
      </c>
      <c r="GW239">
        <v>1</v>
      </c>
      <c r="GX239">
        <f>ROUND(HC239*I239,2)</f>
        <v>0</v>
      </c>
      <c r="HA239">
        <v>0</v>
      </c>
      <c r="HB239">
        <v>0</v>
      </c>
      <c r="HC239">
        <f>GV239*GW239</f>
        <v>0</v>
      </c>
      <c r="IK239">
        <v>0</v>
      </c>
    </row>
    <row r="240" spans="1:245" x14ac:dyDescent="0.2">
      <c r="A240">
        <v>17</v>
      </c>
      <c r="B240">
        <v>1</v>
      </c>
      <c r="C240">
        <f>ROW(SmtRes!A339)</f>
        <v>339</v>
      </c>
      <c r="D240">
        <f>ROW(EtalonRes!A323)</f>
        <v>323</v>
      </c>
      <c r="E240" t="s">
        <v>552</v>
      </c>
      <c r="F240" t="s">
        <v>553</v>
      </c>
      <c r="G240" t="s">
        <v>554</v>
      </c>
      <c r="H240" t="s">
        <v>555</v>
      </c>
      <c r="I240">
        <v>32</v>
      </c>
      <c r="J240">
        <v>0</v>
      </c>
      <c r="O240">
        <f>ROUND(CP240,2)</f>
        <v>17032.18</v>
      </c>
      <c r="P240">
        <f>ROUND(CQ240*I240,2)</f>
        <v>0</v>
      </c>
      <c r="Q240">
        <f>ROUND(CR240*I240,2)</f>
        <v>0</v>
      </c>
      <c r="R240">
        <f>ROUND(CS240*I240,2)</f>
        <v>0</v>
      </c>
      <c r="S240">
        <f>ROUND(CT240*I240,2)</f>
        <v>17032.18</v>
      </c>
      <c r="T240">
        <f>ROUND(CU240*I240,2)</f>
        <v>0</v>
      </c>
      <c r="U240">
        <f>CV240*I240</f>
        <v>72.448000000000008</v>
      </c>
      <c r="V240">
        <f>CW240*I240</f>
        <v>0</v>
      </c>
      <c r="W240">
        <f>ROUND(CX240*I240,2)</f>
        <v>0</v>
      </c>
      <c r="X240">
        <f t="shared" si="217"/>
        <v>11070.92</v>
      </c>
      <c r="Y240">
        <f t="shared" si="217"/>
        <v>6812.87</v>
      </c>
      <c r="AA240">
        <v>16802145</v>
      </c>
      <c r="AB240">
        <f>ROUND((AC240+AD240+AF240),2)</f>
        <v>27.45</v>
      </c>
      <c r="AC240">
        <f>ROUND((ES240),2)</f>
        <v>0</v>
      </c>
      <c r="AD240">
        <f>ROUND((((ET240)-(EU240))+AE240),2)</f>
        <v>0</v>
      </c>
      <c r="AE240">
        <f>ROUND((EU240),2)</f>
        <v>0</v>
      </c>
      <c r="AF240">
        <f>ROUND(((EV240*0.8)),2)</f>
        <v>27.45</v>
      </c>
      <c r="AG240">
        <f>ROUND((AP240),2)</f>
        <v>0</v>
      </c>
      <c r="AH240">
        <f>((EW240*0.8))</f>
        <v>2.2640000000000002</v>
      </c>
      <c r="AI240">
        <f>(EX240)</f>
        <v>0</v>
      </c>
      <c r="AJ240">
        <f>(AS240)</f>
        <v>0</v>
      </c>
      <c r="AK240">
        <v>34.31</v>
      </c>
      <c r="AL240">
        <v>0</v>
      </c>
      <c r="AM240">
        <v>0</v>
      </c>
      <c r="AN240">
        <v>0</v>
      </c>
      <c r="AO240">
        <v>34.31</v>
      </c>
      <c r="AP240">
        <v>0</v>
      </c>
      <c r="AQ240">
        <v>2.83</v>
      </c>
      <c r="AR240">
        <v>0</v>
      </c>
      <c r="AS240">
        <v>0</v>
      </c>
      <c r="AT240">
        <v>65</v>
      </c>
      <c r="AU240">
        <v>40</v>
      </c>
      <c r="AV240">
        <v>1</v>
      </c>
      <c r="AW240">
        <v>1</v>
      </c>
      <c r="AZ240">
        <v>19.39</v>
      </c>
      <c r="BA240">
        <v>19.39</v>
      </c>
      <c r="BB240">
        <v>1</v>
      </c>
      <c r="BC240">
        <v>1</v>
      </c>
      <c r="BD240" t="s">
        <v>6</v>
      </c>
      <c r="BE240" t="s">
        <v>6</v>
      </c>
      <c r="BF240" t="s">
        <v>6</v>
      </c>
      <c r="BG240" t="s">
        <v>6</v>
      </c>
      <c r="BH240">
        <v>0</v>
      </c>
      <c r="BI240">
        <v>4</v>
      </c>
      <c r="BJ240" t="s">
        <v>556</v>
      </c>
      <c r="BM240">
        <v>200001</v>
      </c>
      <c r="BN240">
        <v>0</v>
      </c>
      <c r="BO240" t="s">
        <v>6</v>
      </c>
      <c r="BP240">
        <v>0</v>
      </c>
      <c r="BQ240">
        <v>4</v>
      </c>
      <c r="BR240">
        <v>0</v>
      </c>
      <c r="BS240">
        <v>1</v>
      </c>
      <c r="BT240">
        <v>1</v>
      </c>
      <c r="BU240">
        <v>1</v>
      </c>
      <c r="BV240">
        <v>1</v>
      </c>
      <c r="BW240">
        <v>1</v>
      </c>
      <c r="BX240">
        <v>1</v>
      </c>
      <c r="BY240" t="s">
        <v>6</v>
      </c>
      <c r="BZ240">
        <v>65</v>
      </c>
      <c r="CA240">
        <v>40</v>
      </c>
      <c r="CE240">
        <v>0</v>
      </c>
      <c r="CF240">
        <v>0</v>
      </c>
      <c r="CG240">
        <v>0</v>
      </c>
      <c r="CM240">
        <v>0</v>
      </c>
      <c r="CN240" t="s">
        <v>538</v>
      </c>
      <c r="CO240">
        <v>0</v>
      </c>
      <c r="CP240">
        <f>(P240+Q240+S240)</f>
        <v>17032.18</v>
      </c>
      <c r="CQ240">
        <f>AC240*BC240</f>
        <v>0</v>
      </c>
      <c r="CR240">
        <f>AD240*BB240</f>
        <v>0</v>
      </c>
      <c r="CS240">
        <f>AE240*BS240</f>
        <v>0</v>
      </c>
      <c r="CT240">
        <f>AF240*BA240</f>
        <v>532.25549999999998</v>
      </c>
      <c r="CU240">
        <f t="shared" si="218"/>
        <v>0</v>
      </c>
      <c r="CV240">
        <f t="shared" si="218"/>
        <v>2.2640000000000002</v>
      </c>
      <c r="CW240">
        <f t="shared" si="218"/>
        <v>0</v>
      </c>
      <c r="CX240">
        <f t="shared" si="218"/>
        <v>0</v>
      </c>
      <c r="CY240">
        <f>(((S240+R240)*AT240)/100)</f>
        <v>11070.916999999999</v>
      </c>
      <c r="CZ240">
        <f>(((S240+R240)*AU240)/100)</f>
        <v>6812.8719999999994</v>
      </c>
      <c r="DC240" t="s">
        <v>6</v>
      </c>
      <c r="DD240" t="s">
        <v>6</v>
      </c>
      <c r="DE240" t="s">
        <v>6</v>
      </c>
      <c r="DF240" t="s">
        <v>6</v>
      </c>
      <c r="DG240" t="s">
        <v>228</v>
      </c>
      <c r="DH240" t="s">
        <v>6</v>
      </c>
      <c r="DI240" t="s">
        <v>228</v>
      </c>
      <c r="DJ240" t="s">
        <v>6</v>
      </c>
      <c r="DK240" t="s">
        <v>6</v>
      </c>
      <c r="DL240" t="s">
        <v>6</v>
      </c>
      <c r="DM240" t="s">
        <v>6</v>
      </c>
      <c r="DN240">
        <v>0</v>
      </c>
      <c r="DO240">
        <v>0</v>
      </c>
      <c r="DP240">
        <v>1</v>
      </c>
      <c r="DQ240">
        <v>1</v>
      </c>
      <c r="DU240">
        <v>1013</v>
      </c>
      <c r="DV240" t="s">
        <v>555</v>
      </c>
      <c r="DW240" t="s">
        <v>555</v>
      </c>
      <c r="DX240">
        <v>1</v>
      </c>
      <c r="EE240">
        <v>16510412</v>
      </c>
      <c r="EF240">
        <v>4</v>
      </c>
      <c r="EG240" t="s">
        <v>539</v>
      </c>
      <c r="EH240">
        <v>0</v>
      </c>
      <c r="EI240" t="s">
        <v>6</v>
      </c>
      <c r="EJ240">
        <v>4</v>
      </c>
      <c r="EK240">
        <v>200001</v>
      </c>
      <c r="EL240" t="s">
        <v>540</v>
      </c>
      <c r="EM240" t="s">
        <v>541</v>
      </c>
      <c r="EO240" t="s">
        <v>542</v>
      </c>
      <c r="EQ240">
        <v>131072</v>
      </c>
      <c r="ER240">
        <v>34.31</v>
      </c>
      <c r="ES240">
        <v>0</v>
      </c>
      <c r="ET240">
        <v>0</v>
      </c>
      <c r="EU240">
        <v>0</v>
      </c>
      <c r="EV240">
        <v>34.31</v>
      </c>
      <c r="EW240">
        <v>2.83</v>
      </c>
      <c r="EX240">
        <v>0</v>
      </c>
      <c r="EY240">
        <v>0</v>
      </c>
      <c r="FQ240">
        <v>0</v>
      </c>
      <c r="FR240">
        <f>ROUND(IF(AND(BH240=3,BI240=3),P240,0),2)</f>
        <v>0</v>
      </c>
      <c r="FS240">
        <v>0</v>
      </c>
      <c r="FX240">
        <v>65</v>
      </c>
      <c r="FY240">
        <v>40</v>
      </c>
      <c r="GA240" t="s">
        <v>6</v>
      </c>
      <c r="GD240">
        <v>0</v>
      </c>
      <c r="GF240">
        <v>-181593394</v>
      </c>
      <c r="GG240">
        <v>1</v>
      </c>
      <c r="GH240">
        <v>1</v>
      </c>
      <c r="GI240">
        <v>4</v>
      </c>
      <c r="GJ240">
        <v>0</v>
      </c>
      <c r="GK240">
        <f>ROUND(R240*(R12)/100,2)</f>
        <v>0</v>
      </c>
      <c r="GL240">
        <f>ROUND(IF(AND(BH240=3,BI240=3,FS240&lt;&gt;0),P240,0),2)</f>
        <v>0</v>
      </c>
      <c r="GM240">
        <f>ROUND(O240+X240+Y240+GK240,2)+GX240</f>
        <v>34915.97</v>
      </c>
      <c r="GN240">
        <f>IF(OR(BI240=0,BI240=1),ROUND(O240+X240+Y240+GK240,2),0)</f>
        <v>0</v>
      </c>
      <c r="GO240">
        <f>IF(BI240=2,ROUND(O240+X240+Y240+GK240,2),0)</f>
        <v>0</v>
      </c>
      <c r="GP240">
        <f>IF(BI240=4,ROUND(O240+X240+Y240+GK240,2)+GX240,0)</f>
        <v>34915.97</v>
      </c>
      <c r="GR240">
        <v>0</v>
      </c>
      <c r="GS240">
        <v>3</v>
      </c>
      <c r="GT240">
        <v>0</v>
      </c>
      <c r="GU240" t="s">
        <v>6</v>
      </c>
      <c r="GV240">
        <f>ROUND((GT240),2)</f>
        <v>0</v>
      </c>
      <c r="GW240">
        <v>1</v>
      </c>
      <c r="GX240">
        <f>ROUND(HC240*I240,2)</f>
        <v>0</v>
      </c>
      <c r="HA240">
        <v>0</v>
      </c>
      <c r="HB240">
        <v>0</v>
      </c>
      <c r="HC240">
        <f>GV240*GW240</f>
        <v>0</v>
      </c>
      <c r="IK240">
        <v>0</v>
      </c>
    </row>
    <row r="242" spans="1:206" x14ac:dyDescent="0.2">
      <c r="A242" s="2">
        <v>51</v>
      </c>
      <c r="B242" s="2">
        <f>B233</f>
        <v>1</v>
      </c>
      <c r="C242" s="2">
        <f>A233</f>
        <v>4</v>
      </c>
      <c r="D242" s="2">
        <f>ROW(A233)</f>
        <v>233</v>
      </c>
      <c r="E242" s="2"/>
      <c r="F242" s="2" t="str">
        <f>IF(F233&lt;&gt;"",F233,"")</f>
        <v>Новый раздел</v>
      </c>
      <c r="G242" s="2" t="str">
        <f>IF(G233&lt;&gt;"",G233,"")</f>
        <v>4 Пусконаладочные работы</v>
      </c>
      <c r="H242" s="2">
        <v>0</v>
      </c>
      <c r="I242" s="2"/>
      <c r="J242" s="2"/>
      <c r="K242" s="2"/>
      <c r="L242" s="2"/>
      <c r="M242" s="2"/>
      <c r="N242" s="2"/>
      <c r="O242" s="2">
        <f t="shared" ref="O242:T242" si="219">ROUND(AB242,2)</f>
        <v>26224.94</v>
      </c>
      <c r="P242" s="2">
        <f t="shared" si="219"/>
        <v>0</v>
      </c>
      <c r="Q242" s="2">
        <f t="shared" si="219"/>
        <v>0</v>
      </c>
      <c r="R242" s="2">
        <f t="shared" si="219"/>
        <v>0</v>
      </c>
      <c r="S242" s="2">
        <f t="shared" si="219"/>
        <v>26224.94</v>
      </c>
      <c r="T242" s="2">
        <f t="shared" si="219"/>
        <v>0</v>
      </c>
      <c r="U242" s="2">
        <f>AH242</f>
        <v>109.4624</v>
      </c>
      <c r="V242" s="2">
        <f>AI242</f>
        <v>0</v>
      </c>
      <c r="W242" s="2">
        <f>ROUND(AJ242,2)</f>
        <v>0</v>
      </c>
      <c r="X242" s="2">
        <f>ROUND(AK242,2)</f>
        <v>17046.21</v>
      </c>
      <c r="Y242" s="2">
        <f>ROUND(AL242,2)</f>
        <v>10489.97</v>
      </c>
      <c r="Z242" s="2"/>
      <c r="AA242" s="2"/>
      <c r="AB242" s="2">
        <f>ROUND(SUMIF(AA237:AA240,"=16802145",O237:O240),2)</f>
        <v>26224.94</v>
      </c>
      <c r="AC242" s="2">
        <f>ROUND(SUMIF(AA237:AA240,"=16802145",P237:P240),2)</f>
        <v>0</v>
      </c>
      <c r="AD242" s="2">
        <f>ROUND(SUMIF(AA237:AA240,"=16802145",Q237:Q240),2)</f>
        <v>0</v>
      </c>
      <c r="AE242" s="2">
        <f>ROUND(SUMIF(AA237:AA240,"=16802145",R237:R240),2)</f>
        <v>0</v>
      </c>
      <c r="AF242" s="2">
        <f>ROUND(SUMIF(AA237:AA240,"=16802145",S237:S240),2)</f>
        <v>26224.94</v>
      </c>
      <c r="AG242" s="2">
        <f>ROUND(SUMIF(AA237:AA240,"=16802145",T237:T240),2)</f>
        <v>0</v>
      </c>
      <c r="AH242" s="2">
        <f>SUMIF(AA237:AA240,"=16802145",U237:U240)</f>
        <v>109.4624</v>
      </c>
      <c r="AI242" s="2">
        <f>SUMIF(AA237:AA240,"=16802145",V237:V240)</f>
        <v>0</v>
      </c>
      <c r="AJ242" s="2">
        <f>ROUND(SUMIF(AA237:AA240,"=16802145",W237:W240),2)</f>
        <v>0</v>
      </c>
      <c r="AK242" s="2">
        <f>ROUND(SUMIF(AA237:AA240,"=16802145",X237:X240),2)</f>
        <v>17046.21</v>
      </c>
      <c r="AL242" s="2">
        <f>ROUND(SUMIF(AA237:AA240,"=16802145",Y237:Y240),2)</f>
        <v>10489.97</v>
      </c>
      <c r="AM242" s="2"/>
      <c r="AN242" s="2"/>
      <c r="AO242" s="2">
        <f t="shared" ref="AO242:BC242" si="220">ROUND(BX242,2)</f>
        <v>0</v>
      </c>
      <c r="AP242" s="2">
        <f t="shared" si="220"/>
        <v>0</v>
      </c>
      <c r="AQ242" s="2">
        <f t="shared" si="220"/>
        <v>0</v>
      </c>
      <c r="AR242" s="2">
        <f t="shared" si="220"/>
        <v>53761.120000000003</v>
      </c>
      <c r="AS242" s="2">
        <f t="shared" si="220"/>
        <v>0</v>
      </c>
      <c r="AT242" s="2">
        <f t="shared" si="220"/>
        <v>0</v>
      </c>
      <c r="AU242" s="2">
        <f t="shared" si="220"/>
        <v>53761.120000000003</v>
      </c>
      <c r="AV242" s="2">
        <f t="shared" si="220"/>
        <v>0</v>
      </c>
      <c r="AW242" s="2">
        <f t="shared" si="220"/>
        <v>0</v>
      </c>
      <c r="AX242" s="2">
        <f t="shared" si="220"/>
        <v>0</v>
      </c>
      <c r="AY242" s="2">
        <f t="shared" si="220"/>
        <v>0</v>
      </c>
      <c r="AZ242" s="2">
        <f t="shared" si="220"/>
        <v>0</v>
      </c>
      <c r="BA242" s="2">
        <f t="shared" si="220"/>
        <v>0</v>
      </c>
      <c r="BB242" s="2">
        <f t="shared" si="220"/>
        <v>0</v>
      </c>
      <c r="BC242" s="2">
        <f t="shared" si="220"/>
        <v>0</v>
      </c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>
        <f>ROUND(SUMIF(AA237:AA240,"=16802145",FQ237:FQ240),2)</f>
        <v>0</v>
      </c>
      <c r="BY242" s="2">
        <f>ROUND(SUMIF(AA237:AA240,"=16802145",FR237:FR240),2)</f>
        <v>0</v>
      </c>
      <c r="BZ242" s="2">
        <f>ROUND(SUMIF(AA237:AA240,"=16802145",GL237:GL240),2)</f>
        <v>0</v>
      </c>
      <c r="CA242" s="2">
        <f>ROUND(SUMIF(AA237:AA240,"=16802145",GM237:GM240),2)</f>
        <v>53761.120000000003</v>
      </c>
      <c r="CB242" s="2">
        <f>ROUND(SUMIF(AA237:AA240,"=16802145",GN237:GN240),2)</f>
        <v>0</v>
      </c>
      <c r="CC242" s="2">
        <f>ROUND(SUMIF(AA237:AA240,"=16802145",GO237:GO240),2)</f>
        <v>0</v>
      </c>
      <c r="CD242" s="2">
        <f>ROUND(SUMIF(AA237:AA240,"=16802145",GP237:GP240),2)</f>
        <v>53761.120000000003</v>
      </c>
      <c r="CE242" s="2">
        <f>AC242-BX242</f>
        <v>0</v>
      </c>
      <c r="CF242" s="2">
        <f>AC242-BY242</f>
        <v>0</v>
      </c>
      <c r="CG242" s="2">
        <f>BX242-BZ242</f>
        <v>0</v>
      </c>
      <c r="CH242" s="2">
        <f>AC242-BX242-BY242+BZ242</f>
        <v>0</v>
      </c>
      <c r="CI242" s="2">
        <f>BY242-BZ242</f>
        <v>0</v>
      </c>
      <c r="CJ242" s="2">
        <f>ROUND(SUMIF(AA237:AA240,"=16802145",GX237:GX240),2)</f>
        <v>0</v>
      </c>
      <c r="CK242" s="2">
        <f>ROUND(SUMIF(AA237:AA240,"=16802145",GY237:GY240),2)</f>
        <v>0</v>
      </c>
      <c r="CL242" s="2">
        <f>ROUND(SUMIF(AA237:AA240,"=16802145",GZ237:GZ240),2)</f>
        <v>0</v>
      </c>
      <c r="CM242" s="2"/>
      <c r="CN242" s="2"/>
      <c r="CO242" s="2"/>
      <c r="CP242" s="2"/>
      <c r="CQ242" s="2"/>
      <c r="CR242" s="2"/>
      <c r="CS242" s="2"/>
      <c r="CT242" s="2"/>
      <c r="CU242" s="2"/>
      <c r="CV242" s="2"/>
      <c r="CW242" s="2"/>
      <c r="CX242" s="2"/>
      <c r="CY242" s="2"/>
      <c r="CZ242" s="2"/>
      <c r="DA242" s="2"/>
      <c r="DB242" s="2"/>
      <c r="DC242" s="2"/>
      <c r="DD242" s="2"/>
      <c r="DE242" s="2"/>
      <c r="DF242" s="2"/>
      <c r="DG242" s="3"/>
      <c r="DH242" s="3"/>
      <c r="DI242" s="3"/>
      <c r="DJ242" s="3"/>
      <c r="DK242" s="3"/>
      <c r="DL242" s="3"/>
      <c r="DM242" s="3"/>
      <c r="DN242" s="3"/>
      <c r="DO242" s="3"/>
      <c r="DP242" s="3"/>
      <c r="DQ242" s="3"/>
      <c r="DR242" s="3"/>
      <c r="DS242" s="3"/>
      <c r="DT242" s="3"/>
      <c r="DU242" s="3"/>
      <c r="DV242" s="3"/>
      <c r="DW242" s="3"/>
      <c r="DX242" s="3"/>
      <c r="DY242" s="3"/>
      <c r="DZ242" s="3"/>
      <c r="EA242" s="3"/>
      <c r="EB242" s="3"/>
      <c r="EC242" s="3"/>
      <c r="ED242" s="3"/>
      <c r="EE242" s="3"/>
      <c r="EF242" s="3"/>
      <c r="EG242" s="3"/>
      <c r="EH242" s="3"/>
      <c r="EI242" s="3"/>
      <c r="EJ242" s="3"/>
      <c r="EK242" s="3"/>
      <c r="EL242" s="3"/>
      <c r="EM242" s="3"/>
      <c r="EN242" s="3"/>
      <c r="EO242" s="3"/>
      <c r="EP242" s="3"/>
      <c r="EQ242" s="3"/>
      <c r="ER242" s="3"/>
      <c r="ES242" s="3"/>
      <c r="ET242" s="3"/>
      <c r="EU242" s="3"/>
      <c r="EV242" s="3"/>
      <c r="EW242" s="3"/>
      <c r="EX242" s="3"/>
      <c r="EY242" s="3"/>
      <c r="EZ242" s="3"/>
      <c r="FA242" s="3"/>
      <c r="FB242" s="3"/>
      <c r="FC242" s="3"/>
      <c r="FD242" s="3"/>
      <c r="FE242" s="3"/>
      <c r="FF242" s="3"/>
      <c r="FG242" s="3"/>
      <c r="FH242" s="3"/>
      <c r="FI242" s="3"/>
      <c r="FJ242" s="3"/>
      <c r="FK242" s="3"/>
      <c r="FL242" s="3"/>
      <c r="FM242" s="3"/>
      <c r="FN242" s="3"/>
      <c r="FO242" s="3"/>
      <c r="FP242" s="3"/>
      <c r="FQ242" s="3"/>
      <c r="FR242" s="3"/>
      <c r="FS242" s="3"/>
      <c r="FT242" s="3"/>
      <c r="FU242" s="3"/>
      <c r="FV242" s="3"/>
      <c r="FW242" s="3"/>
      <c r="FX242" s="3"/>
      <c r="FY242" s="3"/>
      <c r="FZ242" s="3"/>
      <c r="GA242" s="3"/>
      <c r="GB242" s="3"/>
      <c r="GC242" s="3"/>
      <c r="GD242" s="3"/>
      <c r="GE242" s="3"/>
      <c r="GF242" s="3"/>
      <c r="GG242" s="3"/>
      <c r="GH242" s="3"/>
      <c r="GI242" s="3"/>
      <c r="GJ242" s="3"/>
      <c r="GK242" s="3"/>
      <c r="GL242" s="3"/>
      <c r="GM242" s="3"/>
      <c r="GN242" s="3"/>
      <c r="GO242" s="3"/>
      <c r="GP242" s="3"/>
      <c r="GQ242" s="3"/>
      <c r="GR242" s="3"/>
      <c r="GS242" s="3"/>
      <c r="GT242" s="3"/>
      <c r="GU242" s="3"/>
      <c r="GV242" s="3"/>
      <c r="GW242" s="3"/>
      <c r="GX242" s="3">
        <v>0</v>
      </c>
    </row>
    <row r="244" spans="1:206" x14ac:dyDescent="0.2">
      <c r="A244" s="4">
        <v>50</v>
      </c>
      <c r="B244" s="4">
        <v>0</v>
      </c>
      <c r="C244" s="4">
        <v>0</v>
      </c>
      <c r="D244" s="4">
        <v>1</v>
      </c>
      <c r="E244" s="4">
        <v>201</v>
      </c>
      <c r="F244" s="4">
        <f>ROUND(Source!O242,O244)</f>
        <v>26224.94</v>
      </c>
      <c r="G244" s="4" t="s">
        <v>279</v>
      </c>
      <c r="H244" s="4" t="s">
        <v>280</v>
      </c>
      <c r="I244" s="4"/>
      <c r="J244" s="4"/>
      <c r="K244" s="4">
        <v>201</v>
      </c>
      <c r="L244" s="4">
        <v>1</v>
      </c>
      <c r="M244" s="4">
        <v>3</v>
      </c>
      <c r="N244" s="4" t="s">
        <v>6</v>
      </c>
      <c r="O244" s="4">
        <v>2</v>
      </c>
      <c r="P244" s="4"/>
      <c r="Q244" s="4"/>
      <c r="R244" s="4"/>
      <c r="S244" s="4"/>
      <c r="T244" s="4"/>
      <c r="U244" s="4"/>
      <c r="V244" s="4"/>
      <c r="W244" s="4"/>
    </row>
    <row r="245" spans="1:206" x14ac:dyDescent="0.2">
      <c r="A245" s="4">
        <v>50</v>
      </c>
      <c r="B245" s="4">
        <v>0</v>
      </c>
      <c r="C245" s="4">
        <v>0</v>
      </c>
      <c r="D245" s="4">
        <v>1</v>
      </c>
      <c r="E245" s="4">
        <v>202</v>
      </c>
      <c r="F245" s="4">
        <f>ROUND(Source!P242,O245)</f>
        <v>0</v>
      </c>
      <c r="G245" s="4" t="s">
        <v>281</v>
      </c>
      <c r="H245" s="4" t="s">
        <v>282</v>
      </c>
      <c r="I245" s="4"/>
      <c r="J245" s="4"/>
      <c r="K245" s="4">
        <v>202</v>
      </c>
      <c r="L245" s="4">
        <v>2</v>
      </c>
      <c r="M245" s="4">
        <v>3</v>
      </c>
      <c r="N245" s="4" t="s">
        <v>6</v>
      </c>
      <c r="O245" s="4">
        <v>2</v>
      </c>
      <c r="P245" s="4"/>
      <c r="Q245" s="4"/>
      <c r="R245" s="4"/>
      <c r="S245" s="4"/>
      <c r="T245" s="4"/>
      <c r="U245" s="4"/>
      <c r="V245" s="4"/>
      <c r="W245" s="4"/>
    </row>
    <row r="246" spans="1:206" x14ac:dyDescent="0.2">
      <c r="A246" s="4">
        <v>50</v>
      </c>
      <c r="B246" s="4">
        <v>0</v>
      </c>
      <c r="C246" s="4">
        <v>0</v>
      </c>
      <c r="D246" s="4">
        <v>1</v>
      </c>
      <c r="E246" s="4">
        <v>222</v>
      </c>
      <c r="F246" s="4">
        <f>ROUND(Source!AO242,O246)</f>
        <v>0</v>
      </c>
      <c r="G246" s="4" t="s">
        <v>283</v>
      </c>
      <c r="H246" s="4" t="s">
        <v>284</v>
      </c>
      <c r="I246" s="4"/>
      <c r="J246" s="4"/>
      <c r="K246" s="4">
        <v>222</v>
      </c>
      <c r="L246" s="4">
        <v>3</v>
      </c>
      <c r="M246" s="4">
        <v>3</v>
      </c>
      <c r="N246" s="4" t="s">
        <v>6</v>
      </c>
      <c r="O246" s="4">
        <v>2</v>
      </c>
      <c r="P246" s="4"/>
      <c r="Q246" s="4"/>
      <c r="R246" s="4"/>
      <c r="S246" s="4"/>
      <c r="T246" s="4"/>
      <c r="U246" s="4"/>
      <c r="V246" s="4"/>
      <c r="W246" s="4"/>
    </row>
    <row r="247" spans="1:206" x14ac:dyDescent="0.2">
      <c r="A247" s="4">
        <v>50</v>
      </c>
      <c r="B247" s="4">
        <v>0</v>
      </c>
      <c r="C247" s="4">
        <v>0</v>
      </c>
      <c r="D247" s="4">
        <v>1</v>
      </c>
      <c r="E247" s="4">
        <v>225</v>
      </c>
      <c r="F247" s="4">
        <f>ROUND(Source!AV242,O247)</f>
        <v>0</v>
      </c>
      <c r="G247" s="4" t="s">
        <v>285</v>
      </c>
      <c r="H247" s="4" t="s">
        <v>286</v>
      </c>
      <c r="I247" s="4"/>
      <c r="J247" s="4"/>
      <c r="K247" s="4">
        <v>225</v>
      </c>
      <c r="L247" s="4">
        <v>4</v>
      </c>
      <c r="M247" s="4">
        <v>3</v>
      </c>
      <c r="N247" s="4" t="s">
        <v>6</v>
      </c>
      <c r="O247" s="4">
        <v>2</v>
      </c>
      <c r="P247" s="4"/>
      <c r="Q247" s="4"/>
      <c r="R247" s="4"/>
      <c r="S247" s="4"/>
      <c r="T247" s="4"/>
      <c r="U247" s="4"/>
      <c r="V247" s="4"/>
      <c r="W247" s="4"/>
    </row>
    <row r="248" spans="1:206" x14ac:dyDescent="0.2">
      <c r="A248" s="4">
        <v>50</v>
      </c>
      <c r="B248" s="4">
        <v>0</v>
      </c>
      <c r="C248" s="4">
        <v>0</v>
      </c>
      <c r="D248" s="4">
        <v>1</v>
      </c>
      <c r="E248" s="4">
        <v>226</v>
      </c>
      <c r="F248" s="4">
        <f>ROUND(Source!AW242,O248)</f>
        <v>0</v>
      </c>
      <c r="G248" s="4" t="s">
        <v>287</v>
      </c>
      <c r="H248" s="4" t="s">
        <v>288</v>
      </c>
      <c r="I248" s="4"/>
      <c r="J248" s="4"/>
      <c r="K248" s="4">
        <v>226</v>
      </c>
      <c r="L248" s="4">
        <v>5</v>
      </c>
      <c r="M248" s="4">
        <v>3</v>
      </c>
      <c r="N248" s="4" t="s">
        <v>6</v>
      </c>
      <c r="O248" s="4">
        <v>2</v>
      </c>
      <c r="P248" s="4"/>
      <c r="Q248" s="4"/>
      <c r="R248" s="4"/>
      <c r="S248" s="4"/>
      <c r="T248" s="4"/>
      <c r="U248" s="4"/>
      <c r="V248" s="4"/>
      <c r="W248" s="4"/>
    </row>
    <row r="249" spans="1:206" x14ac:dyDescent="0.2">
      <c r="A249" s="4">
        <v>50</v>
      </c>
      <c r="B249" s="4">
        <v>0</v>
      </c>
      <c r="C249" s="4">
        <v>0</v>
      </c>
      <c r="D249" s="4">
        <v>1</v>
      </c>
      <c r="E249" s="4">
        <v>227</v>
      </c>
      <c r="F249" s="4">
        <f>ROUND(Source!AX242,O249)</f>
        <v>0</v>
      </c>
      <c r="G249" s="4" t="s">
        <v>289</v>
      </c>
      <c r="H249" s="4" t="s">
        <v>290</v>
      </c>
      <c r="I249" s="4"/>
      <c r="J249" s="4"/>
      <c r="K249" s="4">
        <v>227</v>
      </c>
      <c r="L249" s="4">
        <v>6</v>
      </c>
      <c r="M249" s="4">
        <v>3</v>
      </c>
      <c r="N249" s="4" t="s">
        <v>6</v>
      </c>
      <c r="O249" s="4">
        <v>2</v>
      </c>
      <c r="P249" s="4"/>
      <c r="Q249" s="4"/>
      <c r="R249" s="4"/>
      <c r="S249" s="4"/>
      <c r="T249" s="4"/>
      <c r="U249" s="4"/>
      <c r="V249" s="4"/>
      <c r="W249" s="4"/>
    </row>
    <row r="250" spans="1:206" x14ac:dyDescent="0.2">
      <c r="A250" s="4">
        <v>50</v>
      </c>
      <c r="B250" s="4">
        <v>0</v>
      </c>
      <c r="C250" s="4">
        <v>0</v>
      </c>
      <c r="D250" s="4">
        <v>1</v>
      </c>
      <c r="E250" s="4">
        <v>228</v>
      </c>
      <c r="F250" s="4">
        <f>ROUND(Source!AY242,O250)</f>
        <v>0</v>
      </c>
      <c r="G250" s="4" t="s">
        <v>291</v>
      </c>
      <c r="H250" s="4" t="s">
        <v>292</v>
      </c>
      <c r="I250" s="4"/>
      <c r="J250" s="4"/>
      <c r="K250" s="4">
        <v>228</v>
      </c>
      <c r="L250" s="4">
        <v>7</v>
      </c>
      <c r="M250" s="4">
        <v>3</v>
      </c>
      <c r="N250" s="4" t="s">
        <v>6</v>
      </c>
      <c r="O250" s="4">
        <v>2</v>
      </c>
      <c r="P250" s="4"/>
      <c r="Q250" s="4"/>
      <c r="R250" s="4"/>
      <c r="S250" s="4"/>
      <c r="T250" s="4"/>
      <c r="U250" s="4"/>
      <c r="V250" s="4"/>
      <c r="W250" s="4"/>
    </row>
    <row r="251" spans="1:206" x14ac:dyDescent="0.2">
      <c r="A251" s="4">
        <v>50</v>
      </c>
      <c r="B251" s="4">
        <v>0</v>
      </c>
      <c r="C251" s="4">
        <v>0</v>
      </c>
      <c r="D251" s="4">
        <v>1</v>
      </c>
      <c r="E251" s="4">
        <v>216</v>
      </c>
      <c r="F251" s="4">
        <f>ROUND(Source!AP242,O251)</f>
        <v>0</v>
      </c>
      <c r="G251" s="4" t="s">
        <v>293</v>
      </c>
      <c r="H251" s="4" t="s">
        <v>294</v>
      </c>
      <c r="I251" s="4"/>
      <c r="J251" s="4"/>
      <c r="K251" s="4">
        <v>216</v>
      </c>
      <c r="L251" s="4">
        <v>8</v>
      </c>
      <c r="M251" s="4">
        <v>3</v>
      </c>
      <c r="N251" s="4" t="s">
        <v>6</v>
      </c>
      <c r="O251" s="4">
        <v>2</v>
      </c>
      <c r="P251" s="4"/>
      <c r="Q251" s="4"/>
      <c r="R251" s="4"/>
      <c r="S251" s="4"/>
      <c r="T251" s="4"/>
      <c r="U251" s="4"/>
      <c r="V251" s="4"/>
      <c r="W251" s="4"/>
    </row>
    <row r="252" spans="1:206" x14ac:dyDescent="0.2">
      <c r="A252" s="4">
        <v>50</v>
      </c>
      <c r="B252" s="4">
        <v>0</v>
      </c>
      <c r="C252" s="4">
        <v>0</v>
      </c>
      <c r="D252" s="4">
        <v>1</v>
      </c>
      <c r="E252" s="4">
        <v>223</v>
      </c>
      <c r="F252" s="4">
        <f>ROUND(Source!AQ242,O252)</f>
        <v>0</v>
      </c>
      <c r="G252" s="4" t="s">
        <v>295</v>
      </c>
      <c r="H252" s="4" t="s">
        <v>296</v>
      </c>
      <c r="I252" s="4"/>
      <c r="J252" s="4"/>
      <c r="K252" s="4">
        <v>223</v>
      </c>
      <c r="L252" s="4">
        <v>9</v>
      </c>
      <c r="M252" s="4">
        <v>3</v>
      </c>
      <c r="N252" s="4" t="s">
        <v>6</v>
      </c>
      <c r="O252" s="4">
        <v>2</v>
      </c>
      <c r="P252" s="4"/>
      <c r="Q252" s="4"/>
      <c r="R252" s="4"/>
      <c r="S252" s="4"/>
      <c r="T252" s="4"/>
      <c r="U252" s="4"/>
      <c r="V252" s="4"/>
      <c r="W252" s="4"/>
    </row>
    <row r="253" spans="1:206" x14ac:dyDescent="0.2">
      <c r="A253" s="4">
        <v>50</v>
      </c>
      <c r="B253" s="4">
        <v>0</v>
      </c>
      <c r="C253" s="4">
        <v>0</v>
      </c>
      <c r="D253" s="4">
        <v>1</v>
      </c>
      <c r="E253" s="4">
        <v>229</v>
      </c>
      <c r="F253" s="4">
        <f>ROUND(Source!AZ242,O253)</f>
        <v>0</v>
      </c>
      <c r="G253" s="4" t="s">
        <v>297</v>
      </c>
      <c r="H253" s="4" t="s">
        <v>298</v>
      </c>
      <c r="I253" s="4"/>
      <c r="J253" s="4"/>
      <c r="K253" s="4">
        <v>229</v>
      </c>
      <c r="L253" s="4">
        <v>10</v>
      </c>
      <c r="M253" s="4">
        <v>3</v>
      </c>
      <c r="N253" s="4" t="s">
        <v>6</v>
      </c>
      <c r="O253" s="4">
        <v>2</v>
      </c>
      <c r="P253" s="4"/>
      <c r="Q253" s="4"/>
      <c r="R253" s="4"/>
      <c r="S253" s="4"/>
      <c r="T253" s="4"/>
      <c r="U253" s="4"/>
      <c r="V253" s="4"/>
      <c r="W253" s="4"/>
    </row>
    <row r="254" spans="1:206" x14ac:dyDescent="0.2">
      <c r="A254" s="4">
        <v>50</v>
      </c>
      <c r="B254" s="4">
        <v>0</v>
      </c>
      <c r="C254" s="4">
        <v>0</v>
      </c>
      <c r="D254" s="4">
        <v>1</v>
      </c>
      <c r="E254" s="4">
        <v>203</v>
      </c>
      <c r="F254" s="4">
        <f>ROUND(Source!Q242,O254)</f>
        <v>0</v>
      </c>
      <c r="G254" s="4" t="s">
        <v>299</v>
      </c>
      <c r="H254" s="4" t="s">
        <v>300</v>
      </c>
      <c r="I254" s="4"/>
      <c r="J254" s="4"/>
      <c r="K254" s="4">
        <v>203</v>
      </c>
      <c r="L254" s="4">
        <v>11</v>
      </c>
      <c r="M254" s="4">
        <v>3</v>
      </c>
      <c r="N254" s="4" t="s">
        <v>6</v>
      </c>
      <c r="O254" s="4">
        <v>2</v>
      </c>
      <c r="P254" s="4"/>
      <c r="Q254" s="4"/>
      <c r="R254" s="4"/>
      <c r="S254" s="4"/>
      <c r="T254" s="4"/>
      <c r="U254" s="4"/>
      <c r="V254" s="4"/>
      <c r="W254" s="4"/>
    </row>
    <row r="255" spans="1:206" x14ac:dyDescent="0.2">
      <c r="A255" s="4">
        <v>50</v>
      </c>
      <c r="B255" s="4">
        <v>0</v>
      </c>
      <c r="C255" s="4">
        <v>0</v>
      </c>
      <c r="D255" s="4">
        <v>1</v>
      </c>
      <c r="E255" s="4">
        <v>231</v>
      </c>
      <c r="F255" s="4">
        <f>ROUND(Source!BB242,O255)</f>
        <v>0</v>
      </c>
      <c r="G255" s="4" t="s">
        <v>301</v>
      </c>
      <c r="H255" s="4" t="s">
        <v>302</v>
      </c>
      <c r="I255" s="4"/>
      <c r="J255" s="4"/>
      <c r="K255" s="4">
        <v>231</v>
      </c>
      <c r="L255" s="4">
        <v>12</v>
      </c>
      <c r="M255" s="4">
        <v>3</v>
      </c>
      <c r="N255" s="4" t="s">
        <v>6</v>
      </c>
      <c r="O255" s="4">
        <v>2</v>
      </c>
      <c r="P255" s="4"/>
      <c r="Q255" s="4"/>
      <c r="R255" s="4"/>
      <c r="S255" s="4"/>
      <c r="T255" s="4"/>
      <c r="U255" s="4"/>
      <c r="V255" s="4"/>
      <c r="W255" s="4"/>
    </row>
    <row r="256" spans="1:206" x14ac:dyDescent="0.2">
      <c r="A256" s="4">
        <v>50</v>
      </c>
      <c r="B256" s="4">
        <v>0</v>
      </c>
      <c r="C256" s="4">
        <v>0</v>
      </c>
      <c r="D256" s="4">
        <v>1</v>
      </c>
      <c r="E256" s="4">
        <v>204</v>
      </c>
      <c r="F256" s="4">
        <f>ROUND(Source!R242,O256)</f>
        <v>0</v>
      </c>
      <c r="G256" s="4" t="s">
        <v>303</v>
      </c>
      <c r="H256" s="4" t="s">
        <v>304</v>
      </c>
      <c r="I256" s="4"/>
      <c r="J256" s="4"/>
      <c r="K256" s="4">
        <v>204</v>
      </c>
      <c r="L256" s="4">
        <v>13</v>
      </c>
      <c r="M256" s="4">
        <v>3</v>
      </c>
      <c r="N256" s="4" t="s">
        <v>6</v>
      </c>
      <c r="O256" s="4">
        <v>2</v>
      </c>
      <c r="P256" s="4"/>
      <c r="Q256" s="4"/>
      <c r="R256" s="4"/>
      <c r="S256" s="4"/>
      <c r="T256" s="4"/>
      <c r="U256" s="4"/>
      <c r="V256" s="4"/>
      <c r="W256" s="4"/>
    </row>
    <row r="257" spans="1:88" x14ac:dyDescent="0.2">
      <c r="A257" s="4">
        <v>50</v>
      </c>
      <c r="B257" s="4">
        <v>0</v>
      </c>
      <c r="C257" s="4">
        <v>0</v>
      </c>
      <c r="D257" s="4">
        <v>1</v>
      </c>
      <c r="E257" s="4">
        <v>205</v>
      </c>
      <c r="F257" s="4">
        <f>ROUND(Source!S242,O257)</f>
        <v>26224.94</v>
      </c>
      <c r="G257" s="4" t="s">
        <v>305</v>
      </c>
      <c r="H257" s="4" t="s">
        <v>306</v>
      </c>
      <c r="I257" s="4"/>
      <c r="J257" s="4"/>
      <c r="K257" s="4">
        <v>205</v>
      </c>
      <c r="L257" s="4">
        <v>14</v>
      </c>
      <c r="M257" s="4">
        <v>3</v>
      </c>
      <c r="N257" s="4" t="s">
        <v>6</v>
      </c>
      <c r="O257" s="4">
        <v>2</v>
      </c>
      <c r="P257" s="4"/>
      <c r="Q257" s="4"/>
      <c r="R257" s="4"/>
      <c r="S257" s="4"/>
      <c r="T257" s="4"/>
      <c r="U257" s="4"/>
      <c r="V257" s="4"/>
      <c r="W257" s="4"/>
    </row>
    <row r="258" spans="1:88" x14ac:dyDescent="0.2">
      <c r="A258" s="4">
        <v>50</v>
      </c>
      <c r="B258" s="4">
        <v>0</v>
      </c>
      <c r="C258" s="4">
        <v>0</v>
      </c>
      <c r="D258" s="4">
        <v>1</v>
      </c>
      <c r="E258" s="4">
        <v>232</v>
      </c>
      <c r="F258" s="4">
        <f>ROUND(Source!BC242,O258)</f>
        <v>0</v>
      </c>
      <c r="G258" s="4" t="s">
        <v>307</v>
      </c>
      <c r="H258" s="4" t="s">
        <v>308</v>
      </c>
      <c r="I258" s="4"/>
      <c r="J258" s="4"/>
      <c r="K258" s="4">
        <v>232</v>
      </c>
      <c r="L258" s="4">
        <v>15</v>
      </c>
      <c r="M258" s="4">
        <v>3</v>
      </c>
      <c r="N258" s="4" t="s">
        <v>6</v>
      </c>
      <c r="O258" s="4">
        <v>2</v>
      </c>
      <c r="P258" s="4"/>
      <c r="Q258" s="4"/>
      <c r="R258" s="4"/>
      <c r="S258" s="4"/>
      <c r="T258" s="4"/>
      <c r="U258" s="4"/>
      <c r="V258" s="4"/>
      <c r="W258" s="4"/>
    </row>
    <row r="259" spans="1:88" x14ac:dyDescent="0.2">
      <c r="A259" s="4">
        <v>50</v>
      </c>
      <c r="B259" s="4">
        <v>0</v>
      </c>
      <c r="C259" s="4">
        <v>0</v>
      </c>
      <c r="D259" s="4">
        <v>1</v>
      </c>
      <c r="E259" s="4">
        <v>214</v>
      </c>
      <c r="F259" s="4">
        <f>ROUND(Source!AS242,O259)</f>
        <v>0</v>
      </c>
      <c r="G259" s="4" t="s">
        <v>309</v>
      </c>
      <c r="H259" s="4" t="s">
        <v>310</v>
      </c>
      <c r="I259" s="4"/>
      <c r="J259" s="4"/>
      <c r="K259" s="4">
        <v>214</v>
      </c>
      <c r="L259" s="4">
        <v>16</v>
      </c>
      <c r="M259" s="4">
        <v>3</v>
      </c>
      <c r="N259" s="4" t="s">
        <v>6</v>
      </c>
      <c r="O259" s="4">
        <v>2</v>
      </c>
      <c r="P259" s="4"/>
      <c r="Q259" s="4"/>
      <c r="R259" s="4"/>
      <c r="S259" s="4"/>
      <c r="T259" s="4"/>
      <c r="U259" s="4"/>
      <c r="V259" s="4"/>
      <c r="W259" s="4"/>
    </row>
    <row r="260" spans="1:88" x14ac:dyDescent="0.2">
      <c r="A260" s="4">
        <v>50</v>
      </c>
      <c r="B260" s="4">
        <v>0</v>
      </c>
      <c r="C260" s="4">
        <v>0</v>
      </c>
      <c r="D260" s="4">
        <v>1</v>
      </c>
      <c r="E260" s="4">
        <v>215</v>
      </c>
      <c r="F260" s="4">
        <f>ROUND(Source!AT242,O260)</f>
        <v>0</v>
      </c>
      <c r="G260" s="4" t="s">
        <v>311</v>
      </c>
      <c r="H260" s="4" t="s">
        <v>312</v>
      </c>
      <c r="I260" s="4"/>
      <c r="J260" s="4"/>
      <c r="K260" s="4">
        <v>215</v>
      </c>
      <c r="L260" s="4">
        <v>17</v>
      </c>
      <c r="M260" s="4">
        <v>3</v>
      </c>
      <c r="N260" s="4" t="s">
        <v>6</v>
      </c>
      <c r="O260" s="4">
        <v>2</v>
      </c>
      <c r="P260" s="4"/>
      <c r="Q260" s="4"/>
      <c r="R260" s="4"/>
      <c r="S260" s="4"/>
      <c r="T260" s="4"/>
      <c r="U260" s="4"/>
      <c r="V260" s="4"/>
      <c r="W260" s="4"/>
    </row>
    <row r="261" spans="1:88" x14ac:dyDescent="0.2">
      <c r="A261" s="4">
        <v>50</v>
      </c>
      <c r="B261" s="4">
        <v>0</v>
      </c>
      <c r="C261" s="4">
        <v>0</v>
      </c>
      <c r="D261" s="4">
        <v>1</v>
      </c>
      <c r="E261" s="4">
        <v>217</v>
      </c>
      <c r="F261" s="4">
        <f>ROUND(Source!AU242,O261)</f>
        <v>53761.120000000003</v>
      </c>
      <c r="G261" s="4" t="s">
        <v>313</v>
      </c>
      <c r="H261" s="4" t="s">
        <v>314</v>
      </c>
      <c r="I261" s="4"/>
      <c r="J261" s="4"/>
      <c r="K261" s="4">
        <v>217</v>
      </c>
      <c r="L261" s="4">
        <v>18</v>
      </c>
      <c r="M261" s="4">
        <v>3</v>
      </c>
      <c r="N261" s="4" t="s">
        <v>6</v>
      </c>
      <c r="O261" s="4">
        <v>2</v>
      </c>
      <c r="P261" s="4"/>
      <c r="Q261" s="4"/>
      <c r="R261" s="4"/>
      <c r="S261" s="4"/>
      <c r="T261" s="4"/>
      <c r="U261" s="4"/>
      <c r="V261" s="4"/>
      <c r="W261" s="4"/>
    </row>
    <row r="262" spans="1:88" x14ac:dyDescent="0.2">
      <c r="A262" s="4">
        <v>50</v>
      </c>
      <c r="B262" s="4">
        <v>0</v>
      </c>
      <c r="C262" s="4">
        <v>0</v>
      </c>
      <c r="D262" s="4">
        <v>1</v>
      </c>
      <c r="E262" s="4">
        <v>230</v>
      </c>
      <c r="F262" s="4">
        <f>ROUND(Source!BA242,O262)</f>
        <v>0</v>
      </c>
      <c r="G262" s="4" t="s">
        <v>315</v>
      </c>
      <c r="H262" s="4" t="s">
        <v>316</v>
      </c>
      <c r="I262" s="4"/>
      <c r="J262" s="4"/>
      <c r="K262" s="4">
        <v>230</v>
      </c>
      <c r="L262" s="4">
        <v>19</v>
      </c>
      <c r="M262" s="4">
        <v>3</v>
      </c>
      <c r="N262" s="4" t="s">
        <v>6</v>
      </c>
      <c r="O262" s="4">
        <v>2</v>
      </c>
      <c r="P262" s="4"/>
      <c r="Q262" s="4"/>
      <c r="R262" s="4"/>
      <c r="S262" s="4"/>
      <c r="T262" s="4"/>
      <c r="U262" s="4"/>
      <c r="V262" s="4"/>
      <c r="W262" s="4"/>
    </row>
    <row r="263" spans="1:88" x14ac:dyDescent="0.2">
      <c r="A263" s="4">
        <v>50</v>
      </c>
      <c r="B263" s="4">
        <v>0</v>
      </c>
      <c r="C263" s="4">
        <v>0</v>
      </c>
      <c r="D263" s="4">
        <v>1</v>
      </c>
      <c r="E263" s="4">
        <v>206</v>
      </c>
      <c r="F263" s="4">
        <f>ROUND(Source!T242,O263)</f>
        <v>0</v>
      </c>
      <c r="G263" s="4" t="s">
        <v>317</v>
      </c>
      <c r="H263" s="4" t="s">
        <v>318</v>
      </c>
      <c r="I263" s="4"/>
      <c r="J263" s="4"/>
      <c r="K263" s="4">
        <v>206</v>
      </c>
      <c r="L263" s="4">
        <v>20</v>
      </c>
      <c r="M263" s="4">
        <v>3</v>
      </c>
      <c r="N263" s="4" t="s">
        <v>6</v>
      </c>
      <c r="O263" s="4">
        <v>2</v>
      </c>
      <c r="P263" s="4"/>
      <c r="Q263" s="4"/>
      <c r="R263" s="4"/>
      <c r="S263" s="4"/>
      <c r="T263" s="4"/>
      <c r="U263" s="4"/>
      <c r="V263" s="4"/>
      <c r="W263" s="4"/>
    </row>
    <row r="264" spans="1:88" x14ac:dyDescent="0.2">
      <c r="A264" s="4">
        <v>50</v>
      </c>
      <c r="B264" s="4">
        <v>0</v>
      </c>
      <c r="C264" s="4">
        <v>0</v>
      </c>
      <c r="D264" s="4">
        <v>1</v>
      </c>
      <c r="E264" s="4">
        <v>207</v>
      </c>
      <c r="F264" s="4">
        <f>Source!U242</f>
        <v>109.4624</v>
      </c>
      <c r="G264" s="4" t="s">
        <v>319</v>
      </c>
      <c r="H264" s="4" t="s">
        <v>320</v>
      </c>
      <c r="I264" s="4"/>
      <c r="J264" s="4"/>
      <c r="K264" s="4">
        <v>207</v>
      </c>
      <c r="L264" s="4">
        <v>21</v>
      </c>
      <c r="M264" s="4">
        <v>3</v>
      </c>
      <c r="N264" s="4" t="s">
        <v>6</v>
      </c>
      <c r="O264" s="4">
        <v>-1</v>
      </c>
      <c r="P264" s="4"/>
      <c r="Q264" s="4"/>
      <c r="R264" s="4"/>
      <c r="S264" s="4"/>
      <c r="T264" s="4"/>
      <c r="U264" s="4"/>
      <c r="V264" s="4"/>
      <c r="W264" s="4"/>
    </row>
    <row r="265" spans="1:88" x14ac:dyDescent="0.2">
      <c r="A265" s="4">
        <v>50</v>
      </c>
      <c r="B265" s="4">
        <v>0</v>
      </c>
      <c r="C265" s="4">
        <v>0</v>
      </c>
      <c r="D265" s="4">
        <v>1</v>
      </c>
      <c r="E265" s="4">
        <v>208</v>
      </c>
      <c r="F265" s="4">
        <f>Source!V242</f>
        <v>0</v>
      </c>
      <c r="G265" s="4" t="s">
        <v>321</v>
      </c>
      <c r="H265" s="4" t="s">
        <v>322</v>
      </c>
      <c r="I265" s="4"/>
      <c r="J265" s="4"/>
      <c r="K265" s="4">
        <v>208</v>
      </c>
      <c r="L265" s="4">
        <v>22</v>
      </c>
      <c r="M265" s="4">
        <v>3</v>
      </c>
      <c r="N265" s="4" t="s">
        <v>6</v>
      </c>
      <c r="O265" s="4">
        <v>-1</v>
      </c>
      <c r="P265" s="4"/>
      <c r="Q265" s="4"/>
      <c r="R265" s="4"/>
      <c r="S265" s="4"/>
      <c r="T265" s="4"/>
      <c r="U265" s="4"/>
      <c r="V265" s="4"/>
      <c r="W265" s="4"/>
    </row>
    <row r="266" spans="1:88" x14ac:dyDescent="0.2">
      <c r="A266" s="4">
        <v>50</v>
      </c>
      <c r="B266" s="4">
        <v>0</v>
      </c>
      <c r="C266" s="4">
        <v>0</v>
      </c>
      <c r="D266" s="4">
        <v>1</v>
      </c>
      <c r="E266" s="4">
        <v>209</v>
      </c>
      <c r="F266" s="4">
        <f>ROUND(Source!W242,O266)</f>
        <v>0</v>
      </c>
      <c r="G266" s="4" t="s">
        <v>323</v>
      </c>
      <c r="H266" s="4" t="s">
        <v>324</v>
      </c>
      <c r="I266" s="4"/>
      <c r="J266" s="4"/>
      <c r="K266" s="4">
        <v>209</v>
      </c>
      <c r="L266" s="4">
        <v>23</v>
      </c>
      <c r="M266" s="4">
        <v>3</v>
      </c>
      <c r="N266" s="4" t="s">
        <v>6</v>
      </c>
      <c r="O266" s="4">
        <v>2</v>
      </c>
      <c r="P266" s="4"/>
      <c r="Q266" s="4"/>
      <c r="R266" s="4"/>
      <c r="S266" s="4"/>
      <c r="T266" s="4"/>
      <c r="U266" s="4"/>
      <c r="V266" s="4"/>
      <c r="W266" s="4"/>
    </row>
    <row r="267" spans="1:88" x14ac:dyDescent="0.2">
      <c r="A267" s="4">
        <v>50</v>
      </c>
      <c r="B267" s="4">
        <v>0</v>
      </c>
      <c r="C267" s="4">
        <v>0</v>
      </c>
      <c r="D267" s="4">
        <v>1</v>
      </c>
      <c r="E267" s="4">
        <v>210</v>
      </c>
      <c r="F267" s="4">
        <f>ROUND(Source!X242,O267)</f>
        <v>17046.21</v>
      </c>
      <c r="G267" s="4" t="s">
        <v>325</v>
      </c>
      <c r="H267" s="4" t="s">
        <v>326</v>
      </c>
      <c r="I267" s="4"/>
      <c r="J267" s="4"/>
      <c r="K267" s="4">
        <v>210</v>
      </c>
      <c r="L267" s="4">
        <v>24</v>
      </c>
      <c r="M267" s="4">
        <v>3</v>
      </c>
      <c r="N267" s="4" t="s">
        <v>6</v>
      </c>
      <c r="O267" s="4">
        <v>2</v>
      </c>
      <c r="P267" s="4"/>
      <c r="Q267" s="4"/>
      <c r="R267" s="4"/>
      <c r="S267" s="4"/>
      <c r="T267" s="4"/>
      <c r="U267" s="4"/>
      <c r="V267" s="4"/>
      <c r="W267" s="4"/>
    </row>
    <row r="268" spans="1:88" x14ac:dyDescent="0.2">
      <c r="A268" s="4">
        <v>50</v>
      </c>
      <c r="B268" s="4">
        <v>0</v>
      </c>
      <c r="C268" s="4">
        <v>0</v>
      </c>
      <c r="D268" s="4">
        <v>1</v>
      </c>
      <c r="E268" s="4">
        <v>211</v>
      </c>
      <c r="F268" s="4">
        <f>ROUND(Source!Y242,O268)</f>
        <v>10489.97</v>
      </c>
      <c r="G268" s="4" t="s">
        <v>327</v>
      </c>
      <c r="H268" s="4" t="s">
        <v>328</v>
      </c>
      <c r="I268" s="4"/>
      <c r="J268" s="4"/>
      <c r="K268" s="4">
        <v>211</v>
      </c>
      <c r="L268" s="4">
        <v>25</v>
      </c>
      <c r="M268" s="4">
        <v>3</v>
      </c>
      <c r="N268" s="4" t="s">
        <v>6</v>
      </c>
      <c r="O268" s="4">
        <v>2</v>
      </c>
      <c r="P268" s="4"/>
      <c r="Q268" s="4"/>
      <c r="R268" s="4"/>
      <c r="S268" s="4"/>
      <c r="T268" s="4"/>
      <c r="U268" s="4"/>
      <c r="V268" s="4"/>
      <c r="W268" s="4"/>
    </row>
    <row r="269" spans="1:88" x14ac:dyDescent="0.2">
      <c r="A269" s="4">
        <v>50</v>
      </c>
      <c r="B269" s="4">
        <v>0</v>
      </c>
      <c r="C269" s="4">
        <v>0</v>
      </c>
      <c r="D269" s="4">
        <v>1</v>
      </c>
      <c r="E269" s="4">
        <v>224</v>
      </c>
      <c r="F269" s="4">
        <f>ROUND(Source!AR242,O269)</f>
        <v>53761.120000000003</v>
      </c>
      <c r="G269" s="4" t="s">
        <v>329</v>
      </c>
      <c r="H269" s="4" t="s">
        <v>330</v>
      </c>
      <c r="I269" s="4"/>
      <c r="J269" s="4"/>
      <c r="K269" s="4">
        <v>224</v>
      </c>
      <c r="L269" s="4">
        <v>26</v>
      </c>
      <c r="M269" s="4">
        <v>3</v>
      </c>
      <c r="N269" s="4" t="s">
        <v>6</v>
      </c>
      <c r="O269" s="4">
        <v>2</v>
      </c>
      <c r="P269" s="4"/>
      <c r="Q269" s="4"/>
      <c r="R269" s="4"/>
      <c r="S269" s="4"/>
      <c r="T269" s="4"/>
      <c r="U269" s="4"/>
      <c r="V269" s="4"/>
      <c r="W269" s="4"/>
    </row>
    <row r="271" spans="1:88" x14ac:dyDescent="0.2">
      <c r="A271" s="1">
        <v>4</v>
      </c>
      <c r="B271" s="1">
        <v>1</v>
      </c>
      <c r="C271" s="1"/>
      <c r="D271" s="1">
        <f>ROW(A286)</f>
        <v>286</v>
      </c>
      <c r="E271" s="1"/>
      <c r="F271" s="1" t="s">
        <v>13</v>
      </c>
      <c r="G271" s="1" t="s">
        <v>557</v>
      </c>
      <c r="H271" s="1" t="s">
        <v>6</v>
      </c>
      <c r="I271" s="1">
        <v>0</v>
      </c>
      <c r="J271" s="1"/>
      <c r="K271" s="1">
        <v>-1</v>
      </c>
      <c r="L271" s="1"/>
      <c r="M271" s="1"/>
      <c r="N271" s="1"/>
      <c r="O271" s="1"/>
      <c r="P271" s="1"/>
      <c r="Q271" s="1"/>
      <c r="R271" s="1"/>
      <c r="S271" s="1"/>
      <c r="T271" s="1"/>
      <c r="U271" s="1" t="s">
        <v>6</v>
      </c>
      <c r="V271" s="1">
        <v>0</v>
      </c>
      <c r="W271" s="1"/>
      <c r="X271" s="1"/>
      <c r="Y271" s="1"/>
      <c r="Z271" s="1"/>
      <c r="AA271" s="1"/>
      <c r="AB271" s="1" t="s">
        <v>6</v>
      </c>
      <c r="AC271" s="1" t="s">
        <v>6</v>
      </c>
      <c r="AD271" s="1" t="s">
        <v>6</v>
      </c>
      <c r="AE271" s="1" t="s">
        <v>6</v>
      </c>
      <c r="AF271" s="1" t="s">
        <v>6</v>
      </c>
      <c r="AG271" s="1" t="s">
        <v>6</v>
      </c>
      <c r="AH271" s="1"/>
      <c r="AI271" s="1"/>
      <c r="AJ271" s="1"/>
      <c r="AK271" s="1"/>
      <c r="AL271" s="1"/>
      <c r="AM271" s="1"/>
      <c r="AN271" s="1"/>
      <c r="AO271" s="1"/>
      <c r="AP271" s="1" t="s">
        <v>6</v>
      </c>
      <c r="AQ271" s="1" t="s">
        <v>6</v>
      </c>
      <c r="AR271" s="1" t="s">
        <v>6</v>
      </c>
      <c r="AS271" s="1"/>
      <c r="AT271" s="1"/>
      <c r="AU271" s="1"/>
      <c r="AV271" s="1"/>
      <c r="AW271" s="1"/>
      <c r="AX271" s="1"/>
      <c r="AY271" s="1"/>
      <c r="AZ271" s="1" t="s">
        <v>6</v>
      </c>
      <c r="BA271" s="1"/>
      <c r="BB271" s="1" t="s">
        <v>6</v>
      </c>
      <c r="BC271" s="1" t="s">
        <v>6</v>
      </c>
      <c r="BD271" s="1" t="s">
        <v>6</v>
      </c>
      <c r="BE271" s="1" t="s">
        <v>6</v>
      </c>
      <c r="BF271" s="1" t="s">
        <v>6</v>
      </c>
      <c r="BG271" s="1" t="s">
        <v>6</v>
      </c>
      <c r="BH271" s="1" t="s">
        <v>6</v>
      </c>
      <c r="BI271" s="1" t="s">
        <v>6</v>
      </c>
      <c r="BJ271" s="1" t="s">
        <v>6</v>
      </c>
      <c r="BK271" s="1" t="s">
        <v>6</v>
      </c>
      <c r="BL271" s="1" t="s">
        <v>6</v>
      </c>
      <c r="BM271" s="1" t="s">
        <v>6</v>
      </c>
      <c r="BN271" s="1" t="s">
        <v>6</v>
      </c>
      <c r="BO271" s="1" t="s">
        <v>6</v>
      </c>
      <c r="BP271" s="1" t="s">
        <v>6</v>
      </c>
      <c r="BQ271" s="1"/>
      <c r="BR271" s="1"/>
      <c r="BS271" s="1"/>
      <c r="BT271" s="1"/>
      <c r="BU271" s="1"/>
      <c r="BV271" s="1"/>
      <c r="BW271" s="1"/>
      <c r="BX271" s="1">
        <v>0</v>
      </c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>
        <v>0</v>
      </c>
    </row>
    <row r="273" spans="1:245" x14ac:dyDescent="0.2">
      <c r="A273" s="2">
        <v>52</v>
      </c>
      <c r="B273" s="2">
        <f t="shared" ref="B273:G273" si="221">B286</f>
        <v>1</v>
      </c>
      <c r="C273" s="2">
        <f t="shared" si="221"/>
        <v>4</v>
      </c>
      <c r="D273" s="2">
        <f t="shared" si="221"/>
        <v>271</v>
      </c>
      <c r="E273" s="2">
        <f t="shared" si="221"/>
        <v>0</v>
      </c>
      <c r="F273" s="2" t="str">
        <f t="shared" si="221"/>
        <v>Новый раздел</v>
      </c>
      <c r="G273" s="2" t="str">
        <f t="shared" si="221"/>
        <v>5 АПС</v>
      </c>
      <c r="H273" s="2"/>
      <c r="I273" s="2"/>
      <c r="J273" s="2"/>
      <c r="K273" s="2"/>
      <c r="L273" s="2"/>
      <c r="M273" s="2"/>
      <c r="N273" s="2"/>
      <c r="O273" s="2">
        <f t="shared" ref="O273:AT273" si="222">O286</f>
        <v>18989.47</v>
      </c>
      <c r="P273" s="2">
        <f t="shared" si="222"/>
        <v>15704.48</v>
      </c>
      <c r="Q273" s="2">
        <f t="shared" si="222"/>
        <v>11.67</v>
      </c>
      <c r="R273" s="2">
        <f t="shared" si="222"/>
        <v>1.64</v>
      </c>
      <c r="S273" s="2">
        <f t="shared" si="222"/>
        <v>3273.32</v>
      </c>
      <c r="T273" s="2">
        <f t="shared" si="222"/>
        <v>0</v>
      </c>
      <c r="U273" s="2">
        <f t="shared" si="222"/>
        <v>50.689100000000003</v>
      </c>
      <c r="V273" s="2">
        <f t="shared" si="222"/>
        <v>1.9599999999999999E-2</v>
      </c>
      <c r="W273" s="2">
        <f t="shared" si="222"/>
        <v>0</v>
      </c>
      <c r="X273" s="2">
        <f t="shared" si="222"/>
        <v>2697.18</v>
      </c>
      <c r="Y273" s="2">
        <f t="shared" si="222"/>
        <v>1990.71</v>
      </c>
      <c r="Z273" s="2">
        <f t="shared" si="222"/>
        <v>0</v>
      </c>
      <c r="AA273" s="2">
        <f t="shared" si="222"/>
        <v>0</v>
      </c>
      <c r="AB273" s="2">
        <f t="shared" si="222"/>
        <v>18989.47</v>
      </c>
      <c r="AC273" s="2">
        <f t="shared" si="222"/>
        <v>15704.48</v>
      </c>
      <c r="AD273" s="2">
        <f t="shared" si="222"/>
        <v>11.67</v>
      </c>
      <c r="AE273" s="2">
        <f t="shared" si="222"/>
        <v>1.64</v>
      </c>
      <c r="AF273" s="2">
        <f t="shared" si="222"/>
        <v>3273.32</v>
      </c>
      <c r="AG273" s="2">
        <f t="shared" si="222"/>
        <v>0</v>
      </c>
      <c r="AH273" s="2">
        <f t="shared" si="222"/>
        <v>50.689100000000003</v>
      </c>
      <c r="AI273" s="2">
        <f t="shared" si="222"/>
        <v>1.9599999999999999E-2</v>
      </c>
      <c r="AJ273" s="2">
        <f t="shared" si="222"/>
        <v>0</v>
      </c>
      <c r="AK273" s="2">
        <f t="shared" si="222"/>
        <v>2697.18</v>
      </c>
      <c r="AL273" s="2">
        <f t="shared" si="222"/>
        <v>1990.71</v>
      </c>
      <c r="AM273" s="2">
        <f t="shared" si="222"/>
        <v>0</v>
      </c>
      <c r="AN273" s="2">
        <f t="shared" si="222"/>
        <v>0</v>
      </c>
      <c r="AO273" s="2">
        <f t="shared" si="222"/>
        <v>0</v>
      </c>
      <c r="AP273" s="2">
        <f t="shared" si="222"/>
        <v>0</v>
      </c>
      <c r="AQ273" s="2">
        <f t="shared" si="222"/>
        <v>0</v>
      </c>
      <c r="AR273" s="2">
        <f t="shared" si="222"/>
        <v>23677.360000000001</v>
      </c>
      <c r="AS273" s="2">
        <f t="shared" si="222"/>
        <v>0</v>
      </c>
      <c r="AT273" s="2">
        <f t="shared" si="222"/>
        <v>23677.360000000001</v>
      </c>
      <c r="AU273" s="2">
        <f t="shared" ref="AU273:BZ273" si="223">AU286</f>
        <v>0</v>
      </c>
      <c r="AV273" s="2">
        <f t="shared" si="223"/>
        <v>15704.48</v>
      </c>
      <c r="AW273" s="2">
        <f t="shared" si="223"/>
        <v>15704.48</v>
      </c>
      <c r="AX273" s="2">
        <f t="shared" si="223"/>
        <v>0</v>
      </c>
      <c r="AY273" s="2">
        <f t="shared" si="223"/>
        <v>15704.48</v>
      </c>
      <c r="AZ273" s="2">
        <f t="shared" si="223"/>
        <v>0</v>
      </c>
      <c r="BA273" s="2">
        <f t="shared" si="223"/>
        <v>0</v>
      </c>
      <c r="BB273" s="2">
        <f t="shared" si="223"/>
        <v>0</v>
      </c>
      <c r="BC273" s="2">
        <f t="shared" si="223"/>
        <v>0</v>
      </c>
      <c r="BD273" s="2">
        <f t="shared" si="223"/>
        <v>0</v>
      </c>
      <c r="BE273" s="2">
        <f t="shared" si="223"/>
        <v>0</v>
      </c>
      <c r="BF273" s="2">
        <f t="shared" si="223"/>
        <v>0</v>
      </c>
      <c r="BG273" s="2">
        <f t="shared" si="223"/>
        <v>0</v>
      </c>
      <c r="BH273" s="2">
        <f t="shared" si="223"/>
        <v>0</v>
      </c>
      <c r="BI273" s="2">
        <f t="shared" si="223"/>
        <v>0</v>
      </c>
      <c r="BJ273" s="2">
        <f t="shared" si="223"/>
        <v>0</v>
      </c>
      <c r="BK273" s="2">
        <f t="shared" si="223"/>
        <v>0</v>
      </c>
      <c r="BL273" s="2">
        <f t="shared" si="223"/>
        <v>0</v>
      </c>
      <c r="BM273" s="2">
        <f t="shared" si="223"/>
        <v>0</v>
      </c>
      <c r="BN273" s="2">
        <f t="shared" si="223"/>
        <v>0</v>
      </c>
      <c r="BO273" s="2">
        <f t="shared" si="223"/>
        <v>0</v>
      </c>
      <c r="BP273" s="2">
        <f t="shared" si="223"/>
        <v>0</v>
      </c>
      <c r="BQ273" s="2">
        <f t="shared" si="223"/>
        <v>0</v>
      </c>
      <c r="BR273" s="2">
        <f t="shared" si="223"/>
        <v>0</v>
      </c>
      <c r="BS273" s="2">
        <f t="shared" si="223"/>
        <v>0</v>
      </c>
      <c r="BT273" s="2">
        <f t="shared" si="223"/>
        <v>0</v>
      </c>
      <c r="BU273" s="2">
        <f t="shared" si="223"/>
        <v>0</v>
      </c>
      <c r="BV273" s="2">
        <f t="shared" si="223"/>
        <v>0</v>
      </c>
      <c r="BW273" s="2">
        <f t="shared" si="223"/>
        <v>0</v>
      </c>
      <c r="BX273" s="2">
        <f t="shared" si="223"/>
        <v>0</v>
      </c>
      <c r="BY273" s="2">
        <f t="shared" si="223"/>
        <v>0</v>
      </c>
      <c r="BZ273" s="2">
        <f t="shared" si="223"/>
        <v>0</v>
      </c>
      <c r="CA273" s="2">
        <f t="shared" ref="CA273:DF273" si="224">CA286</f>
        <v>23677.360000000001</v>
      </c>
      <c r="CB273" s="2">
        <f t="shared" si="224"/>
        <v>0</v>
      </c>
      <c r="CC273" s="2">
        <f t="shared" si="224"/>
        <v>23677.360000000001</v>
      </c>
      <c r="CD273" s="2">
        <f t="shared" si="224"/>
        <v>0</v>
      </c>
      <c r="CE273" s="2">
        <f t="shared" si="224"/>
        <v>15704.48</v>
      </c>
      <c r="CF273" s="2">
        <f t="shared" si="224"/>
        <v>15704.48</v>
      </c>
      <c r="CG273" s="2">
        <f t="shared" si="224"/>
        <v>0</v>
      </c>
      <c r="CH273" s="2">
        <f t="shared" si="224"/>
        <v>15704.48</v>
      </c>
      <c r="CI273" s="2">
        <f t="shared" si="224"/>
        <v>0</v>
      </c>
      <c r="CJ273" s="2">
        <f t="shared" si="224"/>
        <v>0</v>
      </c>
      <c r="CK273" s="2">
        <f t="shared" si="224"/>
        <v>0</v>
      </c>
      <c r="CL273" s="2">
        <f t="shared" si="224"/>
        <v>0</v>
      </c>
      <c r="CM273" s="2">
        <f t="shared" si="224"/>
        <v>0</v>
      </c>
      <c r="CN273" s="2">
        <f t="shared" si="224"/>
        <v>0</v>
      </c>
      <c r="CO273" s="2">
        <f t="shared" si="224"/>
        <v>0</v>
      </c>
      <c r="CP273" s="2">
        <f t="shared" si="224"/>
        <v>0</v>
      </c>
      <c r="CQ273" s="2">
        <f t="shared" si="224"/>
        <v>0</v>
      </c>
      <c r="CR273" s="2">
        <f t="shared" si="224"/>
        <v>0</v>
      </c>
      <c r="CS273" s="2">
        <f t="shared" si="224"/>
        <v>0</v>
      </c>
      <c r="CT273" s="2">
        <f t="shared" si="224"/>
        <v>0</v>
      </c>
      <c r="CU273" s="2">
        <f t="shared" si="224"/>
        <v>0</v>
      </c>
      <c r="CV273" s="2">
        <f t="shared" si="224"/>
        <v>0</v>
      </c>
      <c r="CW273" s="2">
        <f t="shared" si="224"/>
        <v>0</v>
      </c>
      <c r="CX273" s="2">
        <f t="shared" si="224"/>
        <v>0</v>
      </c>
      <c r="CY273" s="2">
        <f t="shared" si="224"/>
        <v>0</v>
      </c>
      <c r="CZ273" s="2">
        <f t="shared" si="224"/>
        <v>0</v>
      </c>
      <c r="DA273" s="2">
        <f t="shared" si="224"/>
        <v>0</v>
      </c>
      <c r="DB273" s="2">
        <f t="shared" si="224"/>
        <v>0</v>
      </c>
      <c r="DC273" s="2">
        <f t="shared" si="224"/>
        <v>0</v>
      </c>
      <c r="DD273" s="2">
        <f t="shared" si="224"/>
        <v>0</v>
      </c>
      <c r="DE273" s="2">
        <f t="shared" si="224"/>
        <v>0</v>
      </c>
      <c r="DF273" s="2">
        <f t="shared" si="224"/>
        <v>0</v>
      </c>
      <c r="DG273" s="3">
        <f t="shared" ref="DG273:EL273" si="225">DG286</f>
        <v>0</v>
      </c>
      <c r="DH273" s="3">
        <f t="shared" si="225"/>
        <v>0</v>
      </c>
      <c r="DI273" s="3">
        <f t="shared" si="225"/>
        <v>0</v>
      </c>
      <c r="DJ273" s="3">
        <f t="shared" si="225"/>
        <v>0</v>
      </c>
      <c r="DK273" s="3">
        <f t="shared" si="225"/>
        <v>0</v>
      </c>
      <c r="DL273" s="3">
        <f t="shared" si="225"/>
        <v>0</v>
      </c>
      <c r="DM273" s="3">
        <f t="shared" si="225"/>
        <v>0</v>
      </c>
      <c r="DN273" s="3">
        <f t="shared" si="225"/>
        <v>0</v>
      </c>
      <c r="DO273" s="3">
        <f t="shared" si="225"/>
        <v>0</v>
      </c>
      <c r="DP273" s="3">
        <f t="shared" si="225"/>
        <v>0</v>
      </c>
      <c r="DQ273" s="3">
        <f t="shared" si="225"/>
        <v>0</v>
      </c>
      <c r="DR273" s="3">
        <f t="shared" si="225"/>
        <v>0</v>
      </c>
      <c r="DS273" s="3">
        <f t="shared" si="225"/>
        <v>0</v>
      </c>
      <c r="DT273" s="3">
        <f t="shared" si="225"/>
        <v>0</v>
      </c>
      <c r="DU273" s="3">
        <f t="shared" si="225"/>
        <v>0</v>
      </c>
      <c r="DV273" s="3">
        <f t="shared" si="225"/>
        <v>0</v>
      </c>
      <c r="DW273" s="3">
        <f t="shared" si="225"/>
        <v>0</v>
      </c>
      <c r="DX273" s="3">
        <f t="shared" si="225"/>
        <v>0</v>
      </c>
      <c r="DY273" s="3">
        <f t="shared" si="225"/>
        <v>0</v>
      </c>
      <c r="DZ273" s="3">
        <f t="shared" si="225"/>
        <v>0</v>
      </c>
      <c r="EA273" s="3">
        <f t="shared" si="225"/>
        <v>0</v>
      </c>
      <c r="EB273" s="3">
        <f t="shared" si="225"/>
        <v>0</v>
      </c>
      <c r="EC273" s="3">
        <f t="shared" si="225"/>
        <v>0</v>
      </c>
      <c r="ED273" s="3">
        <f t="shared" si="225"/>
        <v>0</v>
      </c>
      <c r="EE273" s="3">
        <f t="shared" si="225"/>
        <v>0</v>
      </c>
      <c r="EF273" s="3">
        <f t="shared" si="225"/>
        <v>0</v>
      </c>
      <c r="EG273" s="3">
        <f t="shared" si="225"/>
        <v>0</v>
      </c>
      <c r="EH273" s="3">
        <f t="shared" si="225"/>
        <v>0</v>
      </c>
      <c r="EI273" s="3">
        <f t="shared" si="225"/>
        <v>0</v>
      </c>
      <c r="EJ273" s="3">
        <f t="shared" si="225"/>
        <v>0</v>
      </c>
      <c r="EK273" s="3">
        <f t="shared" si="225"/>
        <v>0</v>
      </c>
      <c r="EL273" s="3">
        <f t="shared" si="225"/>
        <v>0</v>
      </c>
      <c r="EM273" s="3">
        <f t="shared" ref="EM273:FR273" si="226">EM286</f>
        <v>0</v>
      </c>
      <c r="EN273" s="3">
        <f t="shared" si="226"/>
        <v>0</v>
      </c>
      <c r="EO273" s="3">
        <f t="shared" si="226"/>
        <v>0</v>
      </c>
      <c r="EP273" s="3">
        <f t="shared" si="226"/>
        <v>0</v>
      </c>
      <c r="EQ273" s="3">
        <f t="shared" si="226"/>
        <v>0</v>
      </c>
      <c r="ER273" s="3">
        <f t="shared" si="226"/>
        <v>0</v>
      </c>
      <c r="ES273" s="3">
        <f t="shared" si="226"/>
        <v>0</v>
      </c>
      <c r="ET273" s="3">
        <f t="shared" si="226"/>
        <v>0</v>
      </c>
      <c r="EU273" s="3">
        <f t="shared" si="226"/>
        <v>0</v>
      </c>
      <c r="EV273" s="3">
        <f t="shared" si="226"/>
        <v>0</v>
      </c>
      <c r="EW273" s="3">
        <f t="shared" si="226"/>
        <v>0</v>
      </c>
      <c r="EX273" s="3">
        <f t="shared" si="226"/>
        <v>0</v>
      </c>
      <c r="EY273" s="3">
        <f t="shared" si="226"/>
        <v>0</v>
      </c>
      <c r="EZ273" s="3">
        <f t="shared" si="226"/>
        <v>0</v>
      </c>
      <c r="FA273" s="3">
        <f t="shared" si="226"/>
        <v>0</v>
      </c>
      <c r="FB273" s="3">
        <f t="shared" si="226"/>
        <v>0</v>
      </c>
      <c r="FC273" s="3">
        <f t="shared" si="226"/>
        <v>0</v>
      </c>
      <c r="FD273" s="3">
        <f t="shared" si="226"/>
        <v>0</v>
      </c>
      <c r="FE273" s="3">
        <f t="shared" si="226"/>
        <v>0</v>
      </c>
      <c r="FF273" s="3">
        <f t="shared" si="226"/>
        <v>0</v>
      </c>
      <c r="FG273" s="3">
        <f t="shared" si="226"/>
        <v>0</v>
      </c>
      <c r="FH273" s="3">
        <f t="shared" si="226"/>
        <v>0</v>
      </c>
      <c r="FI273" s="3">
        <f t="shared" si="226"/>
        <v>0</v>
      </c>
      <c r="FJ273" s="3">
        <f t="shared" si="226"/>
        <v>0</v>
      </c>
      <c r="FK273" s="3">
        <f t="shared" si="226"/>
        <v>0</v>
      </c>
      <c r="FL273" s="3">
        <f t="shared" si="226"/>
        <v>0</v>
      </c>
      <c r="FM273" s="3">
        <f t="shared" si="226"/>
        <v>0</v>
      </c>
      <c r="FN273" s="3">
        <f t="shared" si="226"/>
        <v>0</v>
      </c>
      <c r="FO273" s="3">
        <f t="shared" si="226"/>
        <v>0</v>
      </c>
      <c r="FP273" s="3">
        <f t="shared" si="226"/>
        <v>0</v>
      </c>
      <c r="FQ273" s="3">
        <f t="shared" si="226"/>
        <v>0</v>
      </c>
      <c r="FR273" s="3">
        <f t="shared" si="226"/>
        <v>0</v>
      </c>
      <c r="FS273" s="3">
        <f t="shared" ref="FS273:GX273" si="227">FS286</f>
        <v>0</v>
      </c>
      <c r="FT273" s="3">
        <f t="shared" si="227"/>
        <v>0</v>
      </c>
      <c r="FU273" s="3">
        <f t="shared" si="227"/>
        <v>0</v>
      </c>
      <c r="FV273" s="3">
        <f t="shared" si="227"/>
        <v>0</v>
      </c>
      <c r="FW273" s="3">
        <f t="shared" si="227"/>
        <v>0</v>
      </c>
      <c r="FX273" s="3">
        <f t="shared" si="227"/>
        <v>0</v>
      </c>
      <c r="FY273" s="3">
        <f t="shared" si="227"/>
        <v>0</v>
      </c>
      <c r="FZ273" s="3">
        <f t="shared" si="227"/>
        <v>0</v>
      </c>
      <c r="GA273" s="3">
        <f t="shared" si="227"/>
        <v>0</v>
      </c>
      <c r="GB273" s="3">
        <f t="shared" si="227"/>
        <v>0</v>
      </c>
      <c r="GC273" s="3">
        <f t="shared" si="227"/>
        <v>0</v>
      </c>
      <c r="GD273" s="3">
        <f t="shared" si="227"/>
        <v>0</v>
      </c>
      <c r="GE273" s="3">
        <f t="shared" si="227"/>
        <v>0</v>
      </c>
      <c r="GF273" s="3">
        <f t="shared" si="227"/>
        <v>0</v>
      </c>
      <c r="GG273" s="3">
        <f t="shared" si="227"/>
        <v>0</v>
      </c>
      <c r="GH273" s="3">
        <f t="shared" si="227"/>
        <v>0</v>
      </c>
      <c r="GI273" s="3">
        <f t="shared" si="227"/>
        <v>0</v>
      </c>
      <c r="GJ273" s="3">
        <f t="shared" si="227"/>
        <v>0</v>
      </c>
      <c r="GK273" s="3">
        <f t="shared" si="227"/>
        <v>0</v>
      </c>
      <c r="GL273" s="3">
        <f t="shared" si="227"/>
        <v>0</v>
      </c>
      <c r="GM273" s="3">
        <f t="shared" si="227"/>
        <v>0</v>
      </c>
      <c r="GN273" s="3">
        <f t="shared" si="227"/>
        <v>0</v>
      </c>
      <c r="GO273" s="3">
        <f t="shared" si="227"/>
        <v>0</v>
      </c>
      <c r="GP273" s="3">
        <f t="shared" si="227"/>
        <v>0</v>
      </c>
      <c r="GQ273" s="3">
        <f t="shared" si="227"/>
        <v>0</v>
      </c>
      <c r="GR273" s="3">
        <f t="shared" si="227"/>
        <v>0</v>
      </c>
      <c r="GS273" s="3">
        <f t="shared" si="227"/>
        <v>0</v>
      </c>
      <c r="GT273" s="3">
        <f t="shared" si="227"/>
        <v>0</v>
      </c>
      <c r="GU273" s="3">
        <f t="shared" si="227"/>
        <v>0</v>
      </c>
      <c r="GV273" s="3">
        <f t="shared" si="227"/>
        <v>0</v>
      </c>
      <c r="GW273" s="3">
        <f t="shared" si="227"/>
        <v>0</v>
      </c>
      <c r="GX273" s="3">
        <f t="shared" si="227"/>
        <v>0</v>
      </c>
    </row>
    <row r="275" spans="1:245" x14ac:dyDescent="0.2">
      <c r="A275">
        <v>17</v>
      </c>
      <c r="B275">
        <v>1</v>
      </c>
      <c r="C275">
        <f>ROW(SmtRes!A346)</f>
        <v>346</v>
      </c>
      <c r="D275">
        <f>ROW(EtalonRes!A330)</f>
        <v>330</v>
      </c>
      <c r="E275" t="s">
        <v>558</v>
      </c>
      <c r="F275" t="s">
        <v>559</v>
      </c>
      <c r="G275" t="s">
        <v>560</v>
      </c>
      <c r="H275" t="s">
        <v>366</v>
      </c>
      <c r="I275">
        <v>17</v>
      </c>
      <c r="J275">
        <v>0</v>
      </c>
      <c r="O275">
        <f t="shared" ref="O275:O284" si="228">ROUND(CP275,2)</f>
        <v>276.05</v>
      </c>
      <c r="P275">
        <f t="shared" ref="P275:P284" si="229">ROUND(CQ275*I275,2)</f>
        <v>0</v>
      </c>
      <c r="Q275">
        <f t="shared" ref="Q275:Q284" si="230">ROUND(CR275*I275,2)</f>
        <v>0</v>
      </c>
      <c r="R275">
        <f t="shared" ref="R275:R284" si="231">ROUND(CS275*I275,2)</f>
        <v>0</v>
      </c>
      <c r="S275">
        <f t="shared" ref="S275:S284" si="232">ROUND(CT275*I275,2)</f>
        <v>276.05</v>
      </c>
      <c r="T275">
        <f t="shared" ref="T275:T284" si="233">ROUND(CU275*I275,2)</f>
        <v>0</v>
      </c>
      <c r="U275">
        <f t="shared" ref="U275:U284" si="234">CV275*I275</f>
        <v>4.2839999999999998</v>
      </c>
      <c r="V275">
        <f t="shared" ref="V275:V284" si="235">CW275*I275</f>
        <v>0</v>
      </c>
      <c r="W275">
        <f t="shared" ref="W275:W284" si="236">ROUND(CX275*I275,2)</f>
        <v>0</v>
      </c>
      <c r="X275">
        <f t="shared" ref="X275:X284" si="237">ROUND(CY275,2)</f>
        <v>220.84</v>
      </c>
      <c r="Y275">
        <f t="shared" ref="Y275:Y284" si="238">ROUND(CZ275,2)</f>
        <v>165.63</v>
      </c>
      <c r="AA275">
        <v>16802145</v>
      </c>
      <c r="AB275">
        <f t="shared" ref="AB275:AB284" si="239">ROUND((AC275+AD275+AF275),2)</f>
        <v>2.42</v>
      </c>
      <c r="AC275">
        <f>ROUND(((ES275*0)),2)</f>
        <v>0</v>
      </c>
      <c r="AD275">
        <f>ROUND(((((ET275*0.3))-((EU275*0.3)))+AE275),2)</f>
        <v>0</v>
      </c>
      <c r="AE275">
        <f>ROUND(((EU275*0.3)),2)</f>
        <v>0</v>
      </c>
      <c r="AF275">
        <f>ROUND(((EV275*0.3)),2)</f>
        <v>2.42</v>
      </c>
      <c r="AG275">
        <f t="shared" ref="AG275:AG284" si="240">ROUND((AP275),2)</f>
        <v>0</v>
      </c>
      <c r="AH275">
        <f>((EW275*0.3))</f>
        <v>0.252</v>
      </c>
      <c r="AI275">
        <f>((EX275*0.3))</f>
        <v>0</v>
      </c>
      <c r="AJ275">
        <f t="shared" ref="AJ275:AJ284" si="241">(AS275)</f>
        <v>0</v>
      </c>
      <c r="AK275">
        <v>9.36</v>
      </c>
      <c r="AL275">
        <v>1.28</v>
      </c>
      <c r="AM275">
        <v>0</v>
      </c>
      <c r="AN275">
        <v>0</v>
      </c>
      <c r="AO275">
        <v>8.08</v>
      </c>
      <c r="AP275">
        <v>0</v>
      </c>
      <c r="AQ275">
        <v>0.84</v>
      </c>
      <c r="AR275">
        <v>0</v>
      </c>
      <c r="AS275">
        <v>0</v>
      </c>
      <c r="AT275">
        <v>80</v>
      </c>
      <c r="AU275">
        <v>60</v>
      </c>
      <c r="AV275">
        <v>1</v>
      </c>
      <c r="AW275">
        <v>1</v>
      </c>
      <c r="AZ275">
        <v>6.71</v>
      </c>
      <c r="BA275">
        <v>6.71</v>
      </c>
      <c r="BB275">
        <v>6.71</v>
      </c>
      <c r="BC275">
        <v>6.71</v>
      </c>
      <c r="BD275" t="s">
        <v>6</v>
      </c>
      <c r="BE275" t="s">
        <v>6</v>
      </c>
      <c r="BF275" t="s">
        <v>6</v>
      </c>
      <c r="BG275" t="s">
        <v>6</v>
      </c>
      <c r="BH275">
        <v>0</v>
      </c>
      <c r="BI275">
        <v>2</v>
      </c>
      <c r="BJ275" t="s">
        <v>561</v>
      </c>
      <c r="BM275">
        <v>110011</v>
      </c>
      <c r="BN275">
        <v>0</v>
      </c>
      <c r="BO275" t="s">
        <v>6</v>
      </c>
      <c r="BP275">
        <v>0</v>
      </c>
      <c r="BQ275">
        <v>3</v>
      </c>
      <c r="BR275">
        <v>0</v>
      </c>
      <c r="BS275">
        <v>6.71</v>
      </c>
      <c r="BT275">
        <v>1</v>
      </c>
      <c r="BU275">
        <v>1</v>
      </c>
      <c r="BV275">
        <v>1</v>
      </c>
      <c r="BW275">
        <v>1</v>
      </c>
      <c r="BX275">
        <v>1</v>
      </c>
      <c r="BY275" t="s">
        <v>6</v>
      </c>
      <c r="BZ275">
        <v>80</v>
      </c>
      <c r="CA275">
        <v>60</v>
      </c>
      <c r="CE275">
        <v>0</v>
      </c>
      <c r="CF275">
        <v>0</v>
      </c>
      <c r="CG275">
        <v>0</v>
      </c>
      <c r="CM275">
        <v>0</v>
      </c>
      <c r="CN275" t="s">
        <v>961</v>
      </c>
      <c r="CO275">
        <v>0</v>
      </c>
      <c r="CP275">
        <f t="shared" ref="CP275:CP284" si="242">(P275+Q275+S275)</f>
        <v>276.05</v>
      </c>
      <c r="CQ275">
        <f t="shared" ref="CQ275:CQ284" si="243">AC275*BC275</f>
        <v>0</v>
      </c>
      <c r="CR275">
        <f t="shared" ref="CR275:CR284" si="244">AD275*BB275</f>
        <v>0</v>
      </c>
      <c r="CS275">
        <f t="shared" ref="CS275:CS284" si="245">AE275*BS275</f>
        <v>0</v>
      </c>
      <c r="CT275">
        <f t="shared" ref="CT275:CT284" si="246">AF275*BA275</f>
        <v>16.238199999999999</v>
      </c>
      <c r="CU275">
        <f t="shared" ref="CU275:CU284" si="247">AG275</f>
        <v>0</v>
      </c>
      <c r="CV275">
        <f t="shared" ref="CV275:CV284" si="248">AH275</f>
        <v>0.252</v>
      </c>
      <c r="CW275">
        <f t="shared" ref="CW275:CW284" si="249">AI275</f>
        <v>0</v>
      </c>
      <c r="CX275">
        <f t="shared" ref="CX275:CX284" si="250">AJ275</f>
        <v>0</v>
      </c>
      <c r="CY275">
        <f t="shared" ref="CY275:CY284" si="251">(((S275+R275)*AT275)/100)</f>
        <v>220.84</v>
      </c>
      <c r="CZ275">
        <f t="shared" ref="CZ275:CZ284" si="252">(((S275+R275)*AU275)/100)</f>
        <v>165.63</v>
      </c>
      <c r="DC275" t="s">
        <v>6</v>
      </c>
      <c r="DD275" t="s">
        <v>227</v>
      </c>
      <c r="DE275" t="s">
        <v>389</v>
      </c>
      <c r="DF275" t="s">
        <v>389</v>
      </c>
      <c r="DG275" t="s">
        <v>389</v>
      </c>
      <c r="DH275" t="s">
        <v>6</v>
      </c>
      <c r="DI275" t="s">
        <v>389</v>
      </c>
      <c r="DJ275" t="s">
        <v>389</v>
      </c>
      <c r="DK275" t="s">
        <v>6</v>
      </c>
      <c r="DL275" t="s">
        <v>6</v>
      </c>
      <c r="DM275" t="s">
        <v>6</v>
      </c>
      <c r="DN275">
        <v>0</v>
      </c>
      <c r="DO275">
        <v>0</v>
      </c>
      <c r="DP275">
        <v>1</v>
      </c>
      <c r="DQ275">
        <v>1</v>
      </c>
      <c r="DU275">
        <v>1013</v>
      </c>
      <c r="DV275" t="s">
        <v>366</v>
      </c>
      <c r="DW275" t="s">
        <v>366</v>
      </c>
      <c r="DX275">
        <v>1</v>
      </c>
      <c r="EE275">
        <v>16510417</v>
      </c>
      <c r="EF275">
        <v>3</v>
      </c>
      <c r="EG275" t="s">
        <v>390</v>
      </c>
      <c r="EH275">
        <v>0</v>
      </c>
      <c r="EI275" t="s">
        <v>6</v>
      </c>
      <c r="EJ275">
        <v>2</v>
      </c>
      <c r="EK275">
        <v>110011</v>
      </c>
      <c r="EL275" t="s">
        <v>430</v>
      </c>
      <c r="EM275" t="s">
        <v>431</v>
      </c>
      <c r="EO275" t="s">
        <v>393</v>
      </c>
      <c r="EQ275">
        <v>131072</v>
      </c>
      <c r="ER275">
        <v>9.36</v>
      </c>
      <c r="ES275">
        <v>1.28</v>
      </c>
      <c r="ET275">
        <v>0</v>
      </c>
      <c r="EU275">
        <v>0</v>
      </c>
      <c r="EV275">
        <v>8.08</v>
      </c>
      <c r="EW275">
        <v>0.84</v>
      </c>
      <c r="EX275">
        <v>0</v>
      </c>
      <c r="EY275">
        <v>0</v>
      </c>
      <c r="FQ275">
        <v>0</v>
      </c>
      <c r="FR275">
        <f t="shared" ref="FR275:FR284" si="253">ROUND(IF(AND(BH275=3,BI275=3),P275,0),2)</f>
        <v>0</v>
      </c>
      <c r="FS275">
        <v>0</v>
      </c>
      <c r="FX275">
        <v>80</v>
      </c>
      <c r="FY275">
        <v>60</v>
      </c>
      <c r="GA275" t="s">
        <v>6</v>
      </c>
      <c r="GD275">
        <v>0</v>
      </c>
      <c r="GF275">
        <v>-364108998</v>
      </c>
      <c r="GG275">
        <v>1</v>
      </c>
      <c r="GH275">
        <v>1</v>
      </c>
      <c r="GI275">
        <v>4</v>
      </c>
      <c r="GJ275">
        <v>0</v>
      </c>
      <c r="GK275">
        <f>ROUND(R275*(R12)/100,2)</f>
        <v>0</v>
      </c>
      <c r="GL275">
        <f t="shared" ref="GL275:GL284" si="254">ROUND(IF(AND(BH275=3,BI275=3,FS275&lt;&gt;0),P275,0),2)</f>
        <v>0</v>
      </c>
      <c r="GM275">
        <f t="shared" ref="GM275:GM284" si="255">ROUND(O275+X275+Y275+GK275,2)+GX275</f>
        <v>662.52</v>
      </c>
      <c r="GN275">
        <f t="shared" ref="GN275:GN284" si="256">IF(OR(BI275=0,BI275=1),ROUND(O275+X275+Y275+GK275,2),0)</f>
        <v>0</v>
      </c>
      <c r="GO275">
        <f t="shared" ref="GO275:GO284" si="257">IF(BI275=2,ROUND(O275+X275+Y275+GK275,2),0)</f>
        <v>662.52</v>
      </c>
      <c r="GP275">
        <f t="shared" ref="GP275:GP284" si="258">IF(BI275=4,ROUND(O275+X275+Y275+GK275,2)+GX275,0)</f>
        <v>0</v>
      </c>
      <c r="GR275">
        <v>0</v>
      </c>
      <c r="GS275">
        <v>3</v>
      </c>
      <c r="GT275">
        <v>0</v>
      </c>
      <c r="GU275" t="s">
        <v>6</v>
      </c>
      <c r="GV275">
        <f t="shared" ref="GV275:GV284" si="259">ROUND((GT275),2)</f>
        <v>0</v>
      </c>
      <c r="GW275">
        <v>1</v>
      </c>
      <c r="GX275">
        <f t="shared" ref="GX275:GX284" si="260">ROUND(HC275*I275,2)</f>
        <v>0</v>
      </c>
      <c r="HA275">
        <v>0</v>
      </c>
      <c r="HB275">
        <v>0</v>
      </c>
      <c r="HC275">
        <f t="shared" ref="HC275:HC284" si="261">GV275*GW275</f>
        <v>0</v>
      </c>
      <c r="IK275">
        <v>0</v>
      </c>
    </row>
    <row r="276" spans="1:245" x14ac:dyDescent="0.2">
      <c r="A276">
        <v>17</v>
      </c>
      <c r="B276">
        <v>1</v>
      </c>
      <c r="C276">
        <f>ROW(SmtRes!A354)</f>
        <v>354</v>
      </c>
      <c r="D276">
        <f>ROW(EtalonRes!A337)</f>
        <v>337</v>
      </c>
      <c r="E276" t="s">
        <v>562</v>
      </c>
      <c r="F276" t="s">
        <v>559</v>
      </c>
      <c r="G276" t="s">
        <v>563</v>
      </c>
      <c r="H276" t="s">
        <v>366</v>
      </c>
      <c r="I276">
        <v>34</v>
      </c>
      <c r="J276">
        <v>0</v>
      </c>
      <c r="O276">
        <f t="shared" si="228"/>
        <v>2135.39</v>
      </c>
      <c r="P276">
        <f t="shared" si="229"/>
        <v>292.02</v>
      </c>
      <c r="Q276">
        <f t="shared" si="230"/>
        <v>0</v>
      </c>
      <c r="R276">
        <f t="shared" si="231"/>
        <v>0</v>
      </c>
      <c r="S276">
        <f t="shared" si="232"/>
        <v>1843.37</v>
      </c>
      <c r="T276">
        <f t="shared" si="233"/>
        <v>0</v>
      </c>
      <c r="U276">
        <f t="shared" si="234"/>
        <v>28.56</v>
      </c>
      <c r="V276">
        <f t="shared" si="235"/>
        <v>0</v>
      </c>
      <c r="W276">
        <f t="shared" si="236"/>
        <v>0</v>
      </c>
      <c r="X276">
        <f t="shared" si="237"/>
        <v>1474.7</v>
      </c>
      <c r="Y276">
        <f t="shared" si="238"/>
        <v>1106.02</v>
      </c>
      <c r="AA276">
        <v>16802145</v>
      </c>
      <c r="AB276">
        <f t="shared" si="239"/>
        <v>9.36</v>
      </c>
      <c r="AC276">
        <f t="shared" ref="AC276:AC284" si="262">ROUND((ES276),2)</f>
        <v>1.28</v>
      </c>
      <c r="AD276">
        <f t="shared" ref="AD276:AD284" si="263">ROUND((((ET276)-(EU276))+AE276),2)</f>
        <v>0</v>
      </c>
      <c r="AE276">
        <f t="shared" ref="AE276:AE284" si="264">ROUND((EU276),2)</f>
        <v>0</v>
      </c>
      <c r="AF276">
        <f t="shared" ref="AF276:AF284" si="265">ROUND((EV276),2)</f>
        <v>8.08</v>
      </c>
      <c r="AG276">
        <f t="shared" si="240"/>
        <v>0</v>
      </c>
      <c r="AH276">
        <f t="shared" ref="AH276:AH284" si="266">(EW276)</f>
        <v>0.84</v>
      </c>
      <c r="AI276">
        <f t="shared" ref="AI276:AI284" si="267">(EX276)</f>
        <v>0</v>
      </c>
      <c r="AJ276">
        <f t="shared" si="241"/>
        <v>0</v>
      </c>
      <c r="AK276">
        <v>9.36</v>
      </c>
      <c r="AL276">
        <v>1.28</v>
      </c>
      <c r="AM276">
        <v>0</v>
      </c>
      <c r="AN276">
        <v>0</v>
      </c>
      <c r="AO276">
        <v>8.08</v>
      </c>
      <c r="AP276">
        <v>0</v>
      </c>
      <c r="AQ276">
        <v>0.84</v>
      </c>
      <c r="AR276">
        <v>0</v>
      </c>
      <c r="AS276">
        <v>0</v>
      </c>
      <c r="AT276">
        <v>80</v>
      </c>
      <c r="AU276">
        <v>60</v>
      </c>
      <c r="AV276">
        <v>1</v>
      </c>
      <c r="AW276">
        <v>1</v>
      </c>
      <c r="AZ276">
        <v>6.71</v>
      </c>
      <c r="BA276">
        <v>6.71</v>
      </c>
      <c r="BB276">
        <v>6.71</v>
      </c>
      <c r="BC276">
        <v>6.71</v>
      </c>
      <c r="BD276" t="s">
        <v>6</v>
      </c>
      <c r="BE276" t="s">
        <v>6</v>
      </c>
      <c r="BF276" t="s">
        <v>6</v>
      </c>
      <c r="BG276" t="s">
        <v>6</v>
      </c>
      <c r="BH276">
        <v>0</v>
      </c>
      <c r="BI276">
        <v>2</v>
      </c>
      <c r="BJ276" t="s">
        <v>561</v>
      </c>
      <c r="BM276">
        <v>110011</v>
      </c>
      <c r="BN276">
        <v>0</v>
      </c>
      <c r="BO276" t="s">
        <v>6</v>
      </c>
      <c r="BP276">
        <v>0</v>
      </c>
      <c r="BQ276">
        <v>3</v>
      </c>
      <c r="BR276">
        <v>0</v>
      </c>
      <c r="BS276">
        <v>6.71</v>
      </c>
      <c r="BT276">
        <v>1</v>
      </c>
      <c r="BU276">
        <v>1</v>
      </c>
      <c r="BV276">
        <v>1</v>
      </c>
      <c r="BW276">
        <v>1</v>
      </c>
      <c r="BX276">
        <v>1</v>
      </c>
      <c r="BY276" t="s">
        <v>6</v>
      </c>
      <c r="BZ276">
        <v>80</v>
      </c>
      <c r="CA276">
        <v>60</v>
      </c>
      <c r="CE276">
        <v>0</v>
      </c>
      <c r="CF276">
        <v>0</v>
      </c>
      <c r="CG276">
        <v>0</v>
      </c>
      <c r="CM276">
        <v>0</v>
      </c>
      <c r="CN276" t="s">
        <v>6</v>
      </c>
      <c r="CO276">
        <v>0</v>
      </c>
      <c r="CP276">
        <f t="shared" si="242"/>
        <v>2135.39</v>
      </c>
      <c r="CQ276">
        <f t="shared" si="243"/>
        <v>8.5888000000000009</v>
      </c>
      <c r="CR276">
        <f t="shared" si="244"/>
        <v>0</v>
      </c>
      <c r="CS276">
        <f t="shared" si="245"/>
        <v>0</v>
      </c>
      <c r="CT276">
        <f t="shared" si="246"/>
        <v>54.216799999999999</v>
      </c>
      <c r="CU276">
        <f t="shared" si="247"/>
        <v>0</v>
      </c>
      <c r="CV276">
        <f t="shared" si="248"/>
        <v>0.84</v>
      </c>
      <c r="CW276">
        <f t="shared" si="249"/>
        <v>0</v>
      </c>
      <c r="CX276">
        <f t="shared" si="250"/>
        <v>0</v>
      </c>
      <c r="CY276">
        <f t="shared" si="251"/>
        <v>1474.6959999999997</v>
      </c>
      <c r="CZ276">
        <f t="shared" si="252"/>
        <v>1106.0219999999999</v>
      </c>
      <c r="DC276" t="s">
        <v>6</v>
      </c>
      <c r="DD276" t="s">
        <v>6</v>
      </c>
      <c r="DE276" t="s">
        <v>6</v>
      </c>
      <c r="DF276" t="s">
        <v>6</v>
      </c>
      <c r="DG276" t="s">
        <v>6</v>
      </c>
      <c r="DH276" t="s">
        <v>6</v>
      </c>
      <c r="DI276" t="s">
        <v>6</v>
      </c>
      <c r="DJ276" t="s">
        <v>6</v>
      </c>
      <c r="DK276" t="s">
        <v>6</v>
      </c>
      <c r="DL276" t="s">
        <v>6</v>
      </c>
      <c r="DM276" t="s">
        <v>6</v>
      </c>
      <c r="DN276">
        <v>0</v>
      </c>
      <c r="DO276">
        <v>0</v>
      </c>
      <c r="DP276">
        <v>1</v>
      </c>
      <c r="DQ276">
        <v>1</v>
      </c>
      <c r="DU276">
        <v>1013</v>
      </c>
      <c r="DV276" t="s">
        <v>366</v>
      </c>
      <c r="DW276" t="s">
        <v>366</v>
      </c>
      <c r="DX276">
        <v>1</v>
      </c>
      <c r="EE276">
        <v>16510417</v>
      </c>
      <c r="EF276">
        <v>3</v>
      </c>
      <c r="EG276" t="s">
        <v>390</v>
      </c>
      <c r="EH276">
        <v>0</v>
      </c>
      <c r="EI276" t="s">
        <v>6</v>
      </c>
      <c r="EJ276">
        <v>2</v>
      </c>
      <c r="EK276">
        <v>110011</v>
      </c>
      <c r="EL276" t="s">
        <v>430</v>
      </c>
      <c r="EM276" t="s">
        <v>431</v>
      </c>
      <c r="EO276" t="s">
        <v>6</v>
      </c>
      <c r="EQ276">
        <v>131072</v>
      </c>
      <c r="ER276">
        <v>9.36</v>
      </c>
      <c r="ES276">
        <v>1.28</v>
      </c>
      <c r="ET276">
        <v>0</v>
      </c>
      <c r="EU276">
        <v>0</v>
      </c>
      <c r="EV276">
        <v>8.08</v>
      </c>
      <c r="EW276">
        <v>0.84</v>
      </c>
      <c r="EX276">
        <v>0</v>
      </c>
      <c r="EY276">
        <v>0</v>
      </c>
      <c r="FQ276">
        <v>0</v>
      </c>
      <c r="FR276">
        <f t="shared" si="253"/>
        <v>0</v>
      </c>
      <c r="FS276">
        <v>0</v>
      </c>
      <c r="FX276">
        <v>80</v>
      </c>
      <c r="FY276">
        <v>60</v>
      </c>
      <c r="GA276" t="s">
        <v>6</v>
      </c>
      <c r="GD276">
        <v>0</v>
      </c>
      <c r="GF276">
        <v>-675514791</v>
      </c>
      <c r="GG276">
        <v>1</v>
      </c>
      <c r="GH276">
        <v>1</v>
      </c>
      <c r="GI276">
        <v>4</v>
      </c>
      <c r="GJ276">
        <v>0</v>
      </c>
      <c r="GK276">
        <f>ROUND(R276*(R12)/100,2)</f>
        <v>0</v>
      </c>
      <c r="GL276">
        <f t="shared" si="254"/>
        <v>0</v>
      </c>
      <c r="GM276">
        <f t="shared" si="255"/>
        <v>4716.1099999999997</v>
      </c>
      <c r="GN276">
        <f t="shared" si="256"/>
        <v>0</v>
      </c>
      <c r="GO276">
        <f t="shared" si="257"/>
        <v>4716.1099999999997</v>
      </c>
      <c r="GP276">
        <f t="shared" si="258"/>
        <v>0</v>
      </c>
      <c r="GR276">
        <v>0</v>
      </c>
      <c r="GS276">
        <v>3</v>
      </c>
      <c r="GT276">
        <v>0</v>
      </c>
      <c r="GU276" t="s">
        <v>6</v>
      </c>
      <c r="GV276">
        <f t="shared" si="259"/>
        <v>0</v>
      </c>
      <c r="GW276">
        <v>1</v>
      </c>
      <c r="GX276">
        <f t="shared" si="260"/>
        <v>0</v>
      </c>
      <c r="HA276">
        <v>0</v>
      </c>
      <c r="HB276">
        <v>0</v>
      </c>
      <c r="HC276">
        <f t="shared" si="261"/>
        <v>0</v>
      </c>
      <c r="IK276">
        <v>0</v>
      </c>
    </row>
    <row r="277" spans="1:245" x14ac:dyDescent="0.2">
      <c r="A277">
        <v>18</v>
      </c>
      <c r="B277">
        <v>1</v>
      </c>
      <c r="C277">
        <v>353</v>
      </c>
      <c r="E277" t="s">
        <v>564</v>
      </c>
      <c r="F277" t="s">
        <v>565</v>
      </c>
      <c r="G277" t="s">
        <v>566</v>
      </c>
      <c r="H277" t="s">
        <v>435</v>
      </c>
      <c r="I277">
        <f>I276*J277</f>
        <v>3.4</v>
      </c>
      <c r="J277">
        <v>9.9999999999999992E-2</v>
      </c>
      <c r="O277">
        <f t="shared" si="228"/>
        <v>6554.01</v>
      </c>
      <c r="P277">
        <f t="shared" si="229"/>
        <v>6554.01</v>
      </c>
      <c r="Q277">
        <f t="shared" si="230"/>
        <v>0</v>
      </c>
      <c r="R277">
        <f t="shared" si="231"/>
        <v>0</v>
      </c>
      <c r="S277">
        <f t="shared" si="232"/>
        <v>0</v>
      </c>
      <c r="T277">
        <f t="shared" si="233"/>
        <v>0</v>
      </c>
      <c r="U277">
        <f t="shared" si="234"/>
        <v>0</v>
      </c>
      <c r="V277">
        <f t="shared" si="235"/>
        <v>0</v>
      </c>
      <c r="W277">
        <f t="shared" si="236"/>
        <v>0</v>
      </c>
      <c r="X277">
        <f t="shared" si="237"/>
        <v>0</v>
      </c>
      <c r="Y277">
        <f t="shared" si="238"/>
        <v>0</v>
      </c>
      <c r="AA277">
        <v>16802145</v>
      </c>
      <c r="AB277">
        <f t="shared" si="239"/>
        <v>287.27999999999997</v>
      </c>
      <c r="AC277">
        <f t="shared" si="262"/>
        <v>287.27999999999997</v>
      </c>
      <c r="AD277">
        <f t="shared" si="263"/>
        <v>0</v>
      </c>
      <c r="AE277">
        <f t="shared" si="264"/>
        <v>0</v>
      </c>
      <c r="AF277">
        <f t="shared" si="265"/>
        <v>0</v>
      </c>
      <c r="AG277">
        <f t="shared" si="240"/>
        <v>0</v>
      </c>
      <c r="AH277">
        <f t="shared" si="266"/>
        <v>0</v>
      </c>
      <c r="AI277">
        <f t="shared" si="267"/>
        <v>0</v>
      </c>
      <c r="AJ277">
        <f t="shared" si="241"/>
        <v>0</v>
      </c>
      <c r="AK277">
        <v>287.27999999999997</v>
      </c>
      <c r="AL277">
        <v>287.27999999999997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80</v>
      </c>
      <c r="AU277">
        <v>60</v>
      </c>
      <c r="AV277">
        <v>1</v>
      </c>
      <c r="AW277">
        <v>1</v>
      </c>
      <c r="AZ277">
        <v>6.71</v>
      </c>
      <c r="BA277">
        <v>1</v>
      </c>
      <c r="BB277">
        <v>1</v>
      </c>
      <c r="BC277">
        <v>6.71</v>
      </c>
      <c r="BD277" t="s">
        <v>6</v>
      </c>
      <c r="BE277" t="s">
        <v>6</v>
      </c>
      <c r="BF277" t="s">
        <v>6</v>
      </c>
      <c r="BG277" t="s">
        <v>6</v>
      </c>
      <c r="BH277">
        <v>3</v>
      </c>
      <c r="BI277">
        <v>2</v>
      </c>
      <c r="BJ277" t="s">
        <v>567</v>
      </c>
      <c r="BM277">
        <v>110011</v>
      </c>
      <c r="BN277">
        <v>0</v>
      </c>
      <c r="BO277" t="s">
        <v>6</v>
      </c>
      <c r="BP277">
        <v>0</v>
      </c>
      <c r="BQ277">
        <v>3</v>
      </c>
      <c r="BR277">
        <v>0</v>
      </c>
      <c r="BS277">
        <v>1</v>
      </c>
      <c r="BT277">
        <v>1</v>
      </c>
      <c r="BU277">
        <v>1</v>
      </c>
      <c r="BV277">
        <v>1</v>
      </c>
      <c r="BW277">
        <v>1</v>
      </c>
      <c r="BX277">
        <v>1</v>
      </c>
      <c r="BY277" t="s">
        <v>6</v>
      </c>
      <c r="BZ277">
        <v>80</v>
      </c>
      <c r="CA277">
        <v>60</v>
      </c>
      <c r="CE277">
        <v>0</v>
      </c>
      <c r="CF277">
        <v>0</v>
      </c>
      <c r="CG277">
        <v>0</v>
      </c>
      <c r="CM277">
        <v>0</v>
      </c>
      <c r="CN277" t="s">
        <v>6</v>
      </c>
      <c r="CO277">
        <v>0</v>
      </c>
      <c r="CP277">
        <f t="shared" si="242"/>
        <v>6554.01</v>
      </c>
      <c r="CQ277">
        <f t="shared" si="243"/>
        <v>1927.6487999999997</v>
      </c>
      <c r="CR277">
        <f t="shared" si="244"/>
        <v>0</v>
      </c>
      <c r="CS277">
        <f t="shared" si="245"/>
        <v>0</v>
      </c>
      <c r="CT277">
        <f t="shared" si="246"/>
        <v>0</v>
      </c>
      <c r="CU277">
        <f t="shared" si="247"/>
        <v>0</v>
      </c>
      <c r="CV277">
        <f t="shared" si="248"/>
        <v>0</v>
      </c>
      <c r="CW277">
        <f t="shared" si="249"/>
        <v>0</v>
      </c>
      <c r="CX277">
        <f t="shared" si="250"/>
        <v>0</v>
      </c>
      <c r="CY277">
        <f t="shared" si="251"/>
        <v>0</v>
      </c>
      <c r="CZ277">
        <f t="shared" si="252"/>
        <v>0</v>
      </c>
      <c r="DC277" t="s">
        <v>6</v>
      </c>
      <c r="DD277" t="s">
        <v>6</v>
      </c>
      <c r="DE277" t="s">
        <v>6</v>
      </c>
      <c r="DF277" t="s">
        <v>6</v>
      </c>
      <c r="DG277" t="s">
        <v>6</v>
      </c>
      <c r="DH277" t="s">
        <v>6</v>
      </c>
      <c r="DI277" t="s">
        <v>6</v>
      </c>
      <c r="DJ277" t="s">
        <v>6</v>
      </c>
      <c r="DK277" t="s">
        <v>6</v>
      </c>
      <c r="DL277" t="s">
        <v>6</v>
      </c>
      <c r="DM277" t="s">
        <v>6</v>
      </c>
      <c r="DN277">
        <v>0</v>
      </c>
      <c r="DO277">
        <v>0</v>
      </c>
      <c r="DP277">
        <v>1</v>
      </c>
      <c r="DQ277">
        <v>1</v>
      </c>
      <c r="DU277">
        <v>1010</v>
      </c>
      <c r="DV277" t="s">
        <v>435</v>
      </c>
      <c r="DW277" t="s">
        <v>435</v>
      </c>
      <c r="DX277">
        <v>10</v>
      </c>
      <c r="EE277">
        <v>16510417</v>
      </c>
      <c r="EF277">
        <v>3</v>
      </c>
      <c r="EG277" t="s">
        <v>390</v>
      </c>
      <c r="EH277">
        <v>0</v>
      </c>
      <c r="EI277" t="s">
        <v>6</v>
      </c>
      <c r="EJ277">
        <v>2</v>
      </c>
      <c r="EK277">
        <v>110011</v>
      </c>
      <c r="EL277" t="s">
        <v>430</v>
      </c>
      <c r="EM277" t="s">
        <v>431</v>
      </c>
      <c r="EO277" t="s">
        <v>6</v>
      </c>
      <c r="EQ277">
        <v>0</v>
      </c>
      <c r="ER277">
        <v>287.27999999999997</v>
      </c>
      <c r="ES277">
        <v>287.27999999999997</v>
      </c>
      <c r="ET277">
        <v>0</v>
      </c>
      <c r="EU277">
        <v>0</v>
      </c>
      <c r="EV277">
        <v>0</v>
      </c>
      <c r="EW277">
        <v>0</v>
      </c>
      <c r="EX277">
        <v>0</v>
      </c>
      <c r="FQ277">
        <v>0</v>
      </c>
      <c r="FR277">
        <f t="shared" si="253"/>
        <v>0</v>
      </c>
      <c r="FS277">
        <v>0</v>
      </c>
      <c r="FX277">
        <v>80</v>
      </c>
      <c r="FY277">
        <v>60</v>
      </c>
      <c r="GA277" t="s">
        <v>6</v>
      </c>
      <c r="GD277">
        <v>0</v>
      </c>
      <c r="GF277">
        <v>-1633447119</v>
      </c>
      <c r="GG277">
        <v>1</v>
      </c>
      <c r="GH277">
        <v>1</v>
      </c>
      <c r="GI277">
        <v>4</v>
      </c>
      <c r="GJ277">
        <v>0</v>
      </c>
      <c r="GK277">
        <f>ROUND(R277*(R12)/100,2)</f>
        <v>0</v>
      </c>
      <c r="GL277">
        <f t="shared" si="254"/>
        <v>0</v>
      </c>
      <c r="GM277">
        <f t="shared" si="255"/>
        <v>6554.01</v>
      </c>
      <c r="GN277">
        <f t="shared" si="256"/>
        <v>0</v>
      </c>
      <c r="GO277">
        <f t="shared" si="257"/>
        <v>6554.01</v>
      </c>
      <c r="GP277">
        <f t="shared" si="258"/>
        <v>0</v>
      </c>
      <c r="GR277">
        <v>0</v>
      </c>
      <c r="GS277">
        <v>3</v>
      </c>
      <c r="GT277">
        <v>0</v>
      </c>
      <c r="GU277" t="s">
        <v>6</v>
      </c>
      <c r="GV277">
        <f t="shared" si="259"/>
        <v>0</v>
      </c>
      <c r="GW277">
        <v>1</v>
      </c>
      <c r="GX277">
        <f t="shared" si="260"/>
        <v>0</v>
      </c>
      <c r="HA277">
        <v>0</v>
      </c>
      <c r="HB277">
        <v>0</v>
      </c>
      <c r="HC277">
        <f t="shared" si="261"/>
        <v>0</v>
      </c>
      <c r="IK277">
        <v>0</v>
      </c>
    </row>
    <row r="278" spans="1:245" x14ac:dyDescent="0.2">
      <c r="A278">
        <v>17</v>
      </c>
      <c r="B278">
        <v>1</v>
      </c>
      <c r="C278">
        <f>ROW(SmtRes!A360)</f>
        <v>360</v>
      </c>
      <c r="D278">
        <f>ROW(EtalonRes!A342)</f>
        <v>342</v>
      </c>
      <c r="E278" t="s">
        <v>568</v>
      </c>
      <c r="F278" t="s">
        <v>569</v>
      </c>
      <c r="G278" t="s">
        <v>570</v>
      </c>
      <c r="H278" t="s">
        <v>571</v>
      </c>
      <c r="I278">
        <f>ROUND(17/10,9)</f>
        <v>1.7</v>
      </c>
      <c r="J278">
        <v>0</v>
      </c>
      <c r="O278">
        <f t="shared" si="228"/>
        <v>754.91</v>
      </c>
      <c r="P278">
        <f t="shared" si="229"/>
        <v>143.84</v>
      </c>
      <c r="Q278">
        <f t="shared" si="230"/>
        <v>0</v>
      </c>
      <c r="R278">
        <f t="shared" si="231"/>
        <v>0</v>
      </c>
      <c r="S278">
        <f t="shared" si="232"/>
        <v>611.07000000000005</v>
      </c>
      <c r="T278">
        <f t="shared" si="233"/>
        <v>0</v>
      </c>
      <c r="U278">
        <f t="shared" si="234"/>
        <v>9.18</v>
      </c>
      <c r="V278">
        <f t="shared" si="235"/>
        <v>0</v>
      </c>
      <c r="W278">
        <f t="shared" si="236"/>
        <v>0</v>
      </c>
      <c r="X278">
        <f t="shared" si="237"/>
        <v>488.86</v>
      </c>
      <c r="Y278">
        <f t="shared" si="238"/>
        <v>366.64</v>
      </c>
      <c r="AA278">
        <v>16802145</v>
      </c>
      <c r="AB278">
        <f t="shared" si="239"/>
        <v>66.180000000000007</v>
      </c>
      <c r="AC278">
        <f t="shared" si="262"/>
        <v>12.61</v>
      </c>
      <c r="AD278">
        <f t="shared" si="263"/>
        <v>0</v>
      </c>
      <c r="AE278">
        <f t="shared" si="264"/>
        <v>0</v>
      </c>
      <c r="AF278">
        <f t="shared" si="265"/>
        <v>53.57</v>
      </c>
      <c r="AG278">
        <f t="shared" si="240"/>
        <v>0</v>
      </c>
      <c r="AH278">
        <f t="shared" si="266"/>
        <v>5.4</v>
      </c>
      <c r="AI278">
        <f t="shared" si="267"/>
        <v>0</v>
      </c>
      <c r="AJ278">
        <f t="shared" si="241"/>
        <v>0</v>
      </c>
      <c r="AK278">
        <v>66.180000000000007</v>
      </c>
      <c r="AL278">
        <v>12.61</v>
      </c>
      <c r="AM278">
        <v>0</v>
      </c>
      <c r="AN278">
        <v>0</v>
      </c>
      <c r="AO278">
        <v>53.57</v>
      </c>
      <c r="AP278">
        <v>0</v>
      </c>
      <c r="AQ278">
        <v>5.4</v>
      </c>
      <c r="AR278">
        <v>0</v>
      </c>
      <c r="AS278">
        <v>0</v>
      </c>
      <c r="AT278">
        <v>80</v>
      </c>
      <c r="AU278">
        <v>60</v>
      </c>
      <c r="AV278">
        <v>1</v>
      </c>
      <c r="AW278">
        <v>1</v>
      </c>
      <c r="AZ278">
        <v>6.71</v>
      </c>
      <c r="BA278">
        <v>6.71</v>
      </c>
      <c r="BB278">
        <v>6.71</v>
      </c>
      <c r="BC278">
        <v>6.71</v>
      </c>
      <c r="BD278" t="s">
        <v>6</v>
      </c>
      <c r="BE278" t="s">
        <v>6</v>
      </c>
      <c r="BF278" t="s">
        <v>6</v>
      </c>
      <c r="BG278" t="s">
        <v>6</v>
      </c>
      <c r="BH278">
        <v>0</v>
      </c>
      <c r="BI278">
        <v>2</v>
      </c>
      <c r="BJ278" t="s">
        <v>572</v>
      </c>
      <c r="BM278">
        <v>110011</v>
      </c>
      <c r="BN278">
        <v>0</v>
      </c>
      <c r="BO278" t="s">
        <v>6</v>
      </c>
      <c r="BP278">
        <v>0</v>
      </c>
      <c r="BQ278">
        <v>3</v>
      </c>
      <c r="BR278">
        <v>0</v>
      </c>
      <c r="BS278">
        <v>6.71</v>
      </c>
      <c r="BT278">
        <v>1</v>
      </c>
      <c r="BU278">
        <v>1</v>
      </c>
      <c r="BV278">
        <v>1</v>
      </c>
      <c r="BW278">
        <v>1</v>
      </c>
      <c r="BX278">
        <v>1</v>
      </c>
      <c r="BY278" t="s">
        <v>6</v>
      </c>
      <c r="BZ278">
        <v>80</v>
      </c>
      <c r="CA278">
        <v>60</v>
      </c>
      <c r="CE278">
        <v>0</v>
      </c>
      <c r="CF278">
        <v>0</v>
      </c>
      <c r="CG278">
        <v>0</v>
      </c>
      <c r="CM278">
        <v>0</v>
      </c>
      <c r="CN278" t="s">
        <v>6</v>
      </c>
      <c r="CO278">
        <v>0</v>
      </c>
      <c r="CP278">
        <f t="shared" si="242"/>
        <v>754.91000000000008</v>
      </c>
      <c r="CQ278">
        <f t="shared" si="243"/>
        <v>84.613099999999989</v>
      </c>
      <c r="CR278">
        <f t="shared" si="244"/>
        <v>0</v>
      </c>
      <c r="CS278">
        <f t="shared" si="245"/>
        <v>0</v>
      </c>
      <c r="CT278">
        <f t="shared" si="246"/>
        <v>359.4547</v>
      </c>
      <c r="CU278">
        <f t="shared" si="247"/>
        <v>0</v>
      </c>
      <c r="CV278">
        <f t="shared" si="248"/>
        <v>5.4</v>
      </c>
      <c r="CW278">
        <f t="shared" si="249"/>
        <v>0</v>
      </c>
      <c r="CX278">
        <f t="shared" si="250"/>
        <v>0</v>
      </c>
      <c r="CY278">
        <f t="shared" si="251"/>
        <v>488.85600000000005</v>
      </c>
      <c r="CZ278">
        <f t="shared" si="252"/>
        <v>366.64200000000005</v>
      </c>
      <c r="DC278" t="s">
        <v>6</v>
      </c>
      <c r="DD278" t="s">
        <v>6</v>
      </c>
      <c r="DE278" t="s">
        <v>6</v>
      </c>
      <c r="DF278" t="s">
        <v>6</v>
      </c>
      <c r="DG278" t="s">
        <v>6</v>
      </c>
      <c r="DH278" t="s">
        <v>6</v>
      </c>
      <c r="DI278" t="s">
        <v>6</v>
      </c>
      <c r="DJ278" t="s">
        <v>6</v>
      </c>
      <c r="DK278" t="s">
        <v>6</v>
      </c>
      <c r="DL278" t="s">
        <v>6</v>
      </c>
      <c r="DM278" t="s">
        <v>6</v>
      </c>
      <c r="DN278">
        <v>0</v>
      </c>
      <c r="DO278">
        <v>0</v>
      </c>
      <c r="DP278">
        <v>1</v>
      </c>
      <c r="DQ278">
        <v>1</v>
      </c>
      <c r="DU278">
        <v>1013</v>
      </c>
      <c r="DV278" t="s">
        <v>571</v>
      </c>
      <c r="DW278" t="s">
        <v>571</v>
      </c>
      <c r="DX278">
        <v>1</v>
      </c>
      <c r="EE278">
        <v>16510417</v>
      </c>
      <c r="EF278">
        <v>3</v>
      </c>
      <c r="EG278" t="s">
        <v>390</v>
      </c>
      <c r="EH278">
        <v>0</v>
      </c>
      <c r="EI278" t="s">
        <v>6</v>
      </c>
      <c r="EJ278">
        <v>2</v>
      </c>
      <c r="EK278">
        <v>110011</v>
      </c>
      <c r="EL278" t="s">
        <v>430</v>
      </c>
      <c r="EM278" t="s">
        <v>431</v>
      </c>
      <c r="EO278" t="s">
        <v>6</v>
      </c>
      <c r="EQ278">
        <v>131072</v>
      </c>
      <c r="ER278">
        <v>66.180000000000007</v>
      </c>
      <c r="ES278">
        <v>12.61</v>
      </c>
      <c r="ET278">
        <v>0</v>
      </c>
      <c r="EU278">
        <v>0</v>
      </c>
      <c r="EV278">
        <v>53.57</v>
      </c>
      <c r="EW278">
        <v>5.4</v>
      </c>
      <c r="EX278">
        <v>0</v>
      </c>
      <c r="EY278">
        <v>0</v>
      </c>
      <c r="FQ278">
        <v>0</v>
      </c>
      <c r="FR278">
        <f t="shared" si="253"/>
        <v>0</v>
      </c>
      <c r="FS278">
        <v>0</v>
      </c>
      <c r="FX278">
        <v>80</v>
      </c>
      <c r="FY278">
        <v>60</v>
      </c>
      <c r="GA278" t="s">
        <v>6</v>
      </c>
      <c r="GD278">
        <v>0</v>
      </c>
      <c r="GF278">
        <v>-1802928035</v>
      </c>
      <c r="GG278">
        <v>1</v>
      </c>
      <c r="GH278">
        <v>1</v>
      </c>
      <c r="GI278">
        <v>4</v>
      </c>
      <c r="GJ278">
        <v>0</v>
      </c>
      <c r="GK278">
        <f>ROUND(R278*(R12)/100,2)</f>
        <v>0</v>
      </c>
      <c r="GL278">
        <f t="shared" si="254"/>
        <v>0</v>
      </c>
      <c r="GM278">
        <f t="shared" si="255"/>
        <v>1610.41</v>
      </c>
      <c r="GN278">
        <f t="shared" si="256"/>
        <v>0</v>
      </c>
      <c r="GO278">
        <f t="shared" si="257"/>
        <v>1610.41</v>
      </c>
      <c r="GP278">
        <f t="shared" si="258"/>
        <v>0</v>
      </c>
      <c r="GR278">
        <v>0</v>
      </c>
      <c r="GS278">
        <v>3</v>
      </c>
      <c r="GT278">
        <v>0</v>
      </c>
      <c r="GU278" t="s">
        <v>6</v>
      </c>
      <c r="GV278">
        <f t="shared" si="259"/>
        <v>0</v>
      </c>
      <c r="GW278">
        <v>1</v>
      </c>
      <c r="GX278">
        <f t="shared" si="260"/>
        <v>0</v>
      </c>
      <c r="HA278">
        <v>0</v>
      </c>
      <c r="HB278">
        <v>0</v>
      </c>
      <c r="HC278">
        <f t="shared" si="261"/>
        <v>0</v>
      </c>
      <c r="IK278">
        <v>0</v>
      </c>
    </row>
    <row r="279" spans="1:245" x14ac:dyDescent="0.2">
      <c r="A279">
        <v>18</v>
      </c>
      <c r="B279">
        <v>1</v>
      </c>
      <c r="C279">
        <v>359</v>
      </c>
      <c r="E279" t="s">
        <v>573</v>
      </c>
      <c r="F279" t="s">
        <v>574</v>
      </c>
      <c r="G279" t="s">
        <v>575</v>
      </c>
      <c r="H279" t="s">
        <v>42</v>
      </c>
      <c r="I279">
        <f>I278*J279</f>
        <v>17</v>
      </c>
      <c r="J279">
        <v>10</v>
      </c>
      <c r="O279">
        <f t="shared" si="228"/>
        <v>6606.93</v>
      </c>
      <c r="P279">
        <f t="shared" si="229"/>
        <v>6606.93</v>
      </c>
      <c r="Q279">
        <f t="shared" si="230"/>
        <v>0</v>
      </c>
      <c r="R279">
        <f t="shared" si="231"/>
        <v>0</v>
      </c>
      <c r="S279">
        <f t="shared" si="232"/>
        <v>0</v>
      </c>
      <c r="T279">
        <f t="shared" si="233"/>
        <v>0</v>
      </c>
      <c r="U279">
        <f t="shared" si="234"/>
        <v>0</v>
      </c>
      <c r="V279">
        <f t="shared" si="235"/>
        <v>0</v>
      </c>
      <c r="W279">
        <f t="shared" si="236"/>
        <v>0</v>
      </c>
      <c r="X279">
        <f t="shared" si="237"/>
        <v>0</v>
      </c>
      <c r="Y279">
        <f t="shared" si="238"/>
        <v>0</v>
      </c>
      <c r="AA279">
        <v>16802145</v>
      </c>
      <c r="AB279">
        <f t="shared" si="239"/>
        <v>57.92</v>
      </c>
      <c r="AC279">
        <f t="shared" si="262"/>
        <v>57.92</v>
      </c>
      <c r="AD279">
        <f t="shared" si="263"/>
        <v>0</v>
      </c>
      <c r="AE279">
        <f t="shared" si="264"/>
        <v>0</v>
      </c>
      <c r="AF279">
        <f t="shared" si="265"/>
        <v>0</v>
      </c>
      <c r="AG279">
        <f t="shared" si="240"/>
        <v>0</v>
      </c>
      <c r="AH279">
        <f t="shared" si="266"/>
        <v>0</v>
      </c>
      <c r="AI279">
        <f t="shared" si="267"/>
        <v>0</v>
      </c>
      <c r="AJ279">
        <f t="shared" si="241"/>
        <v>0</v>
      </c>
      <c r="AK279">
        <v>57.92</v>
      </c>
      <c r="AL279">
        <v>57.92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80</v>
      </c>
      <c r="AU279">
        <v>60</v>
      </c>
      <c r="AV279">
        <v>1</v>
      </c>
      <c r="AW279">
        <v>1</v>
      </c>
      <c r="AZ279">
        <v>6.71</v>
      </c>
      <c r="BA279">
        <v>1</v>
      </c>
      <c r="BB279">
        <v>1</v>
      </c>
      <c r="BC279">
        <v>6.71</v>
      </c>
      <c r="BD279" t="s">
        <v>6</v>
      </c>
      <c r="BE279" t="s">
        <v>6</v>
      </c>
      <c r="BF279" t="s">
        <v>6</v>
      </c>
      <c r="BG279" t="s">
        <v>6</v>
      </c>
      <c r="BH279">
        <v>3</v>
      </c>
      <c r="BI279">
        <v>2</v>
      </c>
      <c r="BJ279" t="s">
        <v>576</v>
      </c>
      <c r="BM279">
        <v>110011</v>
      </c>
      <c r="BN279">
        <v>0</v>
      </c>
      <c r="BO279" t="s">
        <v>6</v>
      </c>
      <c r="BP279">
        <v>0</v>
      </c>
      <c r="BQ279">
        <v>3</v>
      </c>
      <c r="BR279">
        <v>0</v>
      </c>
      <c r="BS279">
        <v>1</v>
      </c>
      <c r="BT279">
        <v>1</v>
      </c>
      <c r="BU279">
        <v>1</v>
      </c>
      <c r="BV279">
        <v>1</v>
      </c>
      <c r="BW279">
        <v>1</v>
      </c>
      <c r="BX279">
        <v>1</v>
      </c>
      <c r="BY279" t="s">
        <v>6</v>
      </c>
      <c r="BZ279">
        <v>80</v>
      </c>
      <c r="CA279">
        <v>60</v>
      </c>
      <c r="CE279">
        <v>0</v>
      </c>
      <c r="CF279">
        <v>0</v>
      </c>
      <c r="CG279">
        <v>0</v>
      </c>
      <c r="CM279">
        <v>0</v>
      </c>
      <c r="CN279" t="s">
        <v>6</v>
      </c>
      <c r="CO279">
        <v>0</v>
      </c>
      <c r="CP279">
        <f t="shared" si="242"/>
        <v>6606.93</v>
      </c>
      <c r="CQ279">
        <f t="shared" si="243"/>
        <v>388.64320000000004</v>
      </c>
      <c r="CR279">
        <f t="shared" si="244"/>
        <v>0</v>
      </c>
      <c r="CS279">
        <f t="shared" si="245"/>
        <v>0</v>
      </c>
      <c r="CT279">
        <f t="shared" si="246"/>
        <v>0</v>
      </c>
      <c r="CU279">
        <f t="shared" si="247"/>
        <v>0</v>
      </c>
      <c r="CV279">
        <f t="shared" si="248"/>
        <v>0</v>
      </c>
      <c r="CW279">
        <f t="shared" si="249"/>
        <v>0</v>
      </c>
      <c r="CX279">
        <f t="shared" si="250"/>
        <v>0</v>
      </c>
      <c r="CY279">
        <f t="shared" si="251"/>
        <v>0</v>
      </c>
      <c r="CZ279">
        <f t="shared" si="252"/>
        <v>0</v>
      </c>
      <c r="DC279" t="s">
        <v>6</v>
      </c>
      <c r="DD279" t="s">
        <v>6</v>
      </c>
      <c r="DE279" t="s">
        <v>6</v>
      </c>
      <c r="DF279" t="s">
        <v>6</v>
      </c>
      <c r="DG279" t="s">
        <v>6</v>
      </c>
      <c r="DH279" t="s">
        <v>6</v>
      </c>
      <c r="DI279" t="s">
        <v>6</v>
      </c>
      <c r="DJ279" t="s">
        <v>6</v>
      </c>
      <c r="DK279" t="s">
        <v>6</v>
      </c>
      <c r="DL279" t="s">
        <v>6</v>
      </c>
      <c r="DM279" t="s">
        <v>6</v>
      </c>
      <c r="DN279">
        <v>0</v>
      </c>
      <c r="DO279">
        <v>0</v>
      </c>
      <c r="DP279">
        <v>1</v>
      </c>
      <c r="DQ279">
        <v>1</v>
      </c>
      <c r="DU279">
        <v>1010</v>
      </c>
      <c r="DV279" t="s">
        <v>42</v>
      </c>
      <c r="DW279" t="s">
        <v>42</v>
      </c>
      <c r="DX279">
        <v>1</v>
      </c>
      <c r="EE279">
        <v>16510417</v>
      </c>
      <c r="EF279">
        <v>3</v>
      </c>
      <c r="EG279" t="s">
        <v>390</v>
      </c>
      <c r="EH279">
        <v>0</v>
      </c>
      <c r="EI279" t="s">
        <v>6</v>
      </c>
      <c r="EJ279">
        <v>2</v>
      </c>
      <c r="EK279">
        <v>110011</v>
      </c>
      <c r="EL279" t="s">
        <v>430</v>
      </c>
      <c r="EM279" t="s">
        <v>431</v>
      </c>
      <c r="EO279" t="s">
        <v>6</v>
      </c>
      <c r="EQ279">
        <v>0</v>
      </c>
      <c r="ER279">
        <v>57.92</v>
      </c>
      <c r="ES279">
        <v>57.92</v>
      </c>
      <c r="ET279">
        <v>0</v>
      </c>
      <c r="EU279">
        <v>0</v>
      </c>
      <c r="EV279">
        <v>0</v>
      </c>
      <c r="EW279">
        <v>0</v>
      </c>
      <c r="EX279">
        <v>0</v>
      </c>
      <c r="FQ279">
        <v>0</v>
      </c>
      <c r="FR279">
        <f t="shared" si="253"/>
        <v>0</v>
      </c>
      <c r="FS279">
        <v>0</v>
      </c>
      <c r="FX279">
        <v>80</v>
      </c>
      <c r="FY279">
        <v>60</v>
      </c>
      <c r="GA279" t="s">
        <v>6</v>
      </c>
      <c r="GD279">
        <v>0</v>
      </c>
      <c r="GF279">
        <v>-1091684358</v>
      </c>
      <c r="GG279">
        <v>1</v>
      </c>
      <c r="GH279">
        <v>1</v>
      </c>
      <c r="GI279">
        <v>4</v>
      </c>
      <c r="GJ279">
        <v>0</v>
      </c>
      <c r="GK279">
        <f>ROUND(R279*(R12)/100,2)</f>
        <v>0</v>
      </c>
      <c r="GL279">
        <f t="shared" si="254"/>
        <v>0</v>
      </c>
      <c r="GM279">
        <f t="shared" si="255"/>
        <v>6606.93</v>
      </c>
      <c r="GN279">
        <f t="shared" si="256"/>
        <v>0</v>
      </c>
      <c r="GO279">
        <f t="shared" si="257"/>
        <v>6606.93</v>
      </c>
      <c r="GP279">
        <f t="shared" si="258"/>
        <v>0</v>
      </c>
      <c r="GR279">
        <v>0</v>
      </c>
      <c r="GS279">
        <v>3</v>
      </c>
      <c r="GT279">
        <v>0</v>
      </c>
      <c r="GU279" t="s">
        <v>6</v>
      </c>
      <c r="GV279">
        <f t="shared" si="259"/>
        <v>0</v>
      </c>
      <c r="GW279">
        <v>1</v>
      </c>
      <c r="GX279">
        <f t="shared" si="260"/>
        <v>0</v>
      </c>
      <c r="HA279">
        <v>0</v>
      </c>
      <c r="HB279">
        <v>0</v>
      </c>
      <c r="HC279">
        <f t="shared" si="261"/>
        <v>0</v>
      </c>
      <c r="IK279">
        <v>0</v>
      </c>
    </row>
    <row r="280" spans="1:245" x14ac:dyDescent="0.2">
      <c r="A280">
        <v>17</v>
      </c>
      <c r="B280">
        <v>1</v>
      </c>
      <c r="C280">
        <f>ROW(SmtRes!A364)</f>
        <v>364</v>
      </c>
      <c r="D280">
        <f>ROW(EtalonRes!A345)</f>
        <v>345</v>
      </c>
      <c r="E280" t="s">
        <v>577</v>
      </c>
      <c r="F280" t="s">
        <v>446</v>
      </c>
      <c r="G280" t="s">
        <v>447</v>
      </c>
      <c r="H280" t="s">
        <v>18</v>
      </c>
      <c r="I280">
        <f>ROUND(37/100,9)</f>
        <v>0.37</v>
      </c>
      <c r="J280">
        <v>0</v>
      </c>
      <c r="O280">
        <f t="shared" si="228"/>
        <v>388.12</v>
      </c>
      <c r="P280">
        <f t="shared" si="229"/>
        <v>41.68</v>
      </c>
      <c r="Q280">
        <f t="shared" si="230"/>
        <v>0</v>
      </c>
      <c r="R280">
        <f t="shared" si="231"/>
        <v>0</v>
      </c>
      <c r="S280">
        <f t="shared" si="232"/>
        <v>346.44</v>
      </c>
      <c r="T280">
        <f t="shared" si="233"/>
        <v>0</v>
      </c>
      <c r="U280">
        <f t="shared" si="234"/>
        <v>5.6239999999999997</v>
      </c>
      <c r="V280">
        <f t="shared" si="235"/>
        <v>0</v>
      </c>
      <c r="W280">
        <f t="shared" si="236"/>
        <v>0</v>
      </c>
      <c r="X280">
        <f t="shared" si="237"/>
        <v>329.12</v>
      </c>
      <c r="Y280">
        <f t="shared" si="238"/>
        <v>225.19</v>
      </c>
      <c r="AA280">
        <v>16802145</v>
      </c>
      <c r="AB280">
        <f t="shared" si="239"/>
        <v>156.33000000000001</v>
      </c>
      <c r="AC280">
        <f t="shared" si="262"/>
        <v>16.79</v>
      </c>
      <c r="AD280">
        <f t="shared" si="263"/>
        <v>0</v>
      </c>
      <c r="AE280">
        <f t="shared" si="264"/>
        <v>0</v>
      </c>
      <c r="AF280">
        <f t="shared" si="265"/>
        <v>139.54</v>
      </c>
      <c r="AG280">
        <f t="shared" si="240"/>
        <v>0</v>
      </c>
      <c r="AH280">
        <f t="shared" si="266"/>
        <v>15.2</v>
      </c>
      <c r="AI280">
        <f t="shared" si="267"/>
        <v>0</v>
      </c>
      <c r="AJ280">
        <f t="shared" si="241"/>
        <v>0</v>
      </c>
      <c r="AK280">
        <v>156.33000000000001</v>
      </c>
      <c r="AL280">
        <v>16.79</v>
      </c>
      <c r="AM280">
        <v>0</v>
      </c>
      <c r="AN280">
        <v>0</v>
      </c>
      <c r="AO280">
        <v>139.54</v>
      </c>
      <c r="AP280">
        <v>0</v>
      </c>
      <c r="AQ280">
        <v>15.2</v>
      </c>
      <c r="AR280">
        <v>0</v>
      </c>
      <c r="AS280">
        <v>0</v>
      </c>
      <c r="AT280">
        <v>95</v>
      </c>
      <c r="AU280">
        <v>65</v>
      </c>
      <c r="AV280">
        <v>1</v>
      </c>
      <c r="AW280">
        <v>1</v>
      </c>
      <c r="AZ280">
        <v>6.71</v>
      </c>
      <c r="BA280">
        <v>6.71</v>
      </c>
      <c r="BB280">
        <v>6.71</v>
      </c>
      <c r="BC280">
        <v>6.71</v>
      </c>
      <c r="BD280" t="s">
        <v>6</v>
      </c>
      <c r="BE280" t="s">
        <v>6</v>
      </c>
      <c r="BF280" t="s">
        <v>6</v>
      </c>
      <c r="BG280" t="s">
        <v>6</v>
      </c>
      <c r="BH280">
        <v>0</v>
      </c>
      <c r="BI280">
        <v>2</v>
      </c>
      <c r="BJ280" t="s">
        <v>448</v>
      </c>
      <c r="BM280">
        <v>108001</v>
      </c>
      <c r="BN280">
        <v>0</v>
      </c>
      <c r="BO280" t="s">
        <v>6</v>
      </c>
      <c r="BP280">
        <v>0</v>
      </c>
      <c r="BQ280">
        <v>3</v>
      </c>
      <c r="BR280">
        <v>0</v>
      </c>
      <c r="BS280">
        <v>6.71</v>
      </c>
      <c r="BT280">
        <v>1</v>
      </c>
      <c r="BU280">
        <v>1</v>
      </c>
      <c r="BV280">
        <v>1</v>
      </c>
      <c r="BW280">
        <v>1</v>
      </c>
      <c r="BX280">
        <v>1</v>
      </c>
      <c r="BY280" t="s">
        <v>6</v>
      </c>
      <c r="BZ280">
        <v>95</v>
      </c>
      <c r="CA280">
        <v>65</v>
      </c>
      <c r="CE280">
        <v>0</v>
      </c>
      <c r="CF280">
        <v>0</v>
      </c>
      <c r="CG280">
        <v>0</v>
      </c>
      <c r="CM280">
        <v>0</v>
      </c>
      <c r="CN280" t="s">
        <v>6</v>
      </c>
      <c r="CO280">
        <v>0</v>
      </c>
      <c r="CP280">
        <f t="shared" si="242"/>
        <v>388.12</v>
      </c>
      <c r="CQ280">
        <f t="shared" si="243"/>
        <v>112.6609</v>
      </c>
      <c r="CR280">
        <f t="shared" si="244"/>
        <v>0</v>
      </c>
      <c r="CS280">
        <f t="shared" si="245"/>
        <v>0</v>
      </c>
      <c r="CT280">
        <f t="shared" si="246"/>
        <v>936.31339999999989</v>
      </c>
      <c r="CU280">
        <f t="shared" si="247"/>
        <v>0</v>
      </c>
      <c r="CV280">
        <f t="shared" si="248"/>
        <v>15.2</v>
      </c>
      <c r="CW280">
        <f t="shared" si="249"/>
        <v>0</v>
      </c>
      <c r="CX280">
        <f t="shared" si="250"/>
        <v>0</v>
      </c>
      <c r="CY280">
        <f t="shared" si="251"/>
        <v>329.11800000000005</v>
      </c>
      <c r="CZ280">
        <f t="shared" si="252"/>
        <v>225.18599999999998</v>
      </c>
      <c r="DC280" t="s">
        <v>6</v>
      </c>
      <c r="DD280" t="s">
        <v>6</v>
      </c>
      <c r="DE280" t="s">
        <v>6</v>
      </c>
      <c r="DF280" t="s">
        <v>6</v>
      </c>
      <c r="DG280" t="s">
        <v>6</v>
      </c>
      <c r="DH280" t="s">
        <v>6</v>
      </c>
      <c r="DI280" t="s">
        <v>6</v>
      </c>
      <c r="DJ280" t="s">
        <v>6</v>
      </c>
      <c r="DK280" t="s">
        <v>6</v>
      </c>
      <c r="DL280" t="s">
        <v>6</v>
      </c>
      <c r="DM280" t="s">
        <v>6</v>
      </c>
      <c r="DN280">
        <v>0</v>
      </c>
      <c r="DO280">
        <v>0</v>
      </c>
      <c r="DP280">
        <v>1</v>
      </c>
      <c r="DQ280">
        <v>1</v>
      </c>
      <c r="DU280">
        <v>1003</v>
      </c>
      <c r="DV280" t="s">
        <v>18</v>
      </c>
      <c r="DW280" t="s">
        <v>18</v>
      </c>
      <c r="DX280">
        <v>100</v>
      </c>
      <c r="EE280">
        <v>16510370</v>
      </c>
      <c r="EF280">
        <v>3</v>
      </c>
      <c r="EG280" t="s">
        <v>390</v>
      </c>
      <c r="EH280">
        <v>0</v>
      </c>
      <c r="EI280" t="s">
        <v>6</v>
      </c>
      <c r="EJ280">
        <v>2</v>
      </c>
      <c r="EK280">
        <v>108001</v>
      </c>
      <c r="EL280" t="s">
        <v>391</v>
      </c>
      <c r="EM280" t="s">
        <v>392</v>
      </c>
      <c r="EO280" t="s">
        <v>6</v>
      </c>
      <c r="EQ280">
        <v>131072</v>
      </c>
      <c r="ER280">
        <v>156.33000000000001</v>
      </c>
      <c r="ES280">
        <v>16.79</v>
      </c>
      <c r="ET280">
        <v>0</v>
      </c>
      <c r="EU280">
        <v>0</v>
      </c>
      <c r="EV280">
        <v>139.54</v>
      </c>
      <c r="EW280">
        <v>15.2</v>
      </c>
      <c r="EX280">
        <v>0</v>
      </c>
      <c r="EY280">
        <v>0</v>
      </c>
      <c r="FQ280">
        <v>0</v>
      </c>
      <c r="FR280">
        <f t="shared" si="253"/>
        <v>0</v>
      </c>
      <c r="FS280">
        <v>0</v>
      </c>
      <c r="FX280">
        <v>95</v>
      </c>
      <c r="FY280">
        <v>65</v>
      </c>
      <c r="GA280" t="s">
        <v>6</v>
      </c>
      <c r="GD280">
        <v>0</v>
      </c>
      <c r="GF280">
        <v>-596386547</v>
      </c>
      <c r="GG280">
        <v>1</v>
      </c>
      <c r="GH280">
        <v>1</v>
      </c>
      <c r="GI280">
        <v>4</v>
      </c>
      <c r="GJ280">
        <v>0</v>
      </c>
      <c r="GK280">
        <f>ROUND(R280*(R12)/100,2)</f>
        <v>0</v>
      </c>
      <c r="GL280">
        <f t="shared" si="254"/>
        <v>0</v>
      </c>
      <c r="GM280">
        <f t="shared" si="255"/>
        <v>942.43</v>
      </c>
      <c r="GN280">
        <f t="shared" si="256"/>
        <v>0</v>
      </c>
      <c r="GO280">
        <f t="shared" si="257"/>
        <v>942.43</v>
      </c>
      <c r="GP280">
        <f t="shared" si="258"/>
        <v>0</v>
      </c>
      <c r="GR280">
        <v>0</v>
      </c>
      <c r="GS280">
        <v>3</v>
      </c>
      <c r="GT280">
        <v>0</v>
      </c>
      <c r="GU280" t="s">
        <v>6</v>
      </c>
      <c r="GV280">
        <f t="shared" si="259"/>
        <v>0</v>
      </c>
      <c r="GW280">
        <v>1</v>
      </c>
      <c r="GX280">
        <f t="shared" si="260"/>
        <v>0</v>
      </c>
      <c r="HA280">
        <v>0</v>
      </c>
      <c r="HB280">
        <v>0</v>
      </c>
      <c r="HC280">
        <f t="shared" si="261"/>
        <v>0</v>
      </c>
      <c r="IK280">
        <v>0</v>
      </c>
    </row>
    <row r="281" spans="1:245" x14ac:dyDescent="0.2">
      <c r="A281">
        <v>18</v>
      </c>
      <c r="B281">
        <v>1</v>
      </c>
      <c r="C281">
        <v>363</v>
      </c>
      <c r="E281" t="s">
        <v>578</v>
      </c>
      <c r="F281" t="s">
        <v>579</v>
      </c>
      <c r="G281" t="s">
        <v>580</v>
      </c>
      <c r="H281" t="s">
        <v>424</v>
      </c>
      <c r="I281">
        <f>I280*J281</f>
        <v>3.7</v>
      </c>
      <c r="J281">
        <v>10</v>
      </c>
      <c r="O281">
        <f t="shared" si="228"/>
        <v>609.25</v>
      </c>
      <c r="P281">
        <f t="shared" si="229"/>
        <v>609.25</v>
      </c>
      <c r="Q281">
        <f t="shared" si="230"/>
        <v>0</v>
      </c>
      <c r="R281">
        <f t="shared" si="231"/>
        <v>0</v>
      </c>
      <c r="S281">
        <f t="shared" si="232"/>
        <v>0</v>
      </c>
      <c r="T281">
        <f t="shared" si="233"/>
        <v>0</v>
      </c>
      <c r="U281">
        <f t="shared" si="234"/>
        <v>0</v>
      </c>
      <c r="V281">
        <f t="shared" si="235"/>
        <v>0</v>
      </c>
      <c r="W281">
        <f t="shared" si="236"/>
        <v>0</v>
      </c>
      <c r="X281">
        <f t="shared" si="237"/>
        <v>0</v>
      </c>
      <c r="Y281">
        <f t="shared" si="238"/>
        <v>0</v>
      </c>
      <c r="AA281">
        <v>16802145</v>
      </c>
      <c r="AB281">
        <f t="shared" si="239"/>
        <v>24.54</v>
      </c>
      <c r="AC281">
        <f t="shared" si="262"/>
        <v>24.54</v>
      </c>
      <c r="AD281">
        <f t="shared" si="263"/>
        <v>0</v>
      </c>
      <c r="AE281">
        <f t="shared" si="264"/>
        <v>0</v>
      </c>
      <c r="AF281">
        <f t="shared" si="265"/>
        <v>0</v>
      </c>
      <c r="AG281">
        <f t="shared" si="240"/>
        <v>0</v>
      </c>
      <c r="AH281">
        <f t="shared" si="266"/>
        <v>0</v>
      </c>
      <c r="AI281">
        <f t="shared" si="267"/>
        <v>0</v>
      </c>
      <c r="AJ281">
        <f t="shared" si="241"/>
        <v>0</v>
      </c>
      <c r="AK281">
        <v>24.54</v>
      </c>
      <c r="AL281">
        <v>24.54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95</v>
      </c>
      <c r="AU281">
        <v>65</v>
      </c>
      <c r="AV281">
        <v>1</v>
      </c>
      <c r="AW281">
        <v>1</v>
      </c>
      <c r="AZ281">
        <v>6.71</v>
      </c>
      <c r="BA281">
        <v>1</v>
      </c>
      <c r="BB281">
        <v>1</v>
      </c>
      <c r="BC281">
        <v>6.71</v>
      </c>
      <c r="BD281" t="s">
        <v>6</v>
      </c>
      <c r="BE281" t="s">
        <v>6</v>
      </c>
      <c r="BF281" t="s">
        <v>6</v>
      </c>
      <c r="BG281" t="s">
        <v>6</v>
      </c>
      <c r="BH281">
        <v>3</v>
      </c>
      <c r="BI281">
        <v>2</v>
      </c>
      <c r="BJ281" t="s">
        <v>581</v>
      </c>
      <c r="BM281">
        <v>108001</v>
      </c>
      <c r="BN281">
        <v>0</v>
      </c>
      <c r="BO281" t="s">
        <v>6</v>
      </c>
      <c r="BP281">
        <v>0</v>
      </c>
      <c r="BQ281">
        <v>3</v>
      </c>
      <c r="BR281">
        <v>0</v>
      </c>
      <c r="BS281">
        <v>1</v>
      </c>
      <c r="BT281">
        <v>1</v>
      </c>
      <c r="BU281">
        <v>1</v>
      </c>
      <c r="BV281">
        <v>1</v>
      </c>
      <c r="BW281">
        <v>1</v>
      </c>
      <c r="BX281">
        <v>1</v>
      </c>
      <c r="BY281" t="s">
        <v>6</v>
      </c>
      <c r="BZ281">
        <v>95</v>
      </c>
      <c r="CA281">
        <v>65</v>
      </c>
      <c r="CE281">
        <v>0</v>
      </c>
      <c r="CF281">
        <v>0</v>
      </c>
      <c r="CG281">
        <v>0</v>
      </c>
      <c r="CM281">
        <v>0</v>
      </c>
      <c r="CN281" t="s">
        <v>6</v>
      </c>
      <c r="CO281">
        <v>0</v>
      </c>
      <c r="CP281">
        <f t="shared" si="242"/>
        <v>609.25</v>
      </c>
      <c r="CQ281">
        <f t="shared" si="243"/>
        <v>164.6634</v>
      </c>
      <c r="CR281">
        <f t="shared" si="244"/>
        <v>0</v>
      </c>
      <c r="CS281">
        <f t="shared" si="245"/>
        <v>0</v>
      </c>
      <c r="CT281">
        <f t="shared" si="246"/>
        <v>0</v>
      </c>
      <c r="CU281">
        <f t="shared" si="247"/>
        <v>0</v>
      </c>
      <c r="CV281">
        <f t="shared" si="248"/>
        <v>0</v>
      </c>
      <c r="CW281">
        <f t="shared" si="249"/>
        <v>0</v>
      </c>
      <c r="CX281">
        <f t="shared" si="250"/>
        <v>0</v>
      </c>
      <c r="CY281">
        <f t="shared" si="251"/>
        <v>0</v>
      </c>
      <c r="CZ281">
        <f t="shared" si="252"/>
        <v>0</v>
      </c>
      <c r="DC281" t="s">
        <v>6</v>
      </c>
      <c r="DD281" t="s">
        <v>6</v>
      </c>
      <c r="DE281" t="s">
        <v>6</v>
      </c>
      <c r="DF281" t="s">
        <v>6</v>
      </c>
      <c r="DG281" t="s">
        <v>6</v>
      </c>
      <c r="DH281" t="s">
        <v>6</v>
      </c>
      <c r="DI281" t="s">
        <v>6</v>
      </c>
      <c r="DJ281" t="s">
        <v>6</v>
      </c>
      <c r="DK281" t="s">
        <v>6</v>
      </c>
      <c r="DL281" t="s">
        <v>6</v>
      </c>
      <c r="DM281" t="s">
        <v>6</v>
      </c>
      <c r="DN281">
        <v>0</v>
      </c>
      <c r="DO281">
        <v>0</v>
      </c>
      <c r="DP281">
        <v>1</v>
      </c>
      <c r="DQ281">
        <v>1</v>
      </c>
      <c r="DU281">
        <v>1003</v>
      </c>
      <c r="DV281" t="s">
        <v>424</v>
      </c>
      <c r="DW281" t="s">
        <v>424</v>
      </c>
      <c r="DX281">
        <v>10</v>
      </c>
      <c r="EE281">
        <v>16510370</v>
      </c>
      <c r="EF281">
        <v>3</v>
      </c>
      <c r="EG281" t="s">
        <v>390</v>
      </c>
      <c r="EH281">
        <v>0</v>
      </c>
      <c r="EI281" t="s">
        <v>6</v>
      </c>
      <c r="EJ281">
        <v>2</v>
      </c>
      <c r="EK281">
        <v>108001</v>
      </c>
      <c r="EL281" t="s">
        <v>391</v>
      </c>
      <c r="EM281" t="s">
        <v>392</v>
      </c>
      <c r="EO281" t="s">
        <v>6</v>
      </c>
      <c r="EQ281">
        <v>0</v>
      </c>
      <c r="ER281">
        <v>24.54</v>
      </c>
      <c r="ES281">
        <v>24.54</v>
      </c>
      <c r="ET281">
        <v>0</v>
      </c>
      <c r="EU281">
        <v>0</v>
      </c>
      <c r="EV281">
        <v>0</v>
      </c>
      <c r="EW281">
        <v>0</v>
      </c>
      <c r="EX281">
        <v>0</v>
      </c>
      <c r="FQ281">
        <v>0</v>
      </c>
      <c r="FR281">
        <f t="shared" si="253"/>
        <v>0</v>
      </c>
      <c r="FS281">
        <v>0</v>
      </c>
      <c r="FX281">
        <v>95</v>
      </c>
      <c r="FY281">
        <v>65</v>
      </c>
      <c r="GA281" t="s">
        <v>6</v>
      </c>
      <c r="GD281">
        <v>0</v>
      </c>
      <c r="GF281">
        <v>1802750156</v>
      </c>
      <c r="GG281">
        <v>1</v>
      </c>
      <c r="GH281">
        <v>1</v>
      </c>
      <c r="GI281">
        <v>4</v>
      </c>
      <c r="GJ281">
        <v>0</v>
      </c>
      <c r="GK281">
        <f>ROUND(R281*(R12)/100,2)</f>
        <v>0</v>
      </c>
      <c r="GL281">
        <f t="shared" si="254"/>
        <v>0</v>
      </c>
      <c r="GM281">
        <f t="shared" si="255"/>
        <v>609.25</v>
      </c>
      <c r="GN281">
        <f t="shared" si="256"/>
        <v>0</v>
      </c>
      <c r="GO281">
        <f t="shared" si="257"/>
        <v>609.25</v>
      </c>
      <c r="GP281">
        <f t="shared" si="258"/>
        <v>0</v>
      </c>
      <c r="GR281">
        <v>0</v>
      </c>
      <c r="GS281">
        <v>3</v>
      </c>
      <c r="GT281">
        <v>0</v>
      </c>
      <c r="GU281" t="s">
        <v>6</v>
      </c>
      <c r="GV281">
        <f t="shared" si="259"/>
        <v>0</v>
      </c>
      <c r="GW281">
        <v>1</v>
      </c>
      <c r="GX281">
        <f t="shared" si="260"/>
        <v>0</v>
      </c>
      <c r="HA281">
        <v>0</v>
      </c>
      <c r="HB281">
        <v>0</v>
      </c>
      <c r="HC281">
        <f t="shared" si="261"/>
        <v>0</v>
      </c>
      <c r="IK281">
        <v>0</v>
      </c>
    </row>
    <row r="282" spans="1:245" x14ac:dyDescent="0.2">
      <c r="A282">
        <v>17</v>
      </c>
      <c r="B282">
        <v>1</v>
      </c>
      <c r="C282">
        <f>ROW(SmtRes!A375)</f>
        <v>375</v>
      </c>
      <c r="D282">
        <f>ROW(EtalonRes!A355)</f>
        <v>355</v>
      </c>
      <c r="E282" t="s">
        <v>582</v>
      </c>
      <c r="F282" t="s">
        <v>583</v>
      </c>
      <c r="G282" t="s">
        <v>584</v>
      </c>
      <c r="H282" t="s">
        <v>18</v>
      </c>
      <c r="I282">
        <f>ROUND(49/100,9)</f>
        <v>0.49</v>
      </c>
      <c r="J282">
        <v>0</v>
      </c>
      <c r="O282">
        <f t="shared" si="228"/>
        <v>225.88</v>
      </c>
      <c r="P282">
        <f t="shared" si="229"/>
        <v>47.61</v>
      </c>
      <c r="Q282">
        <f t="shared" si="230"/>
        <v>11.67</v>
      </c>
      <c r="R282">
        <f t="shared" si="231"/>
        <v>1.64</v>
      </c>
      <c r="S282">
        <f t="shared" si="232"/>
        <v>166.6</v>
      </c>
      <c r="T282">
        <f t="shared" si="233"/>
        <v>0</v>
      </c>
      <c r="U282">
        <f t="shared" si="234"/>
        <v>2.6410999999999998</v>
      </c>
      <c r="V282">
        <f t="shared" si="235"/>
        <v>1.9599999999999999E-2</v>
      </c>
      <c r="W282">
        <f t="shared" si="236"/>
        <v>0</v>
      </c>
      <c r="X282">
        <f t="shared" si="237"/>
        <v>159.83000000000001</v>
      </c>
      <c r="Y282">
        <f t="shared" si="238"/>
        <v>109.36</v>
      </c>
      <c r="AA282">
        <v>16802145</v>
      </c>
      <c r="AB282">
        <f t="shared" si="239"/>
        <v>68.7</v>
      </c>
      <c r="AC282">
        <f t="shared" si="262"/>
        <v>14.48</v>
      </c>
      <c r="AD282">
        <f t="shared" si="263"/>
        <v>3.55</v>
      </c>
      <c r="AE282">
        <f t="shared" si="264"/>
        <v>0.5</v>
      </c>
      <c r="AF282">
        <f t="shared" si="265"/>
        <v>50.67</v>
      </c>
      <c r="AG282">
        <f t="shared" si="240"/>
        <v>0</v>
      </c>
      <c r="AH282">
        <f t="shared" si="266"/>
        <v>5.39</v>
      </c>
      <c r="AI282">
        <f t="shared" si="267"/>
        <v>0.04</v>
      </c>
      <c r="AJ282">
        <f t="shared" si="241"/>
        <v>0</v>
      </c>
      <c r="AK282">
        <v>68.7</v>
      </c>
      <c r="AL282">
        <v>14.48</v>
      </c>
      <c r="AM282">
        <v>3.55</v>
      </c>
      <c r="AN282">
        <v>0.5</v>
      </c>
      <c r="AO282">
        <v>50.67</v>
      </c>
      <c r="AP282">
        <v>0</v>
      </c>
      <c r="AQ282">
        <v>5.39</v>
      </c>
      <c r="AR282">
        <v>0.04</v>
      </c>
      <c r="AS282">
        <v>0</v>
      </c>
      <c r="AT282">
        <v>95</v>
      </c>
      <c r="AU282">
        <v>65</v>
      </c>
      <c r="AV282">
        <v>1</v>
      </c>
      <c r="AW282">
        <v>1</v>
      </c>
      <c r="AZ282">
        <v>6.71</v>
      </c>
      <c r="BA282">
        <v>6.71</v>
      </c>
      <c r="BB282">
        <v>6.71</v>
      </c>
      <c r="BC282">
        <v>6.71</v>
      </c>
      <c r="BD282" t="s">
        <v>6</v>
      </c>
      <c r="BE282" t="s">
        <v>6</v>
      </c>
      <c r="BF282" t="s">
        <v>6</v>
      </c>
      <c r="BG282" t="s">
        <v>6</v>
      </c>
      <c r="BH282">
        <v>0</v>
      </c>
      <c r="BI282">
        <v>2</v>
      </c>
      <c r="BJ282" t="s">
        <v>585</v>
      </c>
      <c r="BM282">
        <v>108001</v>
      </c>
      <c r="BN282">
        <v>0</v>
      </c>
      <c r="BO282" t="s">
        <v>6</v>
      </c>
      <c r="BP282">
        <v>0</v>
      </c>
      <c r="BQ282">
        <v>3</v>
      </c>
      <c r="BR282">
        <v>0</v>
      </c>
      <c r="BS282">
        <v>6.71</v>
      </c>
      <c r="BT282">
        <v>1</v>
      </c>
      <c r="BU282">
        <v>1</v>
      </c>
      <c r="BV282">
        <v>1</v>
      </c>
      <c r="BW282">
        <v>1</v>
      </c>
      <c r="BX282">
        <v>1</v>
      </c>
      <c r="BY282" t="s">
        <v>6</v>
      </c>
      <c r="BZ282">
        <v>95</v>
      </c>
      <c r="CA282">
        <v>65</v>
      </c>
      <c r="CE282">
        <v>0</v>
      </c>
      <c r="CF282">
        <v>0</v>
      </c>
      <c r="CG282">
        <v>0</v>
      </c>
      <c r="CM282">
        <v>0</v>
      </c>
      <c r="CN282" t="s">
        <v>6</v>
      </c>
      <c r="CO282">
        <v>0</v>
      </c>
      <c r="CP282">
        <f t="shared" si="242"/>
        <v>225.88</v>
      </c>
      <c r="CQ282">
        <f t="shared" si="243"/>
        <v>97.160800000000009</v>
      </c>
      <c r="CR282">
        <f t="shared" si="244"/>
        <v>23.820499999999999</v>
      </c>
      <c r="CS282">
        <f t="shared" si="245"/>
        <v>3.355</v>
      </c>
      <c r="CT282">
        <f t="shared" si="246"/>
        <v>339.9957</v>
      </c>
      <c r="CU282">
        <f t="shared" si="247"/>
        <v>0</v>
      </c>
      <c r="CV282">
        <f t="shared" si="248"/>
        <v>5.39</v>
      </c>
      <c r="CW282">
        <f t="shared" si="249"/>
        <v>0.04</v>
      </c>
      <c r="CX282">
        <f t="shared" si="250"/>
        <v>0</v>
      </c>
      <c r="CY282">
        <f t="shared" si="251"/>
        <v>159.82799999999997</v>
      </c>
      <c r="CZ282">
        <f t="shared" si="252"/>
        <v>109.35599999999998</v>
      </c>
      <c r="DC282" t="s">
        <v>6</v>
      </c>
      <c r="DD282" t="s">
        <v>6</v>
      </c>
      <c r="DE282" t="s">
        <v>6</v>
      </c>
      <c r="DF282" t="s">
        <v>6</v>
      </c>
      <c r="DG282" t="s">
        <v>6</v>
      </c>
      <c r="DH282" t="s">
        <v>6</v>
      </c>
      <c r="DI282" t="s">
        <v>6</v>
      </c>
      <c r="DJ282" t="s">
        <v>6</v>
      </c>
      <c r="DK282" t="s">
        <v>6</v>
      </c>
      <c r="DL282" t="s">
        <v>6</v>
      </c>
      <c r="DM282" t="s">
        <v>6</v>
      </c>
      <c r="DN282">
        <v>0</v>
      </c>
      <c r="DO282">
        <v>0</v>
      </c>
      <c r="DP282">
        <v>1</v>
      </c>
      <c r="DQ282">
        <v>1</v>
      </c>
      <c r="DU282">
        <v>1003</v>
      </c>
      <c r="DV282" t="s">
        <v>18</v>
      </c>
      <c r="DW282" t="s">
        <v>18</v>
      </c>
      <c r="DX282">
        <v>100</v>
      </c>
      <c r="EE282">
        <v>16510370</v>
      </c>
      <c r="EF282">
        <v>3</v>
      </c>
      <c r="EG282" t="s">
        <v>390</v>
      </c>
      <c r="EH282">
        <v>0</v>
      </c>
      <c r="EI282" t="s">
        <v>6</v>
      </c>
      <c r="EJ282">
        <v>2</v>
      </c>
      <c r="EK282">
        <v>108001</v>
      </c>
      <c r="EL282" t="s">
        <v>391</v>
      </c>
      <c r="EM282" t="s">
        <v>392</v>
      </c>
      <c r="EO282" t="s">
        <v>6</v>
      </c>
      <c r="EQ282">
        <v>131072</v>
      </c>
      <c r="ER282">
        <v>68.7</v>
      </c>
      <c r="ES282">
        <v>14.48</v>
      </c>
      <c r="ET282">
        <v>3.55</v>
      </c>
      <c r="EU282">
        <v>0.5</v>
      </c>
      <c r="EV282">
        <v>50.67</v>
      </c>
      <c r="EW282">
        <v>5.39</v>
      </c>
      <c r="EX282">
        <v>0.04</v>
      </c>
      <c r="EY282">
        <v>0</v>
      </c>
      <c r="FQ282">
        <v>0</v>
      </c>
      <c r="FR282">
        <f t="shared" si="253"/>
        <v>0</v>
      </c>
      <c r="FS282">
        <v>0</v>
      </c>
      <c r="FX282">
        <v>95</v>
      </c>
      <c r="FY282">
        <v>65</v>
      </c>
      <c r="GA282" t="s">
        <v>6</v>
      </c>
      <c r="GD282">
        <v>0</v>
      </c>
      <c r="GF282">
        <v>-1215790049</v>
      </c>
      <c r="GG282">
        <v>1</v>
      </c>
      <c r="GH282">
        <v>1</v>
      </c>
      <c r="GI282">
        <v>4</v>
      </c>
      <c r="GJ282">
        <v>0</v>
      </c>
      <c r="GK282">
        <f>ROUND(R282*(R12)/100,2)</f>
        <v>0</v>
      </c>
      <c r="GL282">
        <f t="shared" si="254"/>
        <v>0</v>
      </c>
      <c r="GM282">
        <f t="shared" si="255"/>
        <v>495.07</v>
      </c>
      <c r="GN282">
        <f t="shared" si="256"/>
        <v>0</v>
      </c>
      <c r="GO282">
        <f t="shared" si="257"/>
        <v>495.07</v>
      </c>
      <c r="GP282">
        <f t="shared" si="258"/>
        <v>0</v>
      </c>
      <c r="GR282">
        <v>0</v>
      </c>
      <c r="GS282">
        <v>3</v>
      </c>
      <c r="GT282">
        <v>0</v>
      </c>
      <c r="GU282" t="s">
        <v>6</v>
      </c>
      <c r="GV282">
        <f t="shared" si="259"/>
        <v>0</v>
      </c>
      <c r="GW282">
        <v>1</v>
      </c>
      <c r="GX282">
        <f t="shared" si="260"/>
        <v>0</v>
      </c>
      <c r="HA282">
        <v>0</v>
      </c>
      <c r="HB282">
        <v>0</v>
      </c>
      <c r="HC282">
        <f t="shared" si="261"/>
        <v>0</v>
      </c>
      <c r="IK282">
        <v>0</v>
      </c>
    </row>
    <row r="283" spans="1:245" x14ac:dyDescent="0.2">
      <c r="A283">
        <v>18</v>
      </c>
      <c r="B283">
        <v>1</v>
      </c>
      <c r="C283">
        <v>374</v>
      </c>
      <c r="E283" t="s">
        <v>586</v>
      </c>
      <c r="F283" t="s">
        <v>587</v>
      </c>
      <c r="G283" t="s">
        <v>964</v>
      </c>
      <c r="H283" t="s">
        <v>460</v>
      </c>
      <c r="I283">
        <f>I282*J283</f>
        <v>4.9000000000000002E-2</v>
      </c>
      <c r="J283">
        <v>0.1</v>
      </c>
      <c r="O283">
        <f t="shared" si="228"/>
        <v>1408.54</v>
      </c>
      <c r="P283">
        <f t="shared" si="229"/>
        <v>1408.54</v>
      </c>
      <c r="Q283">
        <f t="shared" si="230"/>
        <v>0</v>
      </c>
      <c r="R283">
        <f t="shared" si="231"/>
        <v>0</v>
      </c>
      <c r="S283">
        <f t="shared" si="232"/>
        <v>0</v>
      </c>
      <c r="T283">
        <f t="shared" si="233"/>
        <v>0</v>
      </c>
      <c r="U283">
        <f t="shared" si="234"/>
        <v>0</v>
      </c>
      <c r="V283">
        <f t="shared" si="235"/>
        <v>0</v>
      </c>
      <c r="W283">
        <f t="shared" si="236"/>
        <v>0</v>
      </c>
      <c r="X283">
        <f t="shared" si="237"/>
        <v>0</v>
      </c>
      <c r="Y283">
        <f t="shared" si="238"/>
        <v>0</v>
      </c>
      <c r="AA283">
        <v>16802145</v>
      </c>
      <c r="AB283">
        <f t="shared" si="239"/>
        <v>4284.0200000000004</v>
      </c>
      <c r="AC283">
        <f t="shared" si="262"/>
        <v>4284.0200000000004</v>
      </c>
      <c r="AD283">
        <f t="shared" si="263"/>
        <v>0</v>
      </c>
      <c r="AE283">
        <f t="shared" si="264"/>
        <v>0</v>
      </c>
      <c r="AF283">
        <f t="shared" si="265"/>
        <v>0</v>
      </c>
      <c r="AG283">
        <f t="shared" si="240"/>
        <v>0</v>
      </c>
      <c r="AH283">
        <f t="shared" si="266"/>
        <v>0</v>
      </c>
      <c r="AI283">
        <f t="shared" si="267"/>
        <v>0</v>
      </c>
      <c r="AJ283">
        <f t="shared" si="241"/>
        <v>0</v>
      </c>
      <c r="AK283">
        <v>4284.0200000000004</v>
      </c>
      <c r="AL283">
        <v>4284.0200000000004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95</v>
      </c>
      <c r="AU283">
        <v>65</v>
      </c>
      <c r="AV283">
        <v>1</v>
      </c>
      <c r="AW283">
        <v>1</v>
      </c>
      <c r="AZ283">
        <v>6.71</v>
      </c>
      <c r="BA283">
        <v>1</v>
      </c>
      <c r="BB283">
        <v>1</v>
      </c>
      <c r="BC283">
        <v>6.71</v>
      </c>
      <c r="BD283" t="s">
        <v>6</v>
      </c>
      <c r="BE283" t="s">
        <v>6</v>
      </c>
      <c r="BF283" t="s">
        <v>6</v>
      </c>
      <c r="BG283" t="s">
        <v>6</v>
      </c>
      <c r="BH283">
        <v>3</v>
      </c>
      <c r="BI283">
        <v>2</v>
      </c>
      <c r="BJ283" t="s">
        <v>588</v>
      </c>
      <c r="BM283">
        <v>108001</v>
      </c>
      <c r="BN283">
        <v>0</v>
      </c>
      <c r="BO283" t="s">
        <v>6</v>
      </c>
      <c r="BP283">
        <v>0</v>
      </c>
      <c r="BQ283">
        <v>3</v>
      </c>
      <c r="BR283">
        <v>0</v>
      </c>
      <c r="BS283">
        <v>1</v>
      </c>
      <c r="BT283">
        <v>1</v>
      </c>
      <c r="BU283">
        <v>1</v>
      </c>
      <c r="BV283">
        <v>1</v>
      </c>
      <c r="BW283">
        <v>1</v>
      </c>
      <c r="BX283">
        <v>1</v>
      </c>
      <c r="BY283" t="s">
        <v>6</v>
      </c>
      <c r="BZ283">
        <v>95</v>
      </c>
      <c r="CA283">
        <v>65</v>
      </c>
      <c r="CE283">
        <v>0</v>
      </c>
      <c r="CF283">
        <v>0</v>
      </c>
      <c r="CG283">
        <v>0</v>
      </c>
      <c r="CM283">
        <v>0</v>
      </c>
      <c r="CN283" t="s">
        <v>6</v>
      </c>
      <c r="CO283">
        <v>0</v>
      </c>
      <c r="CP283">
        <f t="shared" si="242"/>
        <v>1408.54</v>
      </c>
      <c r="CQ283">
        <f t="shared" si="243"/>
        <v>28745.774200000003</v>
      </c>
      <c r="CR283">
        <f t="shared" si="244"/>
        <v>0</v>
      </c>
      <c r="CS283">
        <f t="shared" si="245"/>
        <v>0</v>
      </c>
      <c r="CT283">
        <f t="shared" si="246"/>
        <v>0</v>
      </c>
      <c r="CU283">
        <f t="shared" si="247"/>
        <v>0</v>
      </c>
      <c r="CV283">
        <f t="shared" si="248"/>
        <v>0</v>
      </c>
      <c r="CW283">
        <f t="shared" si="249"/>
        <v>0</v>
      </c>
      <c r="CX283">
        <f t="shared" si="250"/>
        <v>0</v>
      </c>
      <c r="CY283">
        <f t="shared" si="251"/>
        <v>0</v>
      </c>
      <c r="CZ283">
        <f t="shared" si="252"/>
        <v>0</v>
      </c>
      <c r="DC283" t="s">
        <v>6</v>
      </c>
      <c r="DD283" t="s">
        <v>6</v>
      </c>
      <c r="DE283" t="s">
        <v>6</v>
      </c>
      <c r="DF283" t="s">
        <v>6</v>
      </c>
      <c r="DG283" t="s">
        <v>6</v>
      </c>
      <c r="DH283" t="s">
        <v>6</v>
      </c>
      <c r="DI283" t="s">
        <v>6</v>
      </c>
      <c r="DJ283" t="s">
        <v>6</v>
      </c>
      <c r="DK283" t="s">
        <v>6</v>
      </c>
      <c r="DL283" t="s">
        <v>6</v>
      </c>
      <c r="DM283" t="s">
        <v>6</v>
      </c>
      <c r="DN283">
        <v>0</v>
      </c>
      <c r="DO283">
        <v>0</v>
      </c>
      <c r="DP283">
        <v>1</v>
      </c>
      <c r="DQ283">
        <v>1</v>
      </c>
      <c r="DU283">
        <v>1013</v>
      </c>
      <c r="DV283" t="s">
        <v>460</v>
      </c>
      <c r="DW283" t="s">
        <v>462</v>
      </c>
      <c r="DX283">
        <v>1</v>
      </c>
      <c r="EE283">
        <v>16510370</v>
      </c>
      <c r="EF283">
        <v>3</v>
      </c>
      <c r="EG283" t="s">
        <v>390</v>
      </c>
      <c r="EH283">
        <v>0</v>
      </c>
      <c r="EI283" t="s">
        <v>6</v>
      </c>
      <c r="EJ283">
        <v>2</v>
      </c>
      <c r="EK283">
        <v>108001</v>
      </c>
      <c r="EL283" t="s">
        <v>391</v>
      </c>
      <c r="EM283" t="s">
        <v>392</v>
      </c>
      <c r="EO283" t="s">
        <v>6</v>
      </c>
      <c r="EQ283">
        <v>0</v>
      </c>
      <c r="ER283">
        <v>4284.0200000000004</v>
      </c>
      <c r="ES283">
        <v>4284.0200000000004</v>
      </c>
      <c r="ET283">
        <v>0</v>
      </c>
      <c r="EU283">
        <v>0</v>
      </c>
      <c r="EV283">
        <v>0</v>
      </c>
      <c r="EW283">
        <v>0</v>
      </c>
      <c r="EX283">
        <v>0</v>
      </c>
      <c r="FQ283">
        <v>0</v>
      </c>
      <c r="FR283">
        <f t="shared" si="253"/>
        <v>0</v>
      </c>
      <c r="FS283">
        <v>0</v>
      </c>
      <c r="FX283">
        <v>95</v>
      </c>
      <c r="FY283">
        <v>65</v>
      </c>
      <c r="GA283" t="s">
        <v>6</v>
      </c>
      <c r="GD283">
        <v>0</v>
      </c>
      <c r="GF283">
        <v>1970573084</v>
      </c>
      <c r="GG283">
        <v>1</v>
      </c>
      <c r="GH283">
        <v>1</v>
      </c>
      <c r="GI283">
        <v>4</v>
      </c>
      <c r="GJ283">
        <v>0</v>
      </c>
      <c r="GK283">
        <f>ROUND(R283*(R12)/100,2)</f>
        <v>0</v>
      </c>
      <c r="GL283">
        <f t="shared" si="254"/>
        <v>0</v>
      </c>
      <c r="GM283">
        <f t="shared" si="255"/>
        <v>1408.54</v>
      </c>
      <c r="GN283">
        <f t="shared" si="256"/>
        <v>0</v>
      </c>
      <c r="GO283">
        <f t="shared" si="257"/>
        <v>1408.54</v>
      </c>
      <c r="GP283">
        <f t="shared" si="258"/>
        <v>0</v>
      </c>
      <c r="GR283">
        <v>0</v>
      </c>
      <c r="GS283">
        <v>3</v>
      </c>
      <c r="GT283">
        <v>0</v>
      </c>
      <c r="GU283" t="s">
        <v>6</v>
      </c>
      <c r="GV283">
        <f t="shared" si="259"/>
        <v>0</v>
      </c>
      <c r="GW283">
        <v>1</v>
      </c>
      <c r="GX283">
        <f t="shared" si="260"/>
        <v>0</v>
      </c>
      <c r="HA283">
        <v>0</v>
      </c>
      <c r="HB283">
        <v>0</v>
      </c>
      <c r="HC283">
        <f t="shared" si="261"/>
        <v>0</v>
      </c>
      <c r="IK283">
        <v>0</v>
      </c>
    </row>
    <row r="284" spans="1:245" x14ac:dyDescent="0.2">
      <c r="A284">
        <v>17</v>
      </c>
      <c r="B284">
        <v>1</v>
      </c>
      <c r="C284">
        <f>ROW(SmtRes!A377)</f>
        <v>377</v>
      </c>
      <c r="D284">
        <f>ROW(EtalonRes!A357)</f>
        <v>357</v>
      </c>
      <c r="E284" t="s">
        <v>589</v>
      </c>
      <c r="F284" t="s">
        <v>590</v>
      </c>
      <c r="G284" t="s">
        <v>591</v>
      </c>
      <c r="H284" t="s">
        <v>403</v>
      </c>
      <c r="I284">
        <v>1</v>
      </c>
      <c r="J284">
        <v>0</v>
      </c>
      <c r="O284">
        <f t="shared" si="228"/>
        <v>30.39</v>
      </c>
      <c r="P284">
        <f t="shared" si="229"/>
        <v>0.6</v>
      </c>
      <c r="Q284">
        <f t="shared" si="230"/>
        <v>0</v>
      </c>
      <c r="R284">
        <f t="shared" si="231"/>
        <v>0</v>
      </c>
      <c r="S284">
        <f t="shared" si="232"/>
        <v>29.79</v>
      </c>
      <c r="T284">
        <f t="shared" si="233"/>
        <v>0</v>
      </c>
      <c r="U284">
        <f t="shared" si="234"/>
        <v>0.4</v>
      </c>
      <c r="V284">
        <f t="shared" si="235"/>
        <v>0</v>
      </c>
      <c r="W284">
        <f t="shared" si="236"/>
        <v>0</v>
      </c>
      <c r="X284">
        <f t="shared" si="237"/>
        <v>23.83</v>
      </c>
      <c r="Y284">
        <f t="shared" si="238"/>
        <v>17.87</v>
      </c>
      <c r="AA284">
        <v>16802145</v>
      </c>
      <c r="AB284">
        <f t="shared" si="239"/>
        <v>4.53</v>
      </c>
      <c r="AC284">
        <f t="shared" si="262"/>
        <v>0.09</v>
      </c>
      <c r="AD284">
        <f t="shared" si="263"/>
        <v>0</v>
      </c>
      <c r="AE284">
        <f t="shared" si="264"/>
        <v>0</v>
      </c>
      <c r="AF284">
        <f t="shared" si="265"/>
        <v>4.4400000000000004</v>
      </c>
      <c r="AG284">
        <f t="shared" si="240"/>
        <v>0</v>
      </c>
      <c r="AH284">
        <f t="shared" si="266"/>
        <v>0.4</v>
      </c>
      <c r="AI284">
        <f t="shared" si="267"/>
        <v>0</v>
      </c>
      <c r="AJ284">
        <f t="shared" si="241"/>
        <v>0</v>
      </c>
      <c r="AK284">
        <v>4.53</v>
      </c>
      <c r="AL284">
        <v>0.09</v>
      </c>
      <c r="AM284">
        <v>0</v>
      </c>
      <c r="AN284">
        <v>0</v>
      </c>
      <c r="AO284">
        <v>4.4400000000000004</v>
      </c>
      <c r="AP284">
        <v>0</v>
      </c>
      <c r="AQ284">
        <v>0.4</v>
      </c>
      <c r="AR284">
        <v>0</v>
      </c>
      <c r="AS284">
        <v>0</v>
      </c>
      <c r="AT284">
        <v>80</v>
      </c>
      <c r="AU284">
        <v>60</v>
      </c>
      <c r="AV284">
        <v>1</v>
      </c>
      <c r="AW284">
        <v>1</v>
      </c>
      <c r="AZ284">
        <v>6.71</v>
      </c>
      <c r="BA284">
        <v>6.71</v>
      </c>
      <c r="BB284">
        <v>6.71</v>
      </c>
      <c r="BC284">
        <v>6.71</v>
      </c>
      <c r="BD284" t="s">
        <v>6</v>
      </c>
      <c r="BE284" t="s">
        <v>6</v>
      </c>
      <c r="BF284" t="s">
        <v>6</v>
      </c>
      <c r="BG284" t="s">
        <v>6</v>
      </c>
      <c r="BH284">
        <v>0</v>
      </c>
      <c r="BI284">
        <v>2</v>
      </c>
      <c r="BJ284" t="s">
        <v>592</v>
      </c>
      <c r="BM284">
        <v>110001</v>
      </c>
      <c r="BN284">
        <v>0</v>
      </c>
      <c r="BO284" t="s">
        <v>6</v>
      </c>
      <c r="BP284">
        <v>0</v>
      </c>
      <c r="BQ284">
        <v>3</v>
      </c>
      <c r="BR284">
        <v>0</v>
      </c>
      <c r="BS284">
        <v>6.71</v>
      </c>
      <c r="BT284">
        <v>1</v>
      </c>
      <c r="BU284">
        <v>1</v>
      </c>
      <c r="BV284">
        <v>1</v>
      </c>
      <c r="BW284">
        <v>1</v>
      </c>
      <c r="BX284">
        <v>1</v>
      </c>
      <c r="BY284" t="s">
        <v>6</v>
      </c>
      <c r="BZ284">
        <v>80</v>
      </c>
      <c r="CA284">
        <v>60</v>
      </c>
      <c r="CE284">
        <v>0</v>
      </c>
      <c r="CF284">
        <v>0</v>
      </c>
      <c r="CG284">
        <v>0</v>
      </c>
      <c r="CM284">
        <v>0</v>
      </c>
      <c r="CN284" t="s">
        <v>6</v>
      </c>
      <c r="CO284">
        <v>0</v>
      </c>
      <c r="CP284">
        <f t="shared" si="242"/>
        <v>30.39</v>
      </c>
      <c r="CQ284">
        <f t="shared" si="243"/>
        <v>0.60389999999999999</v>
      </c>
      <c r="CR284">
        <f t="shared" si="244"/>
        <v>0</v>
      </c>
      <c r="CS284">
        <f t="shared" si="245"/>
        <v>0</v>
      </c>
      <c r="CT284">
        <f t="shared" si="246"/>
        <v>29.792400000000004</v>
      </c>
      <c r="CU284">
        <f t="shared" si="247"/>
        <v>0</v>
      </c>
      <c r="CV284">
        <f t="shared" si="248"/>
        <v>0.4</v>
      </c>
      <c r="CW284">
        <f t="shared" si="249"/>
        <v>0</v>
      </c>
      <c r="CX284">
        <f t="shared" si="250"/>
        <v>0</v>
      </c>
      <c r="CY284">
        <f t="shared" si="251"/>
        <v>23.831999999999997</v>
      </c>
      <c r="CZ284">
        <f t="shared" si="252"/>
        <v>17.873999999999999</v>
      </c>
      <c r="DC284" t="s">
        <v>6</v>
      </c>
      <c r="DD284" t="s">
        <v>6</v>
      </c>
      <c r="DE284" t="s">
        <v>6</v>
      </c>
      <c r="DF284" t="s">
        <v>6</v>
      </c>
      <c r="DG284" t="s">
        <v>6</v>
      </c>
      <c r="DH284" t="s">
        <v>6</v>
      </c>
      <c r="DI284" t="s">
        <v>6</v>
      </c>
      <c r="DJ284" t="s">
        <v>6</v>
      </c>
      <c r="DK284" t="s">
        <v>6</v>
      </c>
      <c r="DL284" t="s">
        <v>6</v>
      </c>
      <c r="DM284" t="s">
        <v>6</v>
      </c>
      <c r="DN284">
        <v>0</v>
      </c>
      <c r="DO284">
        <v>0</v>
      </c>
      <c r="DP284">
        <v>1</v>
      </c>
      <c r="DQ284">
        <v>1</v>
      </c>
      <c r="DU284">
        <v>1013</v>
      </c>
      <c r="DV284" t="s">
        <v>403</v>
      </c>
      <c r="DW284" t="s">
        <v>403</v>
      </c>
      <c r="DX284">
        <v>1</v>
      </c>
      <c r="EE284">
        <v>16510373</v>
      </c>
      <c r="EF284">
        <v>3</v>
      </c>
      <c r="EG284" t="s">
        <v>390</v>
      </c>
      <c r="EH284">
        <v>0</v>
      </c>
      <c r="EI284" t="s">
        <v>6</v>
      </c>
      <c r="EJ284">
        <v>2</v>
      </c>
      <c r="EK284">
        <v>110001</v>
      </c>
      <c r="EL284" t="s">
        <v>593</v>
      </c>
      <c r="EM284" t="s">
        <v>431</v>
      </c>
      <c r="EO284" t="s">
        <v>6</v>
      </c>
      <c r="EQ284">
        <v>131072</v>
      </c>
      <c r="ER284">
        <v>4.53</v>
      </c>
      <c r="ES284">
        <v>0.09</v>
      </c>
      <c r="ET284">
        <v>0</v>
      </c>
      <c r="EU284">
        <v>0</v>
      </c>
      <c r="EV284">
        <v>4.4400000000000004</v>
      </c>
      <c r="EW284">
        <v>0.4</v>
      </c>
      <c r="EX284">
        <v>0</v>
      </c>
      <c r="EY284">
        <v>0</v>
      </c>
      <c r="FQ284">
        <v>0</v>
      </c>
      <c r="FR284">
        <f t="shared" si="253"/>
        <v>0</v>
      </c>
      <c r="FS284">
        <v>0</v>
      </c>
      <c r="FX284">
        <v>80</v>
      </c>
      <c r="FY284">
        <v>60</v>
      </c>
      <c r="GA284" t="s">
        <v>6</v>
      </c>
      <c r="GD284">
        <v>0</v>
      </c>
      <c r="GF284">
        <v>-1346137888</v>
      </c>
      <c r="GG284">
        <v>1</v>
      </c>
      <c r="GH284">
        <v>1</v>
      </c>
      <c r="GI284">
        <v>4</v>
      </c>
      <c r="GJ284">
        <v>0</v>
      </c>
      <c r="GK284">
        <f>ROUND(R284*(R12)/100,2)</f>
        <v>0</v>
      </c>
      <c r="GL284">
        <f t="shared" si="254"/>
        <v>0</v>
      </c>
      <c r="GM284">
        <f t="shared" si="255"/>
        <v>72.09</v>
      </c>
      <c r="GN284">
        <f t="shared" si="256"/>
        <v>0</v>
      </c>
      <c r="GO284">
        <f t="shared" si="257"/>
        <v>72.09</v>
      </c>
      <c r="GP284">
        <f t="shared" si="258"/>
        <v>0</v>
      </c>
      <c r="GR284">
        <v>0</v>
      </c>
      <c r="GS284">
        <v>3</v>
      </c>
      <c r="GT284">
        <v>0</v>
      </c>
      <c r="GU284" t="s">
        <v>6</v>
      </c>
      <c r="GV284">
        <f t="shared" si="259"/>
        <v>0</v>
      </c>
      <c r="GW284">
        <v>1</v>
      </c>
      <c r="GX284">
        <f t="shared" si="260"/>
        <v>0</v>
      </c>
      <c r="HA284">
        <v>0</v>
      </c>
      <c r="HB284">
        <v>0</v>
      </c>
      <c r="HC284">
        <f t="shared" si="261"/>
        <v>0</v>
      </c>
      <c r="IK284">
        <v>0</v>
      </c>
    </row>
    <row r="286" spans="1:245" x14ac:dyDescent="0.2">
      <c r="A286" s="2">
        <v>51</v>
      </c>
      <c r="B286" s="2">
        <f>B271</f>
        <v>1</v>
      </c>
      <c r="C286" s="2">
        <f>A271</f>
        <v>4</v>
      </c>
      <c r="D286" s="2">
        <f>ROW(A271)</f>
        <v>271</v>
      </c>
      <c r="E286" s="2"/>
      <c r="F286" s="2" t="str">
        <f>IF(F271&lt;&gt;"",F271,"")</f>
        <v>Новый раздел</v>
      </c>
      <c r="G286" s="2" t="str">
        <f>IF(G271&lt;&gt;"",G271,"")</f>
        <v>5 АПС</v>
      </c>
      <c r="H286" s="2">
        <v>0</v>
      </c>
      <c r="I286" s="2"/>
      <c r="J286" s="2"/>
      <c r="K286" s="2"/>
      <c r="L286" s="2"/>
      <c r="M286" s="2"/>
      <c r="N286" s="2"/>
      <c r="O286" s="2">
        <f t="shared" ref="O286:T286" si="268">ROUND(AB286,2)</f>
        <v>18989.47</v>
      </c>
      <c r="P286" s="2">
        <f t="shared" si="268"/>
        <v>15704.48</v>
      </c>
      <c r="Q286" s="2">
        <f t="shared" si="268"/>
        <v>11.67</v>
      </c>
      <c r="R286" s="2">
        <f t="shared" si="268"/>
        <v>1.64</v>
      </c>
      <c r="S286" s="2">
        <f t="shared" si="268"/>
        <v>3273.32</v>
      </c>
      <c r="T286" s="2">
        <f t="shared" si="268"/>
        <v>0</v>
      </c>
      <c r="U286" s="2">
        <f>AH286</f>
        <v>50.689100000000003</v>
      </c>
      <c r="V286" s="2">
        <f>AI286</f>
        <v>1.9599999999999999E-2</v>
      </c>
      <c r="W286" s="2">
        <f>ROUND(AJ286,2)</f>
        <v>0</v>
      </c>
      <c r="X286" s="2">
        <f>ROUND(AK286,2)</f>
        <v>2697.18</v>
      </c>
      <c r="Y286" s="2">
        <f>ROUND(AL286,2)</f>
        <v>1990.71</v>
      </c>
      <c r="Z286" s="2"/>
      <c r="AA286" s="2"/>
      <c r="AB286" s="2">
        <f>ROUND(SUMIF(AA275:AA284,"=16802145",O275:O284),2)</f>
        <v>18989.47</v>
      </c>
      <c r="AC286" s="2">
        <f>ROUND(SUMIF(AA275:AA284,"=16802145",P275:P284),2)</f>
        <v>15704.48</v>
      </c>
      <c r="AD286" s="2">
        <f>ROUND(SUMIF(AA275:AA284,"=16802145",Q275:Q284),2)</f>
        <v>11.67</v>
      </c>
      <c r="AE286" s="2">
        <f>ROUND(SUMIF(AA275:AA284,"=16802145",R275:R284),2)</f>
        <v>1.64</v>
      </c>
      <c r="AF286" s="2">
        <f>ROUND(SUMIF(AA275:AA284,"=16802145",S275:S284),2)</f>
        <v>3273.32</v>
      </c>
      <c r="AG286" s="2">
        <f>ROUND(SUMIF(AA275:AA284,"=16802145",T275:T284),2)</f>
        <v>0</v>
      </c>
      <c r="AH286" s="2">
        <f>SUMIF(AA275:AA284,"=16802145",U275:U284)</f>
        <v>50.689100000000003</v>
      </c>
      <c r="AI286" s="2">
        <f>SUMIF(AA275:AA284,"=16802145",V275:V284)</f>
        <v>1.9599999999999999E-2</v>
      </c>
      <c r="AJ286" s="2">
        <f>ROUND(SUMIF(AA275:AA284,"=16802145",W275:W284),2)</f>
        <v>0</v>
      </c>
      <c r="AK286" s="2">
        <f>ROUND(SUMIF(AA275:AA284,"=16802145",X275:X284),2)</f>
        <v>2697.18</v>
      </c>
      <c r="AL286" s="2">
        <f>ROUND(SUMIF(AA275:AA284,"=16802145",Y275:Y284),2)</f>
        <v>1990.71</v>
      </c>
      <c r="AM286" s="2"/>
      <c r="AN286" s="2"/>
      <c r="AO286" s="2">
        <f t="shared" ref="AO286:BC286" si="269">ROUND(BX286,2)</f>
        <v>0</v>
      </c>
      <c r="AP286" s="2">
        <f t="shared" si="269"/>
        <v>0</v>
      </c>
      <c r="AQ286" s="2">
        <f t="shared" si="269"/>
        <v>0</v>
      </c>
      <c r="AR286" s="2">
        <f t="shared" si="269"/>
        <v>23677.360000000001</v>
      </c>
      <c r="AS286" s="2">
        <f t="shared" si="269"/>
        <v>0</v>
      </c>
      <c r="AT286" s="2">
        <f t="shared" si="269"/>
        <v>23677.360000000001</v>
      </c>
      <c r="AU286" s="2">
        <f t="shared" si="269"/>
        <v>0</v>
      </c>
      <c r="AV286" s="2">
        <f t="shared" si="269"/>
        <v>15704.48</v>
      </c>
      <c r="AW286" s="2">
        <f t="shared" si="269"/>
        <v>15704.48</v>
      </c>
      <c r="AX286" s="2">
        <f t="shared" si="269"/>
        <v>0</v>
      </c>
      <c r="AY286" s="2">
        <f t="shared" si="269"/>
        <v>15704.48</v>
      </c>
      <c r="AZ286" s="2">
        <f t="shared" si="269"/>
        <v>0</v>
      </c>
      <c r="BA286" s="2">
        <f t="shared" si="269"/>
        <v>0</v>
      </c>
      <c r="BB286" s="2">
        <f t="shared" si="269"/>
        <v>0</v>
      </c>
      <c r="BC286" s="2">
        <f t="shared" si="269"/>
        <v>0</v>
      </c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>
        <f>ROUND(SUMIF(AA275:AA284,"=16802145",FQ275:FQ284),2)</f>
        <v>0</v>
      </c>
      <c r="BY286" s="2">
        <f>ROUND(SUMIF(AA275:AA284,"=16802145",FR275:FR284),2)</f>
        <v>0</v>
      </c>
      <c r="BZ286" s="2">
        <f>ROUND(SUMIF(AA275:AA284,"=16802145",GL275:GL284),2)</f>
        <v>0</v>
      </c>
      <c r="CA286" s="2">
        <f>ROUND(SUMIF(AA275:AA284,"=16802145",GM275:GM284),2)</f>
        <v>23677.360000000001</v>
      </c>
      <c r="CB286" s="2">
        <f>ROUND(SUMIF(AA275:AA284,"=16802145",GN275:GN284),2)</f>
        <v>0</v>
      </c>
      <c r="CC286" s="2">
        <f>ROUND(SUMIF(AA275:AA284,"=16802145",GO275:GO284),2)</f>
        <v>23677.360000000001</v>
      </c>
      <c r="CD286" s="2">
        <f>ROUND(SUMIF(AA275:AA284,"=16802145",GP275:GP284),2)</f>
        <v>0</v>
      </c>
      <c r="CE286" s="2">
        <f>AC286-BX286</f>
        <v>15704.48</v>
      </c>
      <c r="CF286" s="2">
        <f>AC286-BY286</f>
        <v>15704.48</v>
      </c>
      <c r="CG286" s="2">
        <f>BX286-BZ286</f>
        <v>0</v>
      </c>
      <c r="CH286" s="2">
        <f>AC286-BX286-BY286+BZ286</f>
        <v>15704.48</v>
      </c>
      <c r="CI286" s="2">
        <f>BY286-BZ286</f>
        <v>0</v>
      </c>
      <c r="CJ286" s="2">
        <f>ROUND(SUMIF(AA275:AA284,"=16802145",GX275:GX284),2)</f>
        <v>0</v>
      </c>
      <c r="CK286" s="2">
        <f>ROUND(SUMIF(AA275:AA284,"=16802145",GY275:GY284),2)</f>
        <v>0</v>
      </c>
      <c r="CL286" s="2">
        <f>ROUND(SUMIF(AA275:AA284,"=16802145",GZ275:GZ284),2)</f>
        <v>0</v>
      </c>
      <c r="CM286" s="2"/>
      <c r="CN286" s="2"/>
      <c r="CO286" s="2"/>
      <c r="CP286" s="2"/>
      <c r="CQ286" s="2"/>
      <c r="CR286" s="2"/>
      <c r="CS286" s="2"/>
      <c r="CT286" s="2"/>
      <c r="CU286" s="2"/>
      <c r="CV286" s="2"/>
      <c r="CW286" s="2"/>
      <c r="CX286" s="2"/>
      <c r="CY286" s="2"/>
      <c r="CZ286" s="2"/>
      <c r="DA286" s="2"/>
      <c r="DB286" s="2"/>
      <c r="DC286" s="2"/>
      <c r="DD286" s="2"/>
      <c r="DE286" s="2"/>
      <c r="DF286" s="2"/>
      <c r="DG286" s="3"/>
      <c r="DH286" s="3"/>
      <c r="DI286" s="3"/>
      <c r="DJ286" s="3"/>
      <c r="DK286" s="3"/>
      <c r="DL286" s="3"/>
      <c r="DM286" s="3"/>
      <c r="DN286" s="3"/>
      <c r="DO286" s="3"/>
      <c r="DP286" s="3"/>
      <c r="DQ286" s="3"/>
      <c r="DR286" s="3"/>
      <c r="DS286" s="3"/>
      <c r="DT286" s="3"/>
      <c r="DU286" s="3"/>
      <c r="DV286" s="3"/>
      <c r="DW286" s="3"/>
      <c r="DX286" s="3"/>
      <c r="DY286" s="3"/>
      <c r="DZ286" s="3"/>
      <c r="EA286" s="3"/>
      <c r="EB286" s="3"/>
      <c r="EC286" s="3"/>
      <c r="ED286" s="3"/>
      <c r="EE286" s="3"/>
      <c r="EF286" s="3"/>
      <c r="EG286" s="3"/>
      <c r="EH286" s="3"/>
      <c r="EI286" s="3"/>
      <c r="EJ286" s="3"/>
      <c r="EK286" s="3"/>
      <c r="EL286" s="3"/>
      <c r="EM286" s="3"/>
      <c r="EN286" s="3"/>
      <c r="EO286" s="3"/>
      <c r="EP286" s="3"/>
      <c r="EQ286" s="3"/>
      <c r="ER286" s="3"/>
      <c r="ES286" s="3"/>
      <c r="ET286" s="3"/>
      <c r="EU286" s="3"/>
      <c r="EV286" s="3"/>
      <c r="EW286" s="3"/>
      <c r="EX286" s="3"/>
      <c r="EY286" s="3"/>
      <c r="EZ286" s="3"/>
      <c r="FA286" s="3"/>
      <c r="FB286" s="3"/>
      <c r="FC286" s="3"/>
      <c r="FD286" s="3"/>
      <c r="FE286" s="3"/>
      <c r="FF286" s="3"/>
      <c r="FG286" s="3"/>
      <c r="FH286" s="3"/>
      <c r="FI286" s="3"/>
      <c r="FJ286" s="3"/>
      <c r="FK286" s="3"/>
      <c r="FL286" s="3"/>
      <c r="FM286" s="3"/>
      <c r="FN286" s="3"/>
      <c r="FO286" s="3"/>
      <c r="FP286" s="3"/>
      <c r="FQ286" s="3"/>
      <c r="FR286" s="3"/>
      <c r="FS286" s="3"/>
      <c r="FT286" s="3"/>
      <c r="FU286" s="3"/>
      <c r="FV286" s="3"/>
      <c r="FW286" s="3"/>
      <c r="FX286" s="3"/>
      <c r="FY286" s="3"/>
      <c r="FZ286" s="3"/>
      <c r="GA286" s="3"/>
      <c r="GB286" s="3"/>
      <c r="GC286" s="3"/>
      <c r="GD286" s="3"/>
      <c r="GE286" s="3"/>
      <c r="GF286" s="3"/>
      <c r="GG286" s="3"/>
      <c r="GH286" s="3"/>
      <c r="GI286" s="3"/>
      <c r="GJ286" s="3"/>
      <c r="GK286" s="3"/>
      <c r="GL286" s="3"/>
      <c r="GM286" s="3"/>
      <c r="GN286" s="3"/>
      <c r="GO286" s="3"/>
      <c r="GP286" s="3"/>
      <c r="GQ286" s="3"/>
      <c r="GR286" s="3"/>
      <c r="GS286" s="3"/>
      <c r="GT286" s="3"/>
      <c r="GU286" s="3"/>
      <c r="GV286" s="3"/>
      <c r="GW286" s="3"/>
      <c r="GX286" s="3">
        <v>0</v>
      </c>
    </row>
    <row r="288" spans="1:245" x14ac:dyDescent="0.2">
      <c r="A288" s="4">
        <v>50</v>
      </c>
      <c r="B288" s="4">
        <v>0</v>
      </c>
      <c r="C288" s="4">
        <v>0</v>
      </c>
      <c r="D288" s="4">
        <v>1</v>
      </c>
      <c r="E288" s="4">
        <v>201</v>
      </c>
      <c r="F288" s="4">
        <f>ROUND(Source!O286,O288)</f>
        <v>18989.47</v>
      </c>
      <c r="G288" s="4" t="s">
        <v>279</v>
      </c>
      <c r="H288" s="4" t="s">
        <v>280</v>
      </c>
      <c r="I288" s="4"/>
      <c r="J288" s="4"/>
      <c r="K288" s="4">
        <v>201</v>
      </c>
      <c r="L288" s="4">
        <v>1</v>
      </c>
      <c r="M288" s="4">
        <v>3</v>
      </c>
      <c r="N288" s="4" t="s">
        <v>6</v>
      </c>
      <c r="O288" s="4">
        <v>2</v>
      </c>
      <c r="P288" s="4"/>
      <c r="Q288" s="4"/>
      <c r="R288" s="4"/>
      <c r="S288" s="4"/>
      <c r="T288" s="4"/>
      <c r="U288" s="4"/>
      <c r="V288" s="4"/>
      <c r="W288" s="4"/>
    </row>
    <row r="289" spans="1:23" x14ac:dyDescent="0.2">
      <c r="A289" s="4">
        <v>50</v>
      </c>
      <c r="B289" s="4">
        <v>0</v>
      </c>
      <c r="C289" s="4">
        <v>0</v>
      </c>
      <c r="D289" s="4">
        <v>1</v>
      </c>
      <c r="E289" s="4">
        <v>202</v>
      </c>
      <c r="F289" s="4">
        <f>ROUND(Source!P286,O289)</f>
        <v>15704.48</v>
      </c>
      <c r="G289" s="4" t="s">
        <v>281</v>
      </c>
      <c r="H289" s="4" t="s">
        <v>282</v>
      </c>
      <c r="I289" s="4"/>
      <c r="J289" s="4"/>
      <c r="K289" s="4">
        <v>202</v>
      </c>
      <c r="L289" s="4">
        <v>2</v>
      </c>
      <c r="M289" s="4">
        <v>3</v>
      </c>
      <c r="N289" s="4" t="s">
        <v>6</v>
      </c>
      <c r="O289" s="4">
        <v>2</v>
      </c>
      <c r="P289" s="4"/>
      <c r="Q289" s="4"/>
      <c r="R289" s="4"/>
      <c r="S289" s="4"/>
      <c r="T289" s="4"/>
      <c r="U289" s="4"/>
      <c r="V289" s="4"/>
      <c r="W289" s="4"/>
    </row>
    <row r="290" spans="1:23" x14ac:dyDescent="0.2">
      <c r="A290" s="4">
        <v>50</v>
      </c>
      <c r="B290" s="4">
        <v>0</v>
      </c>
      <c r="C290" s="4">
        <v>0</v>
      </c>
      <c r="D290" s="4">
        <v>1</v>
      </c>
      <c r="E290" s="4">
        <v>222</v>
      </c>
      <c r="F290" s="4">
        <f>ROUND(Source!AO286,O290)</f>
        <v>0</v>
      </c>
      <c r="G290" s="4" t="s">
        <v>283</v>
      </c>
      <c r="H290" s="4" t="s">
        <v>284</v>
      </c>
      <c r="I290" s="4"/>
      <c r="J290" s="4"/>
      <c r="K290" s="4">
        <v>222</v>
      </c>
      <c r="L290" s="4">
        <v>3</v>
      </c>
      <c r="M290" s="4">
        <v>3</v>
      </c>
      <c r="N290" s="4" t="s">
        <v>6</v>
      </c>
      <c r="O290" s="4">
        <v>2</v>
      </c>
      <c r="P290" s="4"/>
      <c r="Q290" s="4"/>
      <c r="R290" s="4"/>
      <c r="S290" s="4"/>
      <c r="T290" s="4"/>
      <c r="U290" s="4"/>
      <c r="V290" s="4"/>
      <c r="W290" s="4"/>
    </row>
    <row r="291" spans="1:23" x14ac:dyDescent="0.2">
      <c r="A291" s="4">
        <v>50</v>
      </c>
      <c r="B291" s="4">
        <v>0</v>
      </c>
      <c r="C291" s="4">
        <v>0</v>
      </c>
      <c r="D291" s="4">
        <v>1</v>
      </c>
      <c r="E291" s="4">
        <v>225</v>
      </c>
      <c r="F291" s="4">
        <f>ROUND(Source!AV286,O291)</f>
        <v>15704.48</v>
      </c>
      <c r="G291" s="4" t="s">
        <v>285</v>
      </c>
      <c r="H291" s="4" t="s">
        <v>286</v>
      </c>
      <c r="I291" s="4"/>
      <c r="J291" s="4"/>
      <c r="K291" s="4">
        <v>225</v>
      </c>
      <c r="L291" s="4">
        <v>4</v>
      </c>
      <c r="M291" s="4">
        <v>3</v>
      </c>
      <c r="N291" s="4" t="s">
        <v>6</v>
      </c>
      <c r="O291" s="4">
        <v>2</v>
      </c>
      <c r="P291" s="4"/>
      <c r="Q291" s="4"/>
      <c r="R291" s="4"/>
      <c r="S291" s="4"/>
      <c r="T291" s="4"/>
      <c r="U291" s="4"/>
      <c r="V291" s="4"/>
      <c r="W291" s="4"/>
    </row>
    <row r="292" spans="1:23" x14ac:dyDescent="0.2">
      <c r="A292" s="4">
        <v>50</v>
      </c>
      <c r="B292" s="4">
        <v>0</v>
      </c>
      <c r="C292" s="4">
        <v>0</v>
      </c>
      <c r="D292" s="4">
        <v>1</v>
      </c>
      <c r="E292" s="4">
        <v>226</v>
      </c>
      <c r="F292" s="4">
        <f>ROUND(Source!AW286,O292)</f>
        <v>15704.48</v>
      </c>
      <c r="G292" s="4" t="s">
        <v>287</v>
      </c>
      <c r="H292" s="4" t="s">
        <v>288</v>
      </c>
      <c r="I292" s="4"/>
      <c r="J292" s="4"/>
      <c r="K292" s="4">
        <v>226</v>
      </c>
      <c r="L292" s="4">
        <v>5</v>
      </c>
      <c r="M292" s="4">
        <v>3</v>
      </c>
      <c r="N292" s="4" t="s">
        <v>6</v>
      </c>
      <c r="O292" s="4">
        <v>2</v>
      </c>
      <c r="P292" s="4"/>
      <c r="Q292" s="4"/>
      <c r="R292" s="4"/>
      <c r="S292" s="4"/>
      <c r="T292" s="4"/>
      <c r="U292" s="4"/>
      <c r="V292" s="4"/>
      <c r="W292" s="4"/>
    </row>
    <row r="293" spans="1:23" x14ac:dyDescent="0.2">
      <c r="A293" s="4">
        <v>50</v>
      </c>
      <c r="B293" s="4">
        <v>0</v>
      </c>
      <c r="C293" s="4">
        <v>0</v>
      </c>
      <c r="D293" s="4">
        <v>1</v>
      </c>
      <c r="E293" s="4">
        <v>227</v>
      </c>
      <c r="F293" s="4">
        <f>ROUND(Source!AX286,O293)</f>
        <v>0</v>
      </c>
      <c r="G293" s="4" t="s">
        <v>289</v>
      </c>
      <c r="H293" s="4" t="s">
        <v>290</v>
      </c>
      <c r="I293" s="4"/>
      <c r="J293" s="4"/>
      <c r="K293" s="4">
        <v>227</v>
      </c>
      <c r="L293" s="4">
        <v>6</v>
      </c>
      <c r="M293" s="4">
        <v>3</v>
      </c>
      <c r="N293" s="4" t="s">
        <v>6</v>
      </c>
      <c r="O293" s="4">
        <v>2</v>
      </c>
      <c r="P293" s="4"/>
      <c r="Q293" s="4"/>
      <c r="R293" s="4"/>
      <c r="S293" s="4"/>
      <c r="T293" s="4"/>
      <c r="U293" s="4"/>
      <c r="V293" s="4"/>
      <c r="W293" s="4"/>
    </row>
    <row r="294" spans="1:23" x14ac:dyDescent="0.2">
      <c r="A294" s="4">
        <v>50</v>
      </c>
      <c r="B294" s="4">
        <v>0</v>
      </c>
      <c r="C294" s="4">
        <v>0</v>
      </c>
      <c r="D294" s="4">
        <v>1</v>
      </c>
      <c r="E294" s="4">
        <v>228</v>
      </c>
      <c r="F294" s="4">
        <f>ROUND(Source!AY286,O294)</f>
        <v>15704.48</v>
      </c>
      <c r="G294" s="4" t="s">
        <v>291</v>
      </c>
      <c r="H294" s="4" t="s">
        <v>292</v>
      </c>
      <c r="I294" s="4"/>
      <c r="J294" s="4"/>
      <c r="K294" s="4">
        <v>228</v>
      </c>
      <c r="L294" s="4">
        <v>7</v>
      </c>
      <c r="M294" s="4">
        <v>3</v>
      </c>
      <c r="N294" s="4" t="s">
        <v>6</v>
      </c>
      <c r="O294" s="4">
        <v>2</v>
      </c>
      <c r="P294" s="4"/>
      <c r="Q294" s="4"/>
      <c r="R294" s="4"/>
      <c r="S294" s="4"/>
      <c r="T294" s="4"/>
      <c r="U294" s="4"/>
      <c r="V294" s="4"/>
      <c r="W294" s="4"/>
    </row>
    <row r="295" spans="1:23" x14ac:dyDescent="0.2">
      <c r="A295" s="4">
        <v>50</v>
      </c>
      <c r="B295" s="4">
        <v>0</v>
      </c>
      <c r="C295" s="4">
        <v>0</v>
      </c>
      <c r="D295" s="4">
        <v>1</v>
      </c>
      <c r="E295" s="4">
        <v>216</v>
      </c>
      <c r="F295" s="4">
        <f>ROUND(Source!AP286,O295)</f>
        <v>0</v>
      </c>
      <c r="G295" s="4" t="s">
        <v>293</v>
      </c>
      <c r="H295" s="4" t="s">
        <v>294</v>
      </c>
      <c r="I295" s="4"/>
      <c r="J295" s="4"/>
      <c r="K295" s="4">
        <v>216</v>
      </c>
      <c r="L295" s="4">
        <v>8</v>
      </c>
      <c r="M295" s="4">
        <v>3</v>
      </c>
      <c r="N295" s="4" t="s">
        <v>6</v>
      </c>
      <c r="O295" s="4">
        <v>2</v>
      </c>
      <c r="P295" s="4"/>
      <c r="Q295" s="4"/>
      <c r="R295" s="4"/>
      <c r="S295" s="4"/>
      <c r="T295" s="4"/>
      <c r="U295" s="4"/>
      <c r="V295" s="4"/>
      <c r="W295" s="4"/>
    </row>
    <row r="296" spans="1:23" x14ac:dyDescent="0.2">
      <c r="A296" s="4">
        <v>50</v>
      </c>
      <c r="B296" s="4">
        <v>0</v>
      </c>
      <c r="C296" s="4">
        <v>0</v>
      </c>
      <c r="D296" s="4">
        <v>1</v>
      </c>
      <c r="E296" s="4">
        <v>223</v>
      </c>
      <c r="F296" s="4">
        <f>ROUND(Source!AQ286,O296)</f>
        <v>0</v>
      </c>
      <c r="G296" s="4" t="s">
        <v>295</v>
      </c>
      <c r="H296" s="4" t="s">
        <v>296</v>
      </c>
      <c r="I296" s="4"/>
      <c r="J296" s="4"/>
      <c r="K296" s="4">
        <v>223</v>
      </c>
      <c r="L296" s="4">
        <v>9</v>
      </c>
      <c r="M296" s="4">
        <v>3</v>
      </c>
      <c r="N296" s="4" t="s">
        <v>6</v>
      </c>
      <c r="O296" s="4">
        <v>2</v>
      </c>
      <c r="P296" s="4"/>
      <c r="Q296" s="4"/>
      <c r="R296" s="4"/>
      <c r="S296" s="4"/>
      <c r="T296" s="4"/>
      <c r="U296" s="4"/>
      <c r="V296" s="4"/>
      <c r="W296" s="4"/>
    </row>
    <row r="297" spans="1:23" x14ac:dyDescent="0.2">
      <c r="A297" s="4">
        <v>50</v>
      </c>
      <c r="B297" s="4">
        <v>0</v>
      </c>
      <c r="C297" s="4">
        <v>0</v>
      </c>
      <c r="D297" s="4">
        <v>1</v>
      </c>
      <c r="E297" s="4">
        <v>229</v>
      </c>
      <c r="F297" s="4">
        <f>ROUND(Source!AZ286,O297)</f>
        <v>0</v>
      </c>
      <c r="G297" s="4" t="s">
        <v>297</v>
      </c>
      <c r="H297" s="4" t="s">
        <v>298</v>
      </c>
      <c r="I297" s="4"/>
      <c r="J297" s="4"/>
      <c r="K297" s="4">
        <v>229</v>
      </c>
      <c r="L297" s="4">
        <v>10</v>
      </c>
      <c r="M297" s="4">
        <v>3</v>
      </c>
      <c r="N297" s="4" t="s">
        <v>6</v>
      </c>
      <c r="O297" s="4">
        <v>2</v>
      </c>
      <c r="P297" s="4"/>
      <c r="Q297" s="4"/>
      <c r="R297" s="4"/>
      <c r="S297" s="4"/>
      <c r="T297" s="4"/>
      <c r="U297" s="4"/>
      <c r="V297" s="4"/>
      <c r="W297" s="4"/>
    </row>
    <row r="298" spans="1:23" x14ac:dyDescent="0.2">
      <c r="A298" s="4">
        <v>50</v>
      </c>
      <c r="B298" s="4">
        <v>0</v>
      </c>
      <c r="C298" s="4">
        <v>0</v>
      </c>
      <c r="D298" s="4">
        <v>1</v>
      </c>
      <c r="E298" s="4">
        <v>203</v>
      </c>
      <c r="F298" s="4">
        <f>ROUND(Source!Q286,O298)</f>
        <v>11.67</v>
      </c>
      <c r="G298" s="4" t="s">
        <v>299</v>
      </c>
      <c r="H298" s="4" t="s">
        <v>300</v>
      </c>
      <c r="I298" s="4"/>
      <c r="J298" s="4"/>
      <c r="K298" s="4">
        <v>203</v>
      </c>
      <c r="L298" s="4">
        <v>11</v>
      </c>
      <c r="M298" s="4">
        <v>3</v>
      </c>
      <c r="N298" s="4" t="s">
        <v>6</v>
      </c>
      <c r="O298" s="4">
        <v>2</v>
      </c>
      <c r="P298" s="4"/>
      <c r="Q298" s="4"/>
      <c r="R298" s="4"/>
      <c r="S298" s="4"/>
      <c r="T298" s="4"/>
      <c r="U298" s="4"/>
      <c r="V298" s="4"/>
      <c r="W298" s="4"/>
    </row>
    <row r="299" spans="1:23" x14ac:dyDescent="0.2">
      <c r="A299" s="4">
        <v>50</v>
      </c>
      <c r="B299" s="4">
        <v>0</v>
      </c>
      <c r="C299" s="4">
        <v>0</v>
      </c>
      <c r="D299" s="4">
        <v>1</v>
      </c>
      <c r="E299" s="4">
        <v>231</v>
      </c>
      <c r="F299" s="4">
        <f>ROUND(Source!BB286,O299)</f>
        <v>0</v>
      </c>
      <c r="G299" s="4" t="s">
        <v>301</v>
      </c>
      <c r="H299" s="4" t="s">
        <v>302</v>
      </c>
      <c r="I299" s="4"/>
      <c r="J299" s="4"/>
      <c r="K299" s="4">
        <v>231</v>
      </c>
      <c r="L299" s="4">
        <v>12</v>
      </c>
      <c r="M299" s="4">
        <v>3</v>
      </c>
      <c r="N299" s="4" t="s">
        <v>6</v>
      </c>
      <c r="O299" s="4">
        <v>2</v>
      </c>
      <c r="P299" s="4"/>
      <c r="Q299" s="4"/>
      <c r="R299" s="4"/>
      <c r="S299" s="4"/>
      <c r="T299" s="4"/>
      <c r="U299" s="4"/>
      <c r="V299" s="4"/>
      <c r="W299" s="4"/>
    </row>
    <row r="300" spans="1:23" x14ac:dyDescent="0.2">
      <c r="A300" s="4">
        <v>50</v>
      </c>
      <c r="B300" s="4">
        <v>0</v>
      </c>
      <c r="C300" s="4">
        <v>0</v>
      </c>
      <c r="D300" s="4">
        <v>1</v>
      </c>
      <c r="E300" s="4">
        <v>204</v>
      </c>
      <c r="F300" s="4">
        <f>ROUND(Source!R286,O300)</f>
        <v>1.64</v>
      </c>
      <c r="G300" s="4" t="s">
        <v>303</v>
      </c>
      <c r="H300" s="4" t="s">
        <v>304</v>
      </c>
      <c r="I300" s="4"/>
      <c r="J300" s="4"/>
      <c r="K300" s="4">
        <v>204</v>
      </c>
      <c r="L300" s="4">
        <v>13</v>
      </c>
      <c r="M300" s="4">
        <v>3</v>
      </c>
      <c r="N300" s="4" t="s">
        <v>6</v>
      </c>
      <c r="O300" s="4">
        <v>2</v>
      </c>
      <c r="P300" s="4"/>
      <c r="Q300" s="4"/>
      <c r="R300" s="4"/>
      <c r="S300" s="4"/>
      <c r="T300" s="4"/>
      <c r="U300" s="4"/>
      <c r="V300" s="4"/>
      <c r="W300" s="4"/>
    </row>
    <row r="301" spans="1:23" x14ac:dyDescent="0.2">
      <c r="A301" s="4">
        <v>50</v>
      </c>
      <c r="B301" s="4">
        <v>0</v>
      </c>
      <c r="C301" s="4">
        <v>0</v>
      </c>
      <c r="D301" s="4">
        <v>1</v>
      </c>
      <c r="E301" s="4">
        <v>205</v>
      </c>
      <c r="F301" s="4">
        <f>ROUND(Source!S286,O301)</f>
        <v>3273.32</v>
      </c>
      <c r="G301" s="4" t="s">
        <v>305</v>
      </c>
      <c r="H301" s="4" t="s">
        <v>306</v>
      </c>
      <c r="I301" s="4"/>
      <c r="J301" s="4"/>
      <c r="K301" s="4">
        <v>205</v>
      </c>
      <c r="L301" s="4">
        <v>14</v>
      </c>
      <c r="M301" s="4">
        <v>3</v>
      </c>
      <c r="N301" s="4" t="s">
        <v>6</v>
      </c>
      <c r="O301" s="4">
        <v>2</v>
      </c>
      <c r="P301" s="4"/>
      <c r="Q301" s="4"/>
      <c r="R301" s="4"/>
      <c r="S301" s="4"/>
      <c r="T301" s="4"/>
      <c r="U301" s="4"/>
      <c r="V301" s="4"/>
      <c r="W301" s="4"/>
    </row>
    <row r="302" spans="1:23" x14ac:dyDescent="0.2">
      <c r="A302" s="4">
        <v>50</v>
      </c>
      <c r="B302" s="4">
        <v>0</v>
      </c>
      <c r="C302" s="4">
        <v>0</v>
      </c>
      <c r="D302" s="4">
        <v>1</v>
      </c>
      <c r="E302" s="4">
        <v>232</v>
      </c>
      <c r="F302" s="4">
        <f>ROUND(Source!BC286,O302)</f>
        <v>0</v>
      </c>
      <c r="G302" s="4" t="s">
        <v>307</v>
      </c>
      <c r="H302" s="4" t="s">
        <v>308</v>
      </c>
      <c r="I302" s="4"/>
      <c r="J302" s="4"/>
      <c r="K302" s="4">
        <v>232</v>
      </c>
      <c r="L302" s="4">
        <v>15</v>
      </c>
      <c r="M302" s="4">
        <v>3</v>
      </c>
      <c r="N302" s="4" t="s">
        <v>6</v>
      </c>
      <c r="O302" s="4">
        <v>2</v>
      </c>
      <c r="P302" s="4"/>
      <c r="Q302" s="4"/>
      <c r="R302" s="4"/>
      <c r="S302" s="4"/>
      <c r="T302" s="4"/>
      <c r="U302" s="4"/>
      <c r="V302" s="4"/>
      <c r="W302" s="4"/>
    </row>
    <row r="303" spans="1:23" x14ac:dyDescent="0.2">
      <c r="A303" s="4">
        <v>50</v>
      </c>
      <c r="B303" s="4">
        <v>0</v>
      </c>
      <c r="C303" s="4">
        <v>0</v>
      </c>
      <c r="D303" s="4">
        <v>1</v>
      </c>
      <c r="E303" s="4">
        <v>214</v>
      </c>
      <c r="F303" s="4">
        <f>ROUND(Source!AS286,O303)</f>
        <v>0</v>
      </c>
      <c r="G303" s="4" t="s">
        <v>309</v>
      </c>
      <c r="H303" s="4" t="s">
        <v>310</v>
      </c>
      <c r="I303" s="4"/>
      <c r="J303" s="4"/>
      <c r="K303" s="4">
        <v>214</v>
      </c>
      <c r="L303" s="4">
        <v>16</v>
      </c>
      <c r="M303" s="4">
        <v>3</v>
      </c>
      <c r="N303" s="4" t="s">
        <v>6</v>
      </c>
      <c r="O303" s="4">
        <v>2</v>
      </c>
      <c r="P303" s="4"/>
      <c r="Q303" s="4"/>
      <c r="R303" s="4"/>
      <c r="S303" s="4"/>
      <c r="T303" s="4"/>
      <c r="U303" s="4"/>
      <c r="V303" s="4"/>
      <c r="W303" s="4"/>
    </row>
    <row r="304" spans="1:23" x14ac:dyDescent="0.2">
      <c r="A304" s="4">
        <v>50</v>
      </c>
      <c r="B304" s="4">
        <v>0</v>
      </c>
      <c r="C304" s="4">
        <v>0</v>
      </c>
      <c r="D304" s="4">
        <v>1</v>
      </c>
      <c r="E304" s="4">
        <v>215</v>
      </c>
      <c r="F304" s="4">
        <f>ROUND(Source!AT286,O304)</f>
        <v>23677.360000000001</v>
      </c>
      <c r="G304" s="4" t="s">
        <v>311</v>
      </c>
      <c r="H304" s="4" t="s">
        <v>312</v>
      </c>
      <c r="I304" s="4"/>
      <c r="J304" s="4"/>
      <c r="K304" s="4">
        <v>215</v>
      </c>
      <c r="L304" s="4">
        <v>17</v>
      </c>
      <c r="M304" s="4">
        <v>3</v>
      </c>
      <c r="N304" s="4" t="s">
        <v>6</v>
      </c>
      <c r="O304" s="4">
        <v>2</v>
      </c>
      <c r="P304" s="4"/>
      <c r="Q304" s="4"/>
      <c r="R304" s="4"/>
      <c r="S304" s="4"/>
      <c r="T304" s="4"/>
      <c r="U304" s="4"/>
      <c r="V304" s="4"/>
      <c r="W304" s="4"/>
    </row>
    <row r="305" spans="1:206" x14ac:dyDescent="0.2">
      <c r="A305" s="4">
        <v>50</v>
      </c>
      <c r="B305" s="4">
        <v>0</v>
      </c>
      <c r="C305" s="4">
        <v>0</v>
      </c>
      <c r="D305" s="4">
        <v>1</v>
      </c>
      <c r="E305" s="4">
        <v>217</v>
      </c>
      <c r="F305" s="4">
        <f>ROUND(Source!AU286,O305)</f>
        <v>0</v>
      </c>
      <c r="G305" s="4" t="s">
        <v>313</v>
      </c>
      <c r="H305" s="4" t="s">
        <v>314</v>
      </c>
      <c r="I305" s="4"/>
      <c r="J305" s="4"/>
      <c r="K305" s="4">
        <v>217</v>
      </c>
      <c r="L305" s="4">
        <v>18</v>
      </c>
      <c r="M305" s="4">
        <v>3</v>
      </c>
      <c r="N305" s="4" t="s">
        <v>6</v>
      </c>
      <c r="O305" s="4">
        <v>2</v>
      </c>
      <c r="P305" s="4"/>
      <c r="Q305" s="4"/>
      <c r="R305" s="4"/>
      <c r="S305" s="4"/>
      <c r="T305" s="4"/>
      <c r="U305" s="4"/>
      <c r="V305" s="4"/>
      <c r="W305" s="4"/>
    </row>
    <row r="306" spans="1:206" x14ac:dyDescent="0.2">
      <c r="A306" s="4">
        <v>50</v>
      </c>
      <c r="B306" s="4">
        <v>0</v>
      </c>
      <c r="C306" s="4">
        <v>0</v>
      </c>
      <c r="D306" s="4">
        <v>1</v>
      </c>
      <c r="E306" s="4">
        <v>230</v>
      </c>
      <c r="F306" s="4">
        <f>ROUND(Source!BA286,O306)</f>
        <v>0</v>
      </c>
      <c r="G306" s="4" t="s">
        <v>315</v>
      </c>
      <c r="H306" s="4" t="s">
        <v>316</v>
      </c>
      <c r="I306" s="4"/>
      <c r="J306" s="4"/>
      <c r="K306" s="4">
        <v>230</v>
      </c>
      <c r="L306" s="4">
        <v>19</v>
      </c>
      <c r="M306" s="4">
        <v>3</v>
      </c>
      <c r="N306" s="4" t="s">
        <v>6</v>
      </c>
      <c r="O306" s="4">
        <v>2</v>
      </c>
      <c r="P306" s="4"/>
      <c r="Q306" s="4"/>
      <c r="R306" s="4"/>
      <c r="S306" s="4"/>
      <c r="T306" s="4"/>
      <c r="U306" s="4"/>
      <c r="V306" s="4"/>
      <c r="W306" s="4"/>
    </row>
    <row r="307" spans="1:206" x14ac:dyDescent="0.2">
      <c r="A307" s="4">
        <v>50</v>
      </c>
      <c r="B307" s="4">
        <v>0</v>
      </c>
      <c r="C307" s="4">
        <v>0</v>
      </c>
      <c r="D307" s="4">
        <v>1</v>
      </c>
      <c r="E307" s="4">
        <v>206</v>
      </c>
      <c r="F307" s="4">
        <f>ROUND(Source!T286,O307)</f>
        <v>0</v>
      </c>
      <c r="G307" s="4" t="s">
        <v>317</v>
      </c>
      <c r="H307" s="4" t="s">
        <v>318</v>
      </c>
      <c r="I307" s="4"/>
      <c r="J307" s="4"/>
      <c r="K307" s="4">
        <v>206</v>
      </c>
      <c r="L307" s="4">
        <v>20</v>
      </c>
      <c r="M307" s="4">
        <v>3</v>
      </c>
      <c r="N307" s="4" t="s">
        <v>6</v>
      </c>
      <c r="O307" s="4">
        <v>2</v>
      </c>
      <c r="P307" s="4"/>
      <c r="Q307" s="4"/>
      <c r="R307" s="4"/>
      <c r="S307" s="4"/>
      <c r="T307" s="4"/>
      <c r="U307" s="4"/>
      <c r="V307" s="4"/>
      <c r="W307" s="4"/>
    </row>
    <row r="308" spans="1:206" x14ac:dyDescent="0.2">
      <c r="A308" s="4">
        <v>50</v>
      </c>
      <c r="B308" s="4">
        <v>0</v>
      </c>
      <c r="C308" s="4">
        <v>0</v>
      </c>
      <c r="D308" s="4">
        <v>1</v>
      </c>
      <c r="E308" s="4">
        <v>207</v>
      </c>
      <c r="F308" s="4">
        <f>Source!U286</f>
        <v>50.689100000000003</v>
      </c>
      <c r="G308" s="4" t="s">
        <v>319</v>
      </c>
      <c r="H308" s="4" t="s">
        <v>320</v>
      </c>
      <c r="I308" s="4"/>
      <c r="J308" s="4"/>
      <c r="K308" s="4">
        <v>207</v>
      </c>
      <c r="L308" s="4">
        <v>21</v>
      </c>
      <c r="M308" s="4">
        <v>3</v>
      </c>
      <c r="N308" s="4" t="s">
        <v>6</v>
      </c>
      <c r="O308" s="4">
        <v>-1</v>
      </c>
      <c r="P308" s="4"/>
      <c r="Q308" s="4"/>
      <c r="R308" s="4"/>
      <c r="S308" s="4"/>
      <c r="T308" s="4"/>
      <c r="U308" s="4"/>
      <c r="V308" s="4"/>
      <c r="W308" s="4"/>
    </row>
    <row r="309" spans="1:206" x14ac:dyDescent="0.2">
      <c r="A309" s="4">
        <v>50</v>
      </c>
      <c r="B309" s="4">
        <v>0</v>
      </c>
      <c r="C309" s="4">
        <v>0</v>
      </c>
      <c r="D309" s="4">
        <v>1</v>
      </c>
      <c r="E309" s="4">
        <v>208</v>
      </c>
      <c r="F309" s="4">
        <f>Source!V286</f>
        <v>1.9599999999999999E-2</v>
      </c>
      <c r="G309" s="4" t="s">
        <v>321</v>
      </c>
      <c r="H309" s="4" t="s">
        <v>322</v>
      </c>
      <c r="I309" s="4"/>
      <c r="J309" s="4"/>
      <c r="K309" s="4">
        <v>208</v>
      </c>
      <c r="L309" s="4">
        <v>22</v>
      </c>
      <c r="M309" s="4">
        <v>3</v>
      </c>
      <c r="N309" s="4" t="s">
        <v>6</v>
      </c>
      <c r="O309" s="4">
        <v>-1</v>
      </c>
      <c r="P309" s="4"/>
      <c r="Q309" s="4"/>
      <c r="R309" s="4"/>
      <c r="S309" s="4"/>
      <c r="T309" s="4"/>
      <c r="U309" s="4"/>
      <c r="V309" s="4"/>
      <c r="W309" s="4"/>
    </row>
    <row r="310" spans="1:206" x14ac:dyDescent="0.2">
      <c r="A310" s="4">
        <v>50</v>
      </c>
      <c r="B310" s="4">
        <v>0</v>
      </c>
      <c r="C310" s="4">
        <v>0</v>
      </c>
      <c r="D310" s="4">
        <v>1</v>
      </c>
      <c r="E310" s="4">
        <v>209</v>
      </c>
      <c r="F310" s="4">
        <f>ROUND(Source!W286,O310)</f>
        <v>0</v>
      </c>
      <c r="G310" s="4" t="s">
        <v>323</v>
      </c>
      <c r="H310" s="4" t="s">
        <v>324</v>
      </c>
      <c r="I310" s="4"/>
      <c r="J310" s="4"/>
      <c r="K310" s="4">
        <v>209</v>
      </c>
      <c r="L310" s="4">
        <v>23</v>
      </c>
      <c r="M310" s="4">
        <v>3</v>
      </c>
      <c r="N310" s="4" t="s">
        <v>6</v>
      </c>
      <c r="O310" s="4">
        <v>2</v>
      </c>
      <c r="P310" s="4"/>
      <c r="Q310" s="4"/>
      <c r="R310" s="4"/>
      <c r="S310" s="4"/>
      <c r="T310" s="4"/>
      <c r="U310" s="4"/>
      <c r="V310" s="4"/>
      <c r="W310" s="4"/>
    </row>
    <row r="311" spans="1:206" x14ac:dyDescent="0.2">
      <c r="A311" s="4">
        <v>50</v>
      </c>
      <c r="B311" s="4">
        <v>0</v>
      </c>
      <c r="C311" s="4">
        <v>0</v>
      </c>
      <c r="D311" s="4">
        <v>1</v>
      </c>
      <c r="E311" s="4">
        <v>210</v>
      </c>
      <c r="F311" s="4">
        <f>ROUND(Source!X286,O311)</f>
        <v>2697.18</v>
      </c>
      <c r="G311" s="4" t="s">
        <v>325</v>
      </c>
      <c r="H311" s="4" t="s">
        <v>326</v>
      </c>
      <c r="I311" s="4"/>
      <c r="J311" s="4"/>
      <c r="K311" s="4">
        <v>210</v>
      </c>
      <c r="L311" s="4">
        <v>24</v>
      </c>
      <c r="M311" s="4">
        <v>3</v>
      </c>
      <c r="N311" s="4" t="s">
        <v>6</v>
      </c>
      <c r="O311" s="4">
        <v>2</v>
      </c>
      <c r="P311" s="4"/>
      <c r="Q311" s="4"/>
      <c r="R311" s="4"/>
      <c r="S311" s="4"/>
      <c r="T311" s="4"/>
      <c r="U311" s="4"/>
      <c r="V311" s="4"/>
      <c r="W311" s="4"/>
    </row>
    <row r="312" spans="1:206" x14ac:dyDescent="0.2">
      <c r="A312" s="4">
        <v>50</v>
      </c>
      <c r="B312" s="4">
        <v>0</v>
      </c>
      <c r="C312" s="4">
        <v>0</v>
      </c>
      <c r="D312" s="4">
        <v>1</v>
      </c>
      <c r="E312" s="4">
        <v>211</v>
      </c>
      <c r="F312" s="4">
        <f>ROUND(Source!Y286,O312)</f>
        <v>1990.71</v>
      </c>
      <c r="G312" s="4" t="s">
        <v>327</v>
      </c>
      <c r="H312" s="4" t="s">
        <v>328</v>
      </c>
      <c r="I312" s="4"/>
      <c r="J312" s="4"/>
      <c r="K312" s="4">
        <v>211</v>
      </c>
      <c r="L312" s="4">
        <v>25</v>
      </c>
      <c r="M312" s="4">
        <v>3</v>
      </c>
      <c r="N312" s="4" t="s">
        <v>6</v>
      </c>
      <c r="O312" s="4">
        <v>2</v>
      </c>
      <c r="P312" s="4"/>
      <c r="Q312" s="4"/>
      <c r="R312" s="4"/>
      <c r="S312" s="4"/>
      <c r="T312" s="4"/>
      <c r="U312" s="4"/>
      <c r="V312" s="4"/>
      <c r="W312" s="4"/>
    </row>
    <row r="313" spans="1:206" x14ac:dyDescent="0.2">
      <c r="A313" s="4">
        <v>50</v>
      </c>
      <c r="B313" s="4">
        <v>0</v>
      </c>
      <c r="C313" s="4">
        <v>0</v>
      </c>
      <c r="D313" s="4">
        <v>1</v>
      </c>
      <c r="E313" s="4">
        <v>224</v>
      </c>
      <c r="F313" s="4">
        <f>ROUND(Source!AR286,O313)</f>
        <v>23677.360000000001</v>
      </c>
      <c r="G313" s="4" t="s">
        <v>329</v>
      </c>
      <c r="H313" s="4" t="s">
        <v>330</v>
      </c>
      <c r="I313" s="4"/>
      <c r="J313" s="4"/>
      <c r="K313" s="4">
        <v>224</v>
      </c>
      <c r="L313" s="4">
        <v>26</v>
      </c>
      <c r="M313" s="4">
        <v>3</v>
      </c>
      <c r="N313" s="4" t="s">
        <v>6</v>
      </c>
      <c r="O313" s="4">
        <v>2</v>
      </c>
      <c r="P313" s="4"/>
      <c r="Q313" s="4"/>
      <c r="R313" s="4"/>
      <c r="S313" s="4"/>
      <c r="T313" s="4"/>
      <c r="U313" s="4"/>
      <c r="V313" s="4"/>
      <c r="W313" s="4"/>
    </row>
    <row r="315" spans="1:206" x14ac:dyDescent="0.2">
      <c r="A315" s="2">
        <v>51</v>
      </c>
      <c r="B315" s="2">
        <f>B20</f>
        <v>1</v>
      </c>
      <c r="C315" s="2">
        <f>A20</f>
        <v>3</v>
      </c>
      <c r="D315" s="2">
        <f>ROW(A20)</f>
        <v>20</v>
      </c>
      <c r="E315" s="2"/>
      <c r="F315" s="2" t="str">
        <f>IF(F20&lt;&gt;"",F20,"")</f>
        <v>Новая локальная смета</v>
      </c>
      <c r="G315" s="2" t="str">
        <f>IF(G20&lt;&gt;"",G20,"")</f>
        <v>Новая локальная смета</v>
      </c>
      <c r="H315" s="2">
        <v>0</v>
      </c>
      <c r="I315" s="2"/>
      <c r="J315" s="2"/>
      <c r="K315" s="2"/>
      <c r="L315" s="2"/>
      <c r="M315" s="2"/>
      <c r="N315" s="2"/>
      <c r="O315" s="2">
        <f t="shared" ref="O315:T315" si="270">ROUND(O89+O133+O201+O242+O286+AB315,2)</f>
        <v>1633479.45</v>
      </c>
      <c r="P315" s="2">
        <f t="shared" si="270"/>
        <v>1496233.88</v>
      </c>
      <c r="Q315" s="2">
        <f t="shared" si="270"/>
        <v>11496.05</v>
      </c>
      <c r="R315" s="2">
        <f t="shared" si="270"/>
        <v>2159.36</v>
      </c>
      <c r="S315" s="2">
        <f t="shared" si="270"/>
        <v>125749.52</v>
      </c>
      <c r="T315" s="2">
        <f t="shared" si="270"/>
        <v>0</v>
      </c>
      <c r="U315" s="2">
        <f>U89+U133+U201+U242+U286+AH315</f>
        <v>1749.5781816999997</v>
      </c>
      <c r="V315" s="2">
        <f>V89+V133+V201+V242+V286+AI315</f>
        <v>26.771321500000006</v>
      </c>
      <c r="W315" s="2">
        <f>ROUND(W89+W133+W201+W242+W286+AJ315,2)</f>
        <v>0</v>
      </c>
      <c r="X315" s="2">
        <f>ROUND(X89+X133+X201+X242+X286+AK315,2)</f>
        <v>113102.08</v>
      </c>
      <c r="Y315" s="2">
        <f>ROUND(Y89+Y133+Y201+Y242+Y286+AL315,2)</f>
        <v>68563.87</v>
      </c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>
        <f t="shared" ref="AO315:BC315" si="271">ROUND(AO89+AO133+AO201+AO242+AO286+BX315,2)</f>
        <v>0</v>
      </c>
      <c r="AP315" s="2">
        <f t="shared" si="271"/>
        <v>0</v>
      </c>
      <c r="AQ315" s="2">
        <f t="shared" si="271"/>
        <v>0</v>
      </c>
      <c r="AR315" s="2">
        <f t="shared" si="271"/>
        <v>1825213.62</v>
      </c>
      <c r="AS315" s="2">
        <f t="shared" si="271"/>
        <v>1179663.18</v>
      </c>
      <c r="AT315" s="2">
        <f t="shared" si="271"/>
        <v>591789.31999999995</v>
      </c>
      <c r="AU315" s="2">
        <f t="shared" si="271"/>
        <v>53761.120000000003</v>
      </c>
      <c r="AV315" s="2">
        <f t="shared" si="271"/>
        <v>1496233.88</v>
      </c>
      <c r="AW315" s="2">
        <f t="shared" si="271"/>
        <v>1496233.88</v>
      </c>
      <c r="AX315" s="2">
        <f t="shared" si="271"/>
        <v>0</v>
      </c>
      <c r="AY315" s="2">
        <f t="shared" si="271"/>
        <v>1496233.88</v>
      </c>
      <c r="AZ315" s="2">
        <f t="shared" si="271"/>
        <v>0</v>
      </c>
      <c r="BA315" s="2">
        <f t="shared" si="271"/>
        <v>0</v>
      </c>
      <c r="BB315" s="2">
        <f t="shared" si="271"/>
        <v>0</v>
      </c>
      <c r="BC315" s="2">
        <f t="shared" si="271"/>
        <v>0</v>
      </c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  <c r="CA315" s="2"/>
      <c r="CB315" s="2"/>
      <c r="CC315" s="2"/>
      <c r="CD315" s="2"/>
      <c r="CE315" s="2"/>
      <c r="CF315" s="2"/>
      <c r="CG315" s="2"/>
      <c r="CH315" s="2"/>
      <c r="CI315" s="2"/>
      <c r="CJ315" s="2"/>
      <c r="CK315" s="2"/>
      <c r="CL315" s="2"/>
      <c r="CM315" s="2"/>
      <c r="CN315" s="2"/>
      <c r="CO315" s="2"/>
      <c r="CP315" s="2"/>
      <c r="CQ315" s="2"/>
      <c r="CR315" s="2"/>
      <c r="CS315" s="2"/>
      <c r="CT315" s="2"/>
      <c r="CU315" s="2"/>
      <c r="CV315" s="2"/>
      <c r="CW315" s="2"/>
      <c r="CX315" s="2"/>
      <c r="CY315" s="2"/>
      <c r="CZ315" s="2"/>
      <c r="DA315" s="2"/>
      <c r="DB315" s="2"/>
      <c r="DC315" s="2"/>
      <c r="DD315" s="2"/>
      <c r="DE315" s="2"/>
      <c r="DF315" s="2"/>
      <c r="DG315" s="3"/>
      <c r="DH315" s="3"/>
      <c r="DI315" s="3"/>
      <c r="DJ315" s="3"/>
      <c r="DK315" s="3"/>
      <c r="DL315" s="3"/>
      <c r="DM315" s="3"/>
      <c r="DN315" s="3"/>
      <c r="DO315" s="3"/>
      <c r="DP315" s="3"/>
      <c r="DQ315" s="3"/>
      <c r="DR315" s="3"/>
      <c r="DS315" s="3"/>
      <c r="DT315" s="3"/>
      <c r="DU315" s="3"/>
      <c r="DV315" s="3"/>
      <c r="DW315" s="3"/>
      <c r="DX315" s="3"/>
      <c r="DY315" s="3"/>
      <c r="DZ315" s="3"/>
      <c r="EA315" s="3"/>
      <c r="EB315" s="3"/>
      <c r="EC315" s="3"/>
      <c r="ED315" s="3"/>
      <c r="EE315" s="3"/>
      <c r="EF315" s="3"/>
      <c r="EG315" s="3"/>
      <c r="EH315" s="3"/>
      <c r="EI315" s="3"/>
      <c r="EJ315" s="3"/>
      <c r="EK315" s="3"/>
      <c r="EL315" s="3"/>
      <c r="EM315" s="3"/>
      <c r="EN315" s="3"/>
      <c r="EO315" s="3"/>
      <c r="EP315" s="3"/>
      <c r="EQ315" s="3"/>
      <c r="ER315" s="3"/>
      <c r="ES315" s="3"/>
      <c r="ET315" s="3"/>
      <c r="EU315" s="3"/>
      <c r="EV315" s="3"/>
      <c r="EW315" s="3"/>
      <c r="EX315" s="3"/>
      <c r="EY315" s="3"/>
      <c r="EZ315" s="3"/>
      <c r="FA315" s="3"/>
      <c r="FB315" s="3"/>
      <c r="FC315" s="3"/>
      <c r="FD315" s="3"/>
      <c r="FE315" s="3"/>
      <c r="FF315" s="3"/>
      <c r="FG315" s="3"/>
      <c r="FH315" s="3"/>
      <c r="FI315" s="3"/>
      <c r="FJ315" s="3"/>
      <c r="FK315" s="3"/>
      <c r="FL315" s="3"/>
      <c r="FM315" s="3"/>
      <c r="FN315" s="3"/>
      <c r="FO315" s="3"/>
      <c r="FP315" s="3"/>
      <c r="FQ315" s="3"/>
      <c r="FR315" s="3"/>
      <c r="FS315" s="3"/>
      <c r="FT315" s="3"/>
      <c r="FU315" s="3"/>
      <c r="FV315" s="3"/>
      <c r="FW315" s="3"/>
      <c r="FX315" s="3"/>
      <c r="FY315" s="3"/>
      <c r="FZ315" s="3"/>
      <c r="GA315" s="3"/>
      <c r="GB315" s="3"/>
      <c r="GC315" s="3"/>
      <c r="GD315" s="3"/>
      <c r="GE315" s="3"/>
      <c r="GF315" s="3"/>
      <c r="GG315" s="3"/>
      <c r="GH315" s="3"/>
      <c r="GI315" s="3"/>
      <c r="GJ315" s="3"/>
      <c r="GK315" s="3"/>
      <c r="GL315" s="3"/>
      <c r="GM315" s="3"/>
      <c r="GN315" s="3"/>
      <c r="GO315" s="3"/>
      <c r="GP315" s="3"/>
      <c r="GQ315" s="3"/>
      <c r="GR315" s="3"/>
      <c r="GS315" s="3"/>
      <c r="GT315" s="3"/>
      <c r="GU315" s="3"/>
      <c r="GV315" s="3"/>
      <c r="GW315" s="3"/>
      <c r="GX315" s="3">
        <v>0</v>
      </c>
    </row>
    <row r="317" spans="1:206" x14ac:dyDescent="0.2">
      <c r="A317" s="4">
        <v>50</v>
      </c>
      <c r="B317" s="4">
        <v>0</v>
      </c>
      <c r="C317" s="4">
        <v>0</v>
      </c>
      <c r="D317" s="4">
        <v>1</v>
      </c>
      <c r="E317" s="4">
        <v>201</v>
      </c>
      <c r="F317" s="4">
        <f>ROUND(Source!O315,O317)</f>
        <v>1633479.45</v>
      </c>
      <c r="G317" s="4" t="s">
        <v>279</v>
      </c>
      <c r="H317" s="4" t="s">
        <v>280</v>
      </c>
      <c r="I317" s="4"/>
      <c r="J317" s="4"/>
      <c r="K317" s="4">
        <v>201</v>
      </c>
      <c r="L317" s="4">
        <v>1</v>
      </c>
      <c r="M317" s="4">
        <v>3</v>
      </c>
      <c r="N317" s="4" t="s">
        <v>6</v>
      </c>
      <c r="O317" s="4">
        <v>2</v>
      </c>
      <c r="P317" s="4"/>
      <c r="Q317" s="4"/>
      <c r="R317" s="4"/>
      <c r="S317" s="4"/>
      <c r="T317" s="4"/>
      <c r="U317" s="4"/>
      <c r="V317" s="4"/>
      <c r="W317" s="4"/>
    </row>
    <row r="318" spans="1:206" x14ac:dyDescent="0.2">
      <c r="A318" s="4">
        <v>50</v>
      </c>
      <c r="B318" s="4">
        <v>0</v>
      </c>
      <c r="C318" s="4">
        <v>0</v>
      </c>
      <c r="D318" s="4">
        <v>1</v>
      </c>
      <c r="E318" s="4">
        <v>202</v>
      </c>
      <c r="F318" s="4">
        <f>ROUND(Source!P315,O318)</f>
        <v>1496233.88</v>
      </c>
      <c r="G318" s="4" t="s">
        <v>281</v>
      </c>
      <c r="H318" s="4" t="s">
        <v>282</v>
      </c>
      <c r="I318" s="4"/>
      <c r="J318" s="4"/>
      <c r="K318" s="4">
        <v>202</v>
      </c>
      <c r="L318" s="4">
        <v>2</v>
      </c>
      <c r="M318" s="4">
        <v>3</v>
      </c>
      <c r="N318" s="4" t="s">
        <v>6</v>
      </c>
      <c r="O318" s="4">
        <v>2</v>
      </c>
      <c r="P318" s="4"/>
      <c r="Q318" s="4"/>
      <c r="R318" s="4"/>
      <c r="S318" s="4"/>
      <c r="T318" s="4"/>
      <c r="U318" s="4"/>
      <c r="V318" s="4"/>
      <c r="W318" s="4"/>
    </row>
    <row r="319" spans="1:206" x14ac:dyDescent="0.2">
      <c r="A319" s="4">
        <v>50</v>
      </c>
      <c r="B319" s="4">
        <v>0</v>
      </c>
      <c r="C319" s="4">
        <v>0</v>
      </c>
      <c r="D319" s="4">
        <v>1</v>
      </c>
      <c r="E319" s="4">
        <v>222</v>
      </c>
      <c r="F319" s="4">
        <f>ROUND(Source!AO315,O319)</f>
        <v>0</v>
      </c>
      <c r="G319" s="4" t="s">
        <v>283</v>
      </c>
      <c r="H319" s="4" t="s">
        <v>284</v>
      </c>
      <c r="I319" s="4"/>
      <c r="J319" s="4"/>
      <c r="K319" s="4">
        <v>222</v>
      </c>
      <c r="L319" s="4">
        <v>3</v>
      </c>
      <c r="M319" s="4">
        <v>3</v>
      </c>
      <c r="N319" s="4" t="s">
        <v>6</v>
      </c>
      <c r="O319" s="4">
        <v>2</v>
      </c>
      <c r="P319" s="4"/>
      <c r="Q319" s="4"/>
      <c r="R319" s="4"/>
      <c r="S319" s="4"/>
      <c r="T319" s="4"/>
      <c r="U319" s="4"/>
      <c r="V319" s="4"/>
      <c r="W319" s="4"/>
    </row>
    <row r="320" spans="1:206" x14ac:dyDescent="0.2">
      <c r="A320" s="4">
        <v>50</v>
      </c>
      <c r="B320" s="4">
        <v>0</v>
      </c>
      <c r="C320" s="4">
        <v>0</v>
      </c>
      <c r="D320" s="4">
        <v>1</v>
      </c>
      <c r="E320" s="4">
        <v>225</v>
      </c>
      <c r="F320" s="4">
        <f>ROUND(Source!AV315,O320)</f>
        <v>1496233.88</v>
      </c>
      <c r="G320" s="4" t="s">
        <v>285</v>
      </c>
      <c r="H320" s="4" t="s">
        <v>286</v>
      </c>
      <c r="I320" s="4"/>
      <c r="J320" s="4"/>
      <c r="K320" s="4">
        <v>225</v>
      </c>
      <c r="L320" s="4">
        <v>4</v>
      </c>
      <c r="M320" s="4">
        <v>3</v>
      </c>
      <c r="N320" s="4" t="s">
        <v>6</v>
      </c>
      <c r="O320" s="4">
        <v>2</v>
      </c>
      <c r="P320" s="4"/>
      <c r="Q320" s="4"/>
      <c r="R320" s="4"/>
      <c r="S320" s="4"/>
      <c r="T320" s="4"/>
      <c r="U320" s="4"/>
      <c r="V320" s="4"/>
      <c r="W320" s="4"/>
    </row>
    <row r="321" spans="1:23" x14ac:dyDescent="0.2">
      <c r="A321" s="4">
        <v>50</v>
      </c>
      <c r="B321" s="4">
        <v>0</v>
      </c>
      <c r="C321" s="4">
        <v>0</v>
      </c>
      <c r="D321" s="4">
        <v>1</v>
      </c>
      <c r="E321" s="4">
        <v>226</v>
      </c>
      <c r="F321" s="4">
        <f>ROUND(Source!AW315,O321)</f>
        <v>1496233.88</v>
      </c>
      <c r="G321" s="4" t="s">
        <v>287</v>
      </c>
      <c r="H321" s="4" t="s">
        <v>288</v>
      </c>
      <c r="I321" s="4"/>
      <c r="J321" s="4"/>
      <c r="K321" s="4">
        <v>226</v>
      </c>
      <c r="L321" s="4">
        <v>5</v>
      </c>
      <c r="M321" s="4">
        <v>3</v>
      </c>
      <c r="N321" s="4" t="s">
        <v>6</v>
      </c>
      <c r="O321" s="4">
        <v>2</v>
      </c>
      <c r="P321" s="4"/>
      <c r="Q321" s="4"/>
      <c r="R321" s="4"/>
      <c r="S321" s="4"/>
      <c r="T321" s="4"/>
      <c r="U321" s="4"/>
      <c r="V321" s="4"/>
      <c r="W321" s="4"/>
    </row>
    <row r="322" spans="1:23" x14ac:dyDescent="0.2">
      <c r="A322" s="4">
        <v>50</v>
      </c>
      <c r="B322" s="4">
        <v>0</v>
      </c>
      <c r="C322" s="4">
        <v>0</v>
      </c>
      <c r="D322" s="4">
        <v>1</v>
      </c>
      <c r="E322" s="4">
        <v>227</v>
      </c>
      <c r="F322" s="4">
        <f>ROUND(Source!AX315,O322)</f>
        <v>0</v>
      </c>
      <c r="G322" s="4" t="s">
        <v>289</v>
      </c>
      <c r="H322" s="4" t="s">
        <v>290</v>
      </c>
      <c r="I322" s="4"/>
      <c r="J322" s="4"/>
      <c r="K322" s="4">
        <v>227</v>
      </c>
      <c r="L322" s="4">
        <v>6</v>
      </c>
      <c r="M322" s="4">
        <v>3</v>
      </c>
      <c r="N322" s="4" t="s">
        <v>6</v>
      </c>
      <c r="O322" s="4">
        <v>2</v>
      </c>
      <c r="P322" s="4"/>
      <c r="Q322" s="4"/>
      <c r="R322" s="4"/>
      <c r="S322" s="4"/>
      <c r="T322" s="4"/>
      <c r="U322" s="4"/>
      <c r="V322" s="4"/>
      <c r="W322" s="4"/>
    </row>
    <row r="323" spans="1:23" x14ac:dyDescent="0.2">
      <c r="A323" s="4">
        <v>50</v>
      </c>
      <c r="B323" s="4">
        <v>0</v>
      </c>
      <c r="C323" s="4">
        <v>0</v>
      </c>
      <c r="D323" s="4">
        <v>1</v>
      </c>
      <c r="E323" s="4">
        <v>228</v>
      </c>
      <c r="F323" s="4">
        <f>ROUND(Source!AY315,O323)</f>
        <v>1496233.88</v>
      </c>
      <c r="G323" s="4" t="s">
        <v>291</v>
      </c>
      <c r="H323" s="4" t="s">
        <v>292</v>
      </c>
      <c r="I323" s="4"/>
      <c r="J323" s="4"/>
      <c r="K323" s="4">
        <v>228</v>
      </c>
      <c r="L323" s="4">
        <v>7</v>
      </c>
      <c r="M323" s="4">
        <v>3</v>
      </c>
      <c r="N323" s="4" t="s">
        <v>6</v>
      </c>
      <c r="O323" s="4">
        <v>2</v>
      </c>
      <c r="P323" s="4"/>
      <c r="Q323" s="4"/>
      <c r="R323" s="4"/>
      <c r="S323" s="4"/>
      <c r="T323" s="4"/>
      <c r="U323" s="4"/>
      <c r="V323" s="4"/>
      <c r="W323" s="4"/>
    </row>
    <row r="324" spans="1:23" x14ac:dyDescent="0.2">
      <c r="A324" s="4">
        <v>50</v>
      </c>
      <c r="B324" s="4">
        <v>0</v>
      </c>
      <c r="C324" s="4">
        <v>0</v>
      </c>
      <c r="D324" s="4">
        <v>1</v>
      </c>
      <c r="E324" s="4">
        <v>216</v>
      </c>
      <c r="F324" s="4">
        <f>ROUND(Source!AP315,O324)</f>
        <v>0</v>
      </c>
      <c r="G324" s="4" t="s">
        <v>293</v>
      </c>
      <c r="H324" s="4" t="s">
        <v>294</v>
      </c>
      <c r="I324" s="4"/>
      <c r="J324" s="4"/>
      <c r="K324" s="4">
        <v>216</v>
      </c>
      <c r="L324" s="4">
        <v>8</v>
      </c>
      <c r="M324" s="4">
        <v>3</v>
      </c>
      <c r="N324" s="4" t="s">
        <v>6</v>
      </c>
      <c r="O324" s="4">
        <v>2</v>
      </c>
      <c r="P324" s="4"/>
      <c r="Q324" s="4"/>
      <c r="R324" s="4"/>
      <c r="S324" s="4"/>
      <c r="T324" s="4"/>
      <c r="U324" s="4"/>
      <c r="V324" s="4"/>
      <c r="W324" s="4"/>
    </row>
    <row r="325" spans="1:23" x14ac:dyDescent="0.2">
      <c r="A325" s="4">
        <v>50</v>
      </c>
      <c r="B325" s="4">
        <v>0</v>
      </c>
      <c r="C325" s="4">
        <v>0</v>
      </c>
      <c r="D325" s="4">
        <v>1</v>
      </c>
      <c r="E325" s="4">
        <v>223</v>
      </c>
      <c r="F325" s="4">
        <f>ROUND(Source!AQ315,O325)</f>
        <v>0</v>
      </c>
      <c r="G325" s="4" t="s">
        <v>295</v>
      </c>
      <c r="H325" s="4" t="s">
        <v>296</v>
      </c>
      <c r="I325" s="4"/>
      <c r="J325" s="4"/>
      <c r="K325" s="4">
        <v>223</v>
      </c>
      <c r="L325" s="4">
        <v>9</v>
      </c>
      <c r="M325" s="4">
        <v>3</v>
      </c>
      <c r="N325" s="4" t="s">
        <v>6</v>
      </c>
      <c r="O325" s="4">
        <v>2</v>
      </c>
      <c r="P325" s="4"/>
      <c r="Q325" s="4"/>
      <c r="R325" s="4"/>
      <c r="S325" s="4"/>
      <c r="T325" s="4"/>
      <c r="U325" s="4"/>
      <c r="V325" s="4"/>
      <c r="W325" s="4"/>
    </row>
    <row r="326" spans="1:23" x14ac:dyDescent="0.2">
      <c r="A326" s="4">
        <v>50</v>
      </c>
      <c r="B326" s="4">
        <v>0</v>
      </c>
      <c r="C326" s="4">
        <v>0</v>
      </c>
      <c r="D326" s="4">
        <v>1</v>
      </c>
      <c r="E326" s="4">
        <v>229</v>
      </c>
      <c r="F326" s="4">
        <f>ROUND(Source!AZ315,O326)</f>
        <v>0</v>
      </c>
      <c r="G326" s="4" t="s">
        <v>297</v>
      </c>
      <c r="H326" s="4" t="s">
        <v>298</v>
      </c>
      <c r="I326" s="4"/>
      <c r="J326" s="4"/>
      <c r="K326" s="4">
        <v>229</v>
      </c>
      <c r="L326" s="4">
        <v>10</v>
      </c>
      <c r="M326" s="4">
        <v>3</v>
      </c>
      <c r="N326" s="4" t="s">
        <v>6</v>
      </c>
      <c r="O326" s="4">
        <v>2</v>
      </c>
      <c r="P326" s="4"/>
      <c r="Q326" s="4"/>
      <c r="R326" s="4"/>
      <c r="S326" s="4"/>
      <c r="T326" s="4"/>
      <c r="U326" s="4"/>
      <c r="V326" s="4"/>
      <c r="W326" s="4"/>
    </row>
    <row r="327" spans="1:23" x14ac:dyDescent="0.2">
      <c r="A327" s="4">
        <v>50</v>
      </c>
      <c r="B327" s="4">
        <v>0</v>
      </c>
      <c r="C327" s="4">
        <v>0</v>
      </c>
      <c r="D327" s="4">
        <v>1</v>
      </c>
      <c r="E327" s="4">
        <v>203</v>
      </c>
      <c r="F327" s="4">
        <f>ROUND(Source!Q315,O327)</f>
        <v>11496.05</v>
      </c>
      <c r="G327" s="4" t="s">
        <v>299</v>
      </c>
      <c r="H327" s="4" t="s">
        <v>300</v>
      </c>
      <c r="I327" s="4"/>
      <c r="J327" s="4"/>
      <c r="K327" s="4">
        <v>203</v>
      </c>
      <c r="L327" s="4">
        <v>11</v>
      </c>
      <c r="M327" s="4">
        <v>3</v>
      </c>
      <c r="N327" s="4" t="s">
        <v>6</v>
      </c>
      <c r="O327" s="4">
        <v>2</v>
      </c>
      <c r="P327" s="4"/>
      <c r="Q327" s="4"/>
      <c r="R327" s="4"/>
      <c r="S327" s="4"/>
      <c r="T327" s="4"/>
      <c r="U327" s="4"/>
      <c r="V327" s="4"/>
      <c r="W327" s="4"/>
    </row>
    <row r="328" spans="1:23" x14ac:dyDescent="0.2">
      <c r="A328" s="4">
        <v>50</v>
      </c>
      <c r="B328" s="4">
        <v>0</v>
      </c>
      <c r="C328" s="4">
        <v>0</v>
      </c>
      <c r="D328" s="4">
        <v>1</v>
      </c>
      <c r="E328" s="4">
        <v>231</v>
      </c>
      <c r="F328" s="4">
        <f>ROUND(Source!BB315,O328)</f>
        <v>0</v>
      </c>
      <c r="G328" s="4" t="s">
        <v>301</v>
      </c>
      <c r="H328" s="4" t="s">
        <v>302</v>
      </c>
      <c r="I328" s="4"/>
      <c r="J328" s="4"/>
      <c r="K328" s="4">
        <v>231</v>
      </c>
      <c r="L328" s="4">
        <v>12</v>
      </c>
      <c r="M328" s="4">
        <v>3</v>
      </c>
      <c r="N328" s="4" t="s">
        <v>6</v>
      </c>
      <c r="O328" s="4">
        <v>2</v>
      </c>
      <c r="P328" s="4"/>
      <c r="Q328" s="4"/>
      <c r="R328" s="4"/>
      <c r="S328" s="4"/>
      <c r="T328" s="4"/>
      <c r="U328" s="4"/>
      <c r="V328" s="4"/>
      <c r="W328" s="4"/>
    </row>
    <row r="329" spans="1:23" x14ac:dyDescent="0.2">
      <c r="A329" s="4">
        <v>50</v>
      </c>
      <c r="B329" s="4">
        <v>0</v>
      </c>
      <c r="C329" s="4">
        <v>0</v>
      </c>
      <c r="D329" s="4">
        <v>1</v>
      </c>
      <c r="E329" s="4">
        <v>204</v>
      </c>
      <c r="F329" s="4">
        <f>ROUND(Source!R315,O329)</f>
        <v>2159.36</v>
      </c>
      <c r="G329" s="4" t="s">
        <v>303</v>
      </c>
      <c r="H329" s="4" t="s">
        <v>304</v>
      </c>
      <c r="I329" s="4"/>
      <c r="J329" s="4"/>
      <c r="K329" s="4">
        <v>204</v>
      </c>
      <c r="L329" s="4">
        <v>13</v>
      </c>
      <c r="M329" s="4">
        <v>3</v>
      </c>
      <c r="N329" s="4" t="s">
        <v>6</v>
      </c>
      <c r="O329" s="4">
        <v>2</v>
      </c>
      <c r="P329" s="4"/>
      <c r="Q329" s="4"/>
      <c r="R329" s="4"/>
      <c r="S329" s="4"/>
      <c r="T329" s="4"/>
      <c r="U329" s="4"/>
      <c r="V329" s="4"/>
      <c r="W329" s="4"/>
    </row>
    <row r="330" spans="1:23" x14ac:dyDescent="0.2">
      <c r="A330" s="4">
        <v>50</v>
      </c>
      <c r="B330" s="4">
        <v>0</v>
      </c>
      <c r="C330" s="4">
        <v>0</v>
      </c>
      <c r="D330" s="4">
        <v>1</v>
      </c>
      <c r="E330" s="4">
        <v>205</v>
      </c>
      <c r="F330" s="4">
        <f>ROUND(Source!S315,O330)</f>
        <v>125749.52</v>
      </c>
      <c r="G330" s="4" t="s">
        <v>305</v>
      </c>
      <c r="H330" s="4" t="s">
        <v>306</v>
      </c>
      <c r="I330" s="4"/>
      <c r="J330" s="4"/>
      <c r="K330" s="4">
        <v>205</v>
      </c>
      <c r="L330" s="4">
        <v>14</v>
      </c>
      <c r="M330" s="4">
        <v>3</v>
      </c>
      <c r="N330" s="4" t="s">
        <v>6</v>
      </c>
      <c r="O330" s="4">
        <v>2</v>
      </c>
      <c r="P330" s="4"/>
      <c r="Q330" s="4"/>
      <c r="R330" s="4"/>
      <c r="S330" s="4"/>
      <c r="T330" s="4"/>
      <c r="U330" s="4"/>
      <c r="V330" s="4"/>
      <c r="W330" s="4"/>
    </row>
    <row r="331" spans="1:23" x14ac:dyDescent="0.2">
      <c r="A331" s="4">
        <v>50</v>
      </c>
      <c r="B331" s="4">
        <v>0</v>
      </c>
      <c r="C331" s="4">
        <v>0</v>
      </c>
      <c r="D331" s="4">
        <v>1</v>
      </c>
      <c r="E331" s="4">
        <v>232</v>
      </c>
      <c r="F331" s="4">
        <f>ROUND(Source!BC315,O331)</f>
        <v>0</v>
      </c>
      <c r="G331" s="4" t="s">
        <v>307</v>
      </c>
      <c r="H331" s="4" t="s">
        <v>308</v>
      </c>
      <c r="I331" s="4"/>
      <c r="J331" s="4"/>
      <c r="K331" s="4">
        <v>232</v>
      </c>
      <c r="L331" s="4">
        <v>15</v>
      </c>
      <c r="M331" s="4">
        <v>3</v>
      </c>
      <c r="N331" s="4" t="s">
        <v>6</v>
      </c>
      <c r="O331" s="4">
        <v>2</v>
      </c>
      <c r="P331" s="4"/>
      <c r="Q331" s="4"/>
      <c r="R331" s="4"/>
      <c r="S331" s="4"/>
      <c r="T331" s="4"/>
      <c r="U331" s="4"/>
      <c r="V331" s="4"/>
      <c r="W331" s="4"/>
    </row>
    <row r="332" spans="1:23" x14ac:dyDescent="0.2">
      <c r="A332" s="4">
        <v>50</v>
      </c>
      <c r="B332" s="4">
        <v>0</v>
      </c>
      <c r="C332" s="4">
        <v>0</v>
      </c>
      <c r="D332" s="4">
        <v>1</v>
      </c>
      <c r="E332" s="4">
        <v>214</v>
      </c>
      <c r="F332" s="4">
        <f>ROUND(Source!AS315,O332)</f>
        <v>1179663.18</v>
      </c>
      <c r="G332" s="4" t="s">
        <v>309</v>
      </c>
      <c r="H332" s="4" t="s">
        <v>310</v>
      </c>
      <c r="I332" s="4"/>
      <c r="J332" s="4"/>
      <c r="K332" s="4">
        <v>214</v>
      </c>
      <c r="L332" s="4">
        <v>16</v>
      </c>
      <c r="M332" s="4">
        <v>3</v>
      </c>
      <c r="N332" s="4" t="s">
        <v>6</v>
      </c>
      <c r="O332" s="4">
        <v>2</v>
      </c>
      <c r="P332" s="4"/>
      <c r="Q332" s="4"/>
      <c r="R332" s="4"/>
      <c r="S332" s="4"/>
      <c r="T332" s="4"/>
      <c r="U332" s="4"/>
      <c r="V332" s="4"/>
      <c r="W332" s="4"/>
    </row>
    <row r="333" spans="1:23" x14ac:dyDescent="0.2">
      <c r="A333" s="4">
        <v>50</v>
      </c>
      <c r="B333" s="4">
        <v>0</v>
      </c>
      <c r="C333" s="4">
        <v>0</v>
      </c>
      <c r="D333" s="4">
        <v>1</v>
      </c>
      <c r="E333" s="4">
        <v>215</v>
      </c>
      <c r="F333" s="4">
        <f>ROUND(Source!AT315,O333)</f>
        <v>591789.31999999995</v>
      </c>
      <c r="G333" s="4" t="s">
        <v>311</v>
      </c>
      <c r="H333" s="4" t="s">
        <v>312</v>
      </c>
      <c r="I333" s="4"/>
      <c r="J333" s="4"/>
      <c r="K333" s="4">
        <v>215</v>
      </c>
      <c r="L333" s="4">
        <v>17</v>
      </c>
      <c r="M333" s="4">
        <v>3</v>
      </c>
      <c r="N333" s="4" t="s">
        <v>6</v>
      </c>
      <c r="O333" s="4">
        <v>2</v>
      </c>
      <c r="P333" s="4"/>
      <c r="Q333" s="4"/>
      <c r="R333" s="4"/>
      <c r="S333" s="4"/>
      <c r="T333" s="4"/>
      <c r="U333" s="4"/>
      <c r="V333" s="4"/>
      <c r="W333" s="4"/>
    </row>
    <row r="334" spans="1:23" x14ac:dyDescent="0.2">
      <c r="A334" s="4">
        <v>50</v>
      </c>
      <c r="B334" s="4">
        <v>0</v>
      </c>
      <c r="C334" s="4">
        <v>0</v>
      </c>
      <c r="D334" s="4">
        <v>1</v>
      </c>
      <c r="E334" s="4">
        <v>217</v>
      </c>
      <c r="F334" s="4">
        <f>ROUND(Source!AU315,O334)</f>
        <v>53761.120000000003</v>
      </c>
      <c r="G334" s="4" t="s">
        <v>313</v>
      </c>
      <c r="H334" s="4" t="s">
        <v>314</v>
      </c>
      <c r="I334" s="4"/>
      <c r="J334" s="4"/>
      <c r="K334" s="4">
        <v>217</v>
      </c>
      <c r="L334" s="4">
        <v>18</v>
      </c>
      <c r="M334" s="4">
        <v>3</v>
      </c>
      <c r="N334" s="4" t="s">
        <v>6</v>
      </c>
      <c r="O334" s="4">
        <v>2</v>
      </c>
      <c r="P334" s="4"/>
      <c r="Q334" s="4"/>
      <c r="R334" s="4"/>
      <c r="S334" s="4"/>
      <c r="T334" s="4"/>
      <c r="U334" s="4"/>
      <c r="V334" s="4"/>
      <c r="W334" s="4"/>
    </row>
    <row r="335" spans="1:23" x14ac:dyDescent="0.2">
      <c r="A335" s="4">
        <v>50</v>
      </c>
      <c r="B335" s="4">
        <v>0</v>
      </c>
      <c r="C335" s="4">
        <v>0</v>
      </c>
      <c r="D335" s="4">
        <v>1</v>
      </c>
      <c r="E335" s="4">
        <v>230</v>
      </c>
      <c r="F335" s="4">
        <f>ROUND(Source!BA315,O335)</f>
        <v>0</v>
      </c>
      <c r="G335" s="4" t="s">
        <v>315</v>
      </c>
      <c r="H335" s="4" t="s">
        <v>316</v>
      </c>
      <c r="I335" s="4"/>
      <c r="J335" s="4"/>
      <c r="K335" s="4">
        <v>230</v>
      </c>
      <c r="L335" s="4">
        <v>19</v>
      </c>
      <c r="M335" s="4">
        <v>3</v>
      </c>
      <c r="N335" s="4" t="s">
        <v>6</v>
      </c>
      <c r="O335" s="4">
        <v>2</v>
      </c>
      <c r="P335" s="4"/>
      <c r="Q335" s="4"/>
      <c r="R335" s="4"/>
      <c r="S335" s="4"/>
      <c r="T335" s="4"/>
      <c r="U335" s="4"/>
      <c r="V335" s="4"/>
      <c r="W335" s="4"/>
    </row>
    <row r="336" spans="1:23" x14ac:dyDescent="0.2">
      <c r="A336" s="4">
        <v>50</v>
      </c>
      <c r="B336" s="4">
        <v>0</v>
      </c>
      <c r="C336" s="4">
        <v>0</v>
      </c>
      <c r="D336" s="4">
        <v>1</v>
      </c>
      <c r="E336" s="4">
        <v>206</v>
      </c>
      <c r="F336" s="4">
        <f>ROUND(Source!T315,O336)</f>
        <v>0</v>
      </c>
      <c r="G336" s="4" t="s">
        <v>317</v>
      </c>
      <c r="H336" s="4" t="s">
        <v>318</v>
      </c>
      <c r="I336" s="4"/>
      <c r="J336" s="4"/>
      <c r="K336" s="4">
        <v>206</v>
      </c>
      <c r="L336" s="4">
        <v>20</v>
      </c>
      <c r="M336" s="4">
        <v>3</v>
      </c>
      <c r="N336" s="4" t="s">
        <v>6</v>
      </c>
      <c r="O336" s="4">
        <v>2</v>
      </c>
      <c r="P336" s="4"/>
      <c r="Q336" s="4"/>
      <c r="R336" s="4"/>
      <c r="S336" s="4"/>
      <c r="T336" s="4"/>
      <c r="U336" s="4"/>
      <c r="V336" s="4"/>
      <c r="W336" s="4"/>
    </row>
    <row r="337" spans="1:206" x14ac:dyDescent="0.2">
      <c r="A337" s="4">
        <v>50</v>
      </c>
      <c r="B337" s="4">
        <v>0</v>
      </c>
      <c r="C337" s="4">
        <v>0</v>
      </c>
      <c r="D337" s="4">
        <v>1</v>
      </c>
      <c r="E337" s="4">
        <v>207</v>
      </c>
      <c r="F337" s="4">
        <f>Source!U315</f>
        <v>1749.5781816999997</v>
      </c>
      <c r="G337" s="4" t="s">
        <v>319</v>
      </c>
      <c r="H337" s="4" t="s">
        <v>320</v>
      </c>
      <c r="I337" s="4"/>
      <c r="J337" s="4"/>
      <c r="K337" s="4">
        <v>207</v>
      </c>
      <c r="L337" s="4">
        <v>21</v>
      </c>
      <c r="M337" s="4">
        <v>3</v>
      </c>
      <c r="N337" s="4" t="s">
        <v>6</v>
      </c>
      <c r="O337" s="4">
        <v>-1</v>
      </c>
      <c r="P337" s="4"/>
      <c r="Q337" s="4"/>
      <c r="R337" s="4"/>
      <c r="S337" s="4"/>
      <c r="T337" s="4"/>
      <c r="U337" s="4"/>
      <c r="V337" s="4"/>
      <c r="W337" s="4"/>
    </row>
    <row r="338" spans="1:206" x14ac:dyDescent="0.2">
      <c r="A338" s="4">
        <v>50</v>
      </c>
      <c r="B338" s="4">
        <v>0</v>
      </c>
      <c r="C338" s="4">
        <v>0</v>
      </c>
      <c r="D338" s="4">
        <v>1</v>
      </c>
      <c r="E338" s="4">
        <v>208</v>
      </c>
      <c r="F338" s="4">
        <f>Source!V315</f>
        <v>26.771321500000006</v>
      </c>
      <c r="G338" s="4" t="s">
        <v>321</v>
      </c>
      <c r="H338" s="4" t="s">
        <v>322</v>
      </c>
      <c r="I338" s="4"/>
      <c r="J338" s="4"/>
      <c r="K338" s="4">
        <v>208</v>
      </c>
      <c r="L338" s="4">
        <v>22</v>
      </c>
      <c r="M338" s="4">
        <v>3</v>
      </c>
      <c r="N338" s="4" t="s">
        <v>6</v>
      </c>
      <c r="O338" s="4">
        <v>-1</v>
      </c>
      <c r="P338" s="4"/>
      <c r="Q338" s="4"/>
      <c r="R338" s="4"/>
      <c r="S338" s="4"/>
      <c r="T338" s="4"/>
      <c r="U338" s="4"/>
      <c r="V338" s="4"/>
      <c r="W338" s="4"/>
    </row>
    <row r="339" spans="1:206" x14ac:dyDescent="0.2">
      <c r="A339" s="4">
        <v>50</v>
      </c>
      <c r="B339" s="4">
        <v>0</v>
      </c>
      <c r="C339" s="4">
        <v>0</v>
      </c>
      <c r="D339" s="4">
        <v>1</v>
      </c>
      <c r="E339" s="4">
        <v>209</v>
      </c>
      <c r="F339" s="4">
        <f>ROUND(Source!W315,O339)</f>
        <v>0</v>
      </c>
      <c r="G339" s="4" t="s">
        <v>323</v>
      </c>
      <c r="H339" s="4" t="s">
        <v>324</v>
      </c>
      <c r="I339" s="4"/>
      <c r="J339" s="4"/>
      <c r="K339" s="4">
        <v>209</v>
      </c>
      <c r="L339" s="4">
        <v>23</v>
      </c>
      <c r="M339" s="4">
        <v>3</v>
      </c>
      <c r="N339" s="4" t="s">
        <v>6</v>
      </c>
      <c r="O339" s="4">
        <v>2</v>
      </c>
      <c r="P339" s="4"/>
      <c r="Q339" s="4"/>
      <c r="R339" s="4"/>
      <c r="S339" s="4"/>
      <c r="T339" s="4"/>
      <c r="U339" s="4"/>
      <c r="V339" s="4"/>
      <c r="W339" s="4"/>
    </row>
    <row r="340" spans="1:206" x14ac:dyDescent="0.2">
      <c r="A340" s="4">
        <v>50</v>
      </c>
      <c r="B340" s="4">
        <v>0</v>
      </c>
      <c r="C340" s="4">
        <v>0</v>
      </c>
      <c r="D340" s="4">
        <v>1</v>
      </c>
      <c r="E340" s="4">
        <v>210</v>
      </c>
      <c r="F340" s="4">
        <f>ROUND(Source!X315,O340)</f>
        <v>113102.08</v>
      </c>
      <c r="G340" s="4" t="s">
        <v>325</v>
      </c>
      <c r="H340" s="4" t="s">
        <v>326</v>
      </c>
      <c r="I340" s="4"/>
      <c r="J340" s="4"/>
      <c r="K340" s="4">
        <v>210</v>
      </c>
      <c r="L340" s="4">
        <v>24</v>
      </c>
      <c r="M340" s="4">
        <v>3</v>
      </c>
      <c r="N340" s="4" t="s">
        <v>6</v>
      </c>
      <c r="O340" s="4">
        <v>2</v>
      </c>
      <c r="P340" s="4"/>
      <c r="Q340" s="4"/>
      <c r="R340" s="4"/>
      <c r="S340" s="4"/>
      <c r="T340" s="4"/>
      <c r="U340" s="4"/>
      <c r="V340" s="4"/>
      <c r="W340" s="4"/>
    </row>
    <row r="341" spans="1:206" x14ac:dyDescent="0.2">
      <c r="A341" s="4">
        <v>50</v>
      </c>
      <c r="B341" s="4">
        <v>0</v>
      </c>
      <c r="C341" s="4">
        <v>0</v>
      </c>
      <c r="D341" s="4">
        <v>1</v>
      </c>
      <c r="E341" s="4">
        <v>211</v>
      </c>
      <c r="F341" s="4">
        <f>ROUND(Source!Y315,O341)</f>
        <v>68563.87</v>
      </c>
      <c r="G341" s="4" t="s">
        <v>327</v>
      </c>
      <c r="H341" s="4" t="s">
        <v>328</v>
      </c>
      <c r="I341" s="4"/>
      <c r="J341" s="4"/>
      <c r="K341" s="4">
        <v>211</v>
      </c>
      <c r="L341" s="4">
        <v>25</v>
      </c>
      <c r="M341" s="4">
        <v>3</v>
      </c>
      <c r="N341" s="4" t="s">
        <v>6</v>
      </c>
      <c r="O341" s="4">
        <v>2</v>
      </c>
      <c r="P341" s="4"/>
      <c r="Q341" s="4"/>
      <c r="R341" s="4"/>
      <c r="S341" s="4"/>
      <c r="T341" s="4"/>
      <c r="U341" s="4"/>
      <c r="V341" s="4"/>
      <c r="W341" s="4"/>
    </row>
    <row r="342" spans="1:206" x14ac:dyDescent="0.2">
      <c r="A342" s="4">
        <v>50</v>
      </c>
      <c r="B342" s="4">
        <v>0</v>
      </c>
      <c r="C342" s="4">
        <v>0</v>
      </c>
      <c r="D342" s="4">
        <v>1</v>
      </c>
      <c r="E342" s="4">
        <v>224</v>
      </c>
      <c r="F342" s="4">
        <f>ROUND(Source!AR315,O342)</f>
        <v>1825213.62</v>
      </c>
      <c r="G342" s="4" t="s">
        <v>329</v>
      </c>
      <c r="H342" s="4" t="s">
        <v>330</v>
      </c>
      <c r="I342" s="4"/>
      <c r="J342" s="4"/>
      <c r="K342" s="4">
        <v>224</v>
      </c>
      <c r="L342" s="4">
        <v>26</v>
      </c>
      <c r="M342" s="4">
        <v>3</v>
      </c>
      <c r="N342" s="4" t="s">
        <v>6</v>
      </c>
      <c r="O342" s="4">
        <v>2</v>
      </c>
      <c r="P342" s="4"/>
      <c r="Q342" s="4"/>
      <c r="R342" s="4"/>
      <c r="S342" s="4"/>
      <c r="T342" s="4"/>
      <c r="U342" s="4"/>
      <c r="V342" s="4"/>
      <c r="W342" s="4"/>
    </row>
    <row r="343" spans="1:206" x14ac:dyDescent="0.2">
      <c r="A343" s="4">
        <v>50</v>
      </c>
      <c r="B343" s="4">
        <v>1</v>
      </c>
      <c r="C343" s="4">
        <v>0</v>
      </c>
      <c r="D343" s="4">
        <v>2</v>
      </c>
      <c r="E343" s="4">
        <v>0</v>
      </c>
      <c r="F343" s="4">
        <f>ROUND(F342,O343)</f>
        <v>1825213.62</v>
      </c>
      <c r="G343" s="4" t="s">
        <v>528</v>
      </c>
      <c r="H343" s="4" t="s">
        <v>529</v>
      </c>
      <c r="I343" s="4"/>
      <c r="J343" s="4"/>
      <c r="K343" s="4">
        <v>212</v>
      </c>
      <c r="L343" s="4">
        <v>27</v>
      </c>
      <c r="M343" s="4">
        <v>0</v>
      </c>
      <c r="N343" s="4" t="s">
        <v>6</v>
      </c>
      <c r="O343" s="4">
        <v>2</v>
      </c>
      <c r="P343" s="4"/>
      <c r="Q343" s="4"/>
      <c r="R343" s="4"/>
      <c r="S343" s="4"/>
      <c r="T343" s="4"/>
      <c r="U343" s="4"/>
      <c r="V343" s="4"/>
      <c r="W343" s="4"/>
    </row>
    <row r="344" spans="1:206" x14ac:dyDescent="0.2">
      <c r="A344" s="4">
        <v>50</v>
      </c>
      <c r="B344" s="4">
        <v>1</v>
      </c>
      <c r="C344" s="4">
        <v>0</v>
      </c>
      <c r="D344" s="4">
        <v>2</v>
      </c>
      <c r="E344" s="4">
        <v>0</v>
      </c>
      <c r="F344" s="4">
        <f>ROUND(F343*0.18,O344)</f>
        <v>328538.45</v>
      </c>
      <c r="G344" s="4" t="s">
        <v>530</v>
      </c>
      <c r="H344" s="4" t="s">
        <v>531</v>
      </c>
      <c r="I344" s="4"/>
      <c r="J344" s="4"/>
      <c r="K344" s="4">
        <v>212</v>
      </c>
      <c r="L344" s="4">
        <v>28</v>
      </c>
      <c r="M344" s="4">
        <v>0</v>
      </c>
      <c r="N344" s="4" t="s">
        <v>6</v>
      </c>
      <c r="O344" s="4">
        <v>2</v>
      </c>
      <c r="P344" s="4"/>
      <c r="Q344" s="4"/>
      <c r="R344" s="4"/>
      <c r="S344" s="4"/>
      <c r="T344" s="4"/>
      <c r="U344" s="4"/>
      <c r="V344" s="4"/>
      <c r="W344" s="4"/>
    </row>
    <row r="345" spans="1:206" x14ac:dyDescent="0.2">
      <c r="A345" s="4">
        <v>50</v>
      </c>
      <c r="B345" s="4">
        <v>1</v>
      </c>
      <c r="C345" s="4">
        <v>0</v>
      </c>
      <c r="D345" s="4">
        <v>2</v>
      </c>
      <c r="E345" s="4">
        <v>213</v>
      </c>
      <c r="F345" s="4">
        <f>ROUND(F343+F344,O345)</f>
        <v>2153752.0699999998</v>
      </c>
      <c r="G345" s="4" t="s">
        <v>532</v>
      </c>
      <c r="H345" s="4" t="s">
        <v>329</v>
      </c>
      <c r="I345" s="4"/>
      <c r="J345" s="4"/>
      <c r="K345" s="4">
        <v>212</v>
      </c>
      <c r="L345" s="4">
        <v>29</v>
      </c>
      <c r="M345" s="4">
        <v>0</v>
      </c>
      <c r="N345" s="4" t="s">
        <v>6</v>
      </c>
      <c r="O345" s="4">
        <v>2</v>
      </c>
      <c r="P345" s="4"/>
      <c r="Q345" s="4"/>
      <c r="R345" s="4"/>
      <c r="S345" s="4"/>
      <c r="T345" s="4"/>
      <c r="U345" s="4"/>
      <c r="V345" s="4"/>
      <c r="W345" s="4"/>
    </row>
    <row r="347" spans="1:206" x14ac:dyDescent="0.2">
      <c r="A347" s="2">
        <v>51</v>
      </c>
      <c r="B347" s="2">
        <f>B12</f>
        <v>405</v>
      </c>
      <c r="C347" s="2">
        <f>A12</f>
        <v>1</v>
      </c>
      <c r="D347" s="2">
        <f>ROW(A12)</f>
        <v>12</v>
      </c>
      <c r="E347" s="2"/>
      <c r="F347" s="2" t="str">
        <f>IF(F12&lt;&gt;"",F12,"")</f>
        <v>Новый объект_(Копия)_(Копия)_(Копия)</v>
      </c>
      <c r="G347" s="2" t="str">
        <f>IF(G12&lt;&gt;"",G12,"")</f>
        <v>на ремонт помещений учебных аудиторий №3, №8, №11, №12, №13 3-го этажа корпуса "К" НИЯУ МИФИ по адресу: г. Москва, Каширское шоссе, д.31, стр.46</v>
      </c>
      <c r="H347" s="2">
        <v>0</v>
      </c>
      <c r="I347" s="2"/>
      <c r="J347" s="2"/>
      <c r="K347" s="2"/>
      <c r="L347" s="2"/>
      <c r="M347" s="2"/>
      <c r="N347" s="2"/>
      <c r="O347" s="2">
        <f t="shared" ref="O347:T347" si="272">ROUND(O315,2)</f>
        <v>1633479.45</v>
      </c>
      <c r="P347" s="2">
        <f t="shared" si="272"/>
        <v>1496233.88</v>
      </c>
      <c r="Q347" s="2">
        <f t="shared" si="272"/>
        <v>11496.05</v>
      </c>
      <c r="R347" s="2">
        <f t="shared" si="272"/>
        <v>2159.36</v>
      </c>
      <c r="S347" s="2">
        <f t="shared" si="272"/>
        <v>125749.52</v>
      </c>
      <c r="T347" s="2">
        <f t="shared" si="272"/>
        <v>0</v>
      </c>
      <c r="U347" s="2">
        <f>U315</f>
        <v>1749.5781816999997</v>
      </c>
      <c r="V347" s="2">
        <f>V315</f>
        <v>26.771321500000006</v>
      </c>
      <c r="W347" s="2">
        <f>ROUND(W315,2)</f>
        <v>0</v>
      </c>
      <c r="X347" s="2">
        <f>ROUND(X315,2)</f>
        <v>113102.08</v>
      </c>
      <c r="Y347" s="2">
        <f>ROUND(Y315,2)</f>
        <v>68563.87</v>
      </c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>
        <f t="shared" ref="AO347:BC347" si="273">ROUND(AO315,2)</f>
        <v>0</v>
      </c>
      <c r="AP347" s="2">
        <f t="shared" si="273"/>
        <v>0</v>
      </c>
      <c r="AQ347" s="2">
        <f t="shared" si="273"/>
        <v>0</v>
      </c>
      <c r="AR347" s="2">
        <f t="shared" si="273"/>
        <v>1825213.62</v>
      </c>
      <c r="AS347" s="2">
        <f t="shared" si="273"/>
        <v>1179663.18</v>
      </c>
      <c r="AT347" s="2">
        <f t="shared" si="273"/>
        <v>591789.31999999995</v>
      </c>
      <c r="AU347" s="2">
        <f t="shared" si="273"/>
        <v>53761.120000000003</v>
      </c>
      <c r="AV347" s="2">
        <f t="shared" si="273"/>
        <v>1496233.88</v>
      </c>
      <c r="AW347" s="2">
        <f t="shared" si="273"/>
        <v>1496233.88</v>
      </c>
      <c r="AX347" s="2">
        <f t="shared" si="273"/>
        <v>0</v>
      </c>
      <c r="AY347" s="2">
        <f t="shared" si="273"/>
        <v>1496233.88</v>
      </c>
      <c r="AZ347" s="2">
        <f t="shared" si="273"/>
        <v>0</v>
      </c>
      <c r="BA347" s="2">
        <f t="shared" si="273"/>
        <v>0</v>
      </c>
      <c r="BB347" s="2">
        <f t="shared" si="273"/>
        <v>0</v>
      </c>
      <c r="BC347" s="2">
        <f t="shared" si="273"/>
        <v>0</v>
      </c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  <c r="BY347" s="2"/>
      <c r="BZ347" s="2"/>
      <c r="CA347" s="2"/>
      <c r="CB347" s="2"/>
      <c r="CC347" s="2"/>
      <c r="CD347" s="2"/>
      <c r="CE347" s="2"/>
      <c r="CF347" s="2"/>
      <c r="CG347" s="2"/>
      <c r="CH347" s="2"/>
      <c r="CI347" s="2"/>
      <c r="CJ347" s="2"/>
      <c r="CK347" s="2"/>
      <c r="CL347" s="2"/>
      <c r="CM347" s="2"/>
      <c r="CN347" s="2"/>
      <c r="CO347" s="2"/>
      <c r="CP347" s="2"/>
      <c r="CQ347" s="2"/>
      <c r="CR347" s="2"/>
      <c r="CS347" s="2"/>
      <c r="CT347" s="2"/>
      <c r="CU347" s="2"/>
      <c r="CV347" s="2"/>
      <c r="CW347" s="2"/>
      <c r="CX347" s="2"/>
      <c r="CY347" s="2"/>
      <c r="CZ347" s="2"/>
      <c r="DA347" s="2"/>
      <c r="DB347" s="2"/>
      <c r="DC347" s="2"/>
      <c r="DD347" s="2"/>
      <c r="DE347" s="2"/>
      <c r="DF347" s="2"/>
      <c r="DG347" s="3"/>
      <c r="DH347" s="3"/>
      <c r="DI347" s="3"/>
      <c r="DJ347" s="3"/>
      <c r="DK347" s="3"/>
      <c r="DL347" s="3"/>
      <c r="DM347" s="3"/>
      <c r="DN347" s="3"/>
      <c r="DO347" s="3"/>
      <c r="DP347" s="3"/>
      <c r="DQ347" s="3"/>
      <c r="DR347" s="3"/>
      <c r="DS347" s="3"/>
      <c r="DT347" s="3"/>
      <c r="DU347" s="3"/>
      <c r="DV347" s="3"/>
      <c r="DW347" s="3"/>
      <c r="DX347" s="3"/>
      <c r="DY347" s="3"/>
      <c r="DZ347" s="3"/>
      <c r="EA347" s="3"/>
      <c r="EB347" s="3"/>
      <c r="EC347" s="3"/>
      <c r="ED347" s="3"/>
      <c r="EE347" s="3"/>
      <c r="EF347" s="3"/>
      <c r="EG347" s="3"/>
      <c r="EH347" s="3"/>
      <c r="EI347" s="3"/>
      <c r="EJ347" s="3"/>
      <c r="EK347" s="3"/>
      <c r="EL347" s="3"/>
      <c r="EM347" s="3"/>
      <c r="EN347" s="3"/>
      <c r="EO347" s="3"/>
      <c r="EP347" s="3"/>
      <c r="EQ347" s="3"/>
      <c r="ER347" s="3"/>
      <c r="ES347" s="3"/>
      <c r="ET347" s="3"/>
      <c r="EU347" s="3"/>
      <c r="EV347" s="3"/>
      <c r="EW347" s="3"/>
      <c r="EX347" s="3"/>
      <c r="EY347" s="3"/>
      <c r="EZ347" s="3"/>
      <c r="FA347" s="3"/>
      <c r="FB347" s="3"/>
      <c r="FC347" s="3"/>
      <c r="FD347" s="3"/>
      <c r="FE347" s="3"/>
      <c r="FF347" s="3"/>
      <c r="FG347" s="3"/>
      <c r="FH347" s="3"/>
      <c r="FI347" s="3"/>
      <c r="FJ347" s="3"/>
      <c r="FK347" s="3"/>
      <c r="FL347" s="3"/>
      <c r="FM347" s="3"/>
      <c r="FN347" s="3"/>
      <c r="FO347" s="3"/>
      <c r="FP347" s="3"/>
      <c r="FQ347" s="3"/>
      <c r="FR347" s="3"/>
      <c r="FS347" s="3"/>
      <c r="FT347" s="3"/>
      <c r="FU347" s="3"/>
      <c r="FV347" s="3"/>
      <c r="FW347" s="3"/>
      <c r="FX347" s="3"/>
      <c r="FY347" s="3"/>
      <c r="FZ347" s="3"/>
      <c r="GA347" s="3"/>
      <c r="GB347" s="3"/>
      <c r="GC347" s="3"/>
      <c r="GD347" s="3"/>
      <c r="GE347" s="3"/>
      <c r="GF347" s="3"/>
      <c r="GG347" s="3"/>
      <c r="GH347" s="3"/>
      <c r="GI347" s="3"/>
      <c r="GJ347" s="3"/>
      <c r="GK347" s="3"/>
      <c r="GL347" s="3"/>
      <c r="GM347" s="3"/>
      <c r="GN347" s="3"/>
      <c r="GO347" s="3"/>
      <c r="GP347" s="3"/>
      <c r="GQ347" s="3"/>
      <c r="GR347" s="3"/>
      <c r="GS347" s="3"/>
      <c r="GT347" s="3"/>
      <c r="GU347" s="3"/>
      <c r="GV347" s="3"/>
      <c r="GW347" s="3"/>
      <c r="GX347" s="3">
        <v>0</v>
      </c>
    </row>
    <row r="349" spans="1:206" x14ac:dyDescent="0.2">
      <c r="A349" s="4">
        <v>50</v>
      </c>
      <c r="B349" s="4">
        <v>0</v>
      </c>
      <c r="C349" s="4">
        <v>0</v>
      </c>
      <c r="D349" s="4">
        <v>1</v>
      </c>
      <c r="E349" s="4">
        <v>201</v>
      </c>
      <c r="F349" s="4">
        <f>ROUND(Source!O347,O349)</f>
        <v>1633479.45</v>
      </c>
      <c r="G349" s="4" t="s">
        <v>279</v>
      </c>
      <c r="H349" s="4" t="s">
        <v>280</v>
      </c>
      <c r="I349" s="4"/>
      <c r="J349" s="4"/>
      <c r="K349" s="4">
        <v>201</v>
      </c>
      <c r="L349" s="4">
        <v>1</v>
      </c>
      <c r="M349" s="4">
        <v>3</v>
      </c>
      <c r="N349" s="4" t="s">
        <v>6</v>
      </c>
      <c r="O349" s="4">
        <v>2</v>
      </c>
      <c r="P349" s="4"/>
      <c r="Q349" s="4"/>
      <c r="R349" s="4"/>
      <c r="S349" s="4"/>
      <c r="T349" s="4"/>
      <c r="U349" s="4"/>
      <c r="V349" s="4"/>
      <c r="W349" s="4"/>
    </row>
    <row r="350" spans="1:206" x14ac:dyDescent="0.2">
      <c r="A350" s="4">
        <v>50</v>
      </c>
      <c r="B350" s="4">
        <v>0</v>
      </c>
      <c r="C350" s="4">
        <v>0</v>
      </c>
      <c r="D350" s="4">
        <v>1</v>
      </c>
      <c r="E350" s="4">
        <v>202</v>
      </c>
      <c r="F350" s="4">
        <f>ROUND(Source!P347,O350)</f>
        <v>1496233.88</v>
      </c>
      <c r="G350" s="4" t="s">
        <v>281</v>
      </c>
      <c r="H350" s="4" t="s">
        <v>282</v>
      </c>
      <c r="I350" s="4"/>
      <c r="J350" s="4"/>
      <c r="K350" s="4">
        <v>202</v>
      </c>
      <c r="L350" s="4">
        <v>2</v>
      </c>
      <c r="M350" s="4">
        <v>3</v>
      </c>
      <c r="N350" s="4" t="s">
        <v>6</v>
      </c>
      <c r="O350" s="4">
        <v>2</v>
      </c>
      <c r="P350" s="4"/>
      <c r="Q350" s="4"/>
      <c r="R350" s="4"/>
      <c r="S350" s="4"/>
      <c r="T350" s="4"/>
      <c r="U350" s="4"/>
      <c r="V350" s="4"/>
      <c r="W350" s="4"/>
    </row>
    <row r="351" spans="1:206" x14ac:dyDescent="0.2">
      <c r="A351" s="4">
        <v>50</v>
      </c>
      <c r="B351" s="4">
        <v>0</v>
      </c>
      <c r="C351" s="4">
        <v>0</v>
      </c>
      <c r="D351" s="4">
        <v>1</v>
      </c>
      <c r="E351" s="4">
        <v>222</v>
      </c>
      <c r="F351" s="4">
        <f>ROUND(Source!AO347,O351)</f>
        <v>0</v>
      </c>
      <c r="G351" s="4" t="s">
        <v>283</v>
      </c>
      <c r="H351" s="4" t="s">
        <v>284</v>
      </c>
      <c r="I351" s="4"/>
      <c r="J351" s="4"/>
      <c r="K351" s="4">
        <v>222</v>
      </c>
      <c r="L351" s="4">
        <v>3</v>
      </c>
      <c r="M351" s="4">
        <v>3</v>
      </c>
      <c r="N351" s="4" t="s">
        <v>6</v>
      </c>
      <c r="O351" s="4">
        <v>2</v>
      </c>
      <c r="P351" s="4"/>
      <c r="Q351" s="4"/>
      <c r="R351" s="4"/>
      <c r="S351" s="4"/>
      <c r="T351" s="4"/>
      <c r="U351" s="4"/>
      <c r="V351" s="4"/>
      <c r="W351" s="4"/>
    </row>
    <row r="352" spans="1:206" x14ac:dyDescent="0.2">
      <c r="A352" s="4">
        <v>50</v>
      </c>
      <c r="B352" s="4">
        <v>0</v>
      </c>
      <c r="C352" s="4">
        <v>0</v>
      </c>
      <c r="D352" s="4">
        <v>1</v>
      </c>
      <c r="E352" s="4">
        <v>225</v>
      </c>
      <c r="F352" s="4">
        <f>ROUND(Source!AV347,O352)</f>
        <v>1496233.88</v>
      </c>
      <c r="G352" s="4" t="s">
        <v>285</v>
      </c>
      <c r="H352" s="4" t="s">
        <v>286</v>
      </c>
      <c r="I352" s="4"/>
      <c r="J352" s="4"/>
      <c r="K352" s="4">
        <v>225</v>
      </c>
      <c r="L352" s="4">
        <v>4</v>
      </c>
      <c r="M352" s="4">
        <v>3</v>
      </c>
      <c r="N352" s="4" t="s">
        <v>6</v>
      </c>
      <c r="O352" s="4">
        <v>2</v>
      </c>
      <c r="P352" s="4"/>
      <c r="Q352" s="4"/>
      <c r="R352" s="4"/>
      <c r="S352" s="4"/>
      <c r="T352" s="4"/>
      <c r="U352" s="4"/>
      <c r="V352" s="4"/>
      <c r="W352" s="4"/>
    </row>
    <row r="353" spans="1:23" x14ac:dyDescent="0.2">
      <c r="A353" s="4">
        <v>50</v>
      </c>
      <c r="B353" s="4">
        <v>0</v>
      </c>
      <c r="C353" s="4">
        <v>0</v>
      </c>
      <c r="D353" s="4">
        <v>1</v>
      </c>
      <c r="E353" s="4">
        <v>226</v>
      </c>
      <c r="F353" s="4">
        <f>ROUND(Source!AW347,O353)</f>
        <v>1496233.88</v>
      </c>
      <c r="G353" s="4" t="s">
        <v>287</v>
      </c>
      <c r="H353" s="4" t="s">
        <v>288</v>
      </c>
      <c r="I353" s="4"/>
      <c r="J353" s="4"/>
      <c r="K353" s="4">
        <v>226</v>
      </c>
      <c r="L353" s="4">
        <v>5</v>
      </c>
      <c r="M353" s="4">
        <v>3</v>
      </c>
      <c r="N353" s="4" t="s">
        <v>6</v>
      </c>
      <c r="O353" s="4">
        <v>2</v>
      </c>
      <c r="P353" s="4"/>
      <c r="Q353" s="4"/>
      <c r="R353" s="4"/>
      <c r="S353" s="4"/>
      <c r="T353" s="4"/>
      <c r="U353" s="4"/>
      <c r="V353" s="4"/>
      <c r="W353" s="4"/>
    </row>
    <row r="354" spans="1:23" x14ac:dyDescent="0.2">
      <c r="A354" s="4">
        <v>50</v>
      </c>
      <c r="B354" s="4">
        <v>0</v>
      </c>
      <c r="C354" s="4">
        <v>0</v>
      </c>
      <c r="D354" s="4">
        <v>1</v>
      </c>
      <c r="E354" s="4">
        <v>227</v>
      </c>
      <c r="F354" s="4">
        <f>ROUND(Source!AX347,O354)</f>
        <v>0</v>
      </c>
      <c r="G354" s="4" t="s">
        <v>289</v>
      </c>
      <c r="H354" s="4" t="s">
        <v>290</v>
      </c>
      <c r="I354" s="4"/>
      <c r="J354" s="4"/>
      <c r="K354" s="4">
        <v>227</v>
      </c>
      <c r="L354" s="4">
        <v>6</v>
      </c>
      <c r="M354" s="4">
        <v>3</v>
      </c>
      <c r="N354" s="4" t="s">
        <v>6</v>
      </c>
      <c r="O354" s="4">
        <v>2</v>
      </c>
      <c r="P354" s="4"/>
      <c r="Q354" s="4"/>
      <c r="R354" s="4"/>
      <c r="S354" s="4"/>
      <c r="T354" s="4"/>
      <c r="U354" s="4"/>
      <c r="V354" s="4"/>
      <c r="W354" s="4"/>
    </row>
    <row r="355" spans="1:23" x14ac:dyDescent="0.2">
      <c r="A355" s="4">
        <v>50</v>
      </c>
      <c r="B355" s="4">
        <v>0</v>
      </c>
      <c r="C355" s="4">
        <v>0</v>
      </c>
      <c r="D355" s="4">
        <v>1</v>
      </c>
      <c r="E355" s="4">
        <v>228</v>
      </c>
      <c r="F355" s="4">
        <f>ROUND(Source!AY347,O355)</f>
        <v>1496233.88</v>
      </c>
      <c r="G355" s="4" t="s">
        <v>291</v>
      </c>
      <c r="H355" s="4" t="s">
        <v>292</v>
      </c>
      <c r="I355" s="4"/>
      <c r="J355" s="4"/>
      <c r="K355" s="4">
        <v>228</v>
      </c>
      <c r="L355" s="4">
        <v>7</v>
      </c>
      <c r="M355" s="4">
        <v>3</v>
      </c>
      <c r="N355" s="4" t="s">
        <v>6</v>
      </c>
      <c r="O355" s="4">
        <v>2</v>
      </c>
      <c r="P355" s="4"/>
      <c r="Q355" s="4"/>
      <c r="R355" s="4"/>
      <c r="S355" s="4"/>
      <c r="T355" s="4"/>
      <c r="U355" s="4"/>
      <c r="V355" s="4"/>
      <c r="W355" s="4"/>
    </row>
    <row r="356" spans="1:23" x14ac:dyDescent="0.2">
      <c r="A356" s="4">
        <v>50</v>
      </c>
      <c r="B356" s="4">
        <v>0</v>
      </c>
      <c r="C356" s="4">
        <v>0</v>
      </c>
      <c r="D356" s="4">
        <v>1</v>
      </c>
      <c r="E356" s="4">
        <v>216</v>
      </c>
      <c r="F356" s="4">
        <f>ROUND(Source!AP347,O356)</f>
        <v>0</v>
      </c>
      <c r="G356" s="4" t="s">
        <v>293</v>
      </c>
      <c r="H356" s="4" t="s">
        <v>294</v>
      </c>
      <c r="I356" s="4"/>
      <c r="J356" s="4"/>
      <c r="K356" s="4">
        <v>216</v>
      </c>
      <c r="L356" s="4">
        <v>8</v>
      </c>
      <c r="M356" s="4">
        <v>3</v>
      </c>
      <c r="N356" s="4" t="s">
        <v>6</v>
      </c>
      <c r="O356" s="4">
        <v>2</v>
      </c>
      <c r="P356" s="4"/>
      <c r="Q356" s="4"/>
      <c r="R356" s="4"/>
      <c r="S356" s="4"/>
      <c r="T356" s="4"/>
      <c r="U356" s="4"/>
      <c r="V356" s="4"/>
      <c r="W356" s="4"/>
    </row>
    <row r="357" spans="1:23" x14ac:dyDescent="0.2">
      <c r="A357" s="4">
        <v>50</v>
      </c>
      <c r="B357" s="4">
        <v>0</v>
      </c>
      <c r="C357" s="4">
        <v>0</v>
      </c>
      <c r="D357" s="4">
        <v>1</v>
      </c>
      <c r="E357" s="4">
        <v>223</v>
      </c>
      <c r="F357" s="4">
        <f>ROUND(Source!AQ347,O357)</f>
        <v>0</v>
      </c>
      <c r="G357" s="4" t="s">
        <v>295</v>
      </c>
      <c r="H357" s="4" t="s">
        <v>296</v>
      </c>
      <c r="I357" s="4"/>
      <c r="J357" s="4"/>
      <c r="K357" s="4">
        <v>223</v>
      </c>
      <c r="L357" s="4">
        <v>9</v>
      </c>
      <c r="M357" s="4">
        <v>3</v>
      </c>
      <c r="N357" s="4" t="s">
        <v>6</v>
      </c>
      <c r="O357" s="4">
        <v>2</v>
      </c>
      <c r="P357" s="4"/>
      <c r="Q357" s="4"/>
      <c r="R357" s="4"/>
      <c r="S357" s="4"/>
      <c r="T357" s="4"/>
      <c r="U357" s="4"/>
      <c r="V357" s="4"/>
      <c r="W357" s="4"/>
    </row>
    <row r="358" spans="1:23" x14ac:dyDescent="0.2">
      <c r="A358" s="4">
        <v>50</v>
      </c>
      <c r="B358" s="4">
        <v>0</v>
      </c>
      <c r="C358" s="4">
        <v>0</v>
      </c>
      <c r="D358" s="4">
        <v>1</v>
      </c>
      <c r="E358" s="4">
        <v>229</v>
      </c>
      <c r="F358" s="4">
        <f>ROUND(Source!AZ347,O358)</f>
        <v>0</v>
      </c>
      <c r="G358" s="4" t="s">
        <v>297</v>
      </c>
      <c r="H358" s="4" t="s">
        <v>298</v>
      </c>
      <c r="I358" s="4"/>
      <c r="J358" s="4"/>
      <c r="K358" s="4">
        <v>229</v>
      </c>
      <c r="L358" s="4">
        <v>10</v>
      </c>
      <c r="M358" s="4">
        <v>3</v>
      </c>
      <c r="N358" s="4" t="s">
        <v>6</v>
      </c>
      <c r="O358" s="4">
        <v>2</v>
      </c>
      <c r="P358" s="4"/>
      <c r="Q358" s="4"/>
      <c r="R358" s="4"/>
      <c r="S358" s="4"/>
      <c r="T358" s="4"/>
      <c r="U358" s="4"/>
      <c r="V358" s="4"/>
      <c r="W358" s="4"/>
    </row>
    <row r="359" spans="1:23" x14ac:dyDescent="0.2">
      <c r="A359" s="4">
        <v>50</v>
      </c>
      <c r="B359" s="4">
        <v>0</v>
      </c>
      <c r="C359" s="4">
        <v>0</v>
      </c>
      <c r="D359" s="4">
        <v>1</v>
      </c>
      <c r="E359" s="4">
        <v>203</v>
      </c>
      <c r="F359" s="4">
        <f>ROUND(Source!Q347,O359)</f>
        <v>11496.05</v>
      </c>
      <c r="G359" s="4" t="s">
        <v>299</v>
      </c>
      <c r="H359" s="4" t="s">
        <v>300</v>
      </c>
      <c r="I359" s="4"/>
      <c r="J359" s="4"/>
      <c r="K359" s="4">
        <v>203</v>
      </c>
      <c r="L359" s="4">
        <v>11</v>
      </c>
      <c r="M359" s="4">
        <v>3</v>
      </c>
      <c r="N359" s="4" t="s">
        <v>6</v>
      </c>
      <c r="O359" s="4">
        <v>2</v>
      </c>
      <c r="P359" s="4"/>
      <c r="Q359" s="4"/>
      <c r="R359" s="4"/>
      <c r="S359" s="4"/>
      <c r="T359" s="4"/>
      <c r="U359" s="4"/>
      <c r="V359" s="4"/>
      <c r="W359" s="4"/>
    </row>
    <row r="360" spans="1:23" x14ac:dyDescent="0.2">
      <c r="A360" s="4">
        <v>50</v>
      </c>
      <c r="B360" s="4">
        <v>0</v>
      </c>
      <c r="C360" s="4">
        <v>0</v>
      </c>
      <c r="D360" s="4">
        <v>1</v>
      </c>
      <c r="E360" s="4">
        <v>231</v>
      </c>
      <c r="F360" s="4">
        <f>ROUND(Source!BB347,O360)</f>
        <v>0</v>
      </c>
      <c r="G360" s="4" t="s">
        <v>301</v>
      </c>
      <c r="H360" s="4" t="s">
        <v>302</v>
      </c>
      <c r="I360" s="4"/>
      <c r="J360" s="4"/>
      <c r="K360" s="4">
        <v>231</v>
      </c>
      <c r="L360" s="4">
        <v>12</v>
      </c>
      <c r="M360" s="4">
        <v>3</v>
      </c>
      <c r="N360" s="4" t="s">
        <v>6</v>
      </c>
      <c r="O360" s="4">
        <v>2</v>
      </c>
      <c r="P360" s="4"/>
      <c r="Q360" s="4"/>
      <c r="R360" s="4"/>
      <c r="S360" s="4"/>
      <c r="T360" s="4"/>
      <c r="U360" s="4"/>
      <c r="V360" s="4"/>
      <c r="W360" s="4"/>
    </row>
    <row r="361" spans="1:23" x14ac:dyDescent="0.2">
      <c r="A361" s="4">
        <v>50</v>
      </c>
      <c r="B361" s="4">
        <v>0</v>
      </c>
      <c r="C361" s="4">
        <v>0</v>
      </c>
      <c r="D361" s="4">
        <v>1</v>
      </c>
      <c r="E361" s="4">
        <v>204</v>
      </c>
      <c r="F361" s="4">
        <f>ROUND(Source!R347,O361)</f>
        <v>2159.36</v>
      </c>
      <c r="G361" s="4" t="s">
        <v>303</v>
      </c>
      <c r="H361" s="4" t="s">
        <v>304</v>
      </c>
      <c r="I361" s="4"/>
      <c r="J361" s="4"/>
      <c r="K361" s="4">
        <v>204</v>
      </c>
      <c r="L361" s="4">
        <v>13</v>
      </c>
      <c r="M361" s="4">
        <v>3</v>
      </c>
      <c r="N361" s="4" t="s">
        <v>6</v>
      </c>
      <c r="O361" s="4">
        <v>2</v>
      </c>
      <c r="P361" s="4"/>
      <c r="Q361" s="4"/>
      <c r="R361" s="4"/>
      <c r="S361" s="4"/>
      <c r="T361" s="4"/>
      <c r="U361" s="4"/>
      <c r="V361" s="4"/>
      <c r="W361" s="4"/>
    </row>
    <row r="362" spans="1:23" x14ac:dyDescent="0.2">
      <c r="A362" s="4">
        <v>50</v>
      </c>
      <c r="B362" s="4">
        <v>0</v>
      </c>
      <c r="C362" s="4">
        <v>0</v>
      </c>
      <c r="D362" s="4">
        <v>1</v>
      </c>
      <c r="E362" s="4">
        <v>205</v>
      </c>
      <c r="F362" s="4">
        <f>ROUND(Source!S347,O362)</f>
        <v>125749.52</v>
      </c>
      <c r="G362" s="4" t="s">
        <v>305</v>
      </c>
      <c r="H362" s="4" t="s">
        <v>306</v>
      </c>
      <c r="I362" s="4"/>
      <c r="J362" s="4"/>
      <c r="K362" s="4">
        <v>205</v>
      </c>
      <c r="L362" s="4">
        <v>14</v>
      </c>
      <c r="M362" s="4">
        <v>3</v>
      </c>
      <c r="N362" s="4" t="s">
        <v>6</v>
      </c>
      <c r="O362" s="4">
        <v>2</v>
      </c>
      <c r="P362" s="4"/>
      <c r="Q362" s="4"/>
      <c r="R362" s="4"/>
      <c r="S362" s="4"/>
      <c r="T362" s="4"/>
      <c r="U362" s="4"/>
      <c r="V362" s="4"/>
      <c r="W362" s="4"/>
    </row>
    <row r="363" spans="1:23" x14ac:dyDescent="0.2">
      <c r="A363" s="4">
        <v>50</v>
      </c>
      <c r="B363" s="4">
        <v>0</v>
      </c>
      <c r="C363" s="4">
        <v>0</v>
      </c>
      <c r="D363" s="4">
        <v>1</v>
      </c>
      <c r="E363" s="4">
        <v>232</v>
      </c>
      <c r="F363" s="4">
        <f>ROUND(Source!BC347,O363)</f>
        <v>0</v>
      </c>
      <c r="G363" s="4" t="s">
        <v>307</v>
      </c>
      <c r="H363" s="4" t="s">
        <v>308</v>
      </c>
      <c r="I363" s="4"/>
      <c r="J363" s="4"/>
      <c r="K363" s="4">
        <v>232</v>
      </c>
      <c r="L363" s="4">
        <v>15</v>
      </c>
      <c r="M363" s="4">
        <v>3</v>
      </c>
      <c r="N363" s="4" t="s">
        <v>6</v>
      </c>
      <c r="O363" s="4">
        <v>2</v>
      </c>
      <c r="P363" s="4"/>
      <c r="Q363" s="4"/>
      <c r="R363" s="4"/>
      <c r="S363" s="4"/>
      <c r="T363" s="4"/>
      <c r="U363" s="4"/>
      <c r="V363" s="4"/>
      <c r="W363" s="4"/>
    </row>
    <row r="364" spans="1:23" x14ac:dyDescent="0.2">
      <c r="A364" s="4">
        <v>50</v>
      </c>
      <c r="B364" s="4">
        <v>0</v>
      </c>
      <c r="C364" s="4">
        <v>0</v>
      </c>
      <c r="D364" s="4">
        <v>1</v>
      </c>
      <c r="E364" s="4">
        <v>214</v>
      </c>
      <c r="F364" s="4">
        <f>ROUND(Source!AS347,O364)</f>
        <v>1179663.18</v>
      </c>
      <c r="G364" s="4" t="s">
        <v>309</v>
      </c>
      <c r="H364" s="4" t="s">
        <v>310</v>
      </c>
      <c r="I364" s="4"/>
      <c r="J364" s="4"/>
      <c r="K364" s="4">
        <v>214</v>
      </c>
      <c r="L364" s="4">
        <v>16</v>
      </c>
      <c r="M364" s="4">
        <v>3</v>
      </c>
      <c r="N364" s="4" t="s">
        <v>6</v>
      </c>
      <c r="O364" s="4">
        <v>2</v>
      </c>
      <c r="P364" s="4"/>
      <c r="Q364" s="4"/>
      <c r="R364" s="4"/>
      <c r="S364" s="4"/>
      <c r="T364" s="4"/>
      <c r="U364" s="4"/>
      <c r="V364" s="4"/>
      <c r="W364" s="4"/>
    </row>
    <row r="365" spans="1:23" x14ac:dyDescent="0.2">
      <c r="A365" s="4">
        <v>50</v>
      </c>
      <c r="B365" s="4">
        <v>0</v>
      </c>
      <c r="C365" s="4">
        <v>0</v>
      </c>
      <c r="D365" s="4">
        <v>1</v>
      </c>
      <c r="E365" s="4">
        <v>215</v>
      </c>
      <c r="F365" s="4">
        <f>ROUND(Source!AT347,O365)</f>
        <v>591789.31999999995</v>
      </c>
      <c r="G365" s="4" t="s">
        <v>311</v>
      </c>
      <c r="H365" s="4" t="s">
        <v>312</v>
      </c>
      <c r="I365" s="4"/>
      <c r="J365" s="4"/>
      <c r="K365" s="4">
        <v>215</v>
      </c>
      <c r="L365" s="4">
        <v>17</v>
      </c>
      <c r="M365" s="4">
        <v>3</v>
      </c>
      <c r="N365" s="4" t="s">
        <v>6</v>
      </c>
      <c r="O365" s="4">
        <v>2</v>
      </c>
      <c r="P365" s="4"/>
      <c r="Q365" s="4"/>
      <c r="R365" s="4"/>
      <c r="S365" s="4"/>
      <c r="T365" s="4"/>
      <c r="U365" s="4"/>
      <c r="V365" s="4"/>
      <c r="W365" s="4"/>
    </row>
    <row r="366" spans="1:23" x14ac:dyDescent="0.2">
      <c r="A366" s="4">
        <v>50</v>
      </c>
      <c r="B366" s="4">
        <v>0</v>
      </c>
      <c r="C366" s="4">
        <v>0</v>
      </c>
      <c r="D366" s="4">
        <v>1</v>
      </c>
      <c r="E366" s="4">
        <v>217</v>
      </c>
      <c r="F366" s="4">
        <f>ROUND(Source!AU347,O366)</f>
        <v>53761.120000000003</v>
      </c>
      <c r="G366" s="4" t="s">
        <v>313</v>
      </c>
      <c r="H366" s="4" t="s">
        <v>314</v>
      </c>
      <c r="I366" s="4"/>
      <c r="J366" s="4"/>
      <c r="K366" s="4">
        <v>217</v>
      </c>
      <c r="L366" s="4">
        <v>18</v>
      </c>
      <c r="M366" s="4">
        <v>3</v>
      </c>
      <c r="N366" s="4" t="s">
        <v>6</v>
      </c>
      <c r="O366" s="4">
        <v>2</v>
      </c>
      <c r="P366" s="4"/>
      <c r="Q366" s="4"/>
      <c r="R366" s="4"/>
      <c r="S366" s="4"/>
      <c r="T366" s="4"/>
      <c r="U366" s="4"/>
      <c r="V366" s="4"/>
      <c r="W366" s="4"/>
    </row>
    <row r="367" spans="1:23" x14ac:dyDescent="0.2">
      <c r="A367" s="4">
        <v>50</v>
      </c>
      <c r="B367" s="4">
        <v>0</v>
      </c>
      <c r="C367" s="4">
        <v>0</v>
      </c>
      <c r="D367" s="4">
        <v>1</v>
      </c>
      <c r="E367" s="4">
        <v>230</v>
      </c>
      <c r="F367" s="4">
        <f>ROUND(Source!BA347,O367)</f>
        <v>0</v>
      </c>
      <c r="G367" s="4" t="s">
        <v>315</v>
      </c>
      <c r="H367" s="4" t="s">
        <v>316</v>
      </c>
      <c r="I367" s="4"/>
      <c r="J367" s="4"/>
      <c r="K367" s="4">
        <v>230</v>
      </c>
      <c r="L367" s="4">
        <v>19</v>
      </c>
      <c r="M367" s="4">
        <v>3</v>
      </c>
      <c r="N367" s="4" t="s">
        <v>6</v>
      </c>
      <c r="O367" s="4">
        <v>2</v>
      </c>
      <c r="P367" s="4"/>
      <c r="Q367" s="4"/>
      <c r="R367" s="4"/>
      <c r="S367" s="4"/>
      <c r="T367" s="4"/>
      <c r="U367" s="4"/>
      <c r="V367" s="4"/>
      <c r="W367" s="4"/>
    </row>
    <row r="368" spans="1:23" x14ac:dyDescent="0.2">
      <c r="A368" s="4">
        <v>50</v>
      </c>
      <c r="B368" s="4">
        <v>0</v>
      </c>
      <c r="C368" s="4">
        <v>0</v>
      </c>
      <c r="D368" s="4">
        <v>1</v>
      </c>
      <c r="E368" s="4">
        <v>206</v>
      </c>
      <c r="F368" s="4">
        <f>ROUND(Source!T347,O368)</f>
        <v>0</v>
      </c>
      <c r="G368" s="4" t="s">
        <v>317</v>
      </c>
      <c r="H368" s="4" t="s">
        <v>318</v>
      </c>
      <c r="I368" s="4"/>
      <c r="J368" s="4"/>
      <c r="K368" s="4">
        <v>206</v>
      </c>
      <c r="L368" s="4">
        <v>20</v>
      </c>
      <c r="M368" s="4">
        <v>3</v>
      </c>
      <c r="N368" s="4" t="s">
        <v>6</v>
      </c>
      <c r="O368" s="4">
        <v>2</v>
      </c>
      <c r="P368" s="4"/>
      <c r="Q368" s="4"/>
      <c r="R368" s="4"/>
      <c r="S368" s="4"/>
      <c r="T368" s="4"/>
      <c r="U368" s="4"/>
      <c r="V368" s="4"/>
      <c r="W368" s="4"/>
    </row>
    <row r="369" spans="1:23" x14ac:dyDescent="0.2">
      <c r="A369" s="4">
        <v>50</v>
      </c>
      <c r="B369" s="4">
        <v>0</v>
      </c>
      <c r="C369" s="4">
        <v>0</v>
      </c>
      <c r="D369" s="4">
        <v>1</v>
      </c>
      <c r="E369" s="4">
        <v>207</v>
      </c>
      <c r="F369" s="4">
        <f>Source!U347</f>
        <v>1749.5781816999997</v>
      </c>
      <c r="G369" s="4" t="s">
        <v>319</v>
      </c>
      <c r="H369" s="4" t="s">
        <v>320</v>
      </c>
      <c r="I369" s="4"/>
      <c r="J369" s="4"/>
      <c r="K369" s="4">
        <v>207</v>
      </c>
      <c r="L369" s="4">
        <v>21</v>
      </c>
      <c r="M369" s="4">
        <v>3</v>
      </c>
      <c r="N369" s="4" t="s">
        <v>6</v>
      </c>
      <c r="O369" s="4">
        <v>-1</v>
      </c>
      <c r="P369" s="4"/>
      <c r="Q369" s="4"/>
      <c r="R369" s="4"/>
      <c r="S369" s="4"/>
      <c r="T369" s="4"/>
      <c r="U369" s="4"/>
      <c r="V369" s="4"/>
      <c r="W369" s="4"/>
    </row>
    <row r="370" spans="1:23" x14ac:dyDescent="0.2">
      <c r="A370" s="4">
        <v>50</v>
      </c>
      <c r="B370" s="4">
        <v>0</v>
      </c>
      <c r="C370" s="4">
        <v>0</v>
      </c>
      <c r="D370" s="4">
        <v>1</v>
      </c>
      <c r="E370" s="4">
        <v>208</v>
      </c>
      <c r="F370" s="4">
        <f>Source!V347</f>
        <v>26.771321500000006</v>
      </c>
      <c r="G370" s="4" t="s">
        <v>321</v>
      </c>
      <c r="H370" s="4" t="s">
        <v>322</v>
      </c>
      <c r="I370" s="4"/>
      <c r="J370" s="4"/>
      <c r="K370" s="4">
        <v>208</v>
      </c>
      <c r="L370" s="4">
        <v>22</v>
      </c>
      <c r="M370" s="4">
        <v>3</v>
      </c>
      <c r="N370" s="4" t="s">
        <v>6</v>
      </c>
      <c r="O370" s="4">
        <v>-1</v>
      </c>
      <c r="P370" s="4"/>
      <c r="Q370" s="4"/>
      <c r="R370" s="4"/>
      <c r="S370" s="4"/>
      <c r="T370" s="4"/>
      <c r="U370" s="4"/>
      <c r="V370" s="4"/>
      <c r="W370" s="4"/>
    </row>
    <row r="371" spans="1:23" x14ac:dyDescent="0.2">
      <c r="A371" s="4">
        <v>50</v>
      </c>
      <c r="B371" s="4">
        <v>0</v>
      </c>
      <c r="C371" s="4">
        <v>0</v>
      </c>
      <c r="D371" s="4">
        <v>1</v>
      </c>
      <c r="E371" s="4">
        <v>209</v>
      </c>
      <c r="F371" s="4">
        <f>ROUND(Source!W347,O371)</f>
        <v>0</v>
      </c>
      <c r="G371" s="4" t="s">
        <v>323</v>
      </c>
      <c r="H371" s="4" t="s">
        <v>324</v>
      </c>
      <c r="I371" s="4"/>
      <c r="J371" s="4"/>
      <c r="K371" s="4">
        <v>209</v>
      </c>
      <c r="L371" s="4">
        <v>23</v>
      </c>
      <c r="M371" s="4">
        <v>3</v>
      </c>
      <c r="N371" s="4" t="s">
        <v>6</v>
      </c>
      <c r="O371" s="4">
        <v>2</v>
      </c>
      <c r="P371" s="4"/>
      <c r="Q371" s="4"/>
      <c r="R371" s="4"/>
      <c r="S371" s="4"/>
      <c r="T371" s="4"/>
      <c r="U371" s="4"/>
      <c r="V371" s="4"/>
      <c r="W371" s="4"/>
    </row>
    <row r="372" spans="1:23" x14ac:dyDescent="0.2">
      <c r="A372" s="4">
        <v>50</v>
      </c>
      <c r="B372" s="4">
        <v>0</v>
      </c>
      <c r="C372" s="4">
        <v>0</v>
      </c>
      <c r="D372" s="4">
        <v>1</v>
      </c>
      <c r="E372" s="4">
        <v>210</v>
      </c>
      <c r="F372" s="4">
        <f>ROUND(Source!X347,O372)</f>
        <v>113102.08</v>
      </c>
      <c r="G372" s="4" t="s">
        <v>325</v>
      </c>
      <c r="H372" s="4" t="s">
        <v>326</v>
      </c>
      <c r="I372" s="4"/>
      <c r="J372" s="4"/>
      <c r="K372" s="4">
        <v>210</v>
      </c>
      <c r="L372" s="4">
        <v>24</v>
      </c>
      <c r="M372" s="4">
        <v>3</v>
      </c>
      <c r="N372" s="4" t="s">
        <v>6</v>
      </c>
      <c r="O372" s="4">
        <v>2</v>
      </c>
      <c r="P372" s="4"/>
      <c r="Q372" s="4"/>
      <c r="R372" s="4"/>
      <c r="S372" s="4"/>
      <c r="T372" s="4"/>
      <c r="U372" s="4"/>
      <c r="V372" s="4"/>
      <c r="W372" s="4"/>
    </row>
    <row r="373" spans="1:23" x14ac:dyDescent="0.2">
      <c r="A373" s="4">
        <v>50</v>
      </c>
      <c r="B373" s="4">
        <v>0</v>
      </c>
      <c r="C373" s="4">
        <v>0</v>
      </c>
      <c r="D373" s="4">
        <v>1</v>
      </c>
      <c r="E373" s="4">
        <v>211</v>
      </c>
      <c r="F373" s="4">
        <f>ROUND(Source!Y347,O373)</f>
        <v>68563.87</v>
      </c>
      <c r="G373" s="4" t="s">
        <v>327</v>
      </c>
      <c r="H373" s="4" t="s">
        <v>328</v>
      </c>
      <c r="I373" s="4"/>
      <c r="J373" s="4"/>
      <c r="K373" s="4">
        <v>211</v>
      </c>
      <c r="L373" s="4">
        <v>25</v>
      </c>
      <c r="M373" s="4">
        <v>3</v>
      </c>
      <c r="N373" s="4" t="s">
        <v>6</v>
      </c>
      <c r="O373" s="4">
        <v>2</v>
      </c>
      <c r="P373" s="4"/>
      <c r="Q373" s="4"/>
      <c r="R373" s="4"/>
      <c r="S373" s="4"/>
      <c r="T373" s="4"/>
      <c r="U373" s="4"/>
      <c r="V373" s="4"/>
      <c r="W373" s="4"/>
    </row>
    <row r="374" spans="1:23" x14ac:dyDescent="0.2">
      <c r="A374" s="4">
        <v>50</v>
      </c>
      <c r="B374" s="4">
        <v>0</v>
      </c>
      <c r="C374" s="4">
        <v>0</v>
      </c>
      <c r="D374" s="4">
        <v>1</v>
      </c>
      <c r="E374" s="4">
        <v>224</v>
      </c>
      <c r="F374" s="4">
        <f>ROUND(Source!AR347,O374)</f>
        <v>1825213.62</v>
      </c>
      <c r="G374" s="4" t="s">
        <v>329</v>
      </c>
      <c r="H374" s="4" t="s">
        <v>330</v>
      </c>
      <c r="I374" s="4"/>
      <c r="J374" s="4"/>
      <c r="K374" s="4">
        <v>224</v>
      </c>
      <c r="L374" s="4">
        <v>26</v>
      </c>
      <c r="M374" s="4">
        <v>3</v>
      </c>
      <c r="N374" s="4" t="s">
        <v>6</v>
      </c>
      <c r="O374" s="4">
        <v>2</v>
      </c>
      <c r="P374" s="4"/>
      <c r="Q374" s="4"/>
      <c r="R374" s="4"/>
      <c r="S374" s="4"/>
      <c r="T374" s="4"/>
      <c r="U374" s="4"/>
      <c r="V374" s="4"/>
      <c r="W374" s="4"/>
    </row>
    <row r="377" spans="1:23" x14ac:dyDescent="0.2">
      <c r="A377">
        <v>70</v>
      </c>
      <c r="B377">
        <v>1</v>
      </c>
      <c r="D377">
        <v>1</v>
      </c>
      <c r="E377" t="s">
        <v>594</v>
      </c>
      <c r="F377" t="s">
        <v>595</v>
      </c>
      <c r="G377">
        <v>0</v>
      </c>
      <c r="H377">
        <v>0</v>
      </c>
      <c r="I377" t="s">
        <v>6</v>
      </c>
      <c r="J377">
        <v>1</v>
      </c>
      <c r="K377">
        <v>0</v>
      </c>
      <c r="L377" t="s">
        <v>6</v>
      </c>
      <c r="M377" t="s">
        <v>6</v>
      </c>
      <c r="N377">
        <v>0</v>
      </c>
    </row>
    <row r="378" spans="1:23" x14ac:dyDescent="0.2">
      <c r="A378">
        <v>70</v>
      </c>
      <c r="B378">
        <v>1</v>
      </c>
      <c r="D378">
        <v>2</v>
      </c>
      <c r="E378" t="s">
        <v>596</v>
      </c>
      <c r="F378" t="s">
        <v>597</v>
      </c>
      <c r="G378">
        <v>1</v>
      </c>
      <c r="H378">
        <v>0</v>
      </c>
      <c r="I378" t="s">
        <v>6</v>
      </c>
      <c r="J378">
        <v>1</v>
      </c>
      <c r="K378">
        <v>0</v>
      </c>
      <c r="L378" t="s">
        <v>6</v>
      </c>
      <c r="M378" t="s">
        <v>6</v>
      </c>
      <c r="N378">
        <v>0</v>
      </c>
    </row>
    <row r="379" spans="1:23" x14ac:dyDescent="0.2">
      <c r="A379">
        <v>70</v>
      </c>
      <c r="B379">
        <v>1</v>
      </c>
      <c r="D379">
        <v>3</v>
      </c>
      <c r="E379" t="s">
        <v>598</v>
      </c>
      <c r="F379" t="s">
        <v>599</v>
      </c>
      <c r="G379">
        <v>0</v>
      </c>
      <c r="H379">
        <v>0</v>
      </c>
      <c r="I379" t="s">
        <v>6</v>
      </c>
      <c r="J379">
        <v>1</v>
      </c>
      <c r="K379">
        <v>0</v>
      </c>
      <c r="L379" t="s">
        <v>6</v>
      </c>
      <c r="M379" t="s">
        <v>6</v>
      </c>
      <c r="N379">
        <v>0</v>
      </c>
    </row>
    <row r="380" spans="1:23" x14ac:dyDescent="0.2">
      <c r="A380">
        <v>70</v>
      </c>
      <c r="B380">
        <v>1</v>
      </c>
      <c r="D380">
        <v>4</v>
      </c>
      <c r="E380" t="s">
        <v>600</v>
      </c>
      <c r="F380" t="s">
        <v>601</v>
      </c>
      <c r="G380">
        <v>0</v>
      </c>
      <c r="H380">
        <v>0</v>
      </c>
      <c r="I380" t="s">
        <v>602</v>
      </c>
      <c r="J380">
        <v>0</v>
      </c>
      <c r="K380">
        <v>0</v>
      </c>
      <c r="L380" t="s">
        <v>6</v>
      </c>
      <c r="M380" t="s">
        <v>6</v>
      </c>
      <c r="N380">
        <v>0</v>
      </c>
    </row>
    <row r="381" spans="1:23" x14ac:dyDescent="0.2">
      <c r="A381">
        <v>70</v>
      </c>
      <c r="B381">
        <v>1</v>
      </c>
      <c r="D381">
        <v>5</v>
      </c>
      <c r="E381" t="s">
        <v>603</v>
      </c>
      <c r="F381" t="s">
        <v>604</v>
      </c>
      <c r="G381">
        <v>0</v>
      </c>
      <c r="H381">
        <v>0</v>
      </c>
      <c r="I381" t="s">
        <v>605</v>
      </c>
      <c r="J381">
        <v>0</v>
      </c>
      <c r="K381">
        <v>0</v>
      </c>
      <c r="L381" t="s">
        <v>6</v>
      </c>
      <c r="M381" t="s">
        <v>6</v>
      </c>
      <c r="N381">
        <v>0</v>
      </c>
    </row>
    <row r="382" spans="1:23" x14ac:dyDescent="0.2">
      <c r="A382">
        <v>70</v>
      </c>
      <c r="B382">
        <v>1</v>
      </c>
      <c r="D382">
        <v>6</v>
      </c>
      <c r="E382" t="s">
        <v>606</v>
      </c>
      <c r="F382" t="s">
        <v>607</v>
      </c>
      <c r="G382">
        <v>0</v>
      </c>
      <c r="H382">
        <v>0</v>
      </c>
      <c r="I382" t="s">
        <v>608</v>
      </c>
      <c r="J382">
        <v>0</v>
      </c>
      <c r="K382">
        <v>0</v>
      </c>
      <c r="L382" t="s">
        <v>6</v>
      </c>
      <c r="M382" t="s">
        <v>6</v>
      </c>
      <c r="N382">
        <v>0</v>
      </c>
    </row>
    <row r="383" spans="1:23" x14ac:dyDescent="0.2">
      <c r="A383">
        <v>70</v>
      </c>
      <c r="B383">
        <v>1</v>
      </c>
      <c r="D383">
        <v>7</v>
      </c>
      <c r="E383" t="s">
        <v>609</v>
      </c>
      <c r="F383" t="s">
        <v>610</v>
      </c>
      <c r="G383">
        <v>0</v>
      </c>
      <c r="H383">
        <v>0</v>
      </c>
      <c r="I383" t="s">
        <v>6</v>
      </c>
      <c r="J383">
        <v>0</v>
      </c>
      <c r="K383">
        <v>0</v>
      </c>
      <c r="L383" t="s">
        <v>6</v>
      </c>
      <c r="M383" t="s">
        <v>6</v>
      </c>
      <c r="N383">
        <v>0</v>
      </c>
    </row>
    <row r="384" spans="1:23" x14ac:dyDescent="0.2">
      <c r="A384">
        <v>70</v>
      </c>
      <c r="B384">
        <v>1</v>
      </c>
      <c r="D384">
        <v>8</v>
      </c>
      <c r="E384" t="s">
        <v>611</v>
      </c>
      <c r="F384" t="s">
        <v>612</v>
      </c>
      <c r="G384">
        <v>0</v>
      </c>
      <c r="H384">
        <v>0</v>
      </c>
      <c r="I384" t="s">
        <v>613</v>
      </c>
      <c r="J384">
        <v>0</v>
      </c>
      <c r="K384">
        <v>0</v>
      </c>
      <c r="L384" t="s">
        <v>6</v>
      </c>
      <c r="M384" t="s">
        <v>6</v>
      </c>
      <c r="N384">
        <v>0</v>
      </c>
    </row>
    <row r="385" spans="1:14" x14ac:dyDescent="0.2">
      <c r="A385">
        <v>70</v>
      </c>
      <c r="B385">
        <v>1</v>
      </c>
      <c r="D385">
        <v>9</v>
      </c>
      <c r="E385" t="s">
        <v>614</v>
      </c>
      <c r="F385" t="s">
        <v>615</v>
      </c>
      <c r="G385">
        <v>0</v>
      </c>
      <c r="H385">
        <v>0</v>
      </c>
      <c r="I385" t="s">
        <v>616</v>
      </c>
      <c r="J385">
        <v>0</v>
      </c>
      <c r="K385">
        <v>0</v>
      </c>
      <c r="L385" t="s">
        <v>6</v>
      </c>
      <c r="M385" t="s">
        <v>6</v>
      </c>
      <c r="N385">
        <v>0</v>
      </c>
    </row>
    <row r="386" spans="1:14" x14ac:dyDescent="0.2">
      <c r="A386">
        <v>70</v>
      </c>
      <c r="B386">
        <v>1</v>
      </c>
      <c r="D386">
        <v>10</v>
      </c>
      <c r="E386" t="s">
        <v>617</v>
      </c>
      <c r="F386" t="s">
        <v>618</v>
      </c>
      <c r="G386">
        <v>0</v>
      </c>
      <c r="H386">
        <v>0</v>
      </c>
      <c r="I386" t="s">
        <v>619</v>
      </c>
      <c r="J386">
        <v>0</v>
      </c>
      <c r="K386">
        <v>0</v>
      </c>
      <c r="L386" t="s">
        <v>6</v>
      </c>
      <c r="M386" t="s">
        <v>6</v>
      </c>
      <c r="N386">
        <v>0</v>
      </c>
    </row>
    <row r="387" spans="1:14" x14ac:dyDescent="0.2">
      <c r="A387">
        <v>70</v>
      </c>
      <c r="B387">
        <v>1</v>
      </c>
      <c r="D387">
        <v>11</v>
      </c>
      <c r="E387" t="s">
        <v>620</v>
      </c>
      <c r="F387" t="s">
        <v>621</v>
      </c>
      <c r="G387">
        <v>0</v>
      </c>
      <c r="H387">
        <v>0</v>
      </c>
      <c r="I387" t="s">
        <v>622</v>
      </c>
      <c r="J387">
        <v>0</v>
      </c>
      <c r="K387">
        <v>0</v>
      </c>
      <c r="L387" t="s">
        <v>6</v>
      </c>
      <c r="M387" t="s">
        <v>6</v>
      </c>
      <c r="N387">
        <v>0</v>
      </c>
    </row>
    <row r="388" spans="1:14" x14ac:dyDescent="0.2">
      <c r="A388">
        <v>70</v>
      </c>
      <c r="B388">
        <v>1</v>
      </c>
      <c r="D388">
        <v>12</v>
      </c>
      <c r="E388" t="s">
        <v>623</v>
      </c>
      <c r="F388" t="s">
        <v>624</v>
      </c>
      <c r="G388">
        <v>0</v>
      </c>
      <c r="H388">
        <v>0</v>
      </c>
      <c r="I388" t="s">
        <v>6</v>
      </c>
      <c r="J388">
        <v>0</v>
      </c>
      <c r="K388">
        <v>0</v>
      </c>
      <c r="L388" t="s">
        <v>6</v>
      </c>
      <c r="M388" t="s">
        <v>6</v>
      </c>
      <c r="N388">
        <v>0</v>
      </c>
    </row>
    <row r="389" spans="1:14" x14ac:dyDescent="0.2">
      <c r="A389">
        <v>70</v>
      </c>
      <c r="B389">
        <v>1</v>
      </c>
      <c r="D389">
        <v>1</v>
      </c>
      <c r="E389" t="s">
        <v>625</v>
      </c>
      <c r="F389" t="s">
        <v>626</v>
      </c>
      <c r="G389">
        <v>0.9</v>
      </c>
      <c r="H389">
        <v>1</v>
      </c>
      <c r="I389" t="s">
        <v>627</v>
      </c>
      <c r="J389">
        <v>0</v>
      </c>
      <c r="K389">
        <v>0</v>
      </c>
      <c r="L389" t="s">
        <v>6</v>
      </c>
      <c r="M389" t="s">
        <v>6</v>
      </c>
      <c r="N389">
        <v>0</v>
      </c>
    </row>
    <row r="390" spans="1:14" x14ac:dyDescent="0.2">
      <c r="A390">
        <v>70</v>
      </c>
      <c r="B390">
        <v>1</v>
      </c>
      <c r="D390">
        <v>2</v>
      </c>
      <c r="E390" t="s">
        <v>628</v>
      </c>
      <c r="F390" t="s">
        <v>629</v>
      </c>
      <c r="G390">
        <v>0.85</v>
      </c>
      <c r="H390">
        <v>1</v>
      </c>
      <c r="I390" t="s">
        <v>630</v>
      </c>
      <c r="J390">
        <v>0</v>
      </c>
      <c r="K390">
        <v>0</v>
      </c>
      <c r="L390" t="s">
        <v>6</v>
      </c>
      <c r="M390" t="s">
        <v>6</v>
      </c>
      <c r="N390">
        <v>0</v>
      </c>
    </row>
    <row r="391" spans="1:14" x14ac:dyDescent="0.2">
      <c r="A391">
        <v>70</v>
      </c>
      <c r="B391">
        <v>1</v>
      </c>
      <c r="D391">
        <v>3</v>
      </c>
      <c r="E391" t="s">
        <v>631</v>
      </c>
      <c r="F391" t="s">
        <v>632</v>
      </c>
      <c r="G391">
        <v>1</v>
      </c>
      <c r="H391">
        <v>0.85</v>
      </c>
      <c r="I391" t="s">
        <v>633</v>
      </c>
      <c r="J391">
        <v>0</v>
      </c>
      <c r="K391">
        <v>0</v>
      </c>
      <c r="L391" t="s">
        <v>6</v>
      </c>
      <c r="M391" t="s">
        <v>6</v>
      </c>
      <c r="N391">
        <v>0</v>
      </c>
    </row>
    <row r="392" spans="1:14" x14ac:dyDescent="0.2">
      <c r="A392">
        <v>70</v>
      </c>
      <c r="B392">
        <v>1</v>
      </c>
      <c r="D392">
        <v>4</v>
      </c>
      <c r="E392" t="s">
        <v>634</v>
      </c>
      <c r="F392" t="s">
        <v>635</v>
      </c>
      <c r="G392">
        <v>1</v>
      </c>
      <c r="H392">
        <v>0</v>
      </c>
      <c r="I392" t="s">
        <v>6</v>
      </c>
      <c r="J392">
        <v>0</v>
      </c>
      <c r="K392">
        <v>0</v>
      </c>
      <c r="L392" t="s">
        <v>6</v>
      </c>
      <c r="M392" t="s">
        <v>6</v>
      </c>
      <c r="N392">
        <v>0</v>
      </c>
    </row>
    <row r="393" spans="1:14" x14ac:dyDescent="0.2">
      <c r="A393">
        <v>70</v>
      </c>
      <c r="B393">
        <v>1</v>
      </c>
      <c r="D393">
        <v>5</v>
      </c>
      <c r="E393" t="s">
        <v>636</v>
      </c>
      <c r="F393" t="s">
        <v>637</v>
      </c>
      <c r="G393">
        <v>1</v>
      </c>
      <c r="H393">
        <v>0.8</v>
      </c>
      <c r="I393" t="s">
        <v>638</v>
      </c>
      <c r="J393">
        <v>0</v>
      </c>
      <c r="K393">
        <v>0</v>
      </c>
      <c r="L393" t="s">
        <v>6</v>
      </c>
      <c r="M393" t="s">
        <v>6</v>
      </c>
      <c r="N393">
        <v>0</v>
      </c>
    </row>
    <row r="394" spans="1:14" x14ac:dyDescent="0.2">
      <c r="A394">
        <v>70</v>
      </c>
      <c r="B394">
        <v>1</v>
      </c>
      <c r="D394">
        <v>6</v>
      </c>
      <c r="E394" t="s">
        <v>639</v>
      </c>
      <c r="F394" t="s">
        <v>640</v>
      </c>
      <c r="G394">
        <v>0.85</v>
      </c>
      <c r="H394">
        <v>0</v>
      </c>
      <c r="I394" t="s">
        <v>6</v>
      </c>
      <c r="J394">
        <v>0</v>
      </c>
      <c r="K394">
        <v>0</v>
      </c>
      <c r="L394" t="s">
        <v>6</v>
      </c>
      <c r="M394" t="s">
        <v>6</v>
      </c>
      <c r="N394">
        <v>0</v>
      </c>
    </row>
    <row r="395" spans="1:14" x14ac:dyDescent="0.2">
      <c r="A395">
        <v>70</v>
      </c>
      <c r="B395">
        <v>1</v>
      </c>
      <c r="D395">
        <v>7</v>
      </c>
      <c r="E395" t="s">
        <v>641</v>
      </c>
      <c r="F395" t="s">
        <v>642</v>
      </c>
      <c r="G395">
        <v>0.8</v>
      </c>
      <c r="H395">
        <v>0</v>
      </c>
      <c r="I395" t="s">
        <v>6</v>
      </c>
      <c r="J395">
        <v>0</v>
      </c>
      <c r="K395">
        <v>0</v>
      </c>
      <c r="L395" t="s">
        <v>6</v>
      </c>
      <c r="M395" t="s">
        <v>6</v>
      </c>
      <c r="N395">
        <v>0</v>
      </c>
    </row>
    <row r="396" spans="1:14" x14ac:dyDescent="0.2">
      <c r="A396">
        <v>70</v>
      </c>
      <c r="B396">
        <v>1</v>
      </c>
      <c r="D396">
        <v>8</v>
      </c>
      <c r="E396" t="s">
        <v>643</v>
      </c>
      <c r="F396" t="s">
        <v>644</v>
      </c>
      <c r="G396">
        <v>0.94</v>
      </c>
      <c r="H396">
        <v>0</v>
      </c>
      <c r="I396" t="s">
        <v>6</v>
      </c>
      <c r="J396">
        <v>0</v>
      </c>
      <c r="K396">
        <v>0</v>
      </c>
      <c r="L396" t="s">
        <v>6</v>
      </c>
      <c r="M396" t="s">
        <v>6</v>
      </c>
      <c r="N396">
        <v>0</v>
      </c>
    </row>
    <row r="397" spans="1:14" x14ac:dyDescent="0.2">
      <c r="A397">
        <v>70</v>
      </c>
      <c r="B397">
        <v>1</v>
      </c>
      <c r="D397">
        <v>9</v>
      </c>
      <c r="E397" t="s">
        <v>645</v>
      </c>
      <c r="F397" t="s">
        <v>646</v>
      </c>
      <c r="G397">
        <v>0.9</v>
      </c>
      <c r="H397">
        <v>0</v>
      </c>
      <c r="I397" t="s">
        <v>6</v>
      </c>
      <c r="J397">
        <v>0</v>
      </c>
      <c r="K397">
        <v>0</v>
      </c>
      <c r="L397" t="s">
        <v>6</v>
      </c>
      <c r="M397" t="s">
        <v>6</v>
      </c>
      <c r="N397">
        <v>0</v>
      </c>
    </row>
    <row r="398" spans="1:14" x14ac:dyDescent="0.2">
      <c r="A398">
        <v>70</v>
      </c>
      <c r="B398">
        <v>1</v>
      </c>
      <c r="D398">
        <v>10</v>
      </c>
      <c r="E398" t="s">
        <v>647</v>
      </c>
      <c r="F398" t="s">
        <v>648</v>
      </c>
      <c r="G398">
        <v>0.6</v>
      </c>
      <c r="H398">
        <v>0</v>
      </c>
      <c r="I398" t="s">
        <v>6</v>
      </c>
      <c r="J398">
        <v>0</v>
      </c>
      <c r="K398">
        <v>0</v>
      </c>
      <c r="L398" t="s">
        <v>6</v>
      </c>
      <c r="M398" t="s">
        <v>6</v>
      </c>
      <c r="N398">
        <v>0</v>
      </c>
    </row>
    <row r="399" spans="1:14" x14ac:dyDescent="0.2">
      <c r="A399">
        <v>70</v>
      </c>
      <c r="B399">
        <v>1</v>
      </c>
      <c r="D399">
        <v>11</v>
      </c>
      <c r="E399" t="s">
        <v>649</v>
      </c>
      <c r="F399" t="s">
        <v>650</v>
      </c>
      <c r="G399">
        <v>1.2</v>
      </c>
      <c r="H399">
        <v>0</v>
      </c>
      <c r="I399" t="s">
        <v>6</v>
      </c>
      <c r="J399">
        <v>0</v>
      </c>
      <c r="K399">
        <v>0</v>
      </c>
      <c r="L399" t="s">
        <v>6</v>
      </c>
      <c r="M399" t="s">
        <v>6</v>
      </c>
      <c r="N399">
        <v>0</v>
      </c>
    </row>
    <row r="400" spans="1:14" x14ac:dyDescent="0.2">
      <c r="A400">
        <v>70</v>
      </c>
      <c r="B400">
        <v>1</v>
      </c>
      <c r="D400">
        <v>12</v>
      </c>
      <c r="E400" t="s">
        <v>651</v>
      </c>
      <c r="F400" t="s">
        <v>652</v>
      </c>
      <c r="G400">
        <v>0</v>
      </c>
      <c r="H400">
        <v>0</v>
      </c>
      <c r="I400" t="s">
        <v>6</v>
      </c>
      <c r="J400">
        <v>0</v>
      </c>
      <c r="K400">
        <v>0</v>
      </c>
      <c r="L400" t="s">
        <v>6</v>
      </c>
      <c r="M400" t="s">
        <v>6</v>
      </c>
      <c r="N400">
        <v>0</v>
      </c>
    </row>
    <row r="401" spans="1:34" x14ac:dyDescent="0.2">
      <c r="A401">
        <v>70</v>
      </c>
      <c r="B401">
        <v>1</v>
      </c>
      <c r="D401">
        <v>13</v>
      </c>
      <c r="E401" t="s">
        <v>653</v>
      </c>
      <c r="F401" t="s">
        <v>654</v>
      </c>
      <c r="G401">
        <v>0.94</v>
      </c>
      <c r="H401">
        <v>0</v>
      </c>
      <c r="I401" t="s">
        <v>6</v>
      </c>
      <c r="J401">
        <v>0</v>
      </c>
      <c r="K401">
        <v>0</v>
      </c>
      <c r="L401" t="s">
        <v>6</v>
      </c>
      <c r="M401" t="s">
        <v>6</v>
      </c>
      <c r="N401">
        <v>0</v>
      </c>
    </row>
    <row r="403" spans="1:34" x14ac:dyDescent="0.2">
      <c r="A403">
        <v>-1</v>
      </c>
    </row>
    <row r="405" spans="1:34" x14ac:dyDescent="0.2">
      <c r="A405" s="3">
        <v>75</v>
      </c>
      <c r="B405" s="3" t="s">
        <v>655</v>
      </c>
      <c r="C405" s="3">
        <v>2018</v>
      </c>
      <c r="D405" s="3">
        <v>3</v>
      </c>
      <c r="E405" s="3">
        <v>0</v>
      </c>
      <c r="F405" s="3">
        <v>0</v>
      </c>
      <c r="G405" s="3">
        <v>0</v>
      </c>
      <c r="H405" s="3">
        <v>1</v>
      </c>
      <c r="I405" s="3">
        <v>0</v>
      </c>
      <c r="J405" s="3">
        <v>1</v>
      </c>
      <c r="K405" s="3">
        <v>0</v>
      </c>
      <c r="L405" s="3">
        <v>0</v>
      </c>
      <c r="M405" s="3">
        <v>0</v>
      </c>
      <c r="N405" s="3">
        <v>16802145</v>
      </c>
      <c r="O405" s="3">
        <v>1</v>
      </c>
    </row>
    <row r="406" spans="1:34" x14ac:dyDescent="0.2">
      <c r="A406" s="5">
        <v>3</v>
      </c>
      <c r="B406" s="5" t="s">
        <v>656</v>
      </c>
      <c r="C406" s="5">
        <v>6.71</v>
      </c>
      <c r="D406" s="5">
        <v>1</v>
      </c>
      <c r="E406" s="5">
        <v>1</v>
      </c>
      <c r="F406" s="5">
        <v>1</v>
      </c>
      <c r="G406" s="5">
        <v>1</v>
      </c>
      <c r="H406" s="5">
        <v>1</v>
      </c>
      <c r="I406" s="5">
        <v>1</v>
      </c>
      <c r="J406" s="5">
        <v>1</v>
      </c>
      <c r="K406" s="5">
        <v>19.39</v>
      </c>
      <c r="L406" s="5">
        <v>1</v>
      </c>
      <c r="M406" s="5">
        <v>6.71</v>
      </c>
      <c r="N406" s="5">
        <v>1</v>
      </c>
      <c r="O406" s="5">
        <v>1</v>
      </c>
      <c r="P406" s="5">
        <v>1</v>
      </c>
      <c r="Q406" s="5">
        <v>19.39</v>
      </c>
      <c r="R406" s="5">
        <v>1</v>
      </c>
      <c r="S406" s="5" t="s">
        <v>6</v>
      </c>
      <c r="T406" s="5" t="s">
        <v>6</v>
      </c>
      <c r="U406" s="5" t="s">
        <v>6</v>
      </c>
      <c r="V406" s="5" t="s">
        <v>6</v>
      </c>
      <c r="W406" s="5" t="s">
        <v>6</v>
      </c>
      <c r="X406" s="5" t="s">
        <v>6</v>
      </c>
      <c r="Y406" s="5" t="s">
        <v>6</v>
      </c>
      <c r="Z406" s="5" t="s">
        <v>6</v>
      </c>
      <c r="AA406" s="5" t="s">
        <v>6</v>
      </c>
      <c r="AB406" s="5" t="s">
        <v>6</v>
      </c>
      <c r="AC406" s="5" t="s">
        <v>6</v>
      </c>
      <c r="AD406" s="5" t="s">
        <v>6</v>
      </c>
      <c r="AE406" s="5" t="s">
        <v>6</v>
      </c>
      <c r="AF406" s="5" t="s">
        <v>6</v>
      </c>
      <c r="AG406" s="5" t="s">
        <v>6</v>
      </c>
      <c r="AH406" s="5" t="s">
        <v>6</v>
      </c>
    </row>
    <row r="410" spans="1:34" x14ac:dyDescent="0.2">
      <c r="A410">
        <v>65</v>
      </c>
      <c r="C410">
        <v>1</v>
      </c>
      <c r="D410">
        <v>0</v>
      </c>
      <c r="E410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1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657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  <c r="N1">
        <v>10</v>
      </c>
      <c r="O1">
        <v>1</v>
      </c>
      <c r="P1">
        <v>0</v>
      </c>
      <c r="Q1">
        <v>8</v>
      </c>
    </row>
    <row r="12" spans="1:133" x14ac:dyDescent="0.2">
      <c r="A12" s="1">
        <v>1</v>
      </c>
      <c r="B12" s="1">
        <v>50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524296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16802145</v>
      </c>
      <c r="E14" s="1">
        <v>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6">
        <v>3</v>
      </c>
      <c r="B16" s="6">
        <v>1</v>
      </c>
      <c r="C16" s="6" t="s">
        <v>12</v>
      </c>
      <c r="D16" s="6" t="s">
        <v>12</v>
      </c>
      <c r="E16" s="7">
        <f>(Source!F332)/1000</f>
        <v>1179.66318</v>
      </c>
      <c r="F16" s="7">
        <f>(Source!F333)/1000</f>
        <v>591.78931999999998</v>
      </c>
      <c r="G16" s="7">
        <f>(Source!F324)/1000</f>
        <v>0</v>
      </c>
      <c r="H16" s="7">
        <f>(Source!F334)/1000+(Source!F335)/1000</f>
        <v>53.761120000000005</v>
      </c>
      <c r="I16" s="7">
        <f>E16+F16+G16+H16</f>
        <v>1825.21362</v>
      </c>
      <c r="J16" s="7">
        <f>(Source!F330)/1000</f>
        <v>125.74952</v>
      </c>
      <c r="AI16" s="6">
        <v>0</v>
      </c>
      <c r="AJ16" s="6">
        <v>0</v>
      </c>
      <c r="AK16" s="6" t="s">
        <v>6</v>
      </c>
      <c r="AL16" s="6" t="s">
        <v>6</v>
      </c>
      <c r="AM16" s="6" t="s">
        <v>6</v>
      </c>
      <c r="AN16" s="6">
        <v>0</v>
      </c>
      <c r="AO16" s="6" t="s">
        <v>6</v>
      </c>
      <c r="AP16" s="6" t="s">
        <v>6</v>
      </c>
      <c r="AT16" s="7">
        <v>1633479.45</v>
      </c>
      <c r="AU16" s="7">
        <v>1496233.88</v>
      </c>
      <c r="AV16" s="7">
        <v>0</v>
      </c>
      <c r="AW16" s="7">
        <v>0</v>
      </c>
      <c r="AX16" s="7">
        <v>0</v>
      </c>
      <c r="AY16" s="7">
        <v>11496.05</v>
      </c>
      <c r="AZ16" s="7">
        <v>2159.36</v>
      </c>
      <c r="BA16" s="7">
        <v>125749.52</v>
      </c>
      <c r="BB16" s="7">
        <v>1179663.18</v>
      </c>
      <c r="BC16" s="7">
        <v>591789.31999999995</v>
      </c>
      <c r="BD16" s="7">
        <v>53761.120000000003</v>
      </c>
      <c r="BE16" s="7">
        <v>0</v>
      </c>
      <c r="BF16" s="7">
        <v>1749.5781817000002</v>
      </c>
      <c r="BG16" s="7">
        <v>26.771321500000003</v>
      </c>
      <c r="BH16" s="7">
        <v>0</v>
      </c>
      <c r="BI16" s="7">
        <v>113102.08</v>
      </c>
      <c r="BJ16" s="7">
        <v>68563.87</v>
      </c>
      <c r="BK16" s="7">
        <v>1825213.62</v>
      </c>
    </row>
    <row r="18" spans="1:19" x14ac:dyDescent="0.2">
      <c r="A18">
        <v>51</v>
      </c>
      <c r="E18" s="8">
        <f>SUMIF(A16:A17,3,E16:E17)</f>
        <v>1179.66318</v>
      </c>
      <c r="F18" s="8">
        <f>SUMIF(A16:A17,3,F16:F17)</f>
        <v>591.78931999999998</v>
      </c>
      <c r="G18" s="8">
        <f>SUMIF(A16:A17,3,G16:G17)</f>
        <v>0</v>
      </c>
      <c r="H18" s="8">
        <f>SUMIF(A16:A17,3,H16:H17)</f>
        <v>53.761120000000005</v>
      </c>
      <c r="I18" s="8">
        <f>SUMIF(A16:A17,3,I16:I17)</f>
        <v>1825.21362</v>
      </c>
      <c r="J18" s="8">
        <f>SUMIF(A16:A17,3,J16:J17)</f>
        <v>125.74952</v>
      </c>
      <c r="K18" s="8"/>
      <c r="L18" s="8"/>
      <c r="M18" s="8"/>
      <c r="N18" s="8"/>
      <c r="O18" s="8"/>
      <c r="P18" s="8"/>
      <c r="Q18" s="8"/>
      <c r="R18" s="8"/>
      <c r="S18" s="8"/>
    </row>
    <row r="20" spans="1:19" x14ac:dyDescent="0.2">
      <c r="A20" s="4">
        <v>50</v>
      </c>
      <c r="B20" s="4">
        <v>0</v>
      </c>
      <c r="C20" s="4">
        <v>0</v>
      </c>
      <c r="D20" s="4">
        <v>1</v>
      </c>
      <c r="E20" s="4">
        <v>201</v>
      </c>
      <c r="F20" s="4">
        <v>1633479.45</v>
      </c>
      <c r="G20" s="4" t="s">
        <v>279</v>
      </c>
      <c r="H20" s="4" t="s">
        <v>280</v>
      </c>
      <c r="I20" s="4"/>
      <c r="J20" s="4"/>
      <c r="K20" s="4">
        <v>201</v>
      </c>
      <c r="L20" s="4">
        <v>1</v>
      </c>
      <c r="M20" s="4">
        <v>3</v>
      </c>
      <c r="N20" s="4" t="s">
        <v>6</v>
      </c>
      <c r="O20" s="4">
        <v>2</v>
      </c>
      <c r="P20" s="4"/>
    </row>
    <row r="21" spans="1:19" x14ac:dyDescent="0.2">
      <c r="A21" s="4">
        <v>50</v>
      </c>
      <c r="B21" s="4">
        <v>0</v>
      </c>
      <c r="C21" s="4">
        <v>0</v>
      </c>
      <c r="D21" s="4">
        <v>1</v>
      </c>
      <c r="E21" s="4">
        <v>202</v>
      </c>
      <c r="F21" s="4">
        <v>1496233.88</v>
      </c>
      <c r="G21" s="4" t="s">
        <v>281</v>
      </c>
      <c r="H21" s="4" t="s">
        <v>282</v>
      </c>
      <c r="I21" s="4"/>
      <c r="J21" s="4"/>
      <c r="K21" s="4">
        <v>202</v>
      </c>
      <c r="L21" s="4">
        <v>2</v>
      </c>
      <c r="M21" s="4">
        <v>3</v>
      </c>
      <c r="N21" s="4" t="s">
        <v>6</v>
      </c>
      <c r="O21" s="4">
        <v>2</v>
      </c>
      <c r="P21" s="4"/>
    </row>
    <row r="22" spans="1:19" x14ac:dyDescent="0.2">
      <c r="A22" s="4">
        <v>50</v>
      </c>
      <c r="B22" s="4">
        <v>0</v>
      </c>
      <c r="C22" s="4">
        <v>0</v>
      </c>
      <c r="D22" s="4">
        <v>1</v>
      </c>
      <c r="E22" s="4">
        <v>222</v>
      </c>
      <c r="F22" s="4">
        <v>0</v>
      </c>
      <c r="G22" s="4" t="s">
        <v>283</v>
      </c>
      <c r="H22" s="4" t="s">
        <v>284</v>
      </c>
      <c r="I22" s="4"/>
      <c r="J22" s="4"/>
      <c r="K22" s="4">
        <v>222</v>
      </c>
      <c r="L22" s="4">
        <v>3</v>
      </c>
      <c r="M22" s="4">
        <v>3</v>
      </c>
      <c r="N22" s="4" t="s">
        <v>6</v>
      </c>
      <c r="O22" s="4">
        <v>2</v>
      </c>
      <c r="P22" s="4"/>
    </row>
    <row r="23" spans="1:19" x14ac:dyDescent="0.2">
      <c r="A23" s="4">
        <v>50</v>
      </c>
      <c r="B23" s="4">
        <v>0</v>
      </c>
      <c r="C23" s="4">
        <v>0</v>
      </c>
      <c r="D23" s="4">
        <v>1</v>
      </c>
      <c r="E23" s="4">
        <v>225</v>
      </c>
      <c r="F23" s="4">
        <v>1496233.88</v>
      </c>
      <c r="G23" s="4" t="s">
        <v>285</v>
      </c>
      <c r="H23" s="4" t="s">
        <v>286</v>
      </c>
      <c r="I23" s="4"/>
      <c r="J23" s="4"/>
      <c r="K23" s="4">
        <v>225</v>
      </c>
      <c r="L23" s="4">
        <v>4</v>
      </c>
      <c r="M23" s="4">
        <v>3</v>
      </c>
      <c r="N23" s="4" t="s">
        <v>6</v>
      </c>
      <c r="O23" s="4">
        <v>2</v>
      </c>
      <c r="P23" s="4"/>
    </row>
    <row r="24" spans="1:19" x14ac:dyDescent="0.2">
      <c r="A24" s="4">
        <v>50</v>
      </c>
      <c r="B24" s="4">
        <v>0</v>
      </c>
      <c r="C24" s="4">
        <v>0</v>
      </c>
      <c r="D24" s="4">
        <v>1</v>
      </c>
      <c r="E24" s="4">
        <v>226</v>
      </c>
      <c r="F24" s="4">
        <v>1496233.88</v>
      </c>
      <c r="G24" s="4" t="s">
        <v>287</v>
      </c>
      <c r="H24" s="4" t="s">
        <v>288</v>
      </c>
      <c r="I24" s="4"/>
      <c r="J24" s="4"/>
      <c r="K24" s="4">
        <v>226</v>
      </c>
      <c r="L24" s="4">
        <v>5</v>
      </c>
      <c r="M24" s="4">
        <v>3</v>
      </c>
      <c r="N24" s="4" t="s">
        <v>6</v>
      </c>
      <c r="O24" s="4">
        <v>2</v>
      </c>
      <c r="P24" s="4"/>
    </row>
    <row r="25" spans="1:19" x14ac:dyDescent="0.2">
      <c r="A25" s="4">
        <v>50</v>
      </c>
      <c r="B25" s="4">
        <v>0</v>
      </c>
      <c r="C25" s="4">
        <v>0</v>
      </c>
      <c r="D25" s="4">
        <v>1</v>
      </c>
      <c r="E25" s="4">
        <v>227</v>
      </c>
      <c r="F25" s="4">
        <v>0</v>
      </c>
      <c r="G25" s="4" t="s">
        <v>289</v>
      </c>
      <c r="H25" s="4" t="s">
        <v>290</v>
      </c>
      <c r="I25" s="4"/>
      <c r="J25" s="4"/>
      <c r="K25" s="4">
        <v>227</v>
      </c>
      <c r="L25" s="4">
        <v>6</v>
      </c>
      <c r="M25" s="4">
        <v>3</v>
      </c>
      <c r="N25" s="4" t="s">
        <v>6</v>
      </c>
      <c r="O25" s="4">
        <v>2</v>
      </c>
      <c r="P25" s="4"/>
    </row>
    <row r="26" spans="1:19" x14ac:dyDescent="0.2">
      <c r="A26" s="4">
        <v>50</v>
      </c>
      <c r="B26" s="4">
        <v>0</v>
      </c>
      <c r="C26" s="4">
        <v>0</v>
      </c>
      <c r="D26" s="4">
        <v>1</v>
      </c>
      <c r="E26" s="4">
        <v>228</v>
      </c>
      <c r="F26" s="4">
        <v>1496233.88</v>
      </c>
      <c r="G26" s="4" t="s">
        <v>291</v>
      </c>
      <c r="H26" s="4" t="s">
        <v>292</v>
      </c>
      <c r="I26" s="4"/>
      <c r="J26" s="4"/>
      <c r="K26" s="4">
        <v>228</v>
      </c>
      <c r="L26" s="4">
        <v>7</v>
      </c>
      <c r="M26" s="4">
        <v>3</v>
      </c>
      <c r="N26" s="4" t="s">
        <v>6</v>
      </c>
      <c r="O26" s="4">
        <v>2</v>
      </c>
      <c r="P26" s="4"/>
    </row>
    <row r="27" spans="1:19" x14ac:dyDescent="0.2">
      <c r="A27" s="4">
        <v>50</v>
      </c>
      <c r="B27" s="4">
        <v>0</v>
      </c>
      <c r="C27" s="4">
        <v>0</v>
      </c>
      <c r="D27" s="4">
        <v>1</v>
      </c>
      <c r="E27" s="4">
        <v>216</v>
      </c>
      <c r="F27" s="4">
        <v>0</v>
      </c>
      <c r="G27" s="4" t="s">
        <v>293</v>
      </c>
      <c r="H27" s="4" t="s">
        <v>294</v>
      </c>
      <c r="I27" s="4"/>
      <c r="J27" s="4"/>
      <c r="K27" s="4">
        <v>216</v>
      </c>
      <c r="L27" s="4">
        <v>8</v>
      </c>
      <c r="M27" s="4">
        <v>3</v>
      </c>
      <c r="N27" s="4" t="s">
        <v>6</v>
      </c>
      <c r="O27" s="4">
        <v>2</v>
      </c>
      <c r="P27" s="4"/>
    </row>
    <row r="28" spans="1:19" x14ac:dyDescent="0.2">
      <c r="A28" s="4">
        <v>50</v>
      </c>
      <c r="B28" s="4">
        <v>0</v>
      </c>
      <c r="C28" s="4">
        <v>0</v>
      </c>
      <c r="D28" s="4">
        <v>1</v>
      </c>
      <c r="E28" s="4">
        <v>223</v>
      </c>
      <c r="F28" s="4">
        <v>0</v>
      </c>
      <c r="G28" s="4" t="s">
        <v>295</v>
      </c>
      <c r="H28" s="4" t="s">
        <v>296</v>
      </c>
      <c r="I28" s="4"/>
      <c r="J28" s="4"/>
      <c r="K28" s="4">
        <v>223</v>
      </c>
      <c r="L28" s="4">
        <v>9</v>
      </c>
      <c r="M28" s="4">
        <v>3</v>
      </c>
      <c r="N28" s="4" t="s">
        <v>6</v>
      </c>
      <c r="O28" s="4">
        <v>2</v>
      </c>
      <c r="P28" s="4"/>
    </row>
    <row r="29" spans="1:19" x14ac:dyDescent="0.2">
      <c r="A29" s="4">
        <v>50</v>
      </c>
      <c r="B29" s="4">
        <v>0</v>
      </c>
      <c r="C29" s="4">
        <v>0</v>
      </c>
      <c r="D29" s="4">
        <v>1</v>
      </c>
      <c r="E29" s="4">
        <v>229</v>
      </c>
      <c r="F29" s="4">
        <v>0</v>
      </c>
      <c r="G29" s="4" t="s">
        <v>297</v>
      </c>
      <c r="H29" s="4" t="s">
        <v>298</v>
      </c>
      <c r="I29" s="4"/>
      <c r="J29" s="4"/>
      <c r="K29" s="4">
        <v>229</v>
      </c>
      <c r="L29" s="4">
        <v>10</v>
      </c>
      <c r="M29" s="4">
        <v>3</v>
      </c>
      <c r="N29" s="4" t="s">
        <v>6</v>
      </c>
      <c r="O29" s="4">
        <v>2</v>
      </c>
      <c r="P29" s="4"/>
    </row>
    <row r="30" spans="1:19" x14ac:dyDescent="0.2">
      <c r="A30" s="4">
        <v>50</v>
      </c>
      <c r="B30" s="4">
        <v>0</v>
      </c>
      <c r="C30" s="4">
        <v>0</v>
      </c>
      <c r="D30" s="4">
        <v>1</v>
      </c>
      <c r="E30" s="4">
        <v>203</v>
      </c>
      <c r="F30" s="4">
        <v>11496.05</v>
      </c>
      <c r="G30" s="4" t="s">
        <v>299</v>
      </c>
      <c r="H30" s="4" t="s">
        <v>300</v>
      </c>
      <c r="I30" s="4"/>
      <c r="J30" s="4"/>
      <c r="K30" s="4">
        <v>203</v>
      </c>
      <c r="L30" s="4">
        <v>11</v>
      </c>
      <c r="M30" s="4">
        <v>3</v>
      </c>
      <c r="N30" s="4" t="s">
        <v>6</v>
      </c>
      <c r="O30" s="4">
        <v>2</v>
      </c>
      <c r="P30" s="4"/>
    </row>
    <row r="31" spans="1:19" x14ac:dyDescent="0.2">
      <c r="A31" s="4">
        <v>50</v>
      </c>
      <c r="B31" s="4">
        <v>0</v>
      </c>
      <c r="C31" s="4">
        <v>0</v>
      </c>
      <c r="D31" s="4">
        <v>1</v>
      </c>
      <c r="E31" s="4">
        <v>231</v>
      </c>
      <c r="F31" s="4">
        <v>0</v>
      </c>
      <c r="G31" s="4" t="s">
        <v>301</v>
      </c>
      <c r="H31" s="4" t="s">
        <v>302</v>
      </c>
      <c r="I31" s="4"/>
      <c r="J31" s="4"/>
      <c r="K31" s="4">
        <v>231</v>
      </c>
      <c r="L31" s="4">
        <v>12</v>
      </c>
      <c r="M31" s="4">
        <v>3</v>
      </c>
      <c r="N31" s="4" t="s">
        <v>6</v>
      </c>
      <c r="O31" s="4">
        <v>2</v>
      </c>
      <c r="P31" s="4"/>
    </row>
    <row r="32" spans="1:19" x14ac:dyDescent="0.2">
      <c r="A32" s="4">
        <v>50</v>
      </c>
      <c r="B32" s="4">
        <v>0</v>
      </c>
      <c r="C32" s="4">
        <v>0</v>
      </c>
      <c r="D32" s="4">
        <v>1</v>
      </c>
      <c r="E32" s="4">
        <v>204</v>
      </c>
      <c r="F32" s="4">
        <v>2159.36</v>
      </c>
      <c r="G32" s="4" t="s">
        <v>303</v>
      </c>
      <c r="H32" s="4" t="s">
        <v>304</v>
      </c>
      <c r="I32" s="4"/>
      <c r="J32" s="4"/>
      <c r="K32" s="4">
        <v>204</v>
      </c>
      <c r="L32" s="4">
        <v>13</v>
      </c>
      <c r="M32" s="4">
        <v>3</v>
      </c>
      <c r="N32" s="4" t="s">
        <v>6</v>
      </c>
      <c r="O32" s="4">
        <v>2</v>
      </c>
      <c r="P32" s="4"/>
    </row>
    <row r="33" spans="1:16" x14ac:dyDescent="0.2">
      <c r="A33" s="4">
        <v>50</v>
      </c>
      <c r="B33" s="4">
        <v>0</v>
      </c>
      <c r="C33" s="4">
        <v>0</v>
      </c>
      <c r="D33" s="4">
        <v>1</v>
      </c>
      <c r="E33" s="4">
        <v>205</v>
      </c>
      <c r="F33" s="4">
        <v>125749.52</v>
      </c>
      <c r="G33" s="4" t="s">
        <v>305</v>
      </c>
      <c r="H33" s="4" t="s">
        <v>306</v>
      </c>
      <c r="I33" s="4"/>
      <c r="J33" s="4"/>
      <c r="K33" s="4">
        <v>205</v>
      </c>
      <c r="L33" s="4">
        <v>14</v>
      </c>
      <c r="M33" s="4">
        <v>3</v>
      </c>
      <c r="N33" s="4" t="s">
        <v>6</v>
      </c>
      <c r="O33" s="4">
        <v>2</v>
      </c>
      <c r="P33" s="4"/>
    </row>
    <row r="34" spans="1:16" x14ac:dyDescent="0.2">
      <c r="A34" s="4">
        <v>50</v>
      </c>
      <c r="B34" s="4">
        <v>0</v>
      </c>
      <c r="C34" s="4">
        <v>0</v>
      </c>
      <c r="D34" s="4">
        <v>1</v>
      </c>
      <c r="E34" s="4">
        <v>232</v>
      </c>
      <c r="F34" s="4">
        <v>0</v>
      </c>
      <c r="G34" s="4" t="s">
        <v>307</v>
      </c>
      <c r="H34" s="4" t="s">
        <v>308</v>
      </c>
      <c r="I34" s="4"/>
      <c r="J34" s="4"/>
      <c r="K34" s="4">
        <v>232</v>
      </c>
      <c r="L34" s="4">
        <v>15</v>
      </c>
      <c r="M34" s="4">
        <v>3</v>
      </c>
      <c r="N34" s="4" t="s">
        <v>6</v>
      </c>
      <c r="O34" s="4">
        <v>2</v>
      </c>
      <c r="P34" s="4"/>
    </row>
    <row r="35" spans="1:16" x14ac:dyDescent="0.2">
      <c r="A35" s="4">
        <v>50</v>
      </c>
      <c r="B35" s="4">
        <v>0</v>
      </c>
      <c r="C35" s="4">
        <v>0</v>
      </c>
      <c r="D35" s="4">
        <v>1</v>
      </c>
      <c r="E35" s="4">
        <v>214</v>
      </c>
      <c r="F35" s="4">
        <v>1179663.18</v>
      </c>
      <c r="G35" s="4" t="s">
        <v>309</v>
      </c>
      <c r="H35" s="4" t="s">
        <v>310</v>
      </c>
      <c r="I35" s="4"/>
      <c r="J35" s="4"/>
      <c r="K35" s="4">
        <v>214</v>
      </c>
      <c r="L35" s="4">
        <v>16</v>
      </c>
      <c r="M35" s="4">
        <v>3</v>
      </c>
      <c r="N35" s="4" t="s">
        <v>6</v>
      </c>
      <c r="O35" s="4">
        <v>2</v>
      </c>
      <c r="P35" s="4"/>
    </row>
    <row r="36" spans="1:16" x14ac:dyDescent="0.2">
      <c r="A36" s="4">
        <v>50</v>
      </c>
      <c r="B36" s="4">
        <v>0</v>
      </c>
      <c r="C36" s="4">
        <v>0</v>
      </c>
      <c r="D36" s="4">
        <v>1</v>
      </c>
      <c r="E36" s="4">
        <v>215</v>
      </c>
      <c r="F36" s="4">
        <v>591789.31999999995</v>
      </c>
      <c r="G36" s="4" t="s">
        <v>311</v>
      </c>
      <c r="H36" s="4" t="s">
        <v>312</v>
      </c>
      <c r="I36" s="4"/>
      <c r="J36" s="4"/>
      <c r="K36" s="4">
        <v>215</v>
      </c>
      <c r="L36" s="4">
        <v>17</v>
      </c>
      <c r="M36" s="4">
        <v>3</v>
      </c>
      <c r="N36" s="4" t="s">
        <v>6</v>
      </c>
      <c r="O36" s="4">
        <v>2</v>
      </c>
      <c r="P36" s="4"/>
    </row>
    <row r="37" spans="1:16" x14ac:dyDescent="0.2">
      <c r="A37" s="4">
        <v>50</v>
      </c>
      <c r="B37" s="4">
        <v>0</v>
      </c>
      <c r="C37" s="4">
        <v>0</v>
      </c>
      <c r="D37" s="4">
        <v>1</v>
      </c>
      <c r="E37" s="4">
        <v>217</v>
      </c>
      <c r="F37" s="4">
        <v>53761.120000000003</v>
      </c>
      <c r="G37" s="4" t="s">
        <v>313</v>
      </c>
      <c r="H37" s="4" t="s">
        <v>314</v>
      </c>
      <c r="I37" s="4"/>
      <c r="J37" s="4"/>
      <c r="K37" s="4">
        <v>217</v>
      </c>
      <c r="L37" s="4">
        <v>18</v>
      </c>
      <c r="M37" s="4">
        <v>3</v>
      </c>
      <c r="N37" s="4" t="s">
        <v>6</v>
      </c>
      <c r="O37" s="4">
        <v>2</v>
      </c>
      <c r="P37" s="4"/>
    </row>
    <row r="38" spans="1:16" x14ac:dyDescent="0.2">
      <c r="A38" s="4">
        <v>50</v>
      </c>
      <c r="B38" s="4">
        <v>0</v>
      </c>
      <c r="C38" s="4">
        <v>0</v>
      </c>
      <c r="D38" s="4">
        <v>1</v>
      </c>
      <c r="E38" s="4">
        <v>230</v>
      </c>
      <c r="F38" s="4">
        <v>0</v>
      </c>
      <c r="G38" s="4" t="s">
        <v>315</v>
      </c>
      <c r="H38" s="4" t="s">
        <v>316</v>
      </c>
      <c r="I38" s="4"/>
      <c r="J38" s="4"/>
      <c r="K38" s="4">
        <v>230</v>
      </c>
      <c r="L38" s="4">
        <v>19</v>
      </c>
      <c r="M38" s="4">
        <v>3</v>
      </c>
      <c r="N38" s="4" t="s">
        <v>6</v>
      </c>
      <c r="O38" s="4">
        <v>2</v>
      </c>
      <c r="P38" s="4"/>
    </row>
    <row r="39" spans="1:16" x14ac:dyDescent="0.2">
      <c r="A39" s="4">
        <v>50</v>
      </c>
      <c r="B39" s="4">
        <v>0</v>
      </c>
      <c r="C39" s="4">
        <v>0</v>
      </c>
      <c r="D39" s="4">
        <v>1</v>
      </c>
      <c r="E39" s="4">
        <v>206</v>
      </c>
      <c r="F39" s="4">
        <v>0</v>
      </c>
      <c r="G39" s="4" t="s">
        <v>317</v>
      </c>
      <c r="H39" s="4" t="s">
        <v>318</v>
      </c>
      <c r="I39" s="4"/>
      <c r="J39" s="4"/>
      <c r="K39" s="4">
        <v>206</v>
      </c>
      <c r="L39" s="4">
        <v>20</v>
      </c>
      <c r="M39" s="4">
        <v>3</v>
      </c>
      <c r="N39" s="4" t="s">
        <v>6</v>
      </c>
      <c r="O39" s="4">
        <v>2</v>
      </c>
      <c r="P39" s="4"/>
    </row>
    <row r="40" spans="1:16" x14ac:dyDescent="0.2">
      <c r="A40" s="4">
        <v>50</v>
      </c>
      <c r="B40" s="4">
        <v>0</v>
      </c>
      <c r="C40" s="4">
        <v>0</v>
      </c>
      <c r="D40" s="4">
        <v>1</v>
      </c>
      <c r="E40" s="4">
        <v>207</v>
      </c>
      <c r="F40" s="4">
        <v>1749.5781817000002</v>
      </c>
      <c r="G40" s="4" t="s">
        <v>319</v>
      </c>
      <c r="H40" s="4" t="s">
        <v>320</v>
      </c>
      <c r="I40" s="4"/>
      <c r="J40" s="4"/>
      <c r="K40" s="4">
        <v>207</v>
      </c>
      <c r="L40" s="4">
        <v>21</v>
      </c>
      <c r="M40" s="4">
        <v>3</v>
      </c>
      <c r="N40" s="4" t="s">
        <v>6</v>
      </c>
      <c r="O40" s="4">
        <v>-1</v>
      </c>
      <c r="P40" s="4"/>
    </row>
    <row r="41" spans="1:16" x14ac:dyDescent="0.2">
      <c r="A41" s="4">
        <v>50</v>
      </c>
      <c r="B41" s="4">
        <v>0</v>
      </c>
      <c r="C41" s="4">
        <v>0</v>
      </c>
      <c r="D41" s="4">
        <v>1</v>
      </c>
      <c r="E41" s="4">
        <v>208</v>
      </c>
      <c r="F41" s="4">
        <v>26.771321500000003</v>
      </c>
      <c r="G41" s="4" t="s">
        <v>321</v>
      </c>
      <c r="H41" s="4" t="s">
        <v>322</v>
      </c>
      <c r="I41" s="4"/>
      <c r="J41" s="4"/>
      <c r="K41" s="4">
        <v>208</v>
      </c>
      <c r="L41" s="4">
        <v>22</v>
      </c>
      <c r="M41" s="4">
        <v>3</v>
      </c>
      <c r="N41" s="4" t="s">
        <v>6</v>
      </c>
      <c r="O41" s="4">
        <v>-1</v>
      </c>
      <c r="P41" s="4"/>
    </row>
    <row r="42" spans="1:16" x14ac:dyDescent="0.2">
      <c r="A42" s="4">
        <v>50</v>
      </c>
      <c r="B42" s="4">
        <v>0</v>
      </c>
      <c r="C42" s="4">
        <v>0</v>
      </c>
      <c r="D42" s="4">
        <v>1</v>
      </c>
      <c r="E42" s="4">
        <v>209</v>
      </c>
      <c r="F42" s="4">
        <v>0</v>
      </c>
      <c r="G42" s="4" t="s">
        <v>323</v>
      </c>
      <c r="H42" s="4" t="s">
        <v>324</v>
      </c>
      <c r="I42" s="4"/>
      <c r="J42" s="4"/>
      <c r="K42" s="4">
        <v>209</v>
      </c>
      <c r="L42" s="4">
        <v>23</v>
      </c>
      <c r="M42" s="4">
        <v>3</v>
      </c>
      <c r="N42" s="4" t="s">
        <v>6</v>
      </c>
      <c r="O42" s="4">
        <v>2</v>
      </c>
      <c r="P42" s="4"/>
    </row>
    <row r="43" spans="1:16" x14ac:dyDescent="0.2">
      <c r="A43" s="4">
        <v>50</v>
      </c>
      <c r="B43" s="4">
        <v>0</v>
      </c>
      <c r="C43" s="4">
        <v>0</v>
      </c>
      <c r="D43" s="4">
        <v>1</v>
      </c>
      <c r="E43" s="4">
        <v>210</v>
      </c>
      <c r="F43" s="4">
        <v>113102.08</v>
      </c>
      <c r="G43" s="4" t="s">
        <v>325</v>
      </c>
      <c r="H43" s="4" t="s">
        <v>326</v>
      </c>
      <c r="I43" s="4"/>
      <c r="J43" s="4"/>
      <c r="K43" s="4">
        <v>210</v>
      </c>
      <c r="L43" s="4">
        <v>24</v>
      </c>
      <c r="M43" s="4">
        <v>3</v>
      </c>
      <c r="N43" s="4" t="s">
        <v>6</v>
      </c>
      <c r="O43" s="4">
        <v>2</v>
      </c>
      <c r="P43" s="4"/>
    </row>
    <row r="44" spans="1:16" x14ac:dyDescent="0.2">
      <c r="A44" s="4">
        <v>50</v>
      </c>
      <c r="B44" s="4">
        <v>0</v>
      </c>
      <c r="C44" s="4">
        <v>0</v>
      </c>
      <c r="D44" s="4">
        <v>1</v>
      </c>
      <c r="E44" s="4">
        <v>211</v>
      </c>
      <c r="F44" s="4">
        <v>68563.87</v>
      </c>
      <c r="G44" s="4" t="s">
        <v>327</v>
      </c>
      <c r="H44" s="4" t="s">
        <v>328</v>
      </c>
      <c r="I44" s="4"/>
      <c r="J44" s="4"/>
      <c r="K44" s="4">
        <v>211</v>
      </c>
      <c r="L44" s="4">
        <v>25</v>
      </c>
      <c r="M44" s="4">
        <v>3</v>
      </c>
      <c r="N44" s="4" t="s">
        <v>6</v>
      </c>
      <c r="O44" s="4">
        <v>2</v>
      </c>
      <c r="P44" s="4"/>
    </row>
    <row r="45" spans="1:16" x14ac:dyDescent="0.2">
      <c r="A45" s="4">
        <v>50</v>
      </c>
      <c r="B45" s="4">
        <v>0</v>
      </c>
      <c r="C45" s="4">
        <v>0</v>
      </c>
      <c r="D45" s="4">
        <v>1</v>
      </c>
      <c r="E45" s="4">
        <v>224</v>
      </c>
      <c r="F45" s="4">
        <v>1825213.62</v>
      </c>
      <c r="G45" s="4" t="s">
        <v>329</v>
      </c>
      <c r="H45" s="4" t="s">
        <v>330</v>
      </c>
      <c r="I45" s="4"/>
      <c r="J45" s="4"/>
      <c r="K45" s="4">
        <v>224</v>
      </c>
      <c r="L45" s="4">
        <v>26</v>
      </c>
      <c r="M45" s="4">
        <v>3</v>
      </c>
      <c r="N45" s="4" t="s">
        <v>6</v>
      </c>
      <c r="O45" s="4">
        <v>2</v>
      </c>
      <c r="P45" s="4"/>
    </row>
    <row r="47" spans="1:16" x14ac:dyDescent="0.2">
      <c r="A47">
        <v>-1</v>
      </c>
    </row>
    <row r="50" spans="1:34" x14ac:dyDescent="0.2">
      <c r="A50" s="3">
        <v>75</v>
      </c>
      <c r="B50" s="3" t="s">
        <v>655</v>
      </c>
      <c r="C50" s="3">
        <v>2018</v>
      </c>
      <c r="D50" s="3">
        <v>3</v>
      </c>
      <c r="E50" s="3">
        <v>0</v>
      </c>
      <c r="F50" s="3">
        <v>0</v>
      </c>
      <c r="G50" s="3">
        <v>0</v>
      </c>
      <c r="H50" s="3">
        <v>1</v>
      </c>
      <c r="I50" s="3">
        <v>0</v>
      </c>
      <c r="J50" s="3">
        <v>1</v>
      </c>
      <c r="K50" s="3">
        <v>0</v>
      </c>
      <c r="L50" s="3">
        <v>0</v>
      </c>
      <c r="M50" s="3">
        <v>0</v>
      </c>
      <c r="N50" s="3">
        <v>16802145</v>
      </c>
      <c r="O50" s="3">
        <v>1</v>
      </c>
    </row>
    <row r="51" spans="1:34" x14ac:dyDescent="0.2">
      <c r="A51" s="5">
        <v>3</v>
      </c>
      <c r="B51" s="5" t="s">
        <v>656</v>
      </c>
      <c r="C51" s="5">
        <v>6.71</v>
      </c>
      <c r="D51" s="5">
        <v>1</v>
      </c>
      <c r="E51" s="5">
        <v>1</v>
      </c>
      <c r="F51" s="5">
        <v>1</v>
      </c>
      <c r="G51" s="5">
        <v>1</v>
      </c>
      <c r="H51" s="5">
        <v>1</v>
      </c>
      <c r="I51" s="5">
        <v>1</v>
      </c>
      <c r="J51" s="5">
        <v>1</v>
      </c>
      <c r="K51" s="5">
        <v>19.39</v>
      </c>
      <c r="L51" s="5">
        <v>1</v>
      </c>
      <c r="M51" s="5">
        <v>6.71</v>
      </c>
      <c r="N51" s="5">
        <v>1</v>
      </c>
      <c r="O51" s="5">
        <v>1</v>
      </c>
      <c r="P51" s="5">
        <v>1</v>
      </c>
      <c r="Q51" s="5">
        <v>19.39</v>
      </c>
      <c r="R51" s="5">
        <v>1</v>
      </c>
      <c r="S51" s="5" t="s">
        <v>6</v>
      </c>
      <c r="T51" s="5" t="s">
        <v>6</v>
      </c>
      <c r="U51" s="5" t="s">
        <v>6</v>
      </c>
      <c r="V51" s="5" t="s">
        <v>6</v>
      </c>
      <c r="W51" s="5" t="s">
        <v>6</v>
      </c>
      <c r="X51" s="5" t="s">
        <v>6</v>
      </c>
      <c r="Y51" s="5" t="s">
        <v>6</v>
      </c>
      <c r="Z51" s="5" t="s">
        <v>6</v>
      </c>
      <c r="AA51" s="5" t="s">
        <v>6</v>
      </c>
      <c r="AB51" s="5" t="s">
        <v>6</v>
      </c>
      <c r="AC51" s="5" t="s">
        <v>6</v>
      </c>
      <c r="AD51" s="5" t="s">
        <v>6</v>
      </c>
      <c r="AE51" s="5" t="s">
        <v>6</v>
      </c>
      <c r="AF51" s="5" t="s">
        <v>6</v>
      </c>
      <c r="AG51" s="5" t="s">
        <v>6</v>
      </c>
      <c r="AH51" s="5" t="s">
        <v>6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377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7" x14ac:dyDescent="0.2">
      <c r="A1">
        <f>ROW(Source!A28)</f>
        <v>28</v>
      </c>
      <c r="B1">
        <v>16802145</v>
      </c>
      <c r="C1">
        <v>16802487</v>
      </c>
      <c r="D1">
        <v>15430517</v>
      </c>
      <c r="E1">
        <v>1</v>
      </c>
      <c r="F1">
        <v>1</v>
      </c>
      <c r="G1">
        <v>1</v>
      </c>
      <c r="H1">
        <v>1</v>
      </c>
      <c r="I1" t="s">
        <v>658</v>
      </c>
      <c r="J1" t="s">
        <v>6</v>
      </c>
      <c r="K1" t="s">
        <v>659</v>
      </c>
      <c r="L1">
        <v>1191</v>
      </c>
      <c r="N1">
        <v>1013</v>
      </c>
      <c r="O1" t="s">
        <v>660</v>
      </c>
      <c r="P1" t="s">
        <v>660</v>
      </c>
      <c r="Q1">
        <v>1</v>
      </c>
      <c r="W1">
        <v>0</v>
      </c>
      <c r="X1">
        <v>735429535</v>
      </c>
      <c r="Y1">
        <v>3.77</v>
      </c>
      <c r="AA1">
        <v>0</v>
      </c>
      <c r="AB1">
        <v>0</v>
      </c>
      <c r="AC1">
        <v>0</v>
      </c>
      <c r="AD1">
        <v>52.34</v>
      </c>
      <c r="AE1">
        <v>0</v>
      </c>
      <c r="AF1">
        <v>0</v>
      </c>
      <c r="AG1">
        <v>0</v>
      </c>
      <c r="AH1">
        <v>7.8</v>
      </c>
      <c r="AI1">
        <v>1</v>
      </c>
      <c r="AJ1">
        <v>1</v>
      </c>
      <c r="AK1">
        <v>1</v>
      </c>
      <c r="AL1">
        <v>6.71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6</v>
      </c>
      <c r="AT1">
        <v>3.77</v>
      </c>
      <c r="AU1" t="s">
        <v>6</v>
      </c>
      <c r="AV1">
        <v>1</v>
      </c>
      <c r="AW1">
        <v>2</v>
      </c>
      <c r="AX1">
        <v>16802489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Y1*Source!I28</f>
        <v>4.7298419999999997</v>
      </c>
      <c r="CY1">
        <f>AD1</f>
        <v>52.34</v>
      </c>
      <c r="CZ1">
        <f>AH1</f>
        <v>7.8</v>
      </c>
      <c r="DA1">
        <f>AL1</f>
        <v>6.71</v>
      </c>
      <c r="DB1">
        <f t="shared" ref="DB1:DB18" si="0">ROUND(ROUND(AT1*CZ1,2),2)</f>
        <v>29.41</v>
      </c>
      <c r="DC1">
        <f t="shared" ref="DC1:DC18" si="1">ROUND(ROUND(AT1*AG1,2),2)</f>
        <v>0</v>
      </c>
    </row>
    <row r="2" spans="1:107" x14ac:dyDescent="0.2">
      <c r="A2">
        <f>ROW(Source!A29)</f>
        <v>29</v>
      </c>
      <c r="B2">
        <v>16802145</v>
      </c>
      <c r="C2">
        <v>16802491</v>
      </c>
      <c r="D2">
        <v>15430517</v>
      </c>
      <c r="E2">
        <v>1</v>
      </c>
      <c r="F2">
        <v>1</v>
      </c>
      <c r="G2">
        <v>1</v>
      </c>
      <c r="H2">
        <v>1</v>
      </c>
      <c r="I2" t="s">
        <v>658</v>
      </c>
      <c r="J2" t="s">
        <v>6</v>
      </c>
      <c r="K2" t="s">
        <v>659</v>
      </c>
      <c r="L2">
        <v>1191</v>
      </c>
      <c r="N2">
        <v>1013</v>
      </c>
      <c r="O2" t="s">
        <v>660</v>
      </c>
      <c r="P2" t="s">
        <v>660</v>
      </c>
      <c r="Q2">
        <v>1</v>
      </c>
      <c r="W2">
        <v>0</v>
      </c>
      <c r="X2">
        <v>735429535</v>
      </c>
      <c r="Y2">
        <v>11.39</v>
      </c>
      <c r="AA2">
        <v>0</v>
      </c>
      <c r="AB2">
        <v>0</v>
      </c>
      <c r="AC2">
        <v>0</v>
      </c>
      <c r="AD2">
        <v>52.34</v>
      </c>
      <c r="AE2">
        <v>0</v>
      </c>
      <c r="AF2">
        <v>0</v>
      </c>
      <c r="AG2">
        <v>0</v>
      </c>
      <c r="AH2">
        <v>7.8</v>
      </c>
      <c r="AI2">
        <v>1</v>
      </c>
      <c r="AJ2">
        <v>1</v>
      </c>
      <c r="AK2">
        <v>1</v>
      </c>
      <c r="AL2">
        <v>6.71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6</v>
      </c>
      <c r="AT2">
        <v>11.39</v>
      </c>
      <c r="AU2" t="s">
        <v>6</v>
      </c>
      <c r="AV2">
        <v>1</v>
      </c>
      <c r="AW2">
        <v>2</v>
      </c>
      <c r="AX2">
        <v>16802495</v>
      </c>
      <c r="AY2">
        <v>1</v>
      </c>
      <c r="AZ2">
        <v>0</v>
      </c>
      <c r="BA2">
        <v>3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Y2*Source!I29</f>
        <v>23.89622</v>
      </c>
      <c r="CY2">
        <f>AD2</f>
        <v>52.34</v>
      </c>
      <c r="CZ2">
        <f>AH2</f>
        <v>7.8</v>
      </c>
      <c r="DA2">
        <f>AL2</f>
        <v>6.71</v>
      </c>
      <c r="DB2">
        <f t="shared" si="0"/>
        <v>88.84</v>
      </c>
      <c r="DC2">
        <f t="shared" si="1"/>
        <v>0</v>
      </c>
    </row>
    <row r="3" spans="1:107" x14ac:dyDescent="0.2">
      <c r="A3">
        <f>ROW(Source!A29)</f>
        <v>29</v>
      </c>
      <c r="B3">
        <v>16802145</v>
      </c>
      <c r="C3">
        <v>16802491</v>
      </c>
      <c r="D3">
        <v>15430395</v>
      </c>
      <c r="E3">
        <v>1</v>
      </c>
      <c r="F3">
        <v>1</v>
      </c>
      <c r="G3">
        <v>1</v>
      </c>
      <c r="H3">
        <v>1</v>
      </c>
      <c r="I3" t="s">
        <v>661</v>
      </c>
      <c r="J3" t="s">
        <v>6</v>
      </c>
      <c r="K3" t="s">
        <v>662</v>
      </c>
      <c r="L3">
        <v>1191</v>
      </c>
      <c r="N3">
        <v>1013</v>
      </c>
      <c r="O3" t="s">
        <v>660</v>
      </c>
      <c r="P3" t="s">
        <v>660</v>
      </c>
      <c r="Q3">
        <v>1</v>
      </c>
      <c r="W3">
        <v>0</v>
      </c>
      <c r="X3">
        <v>-1417349443</v>
      </c>
      <c r="Y3">
        <v>0.13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1</v>
      </c>
      <c r="AJ3">
        <v>1</v>
      </c>
      <c r="AK3">
        <v>6.71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6</v>
      </c>
      <c r="AT3">
        <v>0.13</v>
      </c>
      <c r="AU3" t="s">
        <v>6</v>
      </c>
      <c r="AV3">
        <v>2</v>
      </c>
      <c r="AW3">
        <v>2</v>
      </c>
      <c r="AX3">
        <v>16802496</v>
      </c>
      <c r="AY3">
        <v>1</v>
      </c>
      <c r="AZ3">
        <v>0</v>
      </c>
      <c r="BA3">
        <v>4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Y3*Source!I29</f>
        <v>0.27273999999999998</v>
      </c>
      <c r="CY3">
        <f>AD3</f>
        <v>0</v>
      </c>
      <c r="CZ3">
        <f>AH3</f>
        <v>0</v>
      </c>
      <c r="DA3">
        <f>AL3</f>
        <v>1</v>
      </c>
      <c r="DB3">
        <f t="shared" si="0"/>
        <v>0</v>
      </c>
      <c r="DC3">
        <f t="shared" si="1"/>
        <v>0</v>
      </c>
    </row>
    <row r="4" spans="1:107" x14ac:dyDescent="0.2">
      <c r="A4">
        <f>ROW(Source!A29)</f>
        <v>29</v>
      </c>
      <c r="B4">
        <v>16802145</v>
      </c>
      <c r="C4">
        <v>16802491</v>
      </c>
      <c r="D4">
        <v>15247974</v>
      </c>
      <c r="E4">
        <v>1</v>
      </c>
      <c r="F4">
        <v>1</v>
      </c>
      <c r="G4">
        <v>1</v>
      </c>
      <c r="H4">
        <v>2</v>
      </c>
      <c r="I4" t="s">
        <v>663</v>
      </c>
      <c r="J4" t="s">
        <v>664</v>
      </c>
      <c r="K4" t="s">
        <v>665</v>
      </c>
      <c r="L4">
        <v>1368</v>
      </c>
      <c r="N4">
        <v>1011</v>
      </c>
      <c r="O4" t="s">
        <v>666</v>
      </c>
      <c r="P4" t="s">
        <v>666</v>
      </c>
      <c r="Q4">
        <v>1</v>
      </c>
      <c r="W4">
        <v>0</v>
      </c>
      <c r="X4">
        <v>1188625873</v>
      </c>
      <c r="Y4">
        <v>0.13</v>
      </c>
      <c r="AA4">
        <v>0</v>
      </c>
      <c r="AB4">
        <v>209.75</v>
      </c>
      <c r="AC4">
        <v>13.5</v>
      </c>
      <c r="AD4">
        <v>0</v>
      </c>
      <c r="AE4">
        <v>0</v>
      </c>
      <c r="AF4">
        <v>31.26</v>
      </c>
      <c r="AG4">
        <v>13.5</v>
      </c>
      <c r="AH4">
        <v>0</v>
      </c>
      <c r="AI4">
        <v>1</v>
      </c>
      <c r="AJ4">
        <v>6.71</v>
      </c>
      <c r="AK4">
        <v>1</v>
      </c>
      <c r="AL4">
        <v>1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6</v>
      </c>
      <c r="AT4">
        <v>0.13</v>
      </c>
      <c r="AU4" t="s">
        <v>6</v>
      </c>
      <c r="AV4">
        <v>0</v>
      </c>
      <c r="AW4">
        <v>2</v>
      </c>
      <c r="AX4">
        <v>16802497</v>
      </c>
      <c r="AY4">
        <v>1</v>
      </c>
      <c r="AZ4">
        <v>0</v>
      </c>
      <c r="BA4">
        <v>5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Y4*Source!I29</f>
        <v>0.27273999999999998</v>
      </c>
      <c r="CY4">
        <f>AB4</f>
        <v>209.75</v>
      </c>
      <c r="CZ4">
        <f>AF4</f>
        <v>31.26</v>
      </c>
      <c r="DA4">
        <f>AJ4</f>
        <v>6.71</v>
      </c>
      <c r="DB4">
        <f t="shared" si="0"/>
        <v>4.0599999999999996</v>
      </c>
      <c r="DC4">
        <f t="shared" si="1"/>
        <v>1.76</v>
      </c>
    </row>
    <row r="5" spans="1:107" x14ac:dyDescent="0.2">
      <c r="A5">
        <f>ROW(Source!A30)</f>
        <v>30</v>
      </c>
      <c r="B5">
        <v>16802145</v>
      </c>
      <c r="C5">
        <v>16802500</v>
      </c>
      <c r="D5">
        <v>15430517</v>
      </c>
      <c r="E5">
        <v>1</v>
      </c>
      <c r="F5">
        <v>1</v>
      </c>
      <c r="G5">
        <v>1</v>
      </c>
      <c r="H5">
        <v>1</v>
      </c>
      <c r="I5" t="s">
        <v>658</v>
      </c>
      <c r="J5" t="s">
        <v>6</v>
      </c>
      <c r="K5" t="s">
        <v>659</v>
      </c>
      <c r="L5">
        <v>1191</v>
      </c>
      <c r="N5">
        <v>1013</v>
      </c>
      <c r="O5" t="s">
        <v>660</v>
      </c>
      <c r="P5" t="s">
        <v>660</v>
      </c>
      <c r="Q5">
        <v>1</v>
      </c>
      <c r="W5">
        <v>0</v>
      </c>
      <c r="X5">
        <v>735429535</v>
      </c>
      <c r="Y5">
        <v>17.440000000000001</v>
      </c>
      <c r="AA5">
        <v>0</v>
      </c>
      <c r="AB5">
        <v>0</v>
      </c>
      <c r="AC5">
        <v>0</v>
      </c>
      <c r="AD5">
        <v>52.34</v>
      </c>
      <c r="AE5">
        <v>0</v>
      </c>
      <c r="AF5">
        <v>0</v>
      </c>
      <c r="AG5">
        <v>0</v>
      </c>
      <c r="AH5">
        <v>7.8</v>
      </c>
      <c r="AI5">
        <v>1</v>
      </c>
      <c r="AJ5">
        <v>1</v>
      </c>
      <c r="AK5">
        <v>1</v>
      </c>
      <c r="AL5">
        <v>6.71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6</v>
      </c>
      <c r="AT5">
        <v>17.440000000000001</v>
      </c>
      <c r="AU5" t="s">
        <v>6</v>
      </c>
      <c r="AV5">
        <v>1</v>
      </c>
      <c r="AW5">
        <v>2</v>
      </c>
      <c r="AX5">
        <v>16802502</v>
      </c>
      <c r="AY5">
        <v>1</v>
      </c>
      <c r="AZ5">
        <v>0</v>
      </c>
      <c r="BA5">
        <v>7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Y5*Source!I30</f>
        <v>8.7200000000000006</v>
      </c>
      <c r="CY5">
        <f>AD5</f>
        <v>52.34</v>
      </c>
      <c r="CZ5">
        <f>AH5</f>
        <v>7.8</v>
      </c>
      <c r="DA5">
        <f>AL5</f>
        <v>6.71</v>
      </c>
      <c r="DB5">
        <f t="shared" si="0"/>
        <v>136.03</v>
      </c>
      <c r="DC5">
        <f t="shared" si="1"/>
        <v>0</v>
      </c>
    </row>
    <row r="6" spans="1:107" x14ac:dyDescent="0.2">
      <c r="A6">
        <f>ROW(Source!A31)</f>
        <v>31</v>
      </c>
      <c r="B6">
        <v>16802145</v>
      </c>
      <c r="C6">
        <v>16802504</v>
      </c>
      <c r="D6">
        <v>15430767</v>
      </c>
      <c r="E6">
        <v>1</v>
      </c>
      <c r="F6">
        <v>1</v>
      </c>
      <c r="G6">
        <v>1</v>
      </c>
      <c r="H6">
        <v>1</v>
      </c>
      <c r="I6" t="s">
        <v>667</v>
      </c>
      <c r="J6" t="s">
        <v>6</v>
      </c>
      <c r="K6" t="s">
        <v>668</v>
      </c>
      <c r="L6">
        <v>1191</v>
      </c>
      <c r="N6">
        <v>1013</v>
      </c>
      <c r="O6" t="s">
        <v>660</v>
      </c>
      <c r="P6" t="s">
        <v>660</v>
      </c>
      <c r="Q6">
        <v>1</v>
      </c>
      <c r="W6">
        <v>0</v>
      </c>
      <c r="X6">
        <v>-400197608</v>
      </c>
      <c r="Y6">
        <v>46.19</v>
      </c>
      <c r="AA6">
        <v>0</v>
      </c>
      <c r="AB6">
        <v>0</v>
      </c>
      <c r="AC6">
        <v>0</v>
      </c>
      <c r="AD6">
        <v>57.24</v>
      </c>
      <c r="AE6">
        <v>0</v>
      </c>
      <c r="AF6">
        <v>0</v>
      </c>
      <c r="AG6">
        <v>0</v>
      </c>
      <c r="AH6">
        <v>8.5299999999999994</v>
      </c>
      <c r="AI6">
        <v>1</v>
      </c>
      <c r="AJ6">
        <v>1</v>
      </c>
      <c r="AK6">
        <v>1</v>
      </c>
      <c r="AL6">
        <v>6.71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6</v>
      </c>
      <c r="AT6">
        <v>46.19</v>
      </c>
      <c r="AU6" t="s">
        <v>6</v>
      </c>
      <c r="AV6">
        <v>1</v>
      </c>
      <c r="AW6">
        <v>2</v>
      </c>
      <c r="AX6">
        <v>16802512</v>
      </c>
      <c r="AY6">
        <v>1</v>
      </c>
      <c r="AZ6">
        <v>0</v>
      </c>
      <c r="BA6">
        <v>9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Y6*Source!I31</f>
        <v>4.1570999999999998</v>
      </c>
      <c r="CY6">
        <f>AD6</f>
        <v>57.24</v>
      </c>
      <c r="CZ6">
        <f>AH6</f>
        <v>8.5299999999999994</v>
      </c>
      <c r="DA6">
        <f>AL6</f>
        <v>6.71</v>
      </c>
      <c r="DB6">
        <f t="shared" si="0"/>
        <v>394</v>
      </c>
      <c r="DC6">
        <f t="shared" si="1"/>
        <v>0</v>
      </c>
    </row>
    <row r="7" spans="1:107" x14ac:dyDescent="0.2">
      <c r="A7">
        <f>ROW(Source!A31)</f>
        <v>31</v>
      </c>
      <c r="B7">
        <v>16802145</v>
      </c>
      <c r="C7">
        <v>16802504</v>
      </c>
      <c r="D7">
        <v>15430395</v>
      </c>
      <c r="E7">
        <v>1</v>
      </c>
      <c r="F7">
        <v>1</v>
      </c>
      <c r="G7">
        <v>1</v>
      </c>
      <c r="H7">
        <v>1</v>
      </c>
      <c r="I7" t="s">
        <v>661</v>
      </c>
      <c r="J7" t="s">
        <v>6</v>
      </c>
      <c r="K7" t="s">
        <v>662</v>
      </c>
      <c r="L7">
        <v>1191</v>
      </c>
      <c r="N7">
        <v>1013</v>
      </c>
      <c r="O7" t="s">
        <v>660</v>
      </c>
      <c r="P7" t="s">
        <v>660</v>
      </c>
      <c r="Q7">
        <v>1</v>
      </c>
      <c r="W7">
        <v>0</v>
      </c>
      <c r="X7">
        <v>-1417349443</v>
      </c>
      <c r="Y7">
        <v>0.01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1</v>
      </c>
      <c r="AJ7">
        <v>1</v>
      </c>
      <c r="AK7">
        <v>6.71</v>
      </c>
      <c r="AL7">
        <v>1</v>
      </c>
      <c r="AN7">
        <v>0</v>
      </c>
      <c r="AO7">
        <v>1</v>
      </c>
      <c r="AP7">
        <v>0</v>
      </c>
      <c r="AQ7">
        <v>0</v>
      </c>
      <c r="AR7">
        <v>0</v>
      </c>
      <c r="AS7" t="s">
        <v>6</v>
      </c>
      <c r="AT7">
        <v>0.01</v>
      </c>
      <c r="AU7" t="s">
        <v>6</v>
      </c>
      <c r="AV7">
        <v>2</v>
      </c>
      <c r="AW7">
        <v>2</v>
      </c>
      <c r="AX7">
        <v>16802513</v>
      </c>
      <c r="AY7">
        <v>1</v>
      </c>
      <c r="AZ7">
        <v>0</v>
      </c>
      <c r="BA7">
        <v>10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Y7*Source!I31</f>
        <v>8.9999999999999998E-4</v>
      </c>
      <c r="CY7">
        <f>AD7</f>
        <v>0</v>
      </c>
      <c r="CZ7">
        <f>AH7</f>
        <v>0</v>
      </c>
      <c r="DA7">
        <f>AL7</f>
        <v>1</v>
      </c>
      <c r="DB7">
        <f t="shared" si="0"/>
        <v>0</v>
      </c>
      <c r="DC7">
        <f t="shared" si="1"/>
        <v>0</v>
      </c>
    </row>
    <row r="8" spans="1:107" x14ac:dyDescent="0.2">
      <c r="A8">
        <f>ROW(Source!A31)</f>
        <v>31</v>
      </c>
      <c r="B8">
        <v>16802145</v>
      </c>
      <c r="C8">
        <v>16802504</v>
      </c>
      <c r="D8">
        <v>15247974</v>
      </c>
      <c r="E8">
        <v>1</v>
      </c>
      <c r="F8">
        <v>1</v>
      </c>
      <c r="G8">
        <v>1</v>
      </c>
      <c r="H8">
        <v>2</v>
      </c>
      <c r="I8" t="s">
        <v>663</v>
      </c>
      <c r="J8" t="s">
        <v>664</v>
      </c>
      <c r="K8" t="s">
        <v>665</v>
      </c>
      <c r="L8">
        <v>1368</v>
      </c>
      <c r="N8">
        <v>1011</v>
      </c>
      <c r="O8" t="s">
        <v>666</v>
      </c>
      <c r="P8" t="s">
        <v>666</v>
      </c>
      <c r="Q8">
        <v>1</v>
      </c>
      <c r="W8">
        <v>0</v>
      </c>
      <c r="X8">
        <v>1188625873</v>
      </c>
      <c r="Y8">
        <v>0.01</v>
      </c>
      <c r="AA8">
        <v>0</v>
      </c>
      <c r="AB8">
        <v>209.75</v>
      </c>
      <c r="AC8">
        <v>13.5</v>
      </c>
      <c r="AD8">
        <v>0</v>
      </c>
      <c r="AE8">
        <v>0</v>
      </c>
      <c r="AF8">
        <v>31.26</v>
      </c>
      <c r="AG8">
        <v>13.5</v>
      </c>
      <c r="AH8">
        <v>0</v>
      </c>
      <c r="AI8">
        <v>1</v>
      </c>
      <c r="AJ8">
        <v>6.71</v>
      </c>
      <c r="AK8">
        <v>1</v>
      </c>
      <c r="AL8">
        <v>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6</v>
      </c>
      <c r="AT8">
        <v>0.01</v>
      </c>
      <c r="AU8" t="s">
        <v>6</v>
      </c>
      <c r="AV8">
        <v>0</v>
      </c>
      <c r="AW8">
        <v>2</v>
      </c>
      <c r="AX8">
        <v>16802514</v>
      </c>
      <c r="AY8">
        <v>1</v>
      </c>
      <c r="AZ8">
        <v>0</v>
      </c>
      <c r="BA8">
        <v>11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Y8*Source!I31</f>
        <v>8.9999999999999998E-4</v>
      </c>
      <c r="CY8">
        <f>AB8</f>
        <v>209.75</v>
      </c>
      <c r="CZ8">
        <f>AF8</f>
        <v>31.26</v>
      </c>
      <c r="DA8">
        <f>AJ8</f>
        <v>6.71</v>
      </c>
      <c r="DB8">
        <f t="shared" si="0"/>
        <v>0.31</v>
      </c>
      <c r="DC8">
        <f t="shared" si="1"/>
        <v>0.14000000000000001</v>
      </c>
    </row>
    <row r="9" spans="1:107" x14ac:dyDescent="0.2">
      <c r="A9">
        <f>ROW(Source!A31)</f>
        <v>31</v>
      </c>
      <c r="B9">
        <v>16802145</v>
      </c>
      <c r="C9">
        <v>16802504</v>
      </c>
      <c r="D9">
        <v>15167286</v>
      </c>
      <c r="E9">
        <v>1</v>
      </c>
      <c r="F9">
        <v>1</v>
      </c>
      <c r="G9">
        <v>1</v>
      </c>
      <c r="H9">
        <v>3</v>
      </c>
      <c r="I9" t="s">
        <v>669</v>
      </c>
      <c r="J9" t="s">
        <v>670</v>
      </c>
      <c r="K9" t="s">
        <v>671</v>
      </c>
      <c r="L9">
        <v>1339</v>
      </c>
      <c r="N9">
        <v>1007</v>
      </c>
      <c r="O9" t="s">
        <v>61</v>
      </c>
      <c r="P9" t="s">
        <v>61</v>
      </c>
      <c r="Q9">
        <v>1</v>
      </c>
      <c r="W9">
        <v>0</v>
      </c>
      <c r="X9">
        <v>-1660354250</v>
      </c>
      <c r="Y9">
        <v>0.02</v>
      </c>
      <c r="AA9">
        <v>16.37</v>
      </c>
      <c r="AB9">
        <v>0</v>
      </c>
      <c r="AC9">
        <v>0</v>
      </c>
      <c r="AD9">
        <v>0</v>
      </c>
      <c r="AE9">
        <v>2.44</v>
      </c>
      <c r="AF9">
        <v>0</v>
      </c>
      <c r="AG9">
        <v>0</v>
      </c>
      <c r="AH9">
        <v>0</v>
      </c>
      <c r="AI9">
        <v>6.71</v>
      </c>
      <c r="AJ9">
        <v>1</v>
      </c>
      <c r="AK9">
        <v>1</v>
      </c>
      <c r="AL9">
        <v>1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6</v>
      </c>
      <c r="AT9">
        <v>0.02</v>
      </c>
      <c r="AU9" t="s">
        <v>6</v>
      </c>
      <c r="AV9">
        <v>0</v>
      </c>
      <c r="AW9">
        <v>2</v>
      </c>
      <c r="AX9">
        <v>16802515</v>
      </c>
      <c r="AY9">
        <v>1</v>
      </c>
      <c r="AZ9">
        <v>0</v>
      </c>
      <c r="BA9">
        <v>12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Y9*Source!I31</f>
        <v>1.8E-3</v>
      </c>
      <c r="CY9">
        <f>AA9</f>
        <v>16.37</v>
      </c>
      <c r="CZ9">
        <f>AE9</f>
        <v>2.44</v>
      </c>
      <c r="DA9">
        <f>AI9</f>
        <v>6.71</v>
      </c>
      <c r="DB9">
        <f t="shared" si="0"/>
        <v>0.05</v>
      </c>
      <c r="DC9">
        <f t="shared" si="1"/>
        <v>0</v>
      </c>
    </row>
    <row r="10" spans="1:107" x14ac:dyDescent="0.2">
      <c r="A10">
        <f>ROW(Source!A31)</f>
        <v>31</v>
      </c>
      <c r="B10">
        <v>16802145</v>
      </c>
      <c r="C10">
        <v>16802504</v>
      </c>
      <c r="D10">
        <v>15171982</v>
      </c>
      <c r="E10">
        <v>1</v>
      </c>
      <c r="F10">
        <v>1</v>
      </c>
      <c r="G10">
        <v>1</v>
      </c>
      <c r="H10">
        <v>3</v>
      </c>
      <c r="I10" t="s">
        <v>672</v>
      </c>
      <c r="J10" t="s">
        <v>673</v>
      </c>
      <c r="K10" t="s">
        <v>674</v>
      </c>
      <c r="L10">
        <v>1348</v>
      </c>
      <c r="N10">
        <v>1009</v>
      </c>
      <c r="O10" t="s">
        <v>65</v>
      </c>
      <c r="P10" t="s">
        <v>65</v>
      </c>
      <c r="Q10">
        <v>1000</v>
      </c>
      <c r="W10">
        <v>0</v>
      </c>
      <c r="X10">
        <v>-1421715385</v>
      </c>
      <c r="Y10">
        <v>0.05</v>
      </c>
      <c r="AA10">
        <v>4898.17</v>
      </c>
      <c r="AB10">
        <v>0</v>
      </c>
      <c r="AC10">
        <v>0</v>
      </c>
      <c r="AD10">
        <v>0</v>
      </c>
      <c r="AE10">
        <v>729.98</v>
      </c>
      <c r="AF10">
        <v>0</v>
      </c>
      <c r="AG10">
        <v>0</v>
      </c>
      <c r="AH10">
        <v>0</v>
      </c>
      <c r="AI10">
        <v>6.71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6</v>
      </c>
      <c r="AT10">
        <v>0.05</v>
      </c>
      <c r="AU10" t="s">
        <v>6</v>
      </c>
      <c r="AV10">
        <v>0</v>
      </c>
      <c r="AW10">
        <v>2</v>
      </c>
      <c r="AX10">
        <v>16802517</v>
      </c>
      <c r="AY10">
        <v>1</v>
      </c>
      <c r="AZ10">
        <v>0</v>
      </c>
      <c r="BA10">
        <v>14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Y10*Source!I31</f>
        <v>4.4999999999999997E-3</v>
      </c>
      <c r="CY10">
        <f>AA10</f>
        <v>4898.17</v>
      </c>
      <c r="CZ10">
        <f>AE10</f>
        <v>729.98</v>
      </c>
      <c r="DA10">
        <f>AI10</f>
        <v>6.71</v>
      </c>
      <c r="DB10">
        <f t="shared" si="0"/>
        <v>36.5</v>
      </c>
      <c r="DC10">
        <f t="shared" si="1"/>
        <v>0</v>
      </c>
    </row>
    <row r="11" spans="1:107" x14ac:dyDescent="0.2">
      <c r="A11">
        <f>ROW(Source!A31)</f>
        <v>31</v>
      </c>
      <c r="B11">
        <v>16802145</v>
      </c>
      <c r="C11">
        <v>16802504</v>
      </c>
      <c r="D11">
        <v>15215423</v>
      </c>
      <c r="E11">
        <v>1</v>
      </c>
      <c r="F11">
        <v>1</v>
      </c>
      <c r="G11">
        <v>1</v>
      </c>
      <c r="H11">
        <v>3</v>
      </c>
      <c r="I11" t="s">
        <v>40</v>
      </c>
      <c r="J11" t="s">
        <v>43</v>
      </c>
      <c r="K11" t="s">
        <v>41</v>
      </c>
      <c r="L11">
        <v>1354</v>
      </c>
      <c r="N11">
        <v>1010</v>
      </c>
      <c r="O11" t="s">
        <v>42</v>
      </c>
      <c r="P11" t="s">
        <v>42</v>
      </c>
      <c r="Q11">
        <v>1</v>
      </c>
      <c r="W11">
        <v>0</v>
      </c>
      <c r="X11">
        <v>-1882068334</v>
      </c>
      <c r="Y11">
        <v>100</v>
      </c>
      <c r="AA11">
        <v>6416.71</v>
      </c>
      <c r="AB11">
        <v>0</v>
      </c>
      <c r="AC11">
        <v>0</v>
      </c>
      <c r="AD11">
        <v>0</v>
      </c>
      <c r="AE11">
        <v>956.29</v>
      </c>
      <c r="AF11">
        <v>0</v>
      </c>
      <c r="AG11">
        <v>0</v>
      </c>
      <c r="AH11">
        <v>0</v>
      </c>
      <c r="AI11">
        <v>6.71</v>
      </c>
      <c r="AJ11">
        <v>1</v>
      </c>
      <c r="AK11">
        <v>1</v>
      </c>
      <c r="AL11">
        <v>1</v>
      </c>
      <c r="AN11">
        <v>0</v>
      </c>
      <c r="AO11">
        <v>0</v>
      </c>
      <c r="AP11">
        <v>0</v>
      </c>
      <c r="AQ11">
        <v>0</v>
      </c>
      <c r="AR11">
        <v>0</v>
      </c>
      <c r="AS11" t="s">
        <v>6</v>
      </c>
      <c r="AT11">
        <v>100</v>
      </c>
      <c r="AU11" t="s">
        <v>6</v>
      </c>
      <c r="AV11">
        <v>0</v>
      </c>
      <c r="AW11">
        <v>1</v>
      </c>
      <c r="AX11">
        <v>-1</v>
      </c>
      <c r="AY11">
        <v>0</v>
      </c>
      <c r="AZ11">
        <v>0</v>
      </c>
      <c r="BA11" t="s">
        <v>6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Y11*Source!I31</f>
        <v>9</v>
      </c>
      <c r="CY11">
        <f>AA11</f>
        <v>6416.71</v>
      </c>
      <c r="CZ11">
        <f>AE11</f>
        <v>956.29</v>
      </c>
      <c r="DA11">
        <f>AI11</f>
        <v>6.71</v>
      </c>
      <c r="DB11">
        <f t="shared" si="0"/>
        <v>95629</v>
      </c>
      <c r="DC11">
        <f t="shared" si="1"/>
        <v>0</v>
      </c>
    </row>
    <row r="12" spans="1:107" x14ac:dyDescent="0.2">
      <c r="A12">
        <f>ROW(Source!A33)</f>
        <v>33</v>
      </c>
      <c r="B12">
        <v>16802145</v>
      </c>
      <c r="C12">
        <v>16802520</v>
      </c>
      <c r="D12">
        <v>15430517</v>
      </c>
      <c r="E12">
        <v>1</v>
      </c>
      <c r="F12">
        <v>1</v>
      </c>
      <c r="G12">
        <v>1</v>
      </c>
      <c r="H12">
        <v>1</v>
      </c>
      <c r="I12" t="s">
        <v>658</v>
      </c>
      <c r="J12" t="s">
        <v>6</v>
      </c>
      <c r="K12" t="s">
        <v>659</v>
      </c>
      <c r="L12">
        <v>1191</v>
      </c>
      <c r="N12">
        <v>1013</v>
      </c>
      <c r="O12" t="s">
        <v>660</v>
      </c>
      <c r="P12" t="s">
        <v>660</v>
      </c>
      <c r="Q12">
        <v>1</v>
      </c>
      <c r="W12">
        <v>0</v>
      </c>
      <c r="X12">
        <v>735429535</v>
      </c>
      <c r="Y12">
        <v>22.82</v>
      </c>
      <c r="AA12">
        <v>0</v>
      </c>
      <c r="AB12">
        <v>0</v>
      </c>
      <c r="AC12">
        <v>0</v>
      </c>
      <c r="AD12">
        <v>52.34</v>
      </c>
      <c r="AE12">
        <v>0</v>
      </c>
      <c r="AF12">
        <v>0</v>
      </c>
      <c r="AG12">
        <v>0</v>
      </c>
      <c r="AH12">
        <v>7.8</v>
      </c>
      <c r="AI12">
        <v>1</v>
      </c>
      <c r="AJ12">
        <v>1</v>
      </c>
      <c r="AK12">
        <v>1</v>
      </c>
      <c r="AL12">
        <v>6.71</v>
      </c>
      <c r="AN12">
        <v>0</v>
      </c>
      <c r="AO12">
        <v>1</v>
      </c>
      <c r="AP12">
        <v>0</v>
      </c>
      <c r="AQ12">
        <v>0</v>
      </c>
      <c r="AR12">
        <v>0</v>
      </c>
      <c r="AS12" t="s">
        <v>6</v>
      </c>
      <c r="AT12">
        <v>22.82</v>
      </c>
      <c r="AU12" t="s">
        <v>6</v>
      </c>
      <c r="AV12">
        <v>1</v>
      </c>
      <c r="AW12">
        <v>2</v>
      </c>
      <c r="AX12">
        <v>16802522</v>
      </c>
      <c r="AY12">
        <v>1</v>
      </c>
      <c r="AZ12">
        <v>0</v>
      </c>
      <c r="BA12">
        <v>16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Y12*Source!I33</f>
        <v>25.353020000000001</v>
      </c>
      <c r="CY12">
        <f>AD12</f>
        <v>52.34</v>
      </c>
      <c r="CZ12">
        <f>AH12</f>
        <v>7.8</v>
      </c>
      <c r="DA12">
        <f>AL12</f>
        <v>6.71</v>
      </c>
      <c r="DB12">
        <f t="shared" si="0"/>
        <v>178</v>
      </c>
      <c r="DC12">
        <f t="shared" si="1"/>
        <v>0</v>
      </c>
    </row>
    <row r="13" spans="1:107" x14ac:dyDescent="0.2">
      <c r="A13">
        <f>ROW(Source!A34)</f>
        <v>34</v>
      </c>
      <c r="B13">
        <v>16802145</v>
      </c>
      <c r="C13">
        <v>16802523</v>
      </c>
      <c r="D13">
        <v>15430767</v>
      </c>
      <c r="E13">
        <v>1</v>
      </c>
      <c r="F13">
        <v>1</v>
      </c>
      <c r="G13">
        <v>1</v>
      </c>
      <c r="H13">
        <v>1</v>
      </c>
      <c r="I13" t="s">
        <v>667</v>
      </c>
      <c r="J13" t="s">
        <v>6</v>
      </c>
      <c r="K13" t="s">
        <v>668</v>
      </c>
      <c r="L13">
        <v>1191</v>
      </c>
      <c r="N13">
        <v>1013</v>
      </c>
      <c r="O13" t="s">
        <v>660</v>
      </c>
      <c r="P13" t="s">
        <v>660</v>
      </c>
      <c r="Q13">
        <v>1</v>
      </c>
      <c r="W13">
        <v>0</v>
      </c>
      <c r="X13">
        <v>-400197608</v>
      </c>
      <c r="Y13">
        <v>124.23</v>
      </c>
      <c r="AA13">
        <v>0</v>
      </c>
      <c r="AB13">
        <v>0</v>
      </c>
      <c r="AC13">
        <v>0</v>
      </c>
      <c r="AD13">
        <v>57.24</v>
      </c>
      <c r="AE13">
        <v>0</v>
      </c>
      <c r="AF13">
        <v>0</v>
      </c>
      <c r="AG13">
        <v>0</v>
      </c>
      <c r="AH13">
        <v>8.5299999999999994</v>
      </c>
      <c r="AI13">
        <v>1</v>
      </c>
      <c r="AJ13">
        <v>1</v>
      </c>
      <c r="AK13">
        <v>1</v>
      </c>
      <c r="AL13">
        <v>6.71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6</v>
      </c>
      <c r="AT13">
        <v>124.23</v>
      </c>
      <c r="AU13" t="s">
        <v>6</v>
      </c>
      <c r="AV13">
        <v>1</v>
      </c>
      <c r="AW13">
        <v>2</v>
      </c>
      <c r="AX13">
        <v>16802530</v>
      </c>
      <c r="AY13">
        <v>1</v>
      </c>
      <c r="AZ13">
        <v>0</v>
      </c>
      <c r="BA13">
        <v>17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Y13*Source!I34</f>
        <v>37.268999999999998</v>
      </c>
      <c r="CY13">
        <f>AD13</f>
        <v>57.24</v>
      </c>
      <c r="CZ13">
        <f>AH13</f>
        <v>8.5299999999999994</v>
      </c>
      <c r="DA13">
        <f>AL13</f>
        <v>6.71</v>
      </c>
      <c r="DB13">
        <f t="shared" si="0"/>
        <v>1059.68</v>
      </c>
      <c r="DC13">
        <f t="shared" si="1"/>
        <v>0</v>
      </c>
    </row>
    <row r="14" spans="1:107" x14ac:dyDescent="0.2">
      <c r="A14">
        <f>ROW(Source!A34)</f>
        <v>34</v>
      </c>
      <c r="B14">
        <v>16802145</v>
      </c>
      <c r="C14">
        <v>16802523</v>
      </c>
      <c r="D14">
        <v>15249402</v>
      </c>
      <c r="E14">
        <v>1</v>
      </c>
      <c r="F14">
        <v>1</v>
      </c>
      <c r="G14">
        <v>1</v>
      </c>
      <c r="H14">
        <v>2</v>
      </c>
      <c r="I14" t="s">
        <v>675</v>
      </c>
      <c r="J14" t="s">
        <v>676</v>
      </c>
      <c r="K14" t="s">
        <v>677</v>
      </c>
      <c r="L14">
        <v>1368</v>
      </c>
      <c r="N14">
        <v>1011</v>
      </c>
      <c r="O14" t="s">
        <v>666</v>
      </c>
      <c r="P14" t="s">
        <v>666</v>
      </c>
      <c r="Q14">
        <v>1</v>
      </c>
      <c r="W14">
        <v>0</v>
      </c>
      <c r="X14">
        <v>-2111251057</v>
      </c>
      <c r="Y14">
        <v>1.38</v>
      </c>
      <c r="AA14">
        <v>0</v>
      </c>
      <c r="AB14">
        <v>218.08</v>
      </c>
      <c r="AC14">
        <v>0</v>
      </c>
      <c r="AD14">
        <v>0</v>
      </c>
      <c r="AE14">
        <v>0</v>
      </c>
      <c r="AF14">
        <v>32.5</v>
      </c>
      <c r="AG14">
        <v>0</v>
      </c>
      <c r="AH14">
        <v>0</v>
      </c>
      <c r="AI14">
        <v>1</v>
      </c>
      <c r="AJ14">
        <v>6.71</v>
      </c>
      <c r="AK14">
        <v>1</v>
      </c>
      <c r="AL14">
        <v>1</v>
      </c>
      <c r="AN14">
        <v>0</v>
      </c>
      <c r="AO14">
        <v>1</v>
      </c>
      <c r="AP14">
        <v>0</v>
      </c>
      <c r="AQ14">
        <v>0</v>
      </c>
      <c r="AR14">
        <v>0</v>
      </c>
      <c r="AS14" t="s">
        <v>6</v>
      </c>
      <c r="AT14">
        <v>1.38</v>
      </c>
      <c r="AU14" t="s">
        <v>6</v>
      </c>
      <c r="AV14">
        <v>0</v>
      </c>
      <c r="AW14">
        <v>2</v>
      </c>
      <c r="AX14">
        <v>16802531</v>
      </c>
      <c r="AY14">
        <v>1</v>
      </c>
      <c r="AZ14">
        <v>0</v>
      </c>
      <c r="BA14">
        <v>18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Y14*Source!I34</f>
        <v>0.41399999999999998</v>
      </c>
      <c r="CY14">
        <f>AB14</f>
        <v>218.08</v>
      </c>
      <c r="CZ14">
        <f>AF14</f>
        <v>32.5</v>
      </c>
      <c r="DA14">
        <f>AJ14</f>
        <v>6.71</v>
      </c>
      <c r="DB14">
        <f t="shared" si="0"/>
        <v>44.85</v>
      </c>
      <c r="DC14">
        <f t="shared" si="1"/>
        <v>0</v>
      </c>
    </row>
    <row r="15" spans="1:107" x14ac:dyDescent="0.2">
      <c r="A15">
        <f>ROW(Source!A34)</f>
        <v>34</v>
      </c>
      <c r="B15">
        <v>16802145</v>
      </c>
      <c r="C15">
        <v>16802523</v>
      </c>
      <c r="D15">
        <v>15249998</v>
      </c>
      <c r="E15">
        <v>1</v>
      </c>
      <c r="F15">
        <v>1</v>
      </c>
      <c r="G15">
        <v>1</v>
      </c>
      <c r="H15">
        <v>2</v>
      </c>
      <c r="I15" t="s">
        <v>678</v>
      </c>
      <c r="J15" t="s">
        <v>679</v>
      </c>
      <c r="K15" t="s">
        <v>680</v>
      </c>
      <c r="L15">
        <v>1368</v>
      </c>
      <c r="N15">
        <v>1011</v>
      </c>
      <c r="O15" t="s">
        <v>666</v>
      </c>
      <c r="P15" t="s">
        <v>666</v>
      </c>
      <c r="Q15">
        <v>1</v>
      </c>
      <c r="W15">
        <v>0</v>
      </c>
      <c r="X15">
        <v>1518765163</v>
      </c>
      <c r="Y15">
        <v>1.38</v>
      </c>
      <c r="AA15">
        <v>0</v>
      </c>
      <c r="AB15">
        <v>10.27</v>
      </c>
      <c r="AC15">
        <v>0</v>
      </c>
      <c r="AD15">
        <v>0</v>
      </c>
      <c r="AE15">
        <v>0</v>
      </c>
      <c r="AF15">
        <v>1.53</v>
      </c>
      <c r="AG15">
        <v>0</v>
      </c>
      <c r="AH15">
        <v>0</v>
      </c>
      <c r="AI15">
        <v>1</v>
      </c>
      <c r="AJ15">
        <v>6.71</v>
      </c>
      <c r="AK15">
        <v>1</v>
      </c>
      <c r="AL15">
        <v>1</v>
      </c>
      <c r="AN15">
        <v>0</v>
      </c>
      <c r="AO15">
        <v>1</v>
      </c>
      <c r="AP15">
        <v>0</v>
      </c>
      <c r="AQ15">
        <v>0</v>
      </c>
      <c r="AR15">
        <v>0</v>
      </c>
      <c r="AS15" t="s">
        <v>6</v>
      </c>
      <c r="AT15">
        <v>1.38</v>
      </c>
      <c r="AU15" t="s">
        <v>6</v>
      </c>
      <c r="AV15">
        <v>0</v>
      </c>
      <c r="AW15">
        <v>2</v>
      </c>
      <c r="AX15">
        <v>16802532</v>
      </c>
      <c r="AY15">
        <v>1</v>
      </c>
      <c r="AZ15">
        <v>0</v>
      </c>
      <c r="BA15">
        <v>19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Y15*Source!I34</f>
        <v>0.41399999999999998</v>
      </c>
      <c r="CY15">
        <f>AB15</f>
        <v>10.27</v>
      </c>
      <c r="CZ15">
        <f>AF15</f>
        <v>1.53</v>
      </c>
      <c r="DA15">
        <f>AJ15</f>
        <v>6.71</v>
      </c>
      <c r="DB15">
        <f t="shared" si="0"/>
        <v>2.11</v>
      </c>
      <c r="DC15">
        <f t="shared" si="1"/>
        <v>0</v>
      </c>
    </row>
    <row r="16" spans="1:107" x14ac:dyDescent="0.2">
      <c r="A16">
        <f>ROW(Source!A34)</f>
        <v>34</v>
      </c>
      <c r="B16">
        <v>16802145</v>
      </c>
      <c r="C16">
        <v>16802523</v>
      </c>
      <c r="D16">
        <v>15167286</v>
      </c>
      <c r="E16">
        <v>1</v>
      </c>
      <c r="F16">
        <v>1</v>
      </c>
      <c r="G16">
        <v>1</v>
      </c>
      <c r="H16">
        <v>3</v>
      </c>
      <c r="I16" t="s">
        <v>669</v>
      </c>
      <c r="J16" t="s">
        <v>670</v>
      </c>
      <c r="K16" t="s">
        <v>671</v>
      </c>
      <c r="L16">
        <v>1339</v>
      </c>
      <c r="N16">
        <v>1007</v>
      </c>
      <c r="O16" t="s">
        <v>61</v>
      </c>
      <c r="P16" t="s">
        <v>61</v>
      </c>
      <c r="Q16">
        <v>1</v>
      </c>
      <c r="W16">
        <v>0</v>
      </c>
      <c r="X16">
        <v>-1660354250</v>
      </c>
      <c r="Y16">
        <v>0.1</v>
      </c>
      <c r="AA16">
        <v>16.37</v>
      </c>
      <c r="AB16">
        <v>0</v>
      </c>
      <c r="AC16">
        <v>0</v>
      </c>
      <c r="AD16">
        <v>0</v>
      </c>
      <c r="AE16">
        <v>2.44</v>
      </c>
      <c r="AF16">
        <v>0</v>
      </c>
      <c r="AG16">
        <v>0</v>
      </c>
      <c r="AH16">
        <v>0</v>
      </c>
      <c r="AI16">
        <v>6.71</v>
      </c>
      <c r="AJ16">
        <v>1</v>
      </c>
      <c r="AK16">
        <v>1</v>
      </c>
      <c r="AL16">
        <v>1</v>
      </c>
      <c r="AN16">
        <v>0</v>
      </c>
      <c r="AO16">
        <v>1</v>
      </c>
      <c r="AP16">
        <v>0</v>
      </c>
      <c r="AQ16">
        <v>0</v>
      </c>
      <c r="AR16">
        <v>0</v>
      </c>
      <c r="AS16" t="s">
        <v>6</v>
      </c>
      <c r="AT16">
        <v>0.1</v>
      </c>
      <c r="AU16" t="s">
        <v>6</v>
      </c>
      <c r="AV16">
        <v>0</v>
      </c>
      <c r="AW16">
        <v>2</v>
      </c>
      <c r="AX16">
        <v>16802533</v>
      </c>
      <c r="AY16">
        <v>1</v>
      </c>
      <c r="AZ16">
        <v>0</v>
      </c>
      <c r="BA16">
        <v>20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Y16*Source!I34</f>
        <v>0.03</v>
      </c>
      <c r="CY16">
        <f>AA16</f>
        <v>16.37</v>
      </c>
      <c r="CZ16">
        <f>AE16</f>
        <v>2.44</v>
      </c>
      <c r="DA16">
        <f>AI16</f>
        <v>6.71</v>
      </c>
      <c r="DB16">
        <f t="shared" si="0"/>
        <v>0.24</v>
      </c>
      <c r="DC16">
        <f t="shared" si="1"/>
        <v>0</v>
      </c>
    </row>
    <row r="17" spans="1:107" x14ac:dyDescent="0.2">
      <c r="A17">
        <f>ROW(Source!A34)</f>
        <v>34</v>
      </c>
      <c r="B17">
        <v>16802145</v>
      </c>
      <c r="C17">
        <v>16802523</v>
      </c>
      <c r="D17">
        <v>15161703</v>
      </c>
      <c r="E17">
        <v>17</v>
      </c>
      <c r="F17">
        <v>1</v>
      </c>
      <c r="G17">
        <v>1</v>
      </c>
      <c r="H17">
        <v>3</v>
      </c>
      <c r="I17" t="s">
        <v>59</v>
      </c>
      <c r="J17" t="s">
        <v>6</v>
      </c>
      <c r="K17" t="s">
        <v>60</v>
      </c>
      <c r="L17">
        <v>1339</v>
      </c>
      <c r="N17">
        <v>1007</v>
      </c>
      <c r="O17" t="s">
        <v>61</v>
      </c>
      <c r="P17" t="s">
        <v>61</v>
      </c>
      <c r="Q17">
        <v>1</v>
      </c>
      <c r="W17">
        <v>0</v>
      </c>
      <c r="X17">
        <v>-2113302258</v>
      </c>
      <c r="Y17">
        <v>2.14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6.71</v>
      </c>
      <c r="AJ17">
        <v>1</v>
      </c>
      <c r="AK17">
        <v>1</v>
      </c>
      <c r="AL17">
        <v>1</v>
      </c>
      <c r="AN17">
        <v>0</v>
      </c>
      <c r="AO17">
        <v>0</v>
      </c>
      <c r="AP17">
        <v>0</v>
      </c>
      <c r="AQ17">
        <v>0</v>
      </c>
      <c r="AR17">
        <v>0</v>
      </c>
      <c r="AS17" t="s">
        <v>6</v>
      </c>
      <c r="AT17">
        <v>2.14</v>
      </c>
      <c r="AU17" t="s">
        <v>6</v>
      </c>
      <c r="AV17">
        <v>0</v>
      </c>
      <c r="AW17">
        <v>2</v>
      </c>
      <c r="AX17">
        <v>16802536</v>
      </c>
      <c r="AY17">
        <v>1</v>
      </c>
      <c r="AZ17">
        <v>0</v>
      </c>
      <c r="BA17">
        <v>23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Y17*Source!I34</f>
        <v>0.64200000000000002</v>
      </c>
      <c r="CY17">
        <f>AA17</f>
        <v>0</v>
      </c>
      <c r="CZ17">
        <f>AE17</f>
        <v>0</v>
      </c>
      <c r="DA17">
        <f>AI17</f>
        <v>6.71</v>
      </c>
      <c r="DB17">
        <f t="shared" si="0"/>
        <v>0</v>
      </c>
      <c r="DC17">
        <f t="shared" si="1"/>
        <v>0</v>
      </c>
    </row>
    <row r="18" spans="1:107" x14ac:dyDescent="0.2">
      <c r="A18">
        <f>ROW(Source!A34)</f>
        <v>34</v>
      </c>
      <c r="B18">
        <v>16802145</v>
      </c>
      <c r="C18">
        <v>16802523</v>
      </c>
      <c r="D18">
        <v>15173318</v>
      </c>
      <c r="E18">
        <v>1</v>
      </c>
      <c r="F18">
        <v>1</v>
      </c>
      <c r="G18">
        <v>1</v>
      </c>
      <c r="H18">
        <v>3</v>
      </c>
      <c r="I18" t="s">
        <v>63</v>
      </c>
      <c r="J18" t="s">
        <v>66</v>
      </c>
      <c r="K18" t="s">
        <v>64</v>
      </c>
      <c r="L18">
        <v>1348</v>
      </c>
      <c r="N18">
        <v>1009</v>
      </c>
      <c r="O18" t="s">
        <v>65</v>
      </c>
      <c r="P18" t="s">
        <v>65</v>
      </c>
      <c r="Q18">
        <v>1000</v>
      </c>
      <c r="W18">
        <v>0</v>
      </c>
      <c r="X18">
        <v>50694098</v>
      </c>
      <c r="Y18">
        <v>4.6431149999999999</v>
      </c>
      <c r="AA18">
        <v>4885.82</v>
      </c>
      <c r="AB18">
        <v>0</v>
      </c>
      <c r="AC18">
        <v>0</v>
      </c>
      <c r="AD18">
        <v>0</v>
      </c>
      <c r="AE18">
        <v>728.14</v>
      </c>
      <c r="AF18">
        <v>0</v>
      </c>
      <c r="AG18">
        <v>0</v>
      </c>
      <c r="AH18">
        <v>0</v>
      </c>
      <c r="AI18">
        <v>6.71</v>
      </c>
      <c r="AJ18">
        <v>1</v>
      </c>
      <c r="AK18">
        <v>1</v>
      </c>
      <c r="AL18">
        <v>1</v>
      </c>
      <c r="AN18">
        <v>0</v>
      </c>
      <c r="AO18">
        <v>0</v>
      </c>
      <c r="AP18">
        <v>0</v>
      </c>
      <c r="AQ18">
        <v>0</v>
      </c>
      <c r="AR18">
        <v>0</v>
      </c>
      <c r="AS18" t="s">
        <v>6</v>
      </c>
      <c r="AT18">
        <v>4.6431149999999999</v>
      </c>
      <c r="AU18" t="s">
        <v>6</v>
      </c>
      <c r="AV18">
        <v>0</v>
      </c>
      <c r="AW18">
        <v>1</v>
      </c>
      <c r="AX18">
        <v>-1</v>
      </c>
      <c r="AY18">
        <v>0</v>
      </c>
      <c r="AZ18">
        <v>0</v>
      </c>
      <c r="BA18" t="s">
        <v>6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Y18*Source!I34</f>
        <v>1.3929345</v>
      </c>
      <c r="CY18">
        <f>AA18</f>
        <v>4885.82</v>
      </c>
      <c r="CZ18">
        <f>AE18</f>
        <v>728.14</v>
      </c>
      <c r="DA18">
        <f>AI18</f>
        <v>6.71</v>
      </c>
      <c r="DB18">
        <f t="shared" si="0"/>
        <v>3380.84</v>
      </c>
      <c r="DC18">
        <f t="shared" si="1"/>
        <v>0</v>
      </c>
    </row>
    <row r="19" spans="1:107" x14ac:dyDescent="0.2">
      <c r="A19">
        <f>ROW(Source!A37)</f>
        <v>37</v>
      </c>
      <c r="B19">
        <v>16802145</v>
      </c>
      <c r="C19">
        <v>16802539</v>
      </c>
      <c r="D19">
        <v>15430767</v>
      </c>
      <c r="E19">
        <v>1</v>
      </c>
      <c r="F19">
        <v>1</v>
      </c>
      <c r="G19">
        <v>1</v>
      </c>
      <c r="H19">
        <v>1</v>
      </c>
      <c r="I19" t="s">
        <v>667</v>
      </c>
      <c r="J19" t="s">
        <v>6</v>
      </c>
      <c r="K19" t="s">
        <v>668</v>
      </c>
      <c r="L19">
        <v>1191</v>
      </c>
      <c r="N19">
        <v>1013</v>
      </c>
      <c r="O19" t="s">
        <v>660</v>
      </c>
      <c r="P19" t="s">
        <v>660</v>
      </c>
      <c r="Q19">
        <v>1</v>
      </c>
      <c r="W19">
        <v>0</v>
      </c>
      <c r="X19">
        <v>-400197608</v>
      </c>
      <c r="Y19">
        <v>43.320499999999996</v>
      </c>
      <c r="AA19">
        <v>0</v>
      </c>
      <c r="AB19">
        <v>0</v>
      </c>
      <c r="AC19">
        <v>0</v>
      </c>
      <c r="AD19">
        <v>57.24</v>
      </c>
      <c r="AE19">
        <v>0</v>
      </c>
      <c r="AF19">
        <v>0</v>
      </c>
      <c r="AG19">
        <v>0</v>
      </c>
      <c r="AH19">
        <v>8.5299999999999994</v>
      </c>
      <c r="AI19">
        <v>1</v>
      </c>
      <c r="AJ19">
        <v>1</v>
      </c>
      <c r="AK19">
        <v>1</v>
      </c>
      <c r="AL19">
        <v>6.71</v>
      </c>
      <c r="AN19">
        <v>0</v>
      </c>
      <c r="AO19">
        <v>1</v>
      </c>
      <c r="AP19">
        <v>1</v>
      </c>
      <c r="AQ19">
        <v>0</v>
      </c>
      <c r="AR19">
        <v>0</v>
      </c>
      <c r="AS19" t="s">
        <v>6</v>
      </c>
      <c r="AT19">
        <v>37.67</v>
      </c>
      <c r="AU19" t="s">
        <v>72</v>
      </c>
      <c r="AV19">
        <v>1</v>
      </c>
      <c r="AW19">
        <v>2</v>
      </c>
      <c r="AX19">
        <v>16802547</v>
      </c>
      <c r="AY19">
        <v>1</v>
      </c>
      <c r="AZ19">
        <v>0</v>
      </c>
      <c r="BA19">
        <v>24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Y19*Source!I37</f>
        <v>90.886408999999986</v>
      </c>
      <c r="CY19">
        <f>AD19</f>
        <v>57.24</v>
      </c>
      <c r="CZ19">
        <f>AH19</f>
        <v>8.5299999999999994</v>
      </c>
      <c r="DA19">
        <f>AL19</f>
        <v>6.71</v>
      </c>
      <c r="DB19">
        <f>ROUND((ROUND(AT19*CZ19,2)*1.15),2)</f>
        <v>369.53</v>
      </c>
      <c r="DC19">
        <f>ROUND((ROUND(AT19*AG19,2)*1.15),2)</f>
        <v>0</v>
      </c>
    </row>
    <row r="20" spans="1:107" x14ac:dyDescent="0.2">
      <c r="A20">
        <f>ROW(Source!A37)</f>
        <v>37</v>
      </c>
      <c r="B20">
        <v>16802145</v>
      </c>
      <c r="C20">
        <v>16802539</v>
      </c>
      <c r="D20">
        <v>15430395</v>
      </c>
      <c r="E20">
        <v>1</v>
      </c>
      <c r="F20">
        <v>1</v>
      </c>
      <c r="G20">
        <v>1</v>
      </c>
      <c r="H20">
        <v>1</v>
      </c>
      <c r="I20" t="s">
        <v>661</v>
      </c>
      <c r="J20" t="s">
        <v>6</v>
      </c>
      <c r="K20" t="s">
        <v>662</v>
      </c>
      <c r="L20">
        <v>1191</v>
      </c>
      <c r="N20">
        <v>1013</v>
      </c>
      <c r="O20" t="s">
        <v>660</v>
      </c>
      <c r="P20" t="s">
        <v>660</v>
      </c>
      <c r="Q20">
        <v>1</v>
      </c>
      <c r="W20">
        <v>0</v>
      </c>
      <c r="X20">
        <v>-1417349443</v>
      </c>
      <c r="Y20">
        <v>0.17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1</v>
      </c>
      <c r="AJ20">
        <v>1</v>
      </c>
      <c r="AK20">
        <v>6.71</v>
      </c>
      <c r="AL20">
        <v>1</v>
      </c>
      <c r="AN20">
        <v>0</v>
      </c>
      <c r="AO20">
        <v>1</v>
      </c>
      <c r="AP20">
        <v>0</v>
      </c>
      <c r="AQ20">
        <v>0</v>
      </c>
      <c r="AR20">
        <v>0</v>
      </c>
      <c r="AS20" t="s">
        <v>6</v>
      </c>
      <c r="AT20">
        <v>0.17</v>
      </c>
      <c r="AU20" t="s">
        <v>6</v>
      </c>
      <c r="AV20">
        <v>2</v>
      </c>
      <c r="AW20">
        <v>2</v>
      </c>
      <c r="AX20">
        <v>16802548</v>
      </c>
      <c r="AY20">
        <v>1</v>
      </c>
      <c r="AZ20">
        <v>2048</v>
      </c>
      <c r="BA20">
        <v>25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Y20*Source!I37</f>
        <v>0.35665999999999998</v>
      </c>
      <c r="CY20">
        <f>AD20</f>
        <v>0</v>
      </c>
      <c r="CZ20">
        <f>AH20</f>
        <v>0</v>
      </c>
      <c r="DA20">
        <f>AL20</f>
        <v>1</v>
      </c>
      <c r="DB20">
        <f>ROUND(ROUND(AT20*CZ20,2),2)</f>
        <v>0</v>
      </c>
      <c r="DC20">
        <f>ROUND(ROUND(AT20*AG20,2),2)</f>
        <v>0</v>
      </c>
    </row>
    <row r="21" spans="1:107" x14ac:dyDescent="0.2">
      <c r="A21">
        <f>ROW(Source!A37)</f>
        <v>37</v>
      </c>
      <c r="B21">
        <v>16802145</v>
      </c>
      <c r="C21">
        <v>16802539</v>
      </c>
      <c r="D21">
        <v>15247970</v>
      </c>
      <c r="E21">
        <v>1</v>
      </c>
      <c r="F21">
        <v>1</v>
      </c>
      <c r="G21">
        <v>1</v>
      </c>
      <c r="H21">
        <v>2</v>
      </c>
      <c r="I21" t="s">
        <v>681</v>
      </c>
      <c r="J21" t="s">
        <v>682</v>
      </c>
      <c r="K21" t="s">
        <v>683</v>
      </c>
      <c r="L21">
        <v>1368</v>
      </c>
      <c r="N21">
        <v>1011</v>
      </c>
      <c r="O21" t="s">
        <v>666</v>
      </c>
      <c r="P21" t="s">
        <v>666</v>
      </c>
      <c r="Q21">
        <v>1</v>
      </c>
      <c r="W21">
        <v>0</v>
      </c>
      <c r="X21">
        <v>368031958</v>
      </c>
      <c r="Y21">
        <v>0.16250000000000001</v>
      </c>
      <c r="AA21">
        <v>0</v>
      </c>
      <c r="AB21">
        <v>185.6</v>
      </c>
      <c r="AC21">
        <v>11.6</v>
      </c>
      <c r="AD21">
        <v>0</v>
      </c>
      <c r="AE21">
        <v>0</v>
      </c>
      <c r="AF21">
        <v>27.66</v>
      </c>
      <c r="AG21">
        <v>11.6</v>
      </c>
      <c r="AH21">
        <v>0</v>
      </c>
      <c r="AI21">
        <v>1</v>
      </c>
      <c r="AJ21">
        <v>6.71</v>
      </c>
      <c r="AK21">
        <v>1</v>
      </c>
      <c r="AL21">
        <v>1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6</v>
      </c>
      <c r="AT21">
        <v>0.13</v>
      </c>
      <c r="AU21" t="s">
        <v>71</v>
      </c>
      <c r="AV21">
        <v>0</v>
      </c>
      <c r="AW21">
        <v>2</v>
      </c>
      <c r="AX21">
        <v>16802549</v>
      </c>
      <c r="AY21">
        <v>1</v>
      </c>
      <c r="AZ21">
        <v>0</v>
      </c>
      <c r="BA21">
        <v>26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Y21*Source!I37</f>
        <v>0.34092499999999998</v>
      </c>
      <c r="CY21">
        <f>AB21</f>
        <v>185.6</v>
      </c>
      <c r="CZ21">
        <f>AF21</f>
        <v>27.66</v>
      </c>
      <c r="DA21">
        <f>AJ21</f>
        <v>6.71</v>
      </c>
      <c r="DB21">
        <f>ROUND((ROUND(AT21*CZ21,2)*1.25),2)</f>
        <v>4.5</v>
      </c>
      <c r="DC21">
        <f>ROUND((ROUND(AT21*AG21,2)*1.25),2)</f>
        <v>1.89</v>
      </c>
    </row>
    <row r="22" spans="1:107" x14ac:dyDescent="0.2">
      <c r="A22">
        <f>ROW(Source!A37)</f>
        <v>37</v>
      </c>
      <c r="B22">
        <v>16802145</v>
      </c>
      <c r="C22">
        <v>16802539</v>
      </c>
      <c r="D22">
        <v>15249073</v>
      </c>
      <c r="E22">
        <v>1</v>
      </c>
      <c r="F22">
        <v>1</v>
      </c>
      <c r="G22">
        <v>1</v>
      </c>
      <c r="H22">
        <v>2</v>
      </c>
      <c r="I22" t="s">
        <v>684</v>
      </c>
      <c r="J22" t="s">
        <v>685</v>
      </c>
      <c r="K22" t="s">
        <v>686</v>
      </c>
      <c r="L22">
        <v>1368</v>
      </c>
      <c r="N22">
        <v>1011</v>
      </c>
      <c r="O22" t="s">
        <v>666</v>
      </c>
      <c r="P22" t="s">
        <v>666</v>
      </c>
      <c r="Q22">
        <v>1</v>
      </c>
      <c r="W22">
        <v>0</v>
      </c>
      <c r="X22">
        <v>1372534845</v>
      </c>
      <c r="Y22">
        <v>0.05</v>
      </c>
      <c r="AA22">
        <v>0</v>
      </c>
      <c r="AB22">
        <v>440.91</v>
      </c>
      <c r="AC22">
        <v>11.6</v>
      </c>
      <c r="AD22">
        <v>0</v>
      </c>
      <c r="AE22">
        <v>0</v>
      </c>
      <c r="AF22">
        <v>65.709999999999994</v>
      </c>
      <c r="AG22">
        <v>11.6</v>
      </c>
      <c r="AH22">
        <v>0</v>
      </c>
      <c r="AI22">
        <v>1</v>
      </c>
      <c r="AJ22">
        <v>6.71</v>
      </c>
      <c r="AK22">
        <v>1</v>
      </c>
      <c r="AL22">
        <v>1</v>
      </c>
      <c r="AN22">
        <v>0</v>
      </c>
      <c r="AO22">
        <v>1</v>
      </c>
      <c r="AP22">
        <v>1</v>
      </c>
      <c r="AQ22">
        <v>0</v>
      </c>
      <c r="AR22">
        <v>0</v>
      </c>
      <c r="AS22" t="s">
        <v>6</v>
      </c>
      <c r="AT22">
        <v>0.04</v>
      </c>
      <c r="AU22" t="s">
        <v>71</v>
      </c>
      <c r="AV22">
        <v>0</v>
      </c>
      <c r="AW22">
        <v>2</v>
      </c>
      <c r="AX22">
        <v>16802550</v>
      </c>
      <c r="AY22">
        <v>1</v>
      </c>
      <c r="AZ22">
        <v>0</v>
      </c>
      <c r="BA22">
        <v>27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Y22*Source!I37</f>
        <v>0.10489999999999999</v>
      </c>
      <c r="CY22">
        <f>AB22</f>
        <v>440.91</v>
      </c>
      <c r="CZ22">
        <f>AF22</f>
        <v>65.709999999999994</v>
      </c>
      <c r="DA22">
        <f>AJ22</f>
        <v>6.71</v>
      </c>
      <c r="DB22">
        <f>ROUND((ROUND(AT22*CZ22,2)*1.25),2)</f>
        <v>3.29</v>
      </c>
      <c r="DC22">
        <f>ROUND((ROUND(AT22*AG22,2)*1.25),2)</f>
        <v>0.57999999999999996</v>
      </c>
    </row>
    <row r="23" spans="1:107" x14ac:dyDescent="0.2">
      <c r="A23">
        <f>ROW(Source!A37)</f>
        <v>37</v>
      </c>
      <c r="B23">
        <v>16802145</v>
      </c>
      <c r="C23">
        <v>16802539</v>
      </c>
      <c r="D23">
        <v>15167286</v>
      </c>
      <c r="E23">
        <v>1</v>
      </c>
      <c r="F23">
        <v>1</v>
      </c>
      <c r="G23">
        <v>1</v>
      </c>
      <c r="H23">
        <v>3</v>
      </c>
      <c r="I23" t="s">
        <v>669</v>
      </c>
      <c r="J23" t="s">
        <v>670</v>
      </c>
      <c r="K23" t="s">
        <v>671</v>
      </c>
      <c r="L23">
        <v>1339</v>
      </c>
      <c r="N23">
        <v>1007</v>
      </c>
      <c r="O23" t="s">
        <v>61</v>
      </c>
      <c r="P23" t="s">
        <v>61</v>
      </c>
      <c r="Q23">
        <v>1</v>
      </c>
      <c r="W23">
        <v>0</v>
      </c>
      <c r="X23">
        <v>-1660354250</v>
      </c>
      <c r="Y23">
        <v>0.17399999999999999</v>
      </c>
      <c r="AA23">
        <v>16.37</v>
      </c>
      <c r="AB23">
        <v>0</v>
      </c>
      <c r="AC23">
        <v>0</v>
      </c>
      <c r="AD23">
        <v>0</v>
      </c>
      <c r="AE23">
        <v>2.44</v>
      </c>
      <c r="AF23">
        <v>0</v>
      </c>
      <c r="AG23">
        <v>0</v>
      </c>
      <c r="AH23">
        <v>0</v>
      </c>
      <c r="AI23">
        <v>6.71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0</v>
      </c>
      <c r="AQ23">
        <v>0</v>
      </c>
      <c r="AR23">
        <v>0</v>
      </c>
      <c r="AS23" t="s">
        <v>6</v>
      </c>
      <c r="AT23">
        <v>0.17399999999999999</v>
      </c>
      <c r="AU23" t="s">
        <v>6</v>
      </c>
      <c r="AV23">
        <v>0</v>
      </c>
      <c r="AW23">
        <v>2</v>
      </c>
      <c r="AX23">
        <v>16802551</v>
      </c>
      <c r="AY23">
        <v>1</v>
      </c>
      <c r="AZ23">
        <v>0</v>
      </c>
      <c r="BA23">
        <v>28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Y23*Source!I37</f>
        <v>0.36505199999999993</v>
      </c>
      <c r="CY23">
        <f>AA23</f>
        <v>16.37</v>
      </c>
      <c r="CZ23">
        <f>AE23</f>
        <v>2.44</v>
      </c>
      <c r="DA23">
        <f>AI23</f>
        <v>6.71</v>
      </c>
      <c r="DB23">
        <f>ROUND(ROUND(AT23*CZ23,2),2)</f>
        <v>0.42</v>
      </c>
      <c r="DC23">
        <f>ROUND(ROUND(AT23*AG23,2),2)</f>
        <v>0</v>
      </c>
    </row>
    <row r="24" spans="1:107" x14ac:dyDescent="0.2">
      <c r="A24">
        <f>ROW(Source!A37)</f>
        <v>37</v>
      </c>
      <c r="B24">
        <v>16802145</v>
      </c>
      <c r="C24">
        <v>16802539</v>
      </c>
      <c r="D24">
        <v>15172906</v>
      </c>
      <c r="E24">
        <v>1</v>
      </c>
      <c r="F24">
        <v>1</v>
      </c>
      <c r="G24">
        <v>1</v>
      </c>
      <c r="H24">
        <v>3</v>
      </c>
      <c r="I24" t="s">
        <v>687</v>
      </c>
      <c r="J24" t="s">
        <v>688</v>
      </c>
      <c r="K24" t="s">
        <v>689</v>
      </c>
      <c r="L24">
        <v>1348</v>
      </c>
      <c r="N24">
        <v>1009</v>
      </c>
      <c r="O24" t="s">
        <v>65</v>
      </c>
      <c r="P24" t="s">
        <v>65</v>
      </c>
      <c r="Q24">
        <v>1000</v>
      </c>
      <c r="W24">
        <v>0</v>
      </c>
      <c r="X24">
        <v>-2114578287</v>
      </c>
      <c r="Y24">
        <v>0.9</v>
      </c>
      <c r="AA24">
        <v>76370.33</v>
      </c>
      <c r="AB24">
        <v>0</v>
      </c>
      <c r="AC24">
        <v>0</v>
      </c>
      <c r="AD24">
        <v>0</v>
      </c>
      <c r="AE24">
        <v>11381.57</v>
      </c>
      <c r="AF24">
        <v>0</v>
      </c>
      <c r="AG24">
        <v>0</v>
      </c>
      <c r="AH24">
        <v>0</v>
      </c>
      <c r="AI24">
        <v>6.71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6</v>
      </c>
      <c r="AT24">
        <v>0.9</v>
      </c>
      <c r="AU24" t="s">
        <v>6</v>
      </c>
      <c r="AV24">
        <v>0</v>
      </c>
      <c r="AW24">
        <v>2</v>
      </c>
      <c r="AX24">
        <v>16802552</v>
      </c>
      <c r="AY24">
        <v>1</v>
      </c>
      <c r="AZ24">
        <v>0</v>
      </c>
      <c r="BA24">
        <v>29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Y24*Source!I37</f>
        <v>1.8881999999999999</v>
      </c>
      <c r="CY24">
        <f>AA24</f>
        <v>76370.33</v>
      </c>
      <c r="CZ24">
        <f>AE24</f>
        <v>11381.57</v>
      </c>
      <c r="DA24">
        <f>AI24</f>
        <v>6.71</v>
      </c>
      <c r="DB24">
        <f>ROUND(ROUND(AT24*CZ24,2),2)</f>
        <v>10243.41</v>
      </c>
      <c r="DC24">
        <f>ROUND(ROUND(AT24*AG24,2),2)</f>
        <v>0</v>
      </c>
    </row>
    <row r="25" spans="1:107" x14ac:dyDescent="0.2">
      <c r="A25">
        <f>ROW(Source!A37)</f>
        <v>37</v>
      </c>
      <c r="B25">
        <v>16802145</v>
      </c>
      <c r="C25">
        <v>16802539</v>
      </c>
      <c r="D25">
        <v>15203485</v>
      </c>
      <c r="E25">
        <v>1</v>
      </c>
      <c r="F25">
        <v>1</v>
      </c>
      <c r="G25">
        <v>1</v>
      </c>
      <c r="H25">
        <v>3</v>
      </c>
      <c r="I25" t="s">
        <v>690</v>
      </c>
      <c r="J25" t="s">
        <v>691</v>
      </c>
      <c r="K25" t="s">
        <v>692</v>
      </c>
      <c r="L25">
        <v>1346</v>
      </c>
      <c r="N25">
        <v>1009</v>
      </c>
      <c r="O25" t="s">
        <v>103</v>
      </c>
      <c r="P25" t="s">
        <v>103</v>
      </c>
      <c r="Q25">
        <v>1</v>
      </c>
      <c r="W25">
        <v>0</v>
      </c>
      <c r="X25">
        <v>303141801</v>
      </c>
      <c r="Y25">
        <v>30</v>
      </c>
      <c r="AA25">
        <v>102.33</v>
      </c>
      <c r="AB25">
        <v>0</v>
      </c>
      <c r="AC25">
        <v>0</v>
      </c>
      <c r="AD25">
        <v>0</v>
      </c>
      <c r="AE25">
        <v>15.25</v>
      </c>
      <c r="AF25">
        <v>0</v>
      </c>
      <c r="AG25">
        <v>0</v>
      </c>
      <c r="AH25">
        <v>0</v>
      </c>
      <c r="AI25">
        <v>6.71</v>
      </c>
      <c r="AJ25">
        <v>1</v>
      </c>
      <c r="AK25">
        <v>1</v>
      </c>
      <c r="AL25">
        <v>1</v>
      </c>
      <c r="AN25">
        <v>0</v>
      </c>
      <c r="AO25">
        <v>1</v>
      </c>
      <c r="AP25">
        <v>0</v>
      </c>
      <c r="AQ25">
        <v>0</v>
      </c>
      <c r="AR25">
        <v>0</v>
      </c>
      <c r="AS25" t="s">
        <v>6</v>
      </c>
      <c r="AT25">
        <v>30</v>
      </c>
      <c r="AU25" t="s">
        <v>6</v>
      </c>
      <c r="AV25">
        <v>0</v>
      </c>
      <c r="AW25">
        <v>2</v>
      </c>
      <c r="AX25">
        <v>16802553</v>
      </c>
      <c r="AY25">
        <v>1</v>
      </c>
      <c r="AZ25">
        <v>0</v>
      </c>
      <c r="BA25">
        <v>30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Y25*Source!I37</f>
        <v>62.94</v>
      </c>
      <c r="CY25">
        <f>AA25</f>
        <v>102.33</v>
      </c>
      <c r="CZ25">
        <f>AE25</f>
        <v>15.25</v>
      </c>
      <c r="DA25">
        <f>AI25</f>
        <v>6.71</v>
      </c>
      <c r="DB25">
        <f>ROUND(ROUND(AT25*CZ25,2),2)</f>
        <v>457.5</v>
      </c>
      <c r="DC25">
        <f>ROUND(ROUND(AT25*AG25,2),2)</f>
        <v>0</v>
      </c>
    </row>
    <row r="26" spans="1:107" x14ac:dyDescent="0.2">
      <c r="A26">
        <f>ROW(Source!A38)</f>
        <v>38</v>
      </c>
      <c r="B26">
        <v>16802145</v>
      </c>
      <c r="C26">
        <v>16802554</v>
      </c>
      <c r="D26">
        <v>15430767</v>
      </c>
      <c r="E26">
        <v>1</v>
      </c>
      <c r="F26">
        <v>1</v>
      </c>
      <c r="G26">
        <v>1</v>
      </c>
      <c r="H26">
        <v>1</v>
      </c>
      <c r="I26" t="s">
        <v>667</v>
      </c>
      <c r="J26" t="s">
        <v>6</v>
      </c>
      <c r="K26" t="s">
        <v>668</v>
      </c>
      <c r="L26">
        <v>1191</v>
      </c>
      <c r="N26">
        <v>1013</v>
      </c>
      <c r="O26" t="s">
        <v>660</v>
      </c>
      <c r="P26" t="s">
        <v>660</v>
      </c>
      <c r="Q26">
        <v>1</v>
      </c>
      <c r="W26">
        <v>0</v>
      </c>
      <c r="X26">
        <v>-400197608</v>
      </c>
      <c r="Y26">
        <v>13.914999999999999</v>
      </c>
      <c r="AA26">
        <v>0</v>
      </c>
      <c r="AB26">
        <v>0</v>
      </c>
      <c r="AC26">
        <v>0</v>
      </c>
      <c r="AD26">
        <v>57.24</v>
      </c>
      <c r="AE26">
        <v>0</v>
      </c>
      <c r="AF26">
        <v>0</v>
      </c>
      <c r="AG26">
        <v>0</v>
      </c>
      <c r="AH26">
        <v>8.5299999999999994</v>
      </c>
      <c r="AI26">
        <v>1</v>
      </c>
      <c r="AJ26">
        <v>1</v>
      </c>
      <c r="AK26">
        <v>1</v>
      </c>
      <c r="AL26">
        <v>6.71</v>
      </c>
      <c r="AN26">
        <v>0</v>
      </c>
      <c r="AO26">
        <v>1</v>
      </c>
      <c r="AP26">
        <v>1</v>
      </c>
      <c r="AQ26">
        <v>0</v>
      </c>
      <c r="AR26">
        <v>0</v>
      </c>
      <c r="AS26" t="s">
        <v>6</v>
      </c>
      <c r="AT26">
        <v>2.42</v>
      </c>
      <c r="AU26" t="s">
        <v>81</v>
      </c>
      <c r="AV26">
        <v>1</v>
      </c>
      <c r="AW26">
        <v>2</v>
      </c>
      <c r="AX26">
        <v>16802561</v>
      </c>
      <c r="AY26">
        <v>1</v>
      </c>
      <c r="AZ26">
        <v>0</v>
      </c>
      <c r="BA26">
        <v>31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Y26*Source!I38</f>
        <v>29.193669999999997</v>
      </c>
      <c r="CY26">
        <f>AD26</f>
        <v>57.24</v>
      </c>
      <c r="CZ26">
        <f>AH26</f>
        <v>8.5299999999999994</v>
      </c>
      <c r="DA26">
        <f>AL26</f>
        <v>6.71</v>
      </c>
      <c r="DB26">
        <f>ROUND((ROUND(AT26*CZ26,2)*1.15*5),2)</f>
        <v>118.68</v>
      </c>
      <c r="DC26">
        <f>ROUND((ROUND(AT26*AG26,2)*1.15*5),2)</f>
        <v>0</v>
      </c>
    </row>
    <row r="27" spans="1:107" x14ac:dyDescent="0.2">
      <c r="A27">
        <f>ROW(Source!A38)</f>
        <v>38</v>
      </c>
      <c r="B27">
        <v>16802145</v>
      </c>
      <c r="C27">
        <v>16802554</v>
      </c>
      <c r="D27">
        <v>15430395</v>
      </c>
      <c r="E27">
        <v>1</v>
      </c>
      <c r="F27">
        <v>1</v>
      </c>
      <c r="G27">
        <v>1</v>
      </c>
      <c r="H27">
        <v>1</v>
      </c>
      <c r="I27" t="s">
        <v>661</v>
      </c>
      <c r="J27" t="s">
        <v>6</v>
      </c>
      <c r="K27" t="s">
        <v>662</v>
      </c>
      <c r="L27">
        <v>1191</v>
      </c>
      <c r="N27">
        <v>1013</v>
      </c>
      <c r="O27" t="s">
        <v>660</v>
      </c>
      <c r="P27" t="s">
        <v>660</v>
      </c>
      <c r="Q27">
        <v>1</v>
      </c>
      <c r="W27">
        <v>0</v>
      </c>
      <c r="X27">
        <v>-1417349443</v>
      </c>
      <c r="Y27">
        <v>0.03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1</v>
      </c>
      <c r="AJ27">
        <v>1</v>
      </c>
      <c r="AK27">
        <v>6.71</v>
      </c>
      <c r="AL27">
        <v>1</v>
      </c>
      <c r="AN27">
        <v>0</v>
      </c>
      <c r="AO27">
        <v>1</v>
      </c>
      <c r="AP27">
        <v>0</v>
      </c>
      <c r="AQ27">
        <v>0</v>
      </c>
      <c r="AR27">
        <v>0</v>
      </c>
      <c r="AS27" t="s">
        <v>6</v>
      </c>
      <c r="AT27">
        <v>0.03</v>
      </c>
      <c r="AU27" t="s">
        <v>6</v>
      </c>
      <c r="AV27">
        <v>2</v>
      </c>
      <c r="AW27">
        <v>2</v>
      </c>
      <c r="AX27">
        <v>16802562</v>
      </c>
      <c r="AY27">
        <v>1</v>
      </c>
      <c r="AZ27">
        <v>2048</v>
      </c>
      <c r="BA27">
        <v>32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Y27*Source!I38</f>
        <v>6.2939999999999996E-2</v>
      </c>
      <c r="CY27">
        <f>AD27</f>
        <v>0</v>
      </c>
      <c r="CZ27">
        <f>AH27</f>
        <v>0</v>
      </c>
      <c r="DA27">
        <f>AL27</f>
        <v>1</v>
      </c>
      <c r="DB27">
        <f>ROUND(ROUND(AT27*CZ27,2),2)</f>
        <v>0</v>
      </c>
      <c r="DC27">
        <f>ROUND(ROUND(AT27*AG27,2),2)</f>
        <v>0</v>
      </c>
    </row>
    <row r="28" spans="1:107" x14ac:dyDescent="0.2">
      <c r="A28">
        <f>ROW(Source!A38)</f>
        <v>38</v>
      </c>
      <c r="B28">
        <v>16802145</v>
      </c>
      <c r="C28">
        <v>16802554</v>
      </c>
      <c r="D28">
        <v>15247970</v>
      </c>
      <c r="E28">
        <v>1</v>
      </c>
      <c r="F28">
        <v>1</v>
      </c>
      <c r="G28">
        <v>1</v>
      </c>
      <c r="H28">
        <v>2</v>
      </c>
      <c r="I28" t="s">
        <v>681</v>
      </c>
      <c r="J28" t="s">
        <v>682</v>
      </c>
      <c r="K28" t="s">
        <v>683</v>
      </c>
      <c r="L28">
        <v>1368</v>
      </c>
      <c r="N28">
        <v>1011</v>
      </c>
      <c r="O28" t="s">
        <v>666</v>
      </c>
      <c r="P28" t="s">
        <v>666</v>
      </c>
      <c r="Q28">
        <v>1</v>
      </c>
      <c r="W28">
        <v>0</v>
      </c>
      <c r="X28">
        <v>368031958</v>
      </c>
      <c r="Y28">
        <v>0.125</v>
      </c>
      <c r="AA28">
        <v>0</v>
      </c>
      <c r="AB28">
        <v>185.6</v>
      </c>
      <c r="AC28">
        <v>11.6</v>
      </c>
      <c r="AD28">
        <v>0</v>
      </c>
      <c r="AE28">
        <v>0</v>
      </c>
      <c r="AF28">
        <v>27.66</v>
      </c>
      <c r="AG28">
        <v>11.6</v>
      </c>
      <c r="AH28">
        <v>0</v>
      </c>
      <c r="AI28">
        <v>1</v>
      </c>
      <c r="AJ28">
        <v>6.71</v>
      </c>
      <c r="AK28">
        <v>1</v>
      </c>
      <c r="AL28">
        <v>1</v>
      </c>
      <c r="AN28">
        <v>0</v>
      </c>
      <c r="AO28">
        <v>1</v>
      </c>
      <c r="AP28">
        <v>1</v>
      </c>
      <c r="AQ28">
        <v>0</v>
      </c>
      <c r="AR28">
        <v>0</v>
      </c>
      <c r="AS28" t="s">
        <v>6</v>
      </c>
      <c r="AT28">
        <v>0.02</v>
      </c>
      <c r="AU28" t="s">
        <v>80</v>
      </c>
      <c r="AV28">
        <v>0</v>
      </c>
      <c r="AW28">
        <v>2</v>
      </c>
      <c r="AX28">
        <v>16802563</v>
      </c>
      <c r="AY28">
        <v>1</v>
      </c>
      <c r="AZ28">
        <v>0</v>
      </c>
      <c r="BA28">
        <v>33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Y28*Source!I38</f>
        <v>0.26224999999999998</v>
      </c>
      <c r="CY28">
        <f>AB28</f>
        <v>185.6</v>
      </c>
      <c r="CZ28">
        <f>AF28</f>
        <v>27.66</v>
      </c>
      <c r="DA28">
        <f>AJ28</f>
        <v>6.71</v>
      </c>
      <c r="DB28">
        <f>ROUND((ROUND(AT28*CZ28,2)*1.25*5),2)</f>
        <v>3.44</v>
      </c>
      <c r="DC28">
        <f>ROUND((ROUND(AT28*AG28,2)*1.25*5),2)</f>
        <v>1.44</v>
      </c>
    </row>
    <row r="29" spans="1:107" x14ac:dyDescent="0.2">
      <c r="A29">
        <f>ROW(Source!A38)</f>
        <v>38</v>
      </c>
      <c r="B29">
        <v>16802145</v>
      </c>
      <c r="C29">
        <v>16802554</v>
      </c>
      <c r="D29">
        <v>15249073</v>
      </c>
      <c r="E29">
        <v>1</v>
      </c>
      <c r="F29">
        <v>1</v>
      </c>
      <c r="G29">
        <v>1</v>
      </c>
      <c r="H29">
        <v>2</v>
      </c>
      <c r="I29" t="s">
        <v>684</v>
      </c>
      <c r="J29" t="s">
        <v>685</v>
      </c>
      <c r="K29" t="s">
        <v>686</v>
      </c>
      <c r="L29">
        <v>1368</v>
      </c>
      <c r="N29">
        <v>1011</v>
      </c>
      <c r="O29" t="s">
        <v>666</v>
      </c>
      <c r="P29" t="s">
        <v>666</v>
      </c>
      <c r="Q29">
        <v>1</v>
      </c>
      <c r="W29">
        <v>0</v>
      </c>
      <c r="X29">
        <v>1372534845</v>
      </c>
      <c r="Y29">
        <v>6.25E-2</v>
      </c>
      <c r="AA29">
        <v>0</v>
      </c>
      <c r="AB29">
        <v>440.91</v>
      </c>
      <c r="AC29">
        <v>11.6</v>
      </c>
      <c r="AD29">
        <v>0</v>
      </c>
      <c r="AE29">
        <v>0</v>
      </c>
      <c r="AF29">
        <v>65.709999999999994</v>
      </c>
      <c r="AG29">
        <v>11.6</v>
      </c>
      <c r="AH29">
        <v>0</v>
      </c>
      <c r="AI29">
        <v>1</v>
      </c>
      <c r="AJ29">
        <v>6.71</v>
      </c>
      <c r="AK29">
        <v>1</v>
      </c>
      <c r="AL29">
        <v>1</v>
      </c>
      <c r="AN29">
        <v>0</v>
      </c>
      <c r="AO29">
        <v>1</v>
      </c>
      <c r="AP29">
        <v>1</v>
      </c>
      <c r="AQ29">
        <v>0</v>
      </c>
      <c r="AR29">
        <v>0</v>
      </c>
      <c r="AS29" t="s">
        <v>6</v>
      </c>
      <c r="AT29">
        <v>0.01</v>
      </c>
      <c r="AU29" t="s">
        <v>80</v>
      </c>
      <c r="AV29">
        <v>0</v>
      </c>
      <c r="AW29">
        <v>2</v>
      </c>
      <c r="AX29">
        <v>16802564</v>
      </c>
      <c r="AY29">
        <v>1</v>
      </c>
      <c r="AZ29">
        <v>0</v>
      </c>
      <c r="BA29">
        <v>34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Y29*Source!I38</f>
        <v>0.13112499999999999</v>
      </c>
      <c r="CY29">
        <f>AB29</f>
        <v>440.91</v>
      </c>
      <c r="CZ29">
        <f>AF29</f>
        <v>65.709999999999994</v>
      </c>
      <c r="DA29">
        <f>AJ29</f>
        <v>6.71</v>
      </c>
      <c r="DB29">
        <f>ROUND((ROUND(AT29*CZ29,2)*1.25*5),2)</f>
        <v>4.13</v>
      </c>
      <c r="DC29">
        <f>ROUND((ROUND(AT29*AG29,2)*1.25*5),2)</f>
        <v>0.75</v>
      </c>
    </row>
    <row r="30" spans="1:107" x14ac:dyDescent="0.2">
      <c r="A30">
        <f>ROW(Source!A38)</f>
        <v>38</v>
      </c>
      <c r="B30">
        <v>16802145</v>
      </c>
      <c r="C30">
        <v>16802554</v>
      </c>
      <c r="D30">
        <v>15167286</v>
      </c>
      <c r="E30">
        <v>1</v>
      </c>
      <c r="F30">
        <v>1</v>
      </c>
      <c r="G30">
        <v>1</v>
      </c>
      <c r="H30">
        <v>3</v>
      </c>
      <c r="I30" t="s">
        <v>669</v>
      </c>
      <c r="J30" t="s">
        <v>670</v>
      </c>
      <c r="K30" t="s">
        <v>671</v>
      </c>
      <c r="L30">
        <v>1339</v>
      </c>
      <c r="N30">
        <v>1007</v>
      </c>
      <c r="O30" t="s">
        <v>61</v>
      </c>
      <c r="P30" t="s">
        <v>61</v>
      </c>
      <c r="Q30">
        <v>1</v>
      </c>
      <c r="W30">
        <v>0</v>
      </c>
      <c r="X30">
        <v>-1660354250</v>
      </c>
      <c r="Y30">
        <v>0.15</v>
      </c>
      <c r="AA30">
        <v>16.37</v>
      </c>
      <c r="AB30">
        <v>0</v>
      </c>
      <c r="AC30">
        <v>0</v>
      </c>
      <c r="AD30">
        <v>0</v>
      </c>
      <c r="AE30">
        <v>2.44</v>
      </c>
      <c r="AF30">
        <v>0</v>
      </c>
      <c r="AG30">
        <v>0</v>
      </c>
      <c r="AH30">
        <v>0</v>
      </c>
      <c r="AI30">
        <v>6.71</v>
      </c>
      <c r="AJ30">
        <v>1</v>
      </c>
      <c r="AK30">
        <v>1</v>
      </c>
      <c r="AL30">
        <v>1</v>
      </c>
      <c r="AN30">
        <v>0</v>
      </c>
      <c r="AO30">
        <v>1</v>
      </c>
      <c r="AP30">
        <v>1</v>
      </c>
      <c r="AQ30">
        <v>0</v>
      </c>
      <c r="AR30">
        <v>0</v>
      </c>
      <c r="AS30" t="s">
        <v>6</v>
      </c>
      <c r="AT30">
        <v>0.03</v>
      </c>
      <c r="AU30" t="s">
        <v>79</v>
      </c>
      <c r="AV30">
        <v>0</v>
      </c>
      <c r="AW30">
        <v>2</v>
      </c>
      <c r="AX30">
        <v>16802565</v>
      </c>
      <c r="AY30">
        <v>1</v>
      </c>
      <c r="AZ30">
        <v>0</v>
      </c>
      <c r="BA30">
        <v>35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Y30*Source!I38</f>
        <v>0.31469999999999998</v>
      </c>
      <c r="CY30">
        <f>AA30</f>
        <v>16.37</v>
      </c>
      <c r="CZ30">
        <f>AE30</f>
        <v>2.44</v>
      </c>
      <c r="DA30">
        <f>AI30</f>
        <v>6.71</v>
      </c>
      <c r="DB30">
        <f>ROUND((ROUND(AT30*CZ30,2)*5),2)</f>
        <v>0.35</v>
      </c>
      <c r="DC30">
        <f>ROUND((ROUND(AT30*AG30,2)*5),2)</f>
        <v>0</v>
      </c>
    </row>
    <row r="31" spans="1:107" x14ac:dyDescent="0.2">
      <c r="A31">
        <f>ROW(Source!A38)</f>
        <v>38</v>
      </c>
      <c r="B31">
        <v>16802145</v>
      </c>
      <c r="C31">
        <v>16802554</v>
      </c>
      <c r="D31">
        <v>15172906</v>
      </c>
      <c r="E31">
        <v>1</v>
      </c>
      <c r="F31">
        <v>1</v>
      </c>
      <c r="G31">
        <v>1</v>
      </c>
      <c r="H31">
        <v>3</v>
      </c>
      <c r="I31" t="s">
        <v>687</v>
      </c>
      <c r="J31" t="s">
        <v>688</v>
      </c>
      <c r="K31" t="s">
        <v>689</v>
      </c>
      <c r="L31">
        <v>1348</v>
      </c>
      <c r="N31">
        <v>1009</v>
      </c>
      <c r="O31" t="s">
        <v>65</v>
      </c>
      <c r="P31" t="s">
        <v>65</v>
      </c>
      <c r="Q31">
        <v>1000</v>
      </c>
      <c r="W31">
        <v>0</v>
      </c>
      <c r="X31">
        <v>-2114578287</v>
      </c>
      <c r="Y31">
        <v>0.89999999999999991</v>
      </c>
      <c r="AA31">
        <v>76370.33</v>
      </c>
      <c r="AB31">
        <v>0</v>
      </c>
      <c r="AC31">
        <v>0</v>
      </c>
      <c r="AD31">
        <v>0</v>
      </c>
      <c r="AE31">
        <v>11381.57</v>
      </c>
      <c r="AF31">
        <v>0</v>
      </c>
      <c r="AG31">
        <v>0</v>
      </c>
      <c r="AH31">
        <v>0</v>
      </c>
      <c r="AI31">
        <v>6.71</v>
      </c>
      <c r="AJ31">
        <v>1</v>
      </c>
      <c r="AK31">
        <v>1</v>
      </c>
      <c r="AL31">
        <v>1</v>
      </c>
      <c r="AN31">
        <v>0</v>
      </c>
      <c r="AO31">
        <v>1</v>
      </c>
      <c r="AP31">
        <v>1</v>
      </c>
      <c r="AQ31">
        <v>0</v>
      </c>
      <c r="AR31">
        <v>0</v>
      </c>
      <c r="AS31" t="s">
        <v>6</v>
      </c>
      <c r="AT31">
        <v>0.18</v>
      </c>
      <c r="AU31" t="s">
        <v>79</v>
      </c>
      <c r="AV31">
        <v>0</v>
      </c>
      <c r="AW31">
        <v>2</v>
      </c>
      <c r="AX31">
        <v>16802566</v>
      </c>
      <c r="AY31">
        <v>1</v>
      </c>
      <c r="AZ31">
        <v>0</v>
      </c>
      <c r="BA31">
        <v>36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Y31*Source!I38</f>
        <v>1.8881999999999997</v>
      </c>
      <c r="CY31">
        <f>AA31</f>
        <v>76370.33</v>
      </c>
      <c r="CZ31">
        <f>AE31</f>
        <v>11381.57</v>
      </c>
      <c r="DA31">
        <f>AI31</f>
        <v>6.71</v>
      </c>
      <c r="DB31">
        <f>ROUND((ROUND(AT31*CZ31,2)*5),2)</f>
        <v>10243.4</v>
      </c>
      <c r="DC31">
        <f>ROUND((ROUND(AT31*AG31,2)*5),2)</f>
        <v>0</v>
      </c>
    </row>
    <row r="32" spans="1:107" x14ac:dyDescent="0.2">
      <c r="A32">
        <f>ROW(Source!A39)</f>
        <v>39</v>
      </c>
      <c r="B32">
        <v>16802145</v>
      </c>
      <c r="C32">
        <v>16802568</v>
      </c>
      <c r="D32">
        <v>15438286</v>
      </c>
      <c r="E32">
        <v>1</v>
      </c>
      <c r="F32">
        <v>1</v>
      </c>
      <c r="G32">
        <v>1</v>
      </c>
      <c r="H32">
        <v>1</v>
      </c>
      <c r="I32" t="s">
        <v>693</v>
      </c>
      <c r="J32" t="s">
        <v>6</v>
      </c>
      <c r="K32" t="s">
        <v>694</v>
      </c>
      <c r="L32">
        <v>1191</v>
      </c>
      <c r="N32">
        <v>1013</v>
      </c>
      <c r="O32" t="s">
        <v>660</v>
      </c>
      <c r="P32" t="s">
        <v>660</v>
      </c>
      <c r="Q32">
        <v>1</v>
      </c>
      <c r="W32">
        <v>0</v>
      </c>
      <c r="X32">
        <v>-1027537862</v>
      </c>
      <c r="Y32">
        <v>4.2435</v>
      </c>
      <c r="AA32">
        <v>0</v>
      </c>
      <c r="AB32">
        <v>0</v>
      </c>
      <c r="AC32">
        <v>0</v>
      </c>
      <c r="AD32">
        <v>61.6</v>
      </c>
      <c r="AE32">
        <v>0</v>
      </c>
      <c r="AF32">
        <v>0</v>
      </c>
      <c r="AG32">
        <v>0</v>
      </c>
      <c r="AH32">
        <v>9.18</v>
      </c>
      <c r="AI32">
        <v>1</v>
      </c>
      <c r="AJ32">
        <v>1</v>
      </c>
      <c r="AK32">
        <v>1</v>
      </c>
      <c r="AL32">
        <v>6.71</v>
      </c>
      <c r="AN32">
        <v>0</v>
      </c>
      <c r="AO32">
        <v>1</v>
      </c>
      <c r="AP32">
        <v>1</v>
      </c>
      <c r="AQ32">
        <v>0</v>
      </c>
      <c r="AR32">
        <v>0</v>
      </c>
      <c r="AS32" t="s">
        <v>6</v>
      </c>
      <c r="AT32">
        <v>3.69</v>
      </c>
      <c r="AU32" t="s">
        <v>72</v>
      </c>
      <c r="AV32">
        <v>1</v>
      </c>
      <c r="AW32">
        <v>2</v>
      </c>
      <c r="AX32">
        <v>16802577</v>
      </c>
      <c r="AY32">
        <v>1</v>
      </c>
      <c r="AZ32">
        <v>0</v>
      </c>
      <c r="BA32">
        <v>37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Y32*Source!I39</f>
        <v>8.902863</v>
      </c>
      <c r="CY32">
        <f>AD32</f>
        <v>61.6</v>
      </c>
      <c r="CZ32">
        <f>AH32</f>
        <v>9.18</v>
      </c>
      <c r="DA32">
        <f>AL32</f>
        <v>6.71</v>
      </c>
      <c r="DB32">
        <f>ROUND((ROUND(AT32*CZ32,2)*1.15),2)</f>
        <v>38.950000000000003</v>
      </c>
      <c r="DC32">
        <f>ROUND((ROUND(AT32*AG32,2)*1.15),2)</f>
        <v>0</v>
      </c>
    </row>
    <row r="33" spans="1:107" x14ac:dyDescent="0.2">
      <c r="A33">
        <f>ROW(Source!A39)</f>
        <v>39</v>
      </c>
      <c r="B33">
        <v>16802145</v>
      </c>
      <c r="C33">
        <v>16802568</v>
      </c>
      <c r="D33">
        <v>15430395</v>
      </c>
      <c r="E33">
        <v>1</v>
      </c>
      <c r="F33">
        <v>1</v>
      </c>
      <c r="G33">
        <v>1</v>
      </c>
      <c r="H33">
        <v>1</v>
      </c>
      <c r="I33" t="s">
        <v>661</v>
      </c>
      <c r="J33" t="s">
        <v>6</v>
      </c>
      <c r="K33" t="s">
        <v>662</v>
      </c>
      <c r="L33">
        <v>1191</v>
      </c>
      <c r="N33">
        <v>1013</v>
      </c>
      <c r="O33" t="s">
        <v>660</v>
      </c>
      <c r="P33" t="s">
        <v>660</v>
      </c>
      <c r="Q33">
        <v>1</v>
      </c>
      <c r="W33">
        <v>0</v>
      </c>
      <c r="X33">
        <v>-1417349443</v>
      </c>
      <c r="Y33">
        <v>0.05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1</v>
      </c>
      <c r="AJ33">
        <v>1</v>
      </c>
      <c r="AK33">
        <v>6.71</v>
      </c>
      <c r="AL33">
        <v>1</v>
      </c>
      <c r="AN33">
        <v>0</v>
      </c>
      <c r="AO33">
        <v>1</v>
      </c>
      <c r="AP33">
        <v>0</v>
      </c>
      <c r="AQ33">
        <v>0</v>
      </c>
      <c r="AR33">
        <v>0</v>
      </c>
      <c r="AS33" t="s">
        <v>6</v>
      </c>
      <c r="AT33">
        <v>0.05</v>
      </c>
      <c r="AU33" t="s">
        <v>6</v>
      </c>
      <c r="AV33">
        <v>2</v>
      </c>
      <c r="AW33">
        <v>2</v>
      </c>
      <c r="AX33">
        <v>16802578</v>
      </c>
      <c r="AY33">
        <v>1</v>
      </c>
      <c r="AZ33">
        <v>2048</v>
      </c>
      <c r="BA33">
        <v>38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Y33*Source!I39</f>
        <v>0.10489999999999999</v>
      </c>
      <c r="CY33">
        <f>AD33</f>
        <v>0</v>
      </c>
      <c r="CZ33">
        <f>AH33</f>
        <v>0</v>
      </c>
      <c r="DA33">
        <f>AL33</f>
        <v>1</v>
      </c>
      <c r="DB33">
        <f>ROUND(ROUND(AT33*CZ33,2),2)</f>
        <v>0</v>
      </c>
      <c r="DC33">
        <f>ROUND(ROUND(AT33*AG33,2),2)</f>
        <v>0</v>
      </c>
    </row>
    <row r="34" spans="1:107" x14ac:dyDescent="0.2">
      <c r="A34">
        <f>ROW(Source!A39)</f>
        <v>39</v>
      </c>
      <c r="B34">
        <v>16802145</v>
      </c>
      <c r="C34">
        <v>16802568</v>
      </c>
      <c r="D34">
        <v>15247970</v>
      </c>
      <c r="E34">
        <v>1</v>
      </c>
      <c r="F34">
        <v>1</v>
      </c>
      <c r="G34">
        <v>1</v>
      </c>
      <c r="H34">
        <v>2</v>
      </c>
      <c r="I34" t="s">
        <v>681</v>
      </c>
      <c r="J34" t="s">
        <v>682</v>
      </c>
      <c r="K34" t="s">
        <v>683</v>
      </c>
      <c r="L34">
        <v>1368</v>
      </c>
      <c r="N34">
        <v>1011</v>
      </c>
      <c r="O34" t="s">
        <v>666</v>
      </c>
      <c r="P34" t="s">
        <v>666</v>
      </c>
      <c r="Q34">
        <v>1</v>
      </c>
      <c r="W34">
        <v>0</v>
      </c>
      <c r="X34">
        <v>368031958</v>
      </c>
      <c r="Y34">
        <v>1.2500000000000001E-2</v>
      </c>
      <c r="AA34">
        <v>0</v>
      </c>
      <c r="AB34">
        <v>185.6</v>
      </c>
      <c r="AC34">
        <v>11.6</v>
      </c>
      <c r="AD34">
        <v>0</v>
      </c>
      <c r="AE34">
        <v>0</v>
      </c>
      <c r="AF34">
        <v>27.66</v>
      </c>
      <c r="AG34">
        <v>11.6</v>
      </c>
      <c r="AH34">
        <v>0</v>
      </c>
      <c r="AI34">
        <v>1</v>
      </c>
      <c r="AJ34">
        <v>6.71</v>
      </c>
      <c r="AK34">
        <v>1</v>
      </c>
      <c r="AL34">
        <v>1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6</v>
      </c>
      <c r="AT34">
        <v>0.01</v>
      </c>
      <c r="AU34" t="s">
        <v>71</v>
      </c>
      <c r="AV34">
        <v>0</v>
      </c>
      <c r="AW34">
        <v>2</v>
      </c>
      <c r="AX34">
        <v>16802579</v>
      </c>
      <c r="AY34">
        <v>1</v>
      </c>
      <c r="AZ34">
        <v>0</v>
      </c>
      <c r="BA34">
        <v>39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Y34*Source!I39</f>
        <v>2.6224999999999998E-2</v>
      </c>
      <c r="CY34">
        <f>AB34</f>
        <v>185.6</v>
      </c>
      <c r="CZ34">
        <f>AF34</f>
        <v>27.66</v>
      </c>
      <c r="DA34">
        <f>AJ34</f>
        <v>6.71</v>
      </c>
      <c r="DB34">
        <f>ROUND((ROUND(AT34*CZ34,2)*1.25),2)</f>
        <v>0.35</v>
      </c>
      <c r="DC34">
        <f>ROUND((ROUND(AT34*AG34,2)*1.25),2)</f>
        <v>0.15</v>
      </c>
    </row>
    <row r="35" spans="1:107" x14ac:dyDescent="0.2">
      <c r="A35">
        <f>ROW(Source!A39)</f>
        <v>39</v>
      </c>
      <c r="B35">
        <v>16802145</v>
      </c>
      <c r="C35">
        <v>16802568</v>
      </c>
      <c r="D35">
        <v>15249073</v>
      </c>
      <c r="E35">
        <v>1</v>
      </c>
      <c r="F35">
        <v>1</v>
      </c>
      <c r="G35">
        <v>1</v>
      </c>
      <c r="H35">
        <v>2</v>
      </c>
      <c r="I35" t="s">
        <v>684</v>
      </c>
      <c r="J35" t="s">
        <v>685</v>
      </c>
      <c r="K35" t="s">
        <v>686</v>
      </c>
      <c r="L35">
        <v>1368</v>
      </c>
      <c r="N35">
        <v>1011</v>
      </c>
      <c r="O35" t="s">
        <v>666</v>
      </c>
      <c r="P35" t="s">
        <v>666</v>
      </c>
      <c r="Q35">
        <v>1</v>
      </c>
      <c r="W35">
        <v>0</v>
      </c>
      <c r="X35">
        <v>1372534845</v>
      </c>
      <c r="Y35">
        <v>0.05</v>
      </c>
      <c r="AA35">
        <v>0</v>
      </c>
      <c r="AB35">
        <v>440.91</v>
      </c>
      <c r="AC35">
        <v>11.6</v>
      </c>
      <c r="AD35">
        <v>0</v>
      </c>
      <c r="AE35">
        <v>0</v>
      </c>
      <c r="AF35">
        <v>65.709999999999994</v>
      </c>
      <c r="AG35">
        <v>11.6</v>
      </c>
      <c r="AH35">
        <v>0</v>
      </c>
      <c r="AI35">
        <v>1</v>
      </c>
      <c r="AJ35">
        <v>6.71</v>
      </c>
      <c r="AK35">
        <v>1</v>
      </c>
      <c r="AL35">
        <v>1</v>
      </c>
      <c r="AN35">
        <v>0</v>
      </c>
      <c r="AO35">
        <v>1</v>
      </c>
      <c r="AP35">
        <v>1</v>
      </c>
      <c r="AQ35">
        <v>0</v>
      </c>
      <c r="AR35">
        <v>0</v>
      </c>
      <c r="AS35" t="s">
        <v>6</v>
      </c>
      <c r="AT35">
        <v>0.04</v>
      </c>
      <c r="AU35" t="s">
        <v>71</v>
      </c>
      <c r="AV35">
        <v>0</v>
      </c>
      <c r="AW35">
        <v>2</v>
      </c>
      <c r="AX35">
        <v>16802580</v>
      </c>
      <c r="AY35">
        <v>1</v>
      </c>
      <c r="AZ35">
        <v>0</v>
      </c>
      <c r="BA35">
        <v>40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Y35*Source!I39</f>
        <v>0.10489999999999999</v>
      </c>
      <c r="CY35">
        <f>AB35</f>
        <v>440.91</v>
      </c>
      <c r="CZ35">
        <f>AF35</f>
        <v>65.709999999999994</v>
      </c>
      <c r="DA35">
        <f>AJ35</f>
        <v>6.71</v>
      </c>
      <c r="DB35">
        <f>ROUND((ROUND(AT35*CZ35,2)*1.25),2)</f>
        <v>3.29</v>
      </c>
      <c r="DC35">
        <f>ROUND((ROUND(AT35*AG35,2)*1.25),2)</f>
        <v>0.57999999999999996</v>
      </c>
    </row>
    <row r="36" spans="1:107" x14ac:dyDescent="0.2">
      <c r="A36">
        <f>ROW(Source!A39)</f>
        <v>39</v>
      </c>
      <c r="B36">
        <v>16802145</v>
      </c>
      <c r="C36">
        <v>16802568</v>
      </c>
      <c r="D36">
        <v>15249933</v>
      </c>
      <c r="E36">
        <v>1</v>
      </c>
      <c r="F36">
        <v>1</v>
      </c>
      <c r="G36">
        <v>1</v>
      </c>
      <c r="H36">
        <v>2</v>
      </c>
      <c r="I36" t="s">
        <v>695</v>
      </c>
      <c r="J36" t="s">
        <v>696</v>
      </c>
      <c r="K36" t="s">
        <v>697</v>
      </c>
      <c r="L36">
        <v>1368</v>
      </c>
      <c r="N36">
        <v>1011</v>
      </c>
      <c r="O36" t="s">
        <v>666</v>
      </c>
      <c r="P36" t="s">
        <v>666</v>
      </c>
      <c r="Q36">
        <v>1</v>
      </c>
      <c r="W36">
        <v>0</v>
      </c>
      <c r="X36">
        <v>271748449</v>
      </c>
      <c r="Y36">
        <v>3.5249999999999999</v>
      </c>
      <c r="AA36">
        <v>0</v>
      </c>
      <c r="AB36">
        <v>45.76</v>
      </c>
      <c r="AC36">
        <v>0</v>
      </c>
      <c r="AD36">
        <v>0</v>
      </c>
      <c r="AE36">
        <v>0</v>
      </c>
      <c r="AF36">
        <v>6.82</v>
      </c>
      <c r="AG36">
        <v>0</v>
      </c>
      <c r="AH36">
        <v>0</v>
      </c>
      <c r="AI36">
        <v>1</v>
      </c>
      <c r="AJ36">
        <v>6.71</v>
      </c>
      <c r="AK36">
        <v>1</v>
      </c>
      <c r="AL36">
        <v>1</v>
      </c>
      <c r="AN36">
        <v>0</v>
      </c>
      <c r="AO36">
        <v>1</v>
      </c>
      <c r="AP36">
        <v>1</v>
      </c>
      <c r="AQ36">
        <v>0</v>
      </c>
      <c r="AR36">
        <v>0</v>
      </c>
      <c r="AS36" t="s">
        <v>6</v>
      </c>
      <c r="AT36">
        <v>2.82</v>
      </c>
      <c r="AU36" t="s">
        <v>71</v>
      </c>
      <c r="AV36">
        <v>0</v>
      </c>
      <c r="AW36">
        <v>2</v>
      </c>
      <c r="AX36">
        <v>16802581</v>
      </c>
      <c r="AY36">
        <v>1</v>
      </c>
      <c r="AZ36">
        <v>0</v>
      </c>
      <c r="BA36">
        <v>41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Y36*Source!I39</f>
        <v>7.3954499999999994</v>
      </c>
      <c r="CY36">
        <f>AB36</f>
        <v>45.76</v>
      </c>
      <c r="CZ36">
        <f>AF36</f>
        <v>6.82</v>
      </c>
      <c r="DA36">
        <f>AJ36</f>
        <v>6.71</v>
      </c>
      <c r="DB36">
        <f>ROUND((ROUND(AT36*CZ36,2)*1.25),2)</f>
        <v>24.04</v>
      </c>
      <c r="DC36">
        <f>ROUND((ROUND(AT36*AG36,2)*1.25),2)</f>
        <v>0</v>
      </c>
    </row>
    <row r="37" spans="1:107" x14ac:dyDescent="0.2">
      <c r="A37">
        <f>ROW(Source!A39)</f>
        <v>39</v>
      </c>
      <c r="B37">
        <v>16802145</v>
      </c>
      <c r="C37">
        <v>16802568</v>
      </c>
      <c r="D37">
        <v>15167286</v>
      </c>
      <c r="E37">
        <v>1</v>
      </c>
      <c r="F37">
        <v>1</v>
      </c>
      <c r="G37">
        <v>1</v>
      </c>
      <c r="H37">
        <v>3</v>
      </c>
      <c r="I37" t="s">
        <v>669</v>
      </c>
      <c r="J37" t="s">
        <v>670</v>
      </c>
      <c r="K37" t="s">
        <v>671</v>
      </c>
      <c r="L37">
        <v>1339</v>
      </c>
      <c r="N37">
        <v>1007</v>
      </c>
      <c r="O37" t="s">
        <v>61</v>
      </c>
      <c r="P37" t="s">
        <v>61</v>
      </c>
      <c r="Q37">
        <v>1</v>
      </c>
      <c r="W37">
        <v>0</v>
      </c>
      <c r="X37">
        <v>-1660354250</v>
      </c>
      <c r="Y37">
        <v>0.01</v>
      </c>
      <c r="AA37">
        <v>16.37</v>
      </c>
      <c r="AB37">
        <v>0</v>
      </c>
      <c r="AC37">
        <v>0</v>
      </c>
      <c r="AD37">
        <v>0</v>
      </c>
      <c r="AE37">
        <v>2.44</v>
      </c>
      <c r="AF37">
        <v>0</v>
      </c>
      <c r="AG37">
        <v>0</v>
      </c>
      <c r="AH37">
        <v>0</v>
      </c>
      <c r="AI37">
        <v>6.71</v>
      </c>
      <c r="AJ37">
        <v>1</v>
      </c>
      <c r="AK37">
        <v>1</v>
      </c>
      <c r="AL37">
        <v>1</v>
      </c>
      <c r="AN37">
        <v>0</v>
      </c>
      <c r="AO37">
        <v>1</v>
      </c>
      <c r="AP37">
        <v>0</v>
      </c>
      <c r="AQ37">
        <v>0</v>
      </c>
      <c r="AR37">
        <v>0</v>
      </c>
      <c r="AS37" t="s">
        <v>6</v>
      </c>
      <c r="AT37">
        <v>0.01</v>
      </c>
      <c r="AU37" t="s">
        <v>6</v>
      </c>
      <c r="AV37">
        <v>0</v>
      </c>
      <c r="AW37">
        <v>2</v>
      </c>
      <c r="AX37">
        <v>16802582</v>
      </c>
      <c r="AY37">
        <v>1</v>
      </c>
      <c r="AZ37">
        <v>0</v>
      </c>
      <c r="BA37">
        <v>42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Y37*Source!I39</f>
        <v>2.0979999999999999E-2</v>
      </c>
      <c r="CY37">
        <f>AA37</f>
        <v>16.37</v>
      </c>
      <c r="CZ37">
        <f>AE37</f>
        <v>2.44</v>
      </c>
      <c r="DA37">
        <f>AI37</f>
        <v>6.71</v>
      </c>
      <c r="DB37">
        <f t="shared" ref="DB37:DB48" si="2">ROUND(ROUND(AT37*CZ37,2),2)</f>
        <v>0.02</v>
      </c>
      <c r="DC37">
        <f t="shared" ref="DC37:DC48" si="3">ROUND(ROUND(AT37*AG37,2),2)</f>
        <v>0</v>
      </c>
    </row>
    <row r="38" spans="1:107" x14ac:dyDescent="0.2">
      <c r="A38">
        <f>ROW(Source!A39)</f>
        <v>39</v>
      </c>
      <c r="B38">
        <v>16802145</v>
      </c>
      <c r="C38">
        <v>16802568</v>
      </c>
      <c r="D38">
        <v>15171018</v>
      </c>
      <c r="E38">
        <v>1</v>
      </c>
      <c r="F38">
        <v>1</v>
      </c>
      <c r="G38">
        <v>1</v>
      </c>
      <c r="H38">
        <v>3</v>
      </c>
      <c r="I38" t="s">
        <v>698</v>
      </c>
      <c r="J38" t="s">
        <v>699</v>
      </c>
      <c r="K38" t="s">
        <v>700</v>
      </c>
      <c r="L38">
        <v>1346</v>
      </c>
      <c r="N38">
        <v>1009</v>
      </c>
      <c r="O38" t="s">
        <v>103</v>
      </c>
      <c r="P38" t="s">
        <v>103</v>
      </c>
      <c r="Q38">
        <v>1</v>
      </c>
      <c r="W38">
        <v>0</v>
      </c>
      <c r="X38">
        <v>813963326</v>
      </c>
      <c r="Y38">
        <v>1</v>
      </c>
      <c r="AA38">
        <v>12.21</v>
      </c>
      <c r="AB38">
        <v>0</v>
      </c>
      <c r="AC38">
        <v>0</v>
      </c>
      <c r="AD38">
        <v>0</v>
      </c>
      <c r="AE38">
        <v>1.82</v>
      </c>
      <c r="AF38">
        <v>0</v>
      </c>
      <c r="AG38">
        <v>0</v>
      </c>
      <c r="AH38">
        <v>0</v>
      </c>
      <c r="AI38">
        <v>6.71</v>
      </c>
      <c r="AJ38">
        <v>1</v>
      </c>
      <c r="AK38">
        <v>1</v>
      </c>
      <c r="AL38">
        <v>1</v>
      </c>
      <c r="AN38">
        <v>0</v>
      </c>
      <c r="AO38">
        <v>1</v>
      </c>
      <c r="AP38">
        <v>0</v>
      </c>
      <c r="AQ38">
        <v>0</v>
      </c>
      <c r="AR38">
        <v>0</v>
      </c>
      <c r="AS38" t="s">
        <v>6</v>
      </c>
      <c r="AT38">
        <v>1</v>
      </c>
      <c r="AU38" t="s">
        <v>6</v>
      </c>
      <c r="AV38">
        <v>0</v>
      </c>
      <c r="AW38">
        <v>2</v>
      </c>
      <c r="AX38">
        <v>16802583</v>
      </c>
      <c r="AY38">
        <v>1</v>
      </c>
      <c r="AZ38">
        <v>0</v>
      </c>
      <c r="BA38">
        <v>43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Y38*Source!I39</f>
        <v>2.0979999999999999</v>
      </c>
      <c r="CY38">
        <f>AA38</f>
        <v>12.21</v>
      </c>
      <c r="CZ38">
        <f>AE38</f>
        <v>1.82</v>
      </c>
      <c r="DA38">
        <f>AI38</f>
        <v>6.71</v>
      </c>
      <c r="DB38">
        <f t="shared" si="2"/>
        <v>1.82</v>
      </c>
      <c r="DC38">
        <f t="shared" si="3"/>
        <v>0</v>
      </c>
    </row>
    <row r="39" spans="1:107" x14ac:dyDescent="0.2">
      <c r="A39">
        <f>ROW(Source!A39)</f>
        <v>39</v>
      </c>
      <c r="B39">
        <v>16802145</v>
      </c>
      <c r="C39">
        <v>16802568</v>
      </c>
      <c r="D39">
        <v>15203485</v>
      </c>
      <c r="E39">
        <v>1</v>
      </c>
      <c r="F39">
        <v>1</v>
      </c>
      <c r="G39">
        <v>1</v>
      </c>
      <c r="H39">
        <v>3</v>
      </c>
      <c r="I39" t="s">
        <v>690</v>
      </c>
      <c r="J39" t="s">
        <v>691</v>
      </c>
      <c r="K39" t="s">
        <v>692</v>
      </c>
      <c r="L39">
        <v>1346</v>
      </c>
      <c r="N39">
        <v>1009</v>
      </c>
      <c r="O39" t="s">
        <v>103</v>
      </c>
      <c r="P39" t="s">
        <v>103</v>
      </c>
      <c r="Q39">
        <v>1</v>
      </c>
      <c r="W39">
        <v>0</v>
      </c>
      <c r="X39">
        <v>303141801</v>
      </c>
      <c r="Y39">
        <v>13.8</v>
      </c>
      <c r="AA39">
        <v>102.33</v>
      </c>
      <c r="AB39">
        <v>0</v>
      </c>
      <c r="AC39">
        <v>0</v>
      </c>
      <c r="AD39">
        <v>0</v>
      </c>
      <c r="AE39">
        <v>15.25</v>
      </c>
      <c r="AF39">
        <v>0</v>
      </c>
      <c r="AG39">
        <v>0</v>
      </c>
      <c r="AH39">
        <v>0</v>
      </c>
      <c r="AI39">
        <v>6.71</v>
      </c>
      <c r="AJ39">
        <v>1</v>
      </c>
      <c r="AK39">
        <v>1</v>
      </c>
      <c r="AL39">
        <v>1</v>
      </c>
      <c r="AN39">
        <v>0</v>
      </c>
      <c r="AO39">
        <v>1</v>
      </c>
      <c r="AP39">
        <v>0</v>
      </c>
      <c r="AQ39">
        <v>0</v>
      </c>
      <c r="AR39">
        <v>0</v>
      </c>
      <c r="AS39" t="s">
        <v>6</v>
      </c>
      <c r="AT39">
        <v>13.8</v>
      </c>
      <c r="AU39" t="s">
        <v>6</v>
      </c>
      <c r="AV39">
        <v>0</v>
      </c>
      <c r="AW39">
        <v>2</v>
      </c>
      <c r="AX39">
        <v>16802584</v>
      </c>
      <c r="AY39">
        <v>1</v>
      </c>
      <c r="AZ39">
        <v>0</v>
      </c>
      <c r="BA39">
        <v>44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Y39*Source!I39</f>
        <v>28.952400000000001</v>
      </c>
      <c r="CY39">
        <f>AA39</f>
        <v>102.33</v>
      </c>
      <c r="CZ39">
        <f>AE39</f>
        <v>15.25</v>
      </c>
      <c r="DA39">
        <f>AI39</f>
        <v>6.71</v>
      </c>
      <c r="DB39">
        <f t="shared" si="2"/>
        <v>210.45</v>
      </c>
      <c r="DC39">
        <f t="shared" si="3"/>
        <v>0</v>
      </c>
    </row>
    <row r="40" spans="1:107" x14ac:dyDescent="0.2">
      <c r="A40">
        <f>ROW(Source!A40)</f>
        <v>40</v>
      </c>
      <c r="B40">
        <v>16802145</v>
      </c>
      <c r="C40">
        <v>16802585</v>
      </c>
      <c r="D40">
        <v>15432356</v>
      </c>
      <c r="E40">
        <v>1</v>
      </c>
      <c r="F40">
        <v>1</v>
      </c>
      <c r="G40">
        <v>1</v>
      </c>
      <c r="H40">
        <v>1</v>
      </c>
      <c r="I40" t="s">
        <v>701</v>
      </c>
      <c r="J40" t="s">
        <v>6</v>
      </c>
      <c r="K40" t="s">
        <v>702</v>
      </c>
      <c r="L40">
        <v>1191</v>
      </c>
      <c r="N40">
        <v>1013</v>
      </c>
      <c r="O40" t="s">
        <v>660</v>
      </c>
      <c r="P40" t="s">
        <v>660</v>
      </c>
      <c r="Q40">
        <v>1</v>
      </c>
      <c r="W40">
        <v>0</v>
      </c>
      <c r="X40">
        <v>1850719656</v>
      </c>
      <c r="Y40">
        <v>42.4</v>
      </c>
      <c r="AA40">
        <v>0</v>
      </c>
      <c r="AB40">
        <v>0</v>
      </c>
      <c r="AC40">
        <v>0</v>
      </c>
      <c r="AD40">
        <v>55.76</v>
      </c>
      <c r="AE40">
        <v>0</v>
      </c>
      <c r="AF40">
        <v>0</v>
      </c>
      <c r="AG40">
        <v>0</v>
      </c>
      <c r="AH40">
        <v>8.31</v>
      </c>
      <c r="AI40">
        <v>1</v>
      </c>
      <c r="AJ40">
        <v>1</v>
      </c>
      <c r="AK40">
        <v>1</v>
      </c>
      <c r="AL40">
        <v>6.71</v>
      </c>
      <c r="AN40">
        <v>0</v>
      </c>
      <c r="AO40">
        <v>1</v>
      </c>
      <c r="AP40">
        <v>0</v>
      </c>
      <c r="AQ40">
        <v>0</v>
      </c>
      <c r="AR40">
        <v>0</v>
      </c>
      <c r="AS40" t="s">
        <v>6</v>
      </c>
      <c r="AT40">
        <v>42.4</v>
      </c>
      <c r="AU40" t="s">
        <v>6</v>
      </c>
      <c r="AV40">
        <v>1</v>
      </c>
      <c r="AW40">
        <v>2</v>
      </c>
      <c r="AX40">
        <v>16802595</v>
      </c>
      <c r="AY40">
        <v>1</v>
      </c>
      <c r="AZ40">
        <v>0</v>
      </c>
      <c r="BA40">
        <v>45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Y40*Source!I40</f>
        <v>88.955199999999991</v>
      </c>
      <c r="CY40">
        <f>AD40</f>
        <v>55.76</v>
      </c>
      <c r="CZ40">
        <f>AH40</f>
        <v>8.31</v>
      </c>
      <c r="DA40">
        <f>AL40</f>
        <v>6.71</v>
      </c>
      <c r="DB40">
        <f t="shared" si="2"/>
        <v>352.34</v>
      </c>
      <c r="DC40">
        <f t="shared" si="3"/>
        <v>0</v>
      </c>
    </row>
    <row r="41" spans="1:107" x14ac:dyDescent="0.2">
      <c r="A41">
        <f>ROW(Source!A40)</f>
        <v>40</v>
      </c>
      <c r="B41">
        <v>16802145</v>
      </c>
      <c r="C41">
        <v>16802585</v>
      </c>
      <c r="D41">
        <v>15430395</v>
      </c>
      <c r="E41">
        <v>1</v>
      </c>
      <c r="F41">
        <v>1</v>
      </c>
      <c r="G41">
        <v>1</v>
      </c>
      <c r="H41">
        <v>1</v>
      </c>
      <c r="I41" t="s">
        <v>661</v>
      </c>
      <c r="J41" t="s">
        <v>6</v>
      </c>
      <c r="K41" t="s">
        <v>662</v>
      </c>
      <c r="L41">
        <v>1191</v>
      </c>
      <c r="N41">
        <v>1013</v>
      </c>
      <c r="O41" t="s">
        <v>660</v>
      </c>
      <c r="P41" t="s">
        <v>660</v>
      </c>
      <c r="Q41">
        <v>1</v>
      </c>
      <c r="W41">
        <v>0</v>
      </c>
      <c r="X41">
        <v>-1417349443</v>
      </c>
      <c r="Y41">
        <v>0.85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1</v>
      </c>
      <c r="AJ41">
        <v>1</v>
      </c>
      <c r="AK41">
        <v>6.71</v>
      </c>
      <c r="AL41">
        <v>1</v>
      </c>
      <c r="AN41">
        <v>0</v>
      </c>
      <c r="AO41">
        <v>1</v>
      </c>
      <c r="AP41">
        <v>0</v>
      </c>
      <c r="AQ41">
        <v>0</v>
      </c>
      <c r="AR41">
        <v>0</v>
      </c>
      <c r="AS41" t="s">
        <v>6</v>
      </c>
      <c r="AT41">
        <v>0.85</v>
      </c>
      <c r="AU41" t="s">
        <v>6</v>
      </c>
      <c r="AV41">
        <v>2</v>
      </c>
      <c r="AW41">
        <v>2</v>
      </c>
      <c r="AX41">
        <v>16802596</v>
      </c>
      <c r="AY41">
        <v>1</v>
      </c>
      <c r="AZ41">
        <v>0</v>
      </c>
      <c r="BA41">
        <v>46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Y41*Source!I40</f>
        <v>1.7832999999999999</v>
      </c>
      <c r="CY41">
        <f>AD41</f>
        <v>0</v>
      </c>
      <c r="CZ41">
        <f>AH41</f>
        <v>0</v>
      </c>
      <c r="DA41">
        <f>AL41</f>
        <v>1</v>
      </c>
      <c r="DB41">
        <f t="shared" si="2"/>
        <v>0</v>
      </c>
      <c r="DC41">
        <f t="shared" si="3"/>
        <v>0</v>
      </c>
    </row>
    <row r="42" spans="1:107" x14ac:dyDescent="0.2">
      <c r="A42">
        <f>ROW(Source!A40)</f>
        <v>40</v>
      </c>
      <c r="B42">
        <v>16802145</v>
      </c>
      <c r="C42">
        <v>16802585</v>
      </c>
      <c r="D42">
        <v>15247974</v>
      </c>
      <c r="E42">
        <v>1</v>
      </c>
      <c r="F42">
        <v>1</v>
      </c>
      <c r="G42">
        <v>1</v>
      </c>
      <c r="H42">
        <v>2</v>
      </c>
      <c r="I42" t="s">
        <v>663</v>
      </c>
      <c r="J42" t="s">
        <v>664</v>
      </c>
      <c r="K42" t="s">
        <v>665</v>
      </c>
      <c r="L42">
        <v>1368</v>
      </c>
      <c r="N42">
        <v>1011</v>
      </c>
      <c r="O42" t="s">
        <v>666</v>
      </c>
      <c r="P42" t="s">
        <v>666</v>
      </c>
      <c r="Q42">
        <v>1</v>
      </c>
      <c r="W42">
        <v>0</v>
      </c>
      <c r="X42">
        <v>1188625873</v>
      </c>
      <c r="Y42">
        <v>0.35</v>
      </c>
      <c r="AA42">
        <v>0</v>
      </c>
      <c r="AB42">
        <v>209.75</v>
      </c>
      <c r="AC42">
        <v>13.5</v>
      </c>
      <c r="AD42">
        <v>0</v>
      </c>
      <c r="AE42">
        <v>0</v>
      </c>
      <c r="AF42">
        <v>31.26</v>
      </c>
      <c r="AG42">
        <v>13.5</v>
      </c>
      <c r="AH42">
        <v>0</v>
      </c>
      <c r="AI42">
        <v>1</v>
      </c>
      <c r="AJ42">
        <v>6.71</v>
      </c>
      <c r="AK42">
        <v>1</v>
      </c>
      <c r="AL42">
        <v>1</v>
      </c>
      <c r="AN42">
        <v>0</v>
      </c>
      <c r="AO42">
        <v>1</v>
      </c>
      <c r="AP42">
        <v>0</v>
      </c>
      <c r="AQ42">
        <v>0</v>
      </c>
      <c r="AR42">
        <v>0</v>
      </c>
      <c r="AS42" t="s">
        <v>6</v>
      </c>
      <c r="AT42">
        <v>0.35</v>
      </c>
      <c r="AU42" t="s">
        <v>6</v>
      </c>
      <c r="AV42">
        <v>0</v>
      </c>
      <c r="AW42">
        <v>2</v>
      </c>
      <c r="AX42">
        <v>16802597</v>
      </c>
      <c r="AY42">
        <v>1</v>
      </c>
      <c r="AZ42">
        <v>0</v>
      </c>
      <c r="BA42">
        <v>47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Y42*Source!I40</f>
        <v>0.73429999999999995</v>
      </c>
      <c r="CY42">
        <f>AB42</f>
        <v>209.75</v>
      </c>
      <c r="CZ42">
        <f>AF42</f>
        <v>31.26</v>
      </c>
      <c r="DA42">
        <f>AJ42</f>
        <v>6.71</v>
      </c>
      <c r="DB42">
        <f t="shared" si="2"/>
        <v>10.94</v>
      </c>
      <c r="DC42">
        <f t="shared" si="3"/>
        <v>4.7300000000000004</v>
      </c>
    </row>
    <row r="43" spans="1:107" x14ac:dyDescent="0.2">
      <c r="A43">
        <f>ROW(Source!A40)</f>
        <v>40</v>
      </c>
      <c r="B43">
        <v>16802145</v>
      </c>
      <c r="C43">
        <v>16802585</v>
      </c>
      <c r="D43">
        <v>15249073</v>
      </c>
      <c r="E43">
        <v>1</v>
      </c>
      <c r="F43">
        <v>1</v>
      </c>
      <c r="G43">
        <v>1</v>
      </c>
      <c r="H43">
        <v>2</v>
      </c>
      <c r="I43" t="s">
        <v>684</v>
      </c>
      <c r="J43" t="s">
        <v>685</v>
      </c>
      <c r="K43" t="s">
        <v>686</v>
      </c>
      <c r="L43">
        <v>1368</v>
      </c>
      <c r="N43">
        <v>1011</v>
      </c>
      <c r="O43" t="s">
        <v>666</v>
      </c>
      <c r="P43" t="s">
        <v>666</v>
      </c>
      <c r="Q43">
        <v>1</v>
      </c>
      <c r="W43">
        <v>0</v>
      </c>
      <c r="X43">
        <v>1372534845</v>
      </c>
      <c r="Y43">
        <v>0.5</v>
      </c>
      <c r="AA43">
        <v>0</v>
      </c>
      <c r="AB43">
        <v>440.91</v>
      </c>
      <c r="AC43">
        <v>11.6</v>
      </c>
      <c r="AD43">
        <v>0</v>
      </c>
      <c r="AE43">
        <v>0</v>
      </c>
      <c r="AF43">
        <v>65.709999999999994</v>
      </c>
      <c r="AG43">
        <v>11.6</v>
      </c>
      <c r="AH43">
        <v>0</v>
      </c>
      <c r="AI43">
        <v>1</v>
      </c>
      <c r="AJ43">
        <v>6.71</v>
      </c>
      <c r="AK43">
        <v>1</v>
      </c>
      <c r="AL43">
        <v>1</v>
      </c>
      <c r="AN43">
        <v>0</v>
      </c>
      <c r="AO43">
        <v>1</v>
      </c>
      <c r="AP43">
        <v>0</v>
      </c>
      <c r="AQ43">
        <v>0</v>
      </c>
      <c r="AR43">
        <v>0</v>
      </c>
      <c r="AS43" t="s">
        <v>6</v>
      </c>
      <c r="AT43">
        <v>0.5</v>
      </c>
      <c r="AU43" t="s">
        <v>6</v>
      </c>
      <c r="AV43">
        <v>0</v>
      </c>
      <c r="AW43">
        <v>2</v>
      </c>
      <c r="AX43">
        <v>16802598</v>
      </c>
      <c r="AY43">
        <v>1</v>
      </c>
      <c r="AZ43">
        <v>0</v>
      </c>
      <c r="BA43">
        <v>48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Y43*Source!I40</f>
        <v>1.0489999999999999</v>
      </c>
      <c r="CY43">
        <f>AB43</f>
        <v>440.91</v>
      </c>
      <c r="CZ43">
        <f>AF43</f>
        <v>65.709999999999994</v>
      </c>
      <c r="DA43">
        <f>AJ43</f>
        <v>6.71</v>
      </c>
      <c r="DB43">
        <f t="shared" si="2"/>
        <v>32.86</v>
      </c>
      <c r="DC43">
        <f t="shared" si="3"/>
        <v>5.8</v>
      </c>
    </row>
    <row r="44" spans="1:107" x14ac:dyDescent="0.2">
      <c r="A44">
        <f>ROW(Source!A40)</f>
        <v>40</v>
      </c>
      <c r="B44">
        <v>16802145</v>
      </c>
      <c r="C44">
        <v>16802585</v>
      </c>
      <c r="D44">
        <v>15162736</v>
      </c>
      <c r="E44">
        <v>17</v>
      </c>
      <c r="F44">
        <v>1</v>
      </c>
      <c r="G44">
        <v>1</v>
      </c>
      <c r="H44">
        <v>3</v>
      </c>
      <c r="I44" t="s">
        <v>93</v>
      </c>
      <c r="J44" t="s">
        <v>6</v>
      </c>
      <c r="K44" t="s">
        <v>94</v>
      </c>
      <c r="L44">
        <v>1327</v>
      </c>
      <c r="N44">
        <v>1005</v>
      </c>
      <c r="O44" t="s">
        <v>95</v>
      </c>
      <c r="P44" t="s">
        <v>95</v>
      </c>
      <c r="Q44">
        <v>1</v>
      </c>
      <c r="W44">
        <v>0</v>
      </c>
      <c r="X44">
        <v>-919469713</v>
      </c>
      <c r="Y44">
        <v>102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6.71</v>
      </c>
      <c r="AJ44">
        <v>1</v>
      </c>
      <c r="AK44">
        <v>1</v>
      </c>
      <c r="AL44">
        <v>1</v>
      </c>
      <c r="AN44">
        <v>0</v>
      </c>
      <c r="AO44">
        <v>0</v>
      </c>
      <c r="AP44">
        <v>0</v>
      </c>
      <c r="AQ44">
        <v>0</v>
      </c>
      <c r="AR44">
        <v>0</v>
      </c>
      <c r="AS44" t="s">
        <v>6</v>
      </c>
      <c r="AT44">
        <v>102</v>
      </c>
      <c r="AU44" t="s">
        <v>6</v>
      </c>
      <c r="AV44">
        <v>0</v>
      </c>
      <c r="AW44">
        <v>2</v>
      </c>
      <c r="AX44">
        <v>16802599</v>
      </c>
      <c r="AY44">
        <v>1</v>
      </c>
      <c r="AZ44">
        <v>0</v>
      </c>
      <c r="BA44">
        <v>49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Y44*Source!I40</f>
        <v>213.99599999999998</v>
      </c>
      <c r="CY44">
        <f>AA44</f>
        <v>0</v>
      </c>
      <c r="CZ44">
        <f>AE44</f>
        <v>0</v>
      </c>
      <c r="DA44">
        <f>AI44</f>
        <v>6.71</v>
      </c>
      <c r="DB44">
        <f t="shared" si="2"/>
        <v>0</v>
      </c>
      <c r="DC44">
        <f t="shared" si="3"/>
        <v>0</v>
      </c>
    </row>
    <row r="45" spans="1:107" x14ac:dyDescent="0.2">
      <c r="A45">
        <f>ROW(Source!A40)</f>
        <v>40</v>
      </c>
      <c r="B45">
        <v>16802145</v>
      </c>
      <c r="C45">
        <v>16802585</v>
      </c>
      <c r="D45">
        <v>15167018</v>
      </c>
      <c r="E45">
        <v>1</v>
      </c>
      <c r="F45">
        <v>1</v>
      </c>
      <c r="G45">
        <v>1</v>
      </c>
      <c r="H45">
        <v>3</v>
      </c>
      <c r="I45" t="s">
        <v>97</v>
      </c>
      <c r="J45" t="s">
        <v>99</v>
      </c>
      <c r="K45" t="s">
        <v>98</v>
      </c>
      <c r="L45">
        <v>1327</v>
      </c>
      <c r="N45">
        <v>1005</v>
      </c>
      <c r="O45" t="s">
        <v>95</v>
      </c>
      <c r="P45" t="s">
        <v>95</v>
      </c>
      <c r="Q45">
        <v>1</v>
      </c>
      <c r="W45">
        <v>0</v>
      </c>
      <c r="X45">
        <v>1392042579</v>
      </c>
      <c r="Y45">
        <v>102</v>
      </c>
      <c r="AA45">
        <v>520.03</v>
      </c>
      <c r="AB45">
        <v>0</v>
      </c>
      <c r="AC45">
        <v>0</v>
      </c>
      <c r="AD45">
        <v>0</v>
      </c>
      <c r="AE45">
        <v>77.5</v>
      </c>
      <c r="AF45">
        <v>0</v>
      </c>
      <c r="AG45">
        <v>0</v>
      </c>
      <c r="AH45">
        <v>0</v>
      </c>
      <c r="AI45">
        <v>6.71</v>
      </c>
      <c r="AJ45">
        <v>1</v>
      </c>
      <c r="AK45">
        <v>1</v>
      </c>
      <c r="AL45">
        <v>1</v>
      </c>
      <c r="AN45">
        <v>0</v>
      </c>
      <c r="AO45">
        <v>0</v>
      </c>
      <c r="AP45">
        <v>0</v>
      </c>
      <c r="AQ45">
        <v>0</v>
      </c>
      <c r="AR45">
        <v>0</v>
      </c>
      <c r="AS45" t="s">
        <v>6</v>
      </c>
      <c r="AT45">
        <v>102</v>
      </c>
      <c r="AU45" t="s">
        <v>6</v>
      </c>
      <c r="AV45">
        <v>0</v>
      </c>
      <c r="AW45">
        <v>1</v>
      </c>
      <c r="AX45">
        <v>-1</v>
      </c>
      <c r="AY45">
        <v>0</v>
      </c>
      <c r="AZ45">
        <v>0</v>
      </c>
      <c r="BA45" t="s">
        <v>6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Y45*Source!I40</f>
        <v>213.99599999999998</v>
      </c>
      <c r="CY45">
        <f>AA45</f>
        <v>520.03</v>
      </c>
      <c r="CZ45">
        <f>AE45</f>
        <v>77.5</v>
      </c>
      <c r="DA45">
        <f>AI45</f>
        <v>6.71</v>
      </c>
      <c r="DB45">
        <f t="shared" si="2"/>
        <v>7905</v>
      </c>
      <c r="DC45">
        <f t="shared" si="3"/>
        <v>0</v>
      </c>
    </row>
    <row r="46" spans="1:107" x14ac:dyDescent="0.2">
      <c r="A46">
        <f>ROW(Source!A40)</f>
        <v>40</v>
      </c>
      <c r="B46">
        <v>16802145</v>
      </c>
      <c r="C46">
        <v>16802585</v>
      </c>
      <c r="D46">
        <v>15171018</v>
      </c>
      <c r="E46">
        <v>1</v>
      </c>
      <c r="F46">
        <v>1</v>
      </c>
      <c r="G46">
        <v>1</v>
      </c>
      <c r="H46">
        <v>3</v>
      </c>
      <c r="I46" t="s">
        <v>698</v>
      </c>
      <c r="J46" t="s">
        <v>699</v>
      </c>
      <c r="K46" t="s">
        <v>700</v>
      </c>
      <c r="L46">
        <v>1346</v>
      </c>
      <c r="N46">
        <v>1009</v>
      </c>
      <c r="O46" t="s">
        <v>103</v>
      </c>
      <c r="P46" t="s">
        <v>103</v>
      </c>
      <c r="Q46">
        <v>1</v>
      </c>
      <c r="W46">
        <v>0</v>
      </c>
      <c r="X46">
        <v>813963326</v>
      </c>
      <c r="Y46">
        <v>0.5</v>
      </c>
      <c r="AA46">
        <v>12.21</v>
      </c>
      <c r="AB46">
        <v>0</v>
      </c>
      <c r="AC46">
        <v>0</v>
      </c>
      <c r="AD46">
        <v>0</v>
      </c>
      <c r="AE46">
        <v>1.82</v>
      </c>
      <c r="AF46">
        <v>0</v>
      </c>
      <c r="AG46">
        <v>0</v>
      </c>
      <c r="AH46">
        <v>0</v>
      </c>
      <c r="AI46">
        <v>6.71</v>
      </c>
      <c r="AJ46">
        <v>1</v>
      </c>
      <c r="AK46">
        <v>1</v>
      </c>
      <c r="AL46">
        <v>1</v>
      </c>
      <c r="AN46">
        <v>0</v>
      </c>
      <c r="AO46">
        <v>1</v>
      </c>
      <c r="AP46">
        <v>0</v>
      </c>
      <c r="AQ46">
        <v>0</v>
      </c>
      <c r="AR46">
        <v>0</v>
      </c>
      <c r="AS46" t="s">
        <v>6</v>
      </c>
      <c r="AT46">
        <v>0.5</v>
      </c>
      <c r="AU46" t="s">
        <v>6</v>
      </c>
      <c r="AV46">
        <v>0</v>
      </c>
      <c r="AW46">
        <v>2</v>
      </c>
      <c r="AX46">
        <v>16802600</v>
      </c>
      <c r="AY46">
        <v>1</v>
      </c>
      <c r="AZ46">
        <v>0</v>
      </c>
      <c r="BA46">
        <v>50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Y46*Source!I40</f>
        <v>1.0489999999999999</v>
      </c>
      <c r="CY46">
        <f>AA46</f>
        <v>12.21</v>
      </c>
      <c r="CZ46">
        <f>AE46</f>
        <v>1.82</v>
      </c>
      <c r="DA46">
        <f>AI46</f>
        <v>6.71</v>
      </c>
      <c r="DB46">
        <f t="shared" si="2"/>
        <v>0.91</v>
      </c>
      <c r="DC46">
        <f t="shared" si="3"/>
        <v>0</v>
      </c>
    </row>
    <row r="47" spans="1:107" x14ac:dyDescent="0.2">
      <c r="A47">
        <f>ROW(Source!A40)</f>
        <v>40</v>
      </c>
      <c r="B47">
        <v>16802145</v>
      </c>
      <c r="C47">
        <v>16802585</v>
      </c>
      <c r="D47">
        <v>15202457</v>
      </c>
      <c r="E47">
        <v>1</v>
      </c>
      <c r="F47">
        <v>1</v>
      </c>
      <c r="G47">
        <v>1</v>
      </c>
      <c r="H47">
        <v>3</v>
      </c>
      <c r="I47" t="s">
        <v>105</v>
      </c>
      <c r="J47" t="s">
        <v>107</v>
      </c>
      <c r="K47" t="s">
        <v>106</v>
      </c>
      <c r="L47">
        <v>1346</v>
      </c>
      <c r="N47">
        <v>1009</v>
      </c>
      <c r="O47" t="s">
        <v>103</v>
      </c>
      <c r="P47" t="s">
        <v>103</v>
      </c>
      <c r="Q47">
        <v>1</v>
      </c>
      <c r="W47">
        <v>0</v>
      </c>
      <c r="X47">
        <v>1104462431</v>
      </c>
      <c r="Y47">
        <v>50</v>
      </c>
      <c r="AA47">
        <v>106.69</v>
      </c>
      <c r="AB47">
        <v>0</v>
      </c>
      <c r="AC47">
        <v>0</v>
      </c>
      <c r="AD47">
        <v>0</v>
      </c>
      <c r="AE47">
        <v>15.9</v>
      </c>
      <c r="AF47">
        <v>0</v>
      </c>
      <c r="AG47">
        <v>0</v>
      </c>
      <c r="AH47">
        <v>0</v>
      </c>
      <c r="AI47">
        <v>6.71</v>
      </c>
      <c r="AJ47">
        <v>1</v>
      </c>
      <c r="AK47">
        <v>1</v>
      </c>
      <c r="AL47">
        <v>1</v>
      </c>
      <c r="AN47">
        <v>0</v>
      </c>
      <c r="AO47">
        <v>0</v>
      </c>
      <c r="AP47">
        <v>0</v>
      </c>
      <c r="AQ47">
        <v>0</v>
      </c>
      <c r="AR47">
        <v>0</v>
      </c>
      <c r="AS47" t="s">
        <v>6</v>
      </c>
      <c r="AT47">
        <v>50</v>
      </c>
      <c r="AU47" t="s">
        <v>6</v>
      </c>
      <c r="AV47">
        <v>0</v>
      </c>
      <c r="AW47">
        <v>1</v>
      </c>
      <c r="AX47">
        <v>-1</v>
      </c>
      <c r="AY47">
        <v>0</v>
      </c>
      <c r="AZ47">
        <v>0</v>
      </c>
      <c r="BA47" t="s">
        <v>6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Y47*Source!I40</f>
        <v>104.89999999999999</v>
      </c>
      <c r="CY47">
        <f>AA47</f>
        <v>106.69</v>
      </c>
      <c r="CZ47">
        <f>AE47</f>
        <v>15.9</v>
      </c>
      <c r="DA47">
        <f>AI47</f>
        <v>6.71</v>
      </c>
      <c r="DB47">
        <f t="shared" si="2"/>
        <v>795</v>
      </c>
      <c r="DC47">
        <f t="shared" si="3"/>
        <v>0</v>
      </c>
    </row>
    <row r="48" spans="1:107" x14ac:dyDescent="0.2">
      <c r="A48">
        <f>ROW(Source!A40)</f>
        <v>40</v>
      </c>
      <c r="B48">
        <v>16802145</v>
      </c>
      <c r="C48">
        <v>16802585</v>
      </c>
      <c r="D48">
        <v>15162257</v>
      </c>
      <c r="E48">
        <v>17</v>
      </c>
      <c r="F48">
        <v>1</v>
      </c>
      <c r="G48">
        <v>1</v>
      </c>
      <c r="H48">
        <v>3</v>
      </c>
      <c r="I48" t="s">
        <v>101</v>
      </c>
      <c r="J48" t="s">
        <v>6</v>
      </c>
      <c r="K48" t="s">
        <v>102</v>
      </c>
      <c r="L48">
        <v>1346</v>
      </c>
      <c r="N48">
        <v>1009</v>
      </c>
      <c r="O48" t="s">
        <v>103</v>
      </c>
      <c r="P48" t="s">
        <v>103</v>
      </c>
      <c r="Q48">
        <v>1</v>
      </c>
      <c r="W48">
        <v>0</v>
      </c>
      <c r="X48">
        <v>290394019</v>
      </c>
      <c r="Y48">
        <v>50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6.71</v>
      </c>
      <c r="AJ48">
        <v>1</v>
      </c>
      <c r="AK48">
        <v>1</v>
      </c>
      <c r="AL48">
        <v>1</v>
      </c>
      <c r="AN48">
        <v>0</v>
      </c>
      <c r="AO48">
        <v>0</v>
      </c>
      <c r="AP48">
        <v>0</v>
      </c>
      <c r="AQ48">
        <v>0</v>
      </c>
      <c r="AR48">
        <v>0</v>
      </c>
      <c r="AS48" t="s">
        <v>6</v>
      </c>
      <c r="AT48">
        <v>50</v>
      </c>
      <c r="AU48" t="s">
        <v>6</v>
      </c>
      <c r="AV48">
        <v>0</v>
      </c>
      <c r="AW48">
        <v>2</v>
      </c>
      <c r="AX48">
        <v>16802601</v>
      </c>
      <c r="AY48">
        <v>1</v>
      </c>
      <c r="AZ48">
        <v>0</v>
      </c>
      <c r="BA48">
        <v>51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Y48*Source!I40</f>
        <v>104.89999999999999</v>
      </c>
      <c r="CY48">
        <f>AA48</f>
        <v>0</v>
      </c>
      <c r="CZ48">
        <f>AE48</f>
        <v>0</v>
      </c>
      <c r="DA48">
        <f>AI48</f>
        <v>6.71</v>
      </c>
      <c r="DB48">
        <f t="shared" si="2"/>
        <v>0</v>
      </c>
      <c r="DC48">
        <f t="shared" si="3"/>
        <v>0</v>
      </c>
    </row>
    <row r="49" spans="1:107" x14ac:dyDescent="0.2">
      <c r="A49">
        <f>ROW(Source!A45)</f>
        <v>45</v>
      </c>
      <c r="B49">
        <v>16802145</v>
      </c>
      <c r="C49">
        <v>16802606</v>
      </c>
      <c r="D49">
        <v>15438286</v>
      </c>
      <c r="E49">
        <v>1</v>
      </c>
      <c r="F49">
        <v>1</v>
      </c>
      <c r="G49">
        <v>1</v>
      </c>
      <c r="H49">
        <v>1</v>
      </c>
      <c r="I49" t="s">
        <v>693</v>
      </c>
      <c r="J49" t="s">
        <v>6</v>
      </c>
      <c r="K49" t="s">
        <v>694</v>
      </c>
      <c r="L49">
        <v>1191</v>
      </c>
      <c r="N49">
        <v>1013</v>
      </c>
      <c r="O49" t="s">
        <v>660</v>
      </c>
      <c r="P49" t="s">
        <v>660</v>
      </c>
      <c r="Q49">
        <v>1</v>
      </c>
      <c r="W49">
        <v>0</v>
      </c>
      <c r="X49">
        <v>-1027537862</v>
      </c>
      <c r="Y49">
        <v>7.6819999999999995</v>
      </c>
      <c r="AA49">
        <v>0</v>
      </c>
      <c r="AB49">
        <v>0</v>
      </c>
      <c r="AC49">
        <v>0</v>
      </c>
      <c r="AD49">
        <v>61.6</v>
      </c>
      <c r="AE49">
        <v>0</v>
      </c>
      <c r="AF49">
        <v>0</v>
      </c>
      <c r="AG49">
        <v>0</v>
      </c>
      <c r="AH49">
        <v>9.18</v>
      </c>
      <c r="AI49">
        <v>1</v>
      </c>
      <c r="AJ49">
        <v>1</v>
      </c>
      <c r="AK49">
        <v>1</v>
      </c>
      <c r="AL49">
        <v>6.71</v>
      </c>
      <c r="AN49">
        <v>0</v>
      </c>
      <c r="AO49">
        <v>1</v>
      </c>
      <c r="AP49">
        <v>1</v>
      </c>
      <c r="AQ49">
        <v>0</v>
      </c>
      <c r="AR49">
        <v>0</v>
      </c>
      <c r="AS49" t="s">
        <v>6</v>
      </c>
      <c r="AT49">
        <v>6.68</v>
      </c>
      <c r="AU49" t="s">
        <v>72</v>
      </c>
      <c r="AV49">
        <v>1</v>
      </c>
      <c r="AW49">
        <v>2</v>
      </c>
      <c r="AX49">
        <v>16802626</v>
      </c>
      <c r="AY49">
        <v>1</v>
      </c>
      <c r="AZ49">
        <v>0</v>
      </c>
      <c r="BA49">
        <v>52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Y49*Source!I45</f>
        <v>9.6378371999999981</v>
      </c>
      <c r="CY49">
        <f>AD49</f>
        <v>61.6</v>
      </c>
      <c r="CZ49">
        <f>AH49</f>
        <v>9.18</v>
      </c>
      <c r="DA49">
        <f>AL49</f>
        <v>6.71</v>
      </c>
      <c r="DB49">
        <f>ROUND((ROUND(AT49*CZ49,2)*1.15),2)</f>
        <v>70.52</v>
      </c>
      <c r="DC49">
        <f>ROUND((ROUND(AT49*AG49,2)*1.15),2)</f>
        <v>0</v>
      </c>
    </row>
    <row r="50" spans="1:107" x14ac:dyDescent="0.2">
      <c r="A50">
        <f>ROW(Source!A45)</f>
        <v>45</v>
      </c>
      <c r="B50">
        <v>16802145</v>
      </c>
      <c r="C50">
        <v>16802606</v>
      </c>
      <c r="D50">
        <v>15430395</v>
      </c>
      <c r="E50">
        <v>1</v>
      </c>
      <c r="F50">
        <v>1</v>
      </c>
      <c r="G50">
        <v>1</v>
      </c>
      <c r="H50">
        <v>1</v>
      </c>
      <c r="I50" t="s">
        <v>661</v>
      </c>
      <c r="J50" t="s">
        <v>6</v>
      </c>
      <c r="K50" t="s">
        <v>662</v>
      </c>
      <c r="L50">
        <v>1191</v>
      </c>
      <c r="N50">
        <v>1013</v>
      </c>
      <c r="O50" t="s">
        <v>660</v>
      </c>
      <c r="P50" t="s">
        <v>660</v>
      </c>
      <c r="Q50">
        <v>1</v>
      </c>
      <c r="W50">
        <v>0</v>
      </c>
      <c r="X50">
        <v>-1417349443</v>
      </c>
      <c r="Y50">
        <v>0.04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1</v>
      </c>
      <c r="AJ50">
        <v>1</v>
      </c>
      <c r="AK50">
        <v>6.71</v>
      </c>
      <c r="AL50">
        <v>1</v>
      </c>
      <c r="AN50">
        <v>0</v>
      </c>
      <c r="AO50">
        <v>1</v>
      </c>
      <c r="AP50">
        <v>0</v>
      </c>
      <c r="AQ50">
        <v>0</v>
      </c>
      <c r="AR50">
        <v>0</v>
      </c>
      <c r="AS50" t="s">
        <v>6</v>
      </c>
      <c r="AT50">
        <v>0.04</v>
      </c>
      <c r="AU50" t="s">
        <v>6</v>
      </c>
      <c r="AV50">
        <v>2</v>
      </c>
      <c r="AW50">
        <v>2</v>
      </c>
      <c r="AX50">
        <v>16802627</v>
      </c>
      <c r="AY50">
        <v>1</v>
      </c>
      <c r="AZ50">
        <v>2048</v>
      </c>
      <c r="BA50">
        <v>53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Y50*Source!I45</f>
        <v>5.0183999999999999E-2</v>
      </c>
      <c r="CY50">
        <f>AD50</f>
        <v>0</v>
      </c>
      <c r="CZ50">
        <f>AH50</f>
        <v>0</v>
      </c>
      <c r="DA50">
        <f>AL50</f>
        <v>1</v>
      </c>
      <c r="DB50">
        <f>ROUND(ROUND(AT50*CZ50,2),2)</f>
        <v>0</v>
      </c>
      <c r="DC50">
        <f>ROUND(ROUND(AT50*AG50,2),2)</f>
        <v>0</v>
      </c>
    </row>
    <row r="51" spans="1:107" x14ac:dyDescent="0.2">
      <c r="A51">
        <f>ROW(Source!A45)</f>
        <v>45</v>
      </c>
      <c r="B51">
        <v>16802145</v>
      </c>
      <c r="C51">
        <v>16802606</v>
      </c>
      <c r="D51">
        <v>15247974</v>
      </c>
      <c r="E51">
        <v>1</v>
      </c>
      <c r="F51">
        <v>1</v>
      </c>
      <c r="G51">
        <v>1</v>
      </c>
      <c r="H51">
        <v>2</v>
      </c>
      <c r="I51" t="s">
        <v>663</v>
      </c>
      <c r="J51" t="s">
        <v>664</v>
      </c>
      <c r="K51" t="s">
        <v>665</v>
      </c>
      <c r="L51">
        <v>1368</v>
      </c>
      <c r="N51">
        <v>1011</v>
      </c>
      <c r="O51" t="s">
        <v>666</v>
      </c>
      <c r="P51" t="s">
        <v>666</v>
      </c>
      <c r="Q51">
        <v>1</v>
      </c>
      <c r="W51">
        <v>0</v>
      </c>
      <c r="X51">
        <v>1188625873</v>
      </c>
      <c r="Y51">
        <v>6.2500000000000003E-3</v>
      </c>
      <c r="AA51">
        <v>0</v>
      </c>
      <c r="AB51">
        <v>209.75</v>
      </c>
      <c r="AC51">
        <v>13.5</v>
      </c>
      <c r="AD51">
        <v>0</v>
      </c>
      <c r="AE51">
        <v>0</v>
      </c>
      <c r="AF51">
        <v>31.26</v>
      </c>
      <c r="AG51">
        <v>13.5</v>
      </c>
      <c r="AH51">
        <v>0</v>
      </c>
      <c r="AI51">
        <v>1</v>
      </c>
      <c r="AJ51">
        <v>6.71</v>
      </c>
      <c r="AK51">
        <v>1</v>
      </c>
      <c r="AL51">
        <v>1</v>
      </c>
      <c r="AN51">
        <v>0</v>
      </c>
      <c r="AO51">
        <v>1</v>
      </c>
      <c r="AP51">
        <v>1</v>
      </c>
      <c r="AQ51">
        <v>0</v>
      </c>
      <c r="AR51">
        <v>0</v>
      </c>
      <c r="AS51" t="s">
        <v>6</v>
      </c>
      <c r="AT51">
        <v>5.0000000000000001E-3</v>
      </c>
      <c r="AU51" t="s">
        <v>71</v>
      </c>
      <c r="AV51">
        <v>0</v>
      </c>
      <c r="AW51">
        <v>2</v>
      </c>
      <c r="AX51">
        <v>16802628</v>
      </c>
      <c r="AY51">
        <v>1</v>
      </c>
      <c r="AZ51">
        <v>0</v>
      </c>
      <c r="BA51">
        <v>54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Y51*Source!I45</f>
        <v>7.8412499999999993E-3</v>
      </c>
      <c r="CY51">
        <f>AB51</f>
        <v>209.75</v>
      </c>
      <c r="CZ51">
        <f>AF51</f>
        <v>31.26</v>
      </c>
      <c r="DA51">
        <f>AJ51</f>
        <v>6.71</v>
      </c>
      <c r="DB51">
        <f>ROUND((ROUND(AT51*CZ51,2)*1.25),2)</f>
        <v>0.2</v>
      </c>
      <c r="DC51">
        <f>ROUND((ROUND(AT51*AG51,2)*1.25),2)</f>
        <v>0.09</v>
      </c>
    </row>
    <row r="52" spans="1:107" x14ac:dyDescent="0.2">
      <c r="A52">
        <f>ROW(Source!A45)</f>
        <v>45</v>
      </c>
      <c r="B52">
        <v>16802145</v>
      </c>
      <c r="C52">
        <v>16802606</v>
      </c>
      <c r="D52">
        <v>15249073</v>
      </c>
      <c r="E52">
        <v>1</v>
      </c>
      <c r="F52">
        <v>1</v>
      </c>
      <c r="G52">
        <v>1</v>
      </c>
      <c r="H52">
        <v>2</v>
      </c>
      <c r="I52" t="s">
        <v>684</v>
      </c>
      <c r="J52" t="s">
        <v>685</v>
      </c>
      <c r="K52" t="s">
        <v>686</v>
      </c>
      <c r="L52">
        <v>1368</v>
      </c>
      <c r="N52">
        <v>1011</v>
      </c>
      <c r="O52" t="s">
        <v>666</v>
      </c>
      <c r="P52" t="s">
        <v>666</v>
      </c>
      <c r="Q52">
        <v>1</v>
      </c>
      <c r="W52">
        <v>0</v>
      </c>
      <c r="X52">
        <v>1372534845</v>
      </c>
      <c r="Y52">
        <v>3.7499999999999999E-2</v>
      </c>
      <c r="AA52">
        <v>0</v>
      </c>
      <c r="AB52">
        <v>440.91</v>
      </c>
      <c r="AC52">
        <v>11.6</v>
      </c>
      <c r="AD52">
        <v>0</v>
      </c>
      <c r="AE52">
        <v>0</v>
      </c>
      <c r="AF52">
        <v>65.709999999999994</v>
      </c>
      <c r="AG52">
        <v>11.6</v>
      </c>
      <c r="AH52">
        <v>0</v>
      </c>
      <c r="AI52">
        <v>1</v>
      </c>
      <c r="AJ52">
        <v>6.71</v>
      </c>
      <c r="AK52">
        <v>1</v>
      </c>
      <c r="AL52">
        <v>1</v>
      </c>
      <c r="AN52">
        <v>0</v>
      </c>
      <c r="AO52">
        <v>1</v>
      </c>
      <c r="AP52">
        <v>1</v>
      </c>
      <c r="AQ52">
        <v>0</v>
      </c>
      <c r="AR52">
        <v>0</v>
      </c>
      <c r="AS52" t="s">
        <v>6</v>
      </c>
      <c r="AT52">
        <v>0.03</v>
      </c>
      <c r="AU52" t="s">
        <v>71</v>
      </c>
      <c r="AV52">
        <v>0</v>
      </c>
      <c r="AW52">
        <v>2</v>
      </c>
      <c r="AX52">
        <v>16802629</v>
      </c>
      <c r="AY52">
        <v>1</v>
      </c>
      <c r="AZ52">
        <v>0</v>
      </c>
      <c r="BA52">
        <v>55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Y52*Source!I45</f>
        <v>4.7047499999999999E-2</v>
      </c>
      <c r="CY52">
        <f>AB52</f>
        <v>440.91</v>
      </c>
      <c r="CZ52">
        <f>AF52</f>
        <v>65.709999999999994</v>
      </c>
      <c r="DA52">
        <f>AJ52</f>
        <v>6.71</v>
      </c>
      <c r="DB52">
        <f>ROUND((ROUND(AT52*CZ52,2)*1.25),2)</f>
        <v>2.46</v>
      </c>
      <c r="DC52">
        <f>ROUND((ROUND(AT52*AG52,2)*1.25),2)</f>
        <v>0.44</v>
      </c>
    </row>
    <row r="53" spans="1:107" x14ac:dyDescent="0.2">
      <c r="A53">
        <f>ROW(Source!A45)</f>
        <v>45</v>
      </c>
      <c r="B53">
        <v>16802145</v>
      </c>
      <c r="C53">
        <v>16802606</v>
      </c>
      <c r="D53">
        <v>15169972</v>
      </c>
      <c r="E53">
        <v>1</v>
      </c>
      <c r="F53">
        <v>1</v>
      </c>
      <c r="G53">
        <v>1</v>
      </c>
      <c r="H53">
        <v>3</v>
      </c>
      <c r="I53" t="s">
        <v>703</v>
      </c>
      <c r="J53" t="s">
        <v>704</v>
      </c>
      <c r="K53" t="s">
        <v>705</v>
      </c>
      <c r="L53">
        <v>1355</v>
      </c>
      <c r="N53">
        <v>1010</v>
      </c>
      <c r="O53" t="s">
        <v>126</v>
      </c>
      <c r="P53" t="s">
        <v>126</v>
      </c>
      <c r="Q53">
        <v>100</v>
      </c>
      <c r="W53">
        <v>0</v>
      </c>
      <c r="X53">
        <v>-725528132</v>
      </c>
      <c r="Y53">
        <v>2.63</v>
      </c>
      <c r="AA53">
        <v>80.52</v>
      </c>
      <c r="AB53">
        <v>0</v>
      </c>
      <c r="AC53">
        <v>0</v>
      </c>
      <c r="AD53">
        <v>0</v>
      </c>
      <c r="AE53">
        <v>12</v>
      </c>
      <c r="AF53">
        <v>0</v>
      </c>
      <c r="AG53">
        <v>0</v>
      </c>
      <c r="AH53">
        <v>0</v>
      </c>
      <c r="AI53">
        <v>6.71</v>
      </c>
      <c r="AJ53">
        <v>1</v>
      </c>
      <c r="AK53">
        <v>1</v>
      </c>
      <c r="AL53">
        <v>1</v>
      </c>
      <c r="AN53">
        <v>0</v>
      </c>
      <c r="AO53">
        <v>1</v>
      </c>
      <c r="AP53">
        <v>0</v>
      </c>
      <c r="AQ53">
        <v>0</v>
      </c>
      <c r="AR53">
        <v>0</v>
      </c>
      <c r="AS53" t="s">
        <v>6</v>
      </c>
      <c r="AT53">
        <v>2.63</v>
      </c>
      <c r="AU53" t="s">
        <v>6</v>
      </c>
      <c r="AV53">
        <v>0</v>
      </c>
      <c r="AW53">
        <v>2</v>
      </c>
      <c r="AX53">
        <v>16802630</v>
      </c>
      <c r="AY53">
        <v>1</v>
      </c>
      <c r="AZ53">
        <v>0</v>
      </c>
      <c r="BA53">
        <v>56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Y53*Source!I45</f>
        <v>3.2995979999999996</v>
      </c>
      <c r="CY53">
        <f t="shared" ref="CY53:CY66" si="4">AA53</f>
        <v>80.52</v>
      </c>
      <c r="CZ53">
        <f t="shared" ref="CZ53:CZ66" si="5">AE53</f>
        <v>12</v>
      </c>
      <c r="DA53">
        <f t="shared" ref="DA53:DA66" si="6">AI53</f>
        <v>6.71</v>
      </c>
      <c r="DB53">
        <f t="shared" ref="DB53:DB66" si="7">ROUND(ROUND(AT53*CZ53,2),2)</f>
        <v>31.56</v>
      </c>
      <c r="DC53">
        <f t="shared" ref="DC53:DC66" si="8">ROUND(ROUND(AT53*AG53,2),2)</f>
        <v>0</v>
      </c>
    </row>
    <row r="54" spans="1:107" x14ac:dyDescent="0.2">
      <c r="A54">
        <f>ROW(Source!A45)</f>
        <v>45</v>
      </c>
      <c r="B54">
        <v>16802145</v>
      </c>
      <c r="C54">
        <v>16802606</v>
      </c>
      <c r="D54">
        <v>15170075</v>
      </c>
      <c r="E54">
        <v>1</v>
      </c>
      <c r="F54">
        <v>1</v>
      </c>
      <c r="G54">
        <v>1</v>
      </c>
      <c r="H54">
        <v>3</v>
      </c>
      <c r="I54" t="s">
        <v>706</v>
      </c>
      <c r="J54" t="s">
        <v>707</v>
      </c>
      <c r="K54" t="s">
        <v>708</v>
      </c>
      <c r="L54">
        <v>1356</v>
      </c>
      <c r="N54">
        <v>1010</v>
      </c>
      <c r="O54" t="s">
        <v>709</v>
      </c>
      <c r="P54" t="s">
        <v>709</v>
      </c>
      <c r="Q54">
        <v>1000</v>
      </c>
      <c r="W54">
        <v>0</v>
      </c>
      <c r="X54">
        <v>1130533903</v>
      </c>
      <c r="Y54">
        <v>0.26300000000000001</v>
      </c>
      <c r="AA54">
        <v>1073.5999999999999</v>
      </c>
      <c r="AB54">
        <v>0</v>
      </c>
      <c r="AC54">
        <v>0</v>
      </c>
      <c r="AD54">
        <v>0</v>
      </c>
      <c r="AE54">
        <v>160</v>
      </c>
      <c r="AF54">
        <v>0</v>
      </c>
      <c r="AG54">
        <v>0</v>
      </c>
      <c r="AH54">
        <v>0</v>
      </c>
      <c r="AI54">
        <v>6.71</v>
      </c>
      <c r="AJ54">
        <v>1</v>
      </c>
      <c r="AK54">
        <v>1</v>
      </c>
      <c r="AL54">
        <v>1</v>
      </c>
      <c r="AN54">
        <v>0</v>
      </c>
      <c r="AO54">
        <v>1</v>
      </c>
      <c r="AP54">
        <v>0</v>
      </c>
      <c r="AQ54">
        <v>0</v>
      </c>
      <c r="AR54">
        <v>0</v>
      </c>
      <c r="AS54" t="s">
        <v>6</v>
      </c>
      <c r="AT54">
        <v>0.26300000000000001</v>
      </c>
      <c r="AU54" t="s">
        <v>6</v>
      </c>
      <c r="AV54">
        <v>0</v>
      </c>
      <c r="AW54">
        <v>2</v>
      </c>
      <c r="AX54">
        <v>16802631</v>
      </c>
      <c r="AY54">
        <v>1</v>
      </c>
      <c r="AZ54">
        <v>0</v>
      </c>
      <c r="BA54">
        <v>57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Y54*Source!I45</f>
        <v>0.32995980000000003</v>
      </c>
      <c r="CY54">
        <f t="shared" si="4"/>
        <v>1073.5999999999999</v>
      </c>
      <c r="CZ54">
        <f t="shared" si="5"/>
        <v>160</v>
      </c>
      <c r="DA54">
        <f t="shared" si="6"/>
        <v>6.71</v>
      </c>
      <c r="DB54">
        <f t="shared" si="7"/>
        <v>42.08</v>
      </c>
      <c r="DC54">
        <f t="shared" si="8"/>
        <v>0</v>
      </c>
    </row>
    <row r="55" spans="1:107" x14ac:dyDescent="0.2">
      <c r="A55">
        <f>ROW(Source!A45)</f>
        <v>45</v>
      </c>
      <c r="B55">
        <v>16802145</v>
      </c>
      <c r="C55">
        <v>16802606</v>
      </c>
      <c r="D55">
        <v>15162756</v>
      </c>
      <c r="E55">
        <v>17</v>
      </c>
      <c r="F55">
        <v>1</v>
      </c>
      <c r="G55">
        <v>1</v>
      </c>
      <c r="H55">
        <v>3</v>
      </c>
      <c r="I55" t="s">
        <v>113</v>
      </c>
      <c r="J55" t="s">
        <v>6</v>
      </c>
      <c r="K55" t="s">
        <v>114</v>
      </c>
      <c r="L55">
        <v>1301</v>
      </c>
      <c r="N55">
        <v>1003</v>
      </c>
      <c r="O55" t="s">
        <v>115</v>
      </c>
      <c r="P55" t="s">
        <v>115</v>
      </c>
      <c r="Q55">
        <v>1</v>
      </c>
      <c r="W55">
        <v>0</v>
      </c>
      <c r="X55">
        <v>-2049262376</v>
      </c>
      <c r="Y55">
        <v>101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6.71</v>
      </c>
      <c r="AJ55">
        <v>1</v>
      </c>
      <c r="AK55">
        <v>1</v>
      </c>
      <c r="AL55">
        <v>1</v>
      </c>
      <c r="AN55">
        <v>0</v>
      </c>
      <c r="AO55">
        <v>0</v>
      </c>
      <c r="AP55">
        <v>0</v>
      </c>
      <c r="AQ55">
        <v>0</v>
      </c>
      <c r="AR55">
        <v>0</v>
      </c>
      <c r="AS55" t="s">
        <v>6</v>
      </c>
      <c r="AT55">
        <v>101</v>
      </c>
      <c r="AU55" t="s">
        <v>6</v>
      </c>
      <c r="AV55">
        <v>0</v>
      </c>
      <c r="AW55">
        <v>2</v>
      </c>
      <c r="AX55">
        <v>16802632</v>
      </c>
      <c r="AY55">
        <v>1</v>
      </c>
      <c r="AZ55">
        <v>0</v>
      </c>
      <c r="BA55">
        <v>58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Y55*Source!I45</f>
        <v>126.71459999999999</v>
      </c>
      <c r="CY55">
        <f t="shared" si="4"/>
        <v>0</v>
      </c>
      <c r="CZ55">
        <f t="shared" si="5"/>
        <v>0</v>
      </c>
      <c r="DA55">
        <f t="shared" si="6"/>
        <v>6.71</v>
      </c>
      <c r="DB55">
        <f t="shared" si="7"/>
        <v>0</v>
      </c>
      <c r="DC55">
        <f t="shared" si="8"/>
        <v>0</v>
      </c>
    </row>
    <row r="56" spans="1:107" x14ac:dyDescent="0.2">
      <c r="A56">
        <f>ROW(Source!A45)</f>
        <v>45</v>
      </c>
      <c r="B56">
        <v>16802145</v>
      </c>
      <c r="C56">
        <v>16802606</v>
      </c>
      <c r="D56">
        <v>15197682</v>
      </c>
      <c r="E56">
        <v>1</v>
      </c>
      <c r="F56">
        <v>1</v>
      </c>
      <c r="G56">
        <v>1</v>
      </c>
      <c r="H56">
        <v>3</v>
      </c>
      <c r="I56" t="s">
        <v>117</v>
      </c>
      <c r="J56" t="s">
        <v>119</v>
      </c>
      <c r="K56" t="s">
        <v>118</v>
      </c>
      <c r="L56">
        <v>1301</v>
      </c>
      <c r="N56">
        <v>1003</v>
      </c>
      <c r="O56" t="s">
        <v>115</v>
      </c>
      <c r="P56" t="s">
        <v>115</v>
      </c>
      <c r="Q56">
        <v>1</v>
      </c>
      <c r="W56">
        <v>0</v>
      </c>
      <c r="X56">
        <v>1042693501</v>
      </c>
      <c r="Y56">
        <v>101</v>
      </c>
      <c r="AA56">
        <v>82.53</v>
      </c>
      <c r="AB56">
        <v>0</v>
      </c>
      <c r="AC56">
        <v>0</v>
      </c>
      <c r="AD56">
        <v>0</v>
      </c>
      <c r="AE56">
        <v>12.3</v>
      </c>
      <c r="AF56">
        <v>0</v>
      </c>
      <c r="AG56">
        <v>0</v>
      </c>
      <c r="AH56">
        <v>0</v>
      </c>
      <c r="AI56">
        <v>6.71</v>
      </c>
      <c r="AJ56">
        <v>1</v>
      </c>
      <c r="AK56">
        <v>1</v>
      </c>
      <c r="AL56">
        <v>1</v>
      </c>
      <c r="AN56">
        <v>0</v>
      </c>
      <c r="AO56">
        <v>0</v>
      </c>
      <c r="AP56">
        <v>0</v>
      </c>
      <c r="AQ56">
        <v>0</v>
      </c>
      <c r="AR56">
        <v>0</v>
      </c>
      <c r="AS56" t="s">
        <v>6</v>
      </c>
      <c r="AT56">
        <v>101</v>
      </c>
      <c r="AU56" t="s">
        <v>6</v>
      </c>
      <c r="AV56">
        <v>0</v>
      </c>
      <c r="AW56">
        <v>1</v>
      </c>
      <c r="AX56">
        <v>-1</v>
      </c>
      <c r="AY56">
        <v>0</v>
      </c>
      <c r="AZ56">
        <v>0</v>
      </c>
      <c r="BA56" t="s">
        <v>6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Y56*Source!I45</f>
        <v>126.71459999999999</v>
      </c>
      <c r="CY56">
        <f t="shared" si="4"/>
        <v>82.53</v>
      </c>
      <c r="CZ56">
        <f t="shared" si="5"/>
        <v>12.3</v>
      </c>
      <c r="DA56">
        <f t="shared" si="6"/>
        <v>6.71</v>
      </c>
      <c r="DB56">
        <f t="shared" si="7"/>
        <v>1242.3</v>
      </c>
      <c r="DC56">
        <f t="shared" si="8"/>
        <v>0</v>
      </c>
    </row>
    <row r="57" spans="1:107" x14ac:dyDescent="0.2">
      <c r="A57">
        <f>ROW(Source!A45)</f>
        <v>45</v>
      </c>
      <c r="B57">
        <v>16802145</v>
      </c>
      <c r="C57">
        <v>16802606</v>
      </c>
      <c r="D57">
        <v>15162759</v>
      </c>
      <c r="E57">
        <v>17</v>
      </c>
      <c r="F57">
        <v>1</v>
      </c>
      <c r="G57">
        <v>1</v>
      </c>
      <c r="H57">
        <v>3</v>
      </c>
      <c r="I57" t="s">
        <v>121</v>
      </c>
      <c r="J57" t="s">
        <v>6</v>
      </c>
      <c r="K57" t="s">
        <v>122</v>
      </c>
      <c r="L57">
        <v>1354</v>
      </c>
      <c r="N57">
        <v>1010</v>
      </c>
      <c r="O57" t="s">
        <v>42</v>
      </c>
      <c r="P57" t="s">
        <v>42</v>
      </c>
      <c r="Q57">
        <v>1</v>
      </c>
      <c r="W57">
        <v>0</v>
      </c>
      <c r="X57">
        <v>457303772</v>
      </c>
      <c r="Y57">
        <v>6.3765340000000004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6.71</v>
      </c>
      <c r="AJ57">
        <v>1</v>
      </c>
      <c r="AK57">
        <v>1</v>
      </c>
      <c r="AL57">
        <v>1</v>
      </c>
      <c r="AN57">
        <v>0</v>
      </c>
      <c r="AO57">
        <v>0</v>
      </c>
      <c r="AP57">
        <v>0</v>
      </c>
      <c r="AQ57">
        <v>0</v>
      </c>
      <c r="AR57">
        <v>0</v>
      </c>
      <c r="AS57" t="s">
        <v>6</v>
      </c>
      <c r="AT57">
        <v>6.3765340000000004</v>
      </c>
      <c r="AU57" t="s">
        <v>6</v>
      </c>
      <c r="AV57">
        <v>0</v>
      </c>
      <c r="AW57">
        <v>2</v>
      </c>
      <c r="AX57">
        <v>16802633</v>
      </c>
      <c r="AY57">
        <v>1</v>
      </c>
      <c r="AZ57">
        <v>6144</v>
      </c>
      <c r="BA57">
        <v>59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Y57*Source!I45</f>
        <v>7.9999995563999997</v>
      </c>
      <c r="CY57">
        <f t="shared" si="4"/>
        <v>0</v>
      </c>
      <c r="CZ57">
        <f t="shared" si="5"/>
        <v>0</v>
      </c>
      <c r="DA57">
        <f t="shared" si="6"/>
        <v>6.71</v>
      </c>
      <c r="DB57">
        <f t="shared" si="7"/>
        <v>0</v>
      </c>
      <c r="DC57">
        <f t="shared" si="8"/>
        <v>0</v>
      </c>
    </row>
    <row r="58" spans="1:107" x14ac:dyDescent="0.2">
      <c r="A58">
        <f>ROW(Source!A45)</f>
        <v>45</v>
      </c>
      <c r="B58">
        <v>16802145</v>
      </c>
      <c r="C58">
        <v>16802606</v>
      </c>
      <c r="D58">
        <v>15162759</v>
      </c>
      <c r="E58">
        <v>17</v>
      </c>
      <c r="F58">
        <v>1</v>
      </c>
      <c r="G58">
        <v>1</v>
      </c>
      <c r="H58">
        <v>3</v>
      </c>
      <c r="I58" t="s">
        <v>121</v>
      </c>
      <c r="J58" t="s">
        <v>6</v>
      </c>
      <c r="K58" t="s">
        <v>145</v>
      </c>
      <c r="L58">
        <v>1354</v>
      </c>
      <c r="N58">
        <v>1010</v>
      </c>
      <c r="O58" t="s">
        <v>42</v>
      </c>
      <c r="P58" t="s">
        <v>42</v>
      </c>
      <c r="Q58">
        <v>1</v>
      </c>
      <c r="W58">
        <v>0</v>
      </c>
      <c r="X58">
        <v>119324816</v>
      </c>
      <c r="Y58">
        <v>6.3765340000000004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6.71</v>
      </c>
      <c r="AJ58">
        <v>1</v>
      </c>
      <c r="AK58">
        <v>1</v>
      </c>
      <c r="AL58">
        <v>1</v>
      </c>
      <c r="AN58">
        <v>0</v>
      </c>
      <c r="AO58">
        <v>0</v>
      </c>
      <c r="AP58">
        <v>0</v>
      </c>
      <c r="AQ58">
        <v>0</v>
      </c>
      <c r="AR58">
        <v>0</v>
      </c>
      <c r="AS58" t="s">
        <v>6</v>
      </c>
      <c r="AT58">
        <v>6.3765340000000004</v>
      </c>
      <c r="AU58" t="s">
        <v>6</v>
      </c>
      <c r="AV58">
        <v>0</v>
      </c>
      <c r="AW58">
        <v>2</v>
      </c>
      <c r="AX58">
        <v>16802634</v>
      </c>
      <c r="AY58">
        <v>1</v>
      </c>
      <c r="AZ58">
        <v>6144</v>
      </c>
      <c r="BA58">
        <v>60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Y58*Source!I45</f>
        <v>7.9999995563999997</v>
      </c>
      <c r="CY58">
        <f t="shared" si="4"/>
        <v>0</v>
      </c>
      <c r="CZ58">
        <f t="shared" si="5"/>
        <v>0</v>
      </c>
      <c r="DA58">
        <f t="shared" si="6"/>
        <v>6.71</v>
      </c>
      <c r="DB58">
        <f t="shared" si="7"/>
        <v>0</v>
      </c>
      <c r="DC58">
        <f t="shared" si="8"/>
        <v>0</v>
      </c>
    </row>
    <row r="59" spans="1:107" x14ac:dyDescent="0.2">
      <c r="A59">
        <f>ROW(Source!A45)</f>
        <v>45</v>
      </c>
      <c r="B59">
        <v>16802145</v>
      </c>
      <c r="C59">
        <v>16802606</v>
      </c>
      <c r="D59">
        <v>15162759</v>
      </c>
      <c r="E59">
        <v>17</v>
      </c>
      <c r="F59">
        <v>1</v>
      </c>
      <c r="G59">
        <v>1</v>
      </c>
      <c r="H59">
        <v>3</v>
      </c>
      <c r="I59" t="s">
        <v>121</v>
      </c>
      <c r="J59" t="s">
        <v>6</v>
      </c>
      <c r="K59" t="s">
        <v>147</v>
      </c>
      <c r="L59">
        <v>1354</v>
      </c>
      <c r="N59">
        <v>1010</v>
      </c>
      <c r="O59" t="s">
        <v>42</v>
      </c>
      <c r="P59" t="s">
        <v>42</v>
      </c>
      <c r="Q59">
        <v>1</v>
      </c>
      <c r="W59">
        <v>0</v>
      </c>
      <c r="X59">
        <v>2133044040</v>
      </c>
      <c r="Y59">
        <v>39.853340000000003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6.71</v>
      </c>
      <c r="AJ59">
        <v>1</v>
      </c>
      <c r="AK59">
        <v>1</v>
      </c>
      <c r="AL59">
        <v>1</v>
      </c>
      <c r="AN59">
        <v>0</v>
      </c>
      <c r="AO59">
        <v>0</v>
      </c>
      <c r="AP59">
        <v>0</v>
      </c>
      <c r="AQ59">
        <v>0</v>
      </c>
      <c r="AR59">
        <v>0</v>
      </c>
      <c r="AS59" t="s">
        <v>6</v>
      </c>
      <c r="AT59">
        <v>39.853340000000003</v>
      </c>
      <c r="AU59" t="s">
        <v>6</v>
      </c>
      <c r="AV59">
        <v>0</v>
      </c>
      <c r="AW59">
        <v>2</v>
      </c>
      <c r="AX59">
        <v>16802635</v>
      </c>
      <c r="AY59">
        <v>1</v>
      </c>
      <c r="AZ59">
        <v>6144</v>
      </c>
      <c r="BA59">
        <v>61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Y59*Source!I45</f>
        <v>50.000000364000002</v>
      </c>
      <c r="CY59">
        <f t="shared" si="4"/>
        <v>0</v>
      </c>
      <c r="CZ59">
        <f t="shared" si="5"/>
        <v>0</v>
      </c>
      <c r="DA59">
        <f t="shared" si="6"/>
        <v>6.71</v>
      </c>
      <c r="DB59">
        <f t="shared" si="7"/>
        <v>0</v>
      </c>
      <c r="DC59">
        <f t="shared" si="8"/>
        <v>0</v>
      </c>
    </row>
    <row r="60" spans="1:107" x14ac:dyDescent="0.2">
      <c r="A60">
        <f>ROW(Source!A45)</f>
        <v>45</v>
      </c>
      <c r="B60">
        <v>16802145</v>
      </c>
      <c r="C60">
        <v>16802606</v>
      </c>
      <c r="D60">
        <v>15162759</v>
      </c>
      <c r="E60">
        <v>17</v>
      </c>
      <c r="F60">
        <v>1</v>
      </c>
      <c r="G60">
        <v>1</v>
      </c>
      <c r="H60">
        <v>3</v>
      </c>
      <c r="I60" t="s">
        <v>121</v>
      </c>
      <c r="J60" t="s">
        <v>6</v>
      </c>
      <c r="K60" t="s">
        <v>149</v>
      </c>
      <c r="L60">
        <v>1354</v>
      </c>
      <c r="N60">
        <v>1010</v>
      </c>
      <c r="O60" t="s">
        <v>42</v>
      </c>
      <c r="P60" t="s">
        <v>42</v>
      </c>
      <c r="Q60">
        <v>1</v>
      </c>
      <c r="W60">
        <v>0</v>
      </c>
      <c r="X60">
        <v>1953413105</v>
      </c>
      <c r="Y60">
        <v>7.9706679999999999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6.71</v>
      </c>
      <c r="AJ60">
        <v>1</v>
      </c>
      <c r="AK60">
        <v>1</v>
      </c>
      <c r="AL60">
        <v>1</v>
      </c>
      <c r="AN60">
        <v>0</v>
      </c>
      <c r="AO60">
        <v>0</v>
      </c>
      <c r="AP60">
        <v>0</v>
      </c>
      <c r="AQ60">
        <v>0</v>
      </c>
      <c r="AR60">
        <v>0</v>
      </c>
      <c r="AS60" t="s">
        <v>6</v>
      </c>
      <c r="AT60">
        <v>7.9706679999999999</v>
      </c>
      <c r="AU60" t="s">
        <v>6</v>
      </c>
      <c r="AV60">
        <v>0</v>
      </c>
      <c r="AW60">
        <v>2</v>
      </c>
      <c r="AX60">
        <v>16802636</v>
      </c>
      <c r="AY60">
        <v>1</v>
      </c>
      <c r="AZ60">
        <v>6144</v>
      </c>
      <c r="BA60">
        <v>62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Y60*Source!I45</f>
        <v>10.000000072799999</v>
      </c>
      <c r="CY60">
        <f t="shared" si="4"/>
        <v>0</v>
      </c>
      <c r="CZ60">
        <f t="shared" si="5"/>
        <v>0</v>
      </c>
      <c r="DA60">
        <f t="shared" si="6"/>
        <v>6.71</v>
      </c>
      <c r="DB60">
        <f t="shared" si="7"/>
        <v>0</v>
      </c>
      <c r="DC60">
        <f t="shared" si="8"/>
        <v>0</v>
      </c>
    </row>
    <row r="61" spans="1:107" x14ac:dyDescent="0.2">
      <c r="A61">
        <f>ROW(Source!A45)</f>
        <v>45</v>
      </c>
      <c r="B61">
        <v>16802145</v>
      </c>
      <c r="C61">
        <v>16802606</v>
      </c>
      <c r="D61">
        <v>15162759</v>
      </c>
      <c r="E61">
        <v>17</v>
      </c>
      <c r="F61">
        <v>1</v>
      </c>
      <c r="G61">
        <v>1</v>
      </c>
      <c r="H61">
        <v>3</v>
      </c>
      <c r="I61" t="s">
        <v>121</v>
      </c>
      <c r="J61" t="s">
        <v>6</v>
      </c>
      <c r="K61" t="s">
        <v>151</v>
      </c>
      <c r="L61">
        <v>1354</v>
      </c>
      <c r="N61">
        <v>1010</v>
      </c>
      <c r="O61" t="s">
        <v>42</v>
      </c>
      <c r="P61" t="s">
        <v>42</v>
      </c>
      <c r="Q61">
        <v>1</v>
      </c>
      <c r="W61">
        <v>0</v>
      </c>
      <c r="X61">
        <v>-333106949</v>
      </c>
      <c r="Y61">
        <v>7.9706679999999999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6.71</v>
      </c>
      <c r="AJ61">
        <v>1</v>
      </c>
      <c r="AK61">
        <v>1</v>
      </c>
      <c r="AL61">
        <v>1</v>
      </c>
      <c r="AN61">
        <v>0</v>
      </c>
      <c r="AO61">
        <v>0</v>
      </c>
      <c r="AP61">
        <v>0</v>
      </c>
      <c r="AQ61">
        <v>0</v>
      </c>
      <c r="AR61">
        <v>0</v>
      </c>
      <c r="AS61" t="s">
        <v>6</v>
      </c>
      <c r="AT61">
        <v>7.9706679999999999</v>
      </c>
      <c r="AU61" t="s">
        <v>6</v>
      </c>
      <c r="AV61">
        <v>0</v>
      </c>
      <c r="AW61">
        <v>2</v>
      </c>
      <c r="AX61">
        <v>16802637</v>
      </c>
      <c r="AY61">
        <v>1</v>
      </c>
      <c r="AZ61">
        <v>6144</v>
      </c>
      <c r="BA61">
        <v>63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Y61*Source!I45</f>
        <v>10.000000072799999</v>
      </c>
      <c r="CY61">
        <f t="shared" si="4"/>
        <v>0</v>
      </c>
      <c r="CZ61">
        <f t="shared" si="5"/>
        <v>0</v>
      </c>
      <c r="DA61">
        <f t="shared" si="6"/>
        <v>6.71</v>
      </c>
      <c r="DB61">
        <f t="shared" si="7"/>
        <v>0</v>
      </c>
      <c r="DC61">
        <f t="shared" si="8"/>
        <v>0</v>
      </c>
    </row>
    <row r="62" spans="1:107" x14ac:dyDescent="0.2">
      <c r="A62">
        <f>ROW(Source!A45)</f>
        <v>45</v>
      </c>
      <c r="B62">
        <v>16802145</v>
      </c>
      <c r="C62">
        <v>16802606</v>
      </c>
      <c r="D62">
        <v>15197768</v>
      </c>
      <c r="E62">
        <v>1</v>
      </c>
      <c r="F62">
        <v>1</v>
      </c>
      <c r="G62">
        <v>1</v>
      </c>
      <c r="H62">
        <v>3</v>
      </c>
      <c r="I62" t="s">
        <v>129</v>
      </c>
      <c r="J62" t="s">
        <v>131</v>
      </c>
      <c r="K62" t="s">
        <v>130</v>
      </c>
      <c r="L62">
        <v>1355</v>
      </c>
      <c r="N62">
        <v>1010</v>
      </c>
      <c r="O62" t="s">
        <v>126</v>
      </c>
      <c r="P62" t="s">
        <v>126</v>
      </c>
      <c r="Q62">
        <v>100</v>
      </c>
      <c r="W62">
        <v>0</v>
      </c>
      <c r="X62">
        <v>1345842772</v>
      </c>
      <c r="Y62">
        <v>7.9707E-2</v>
      </c>
      <c r="AA62">
        <v>422.73</v>
      </c>
      <c r="AB62">
        <v>0</v>
      </c>
      <c r="AC62">
        <v>0</v>
      </c>
      <c r="AD62">
        <v>0</v>
      </c>
      <c r="AE62">
        <v>63</v>
      </c>
      <c r="AF62">
        <v>0</v>
      </c>
      <c r="AG62">
        <v>0</v>
      </c>
      <c r="AH62">
        <v>0</v>
      </c>
      <c r="AI62">
        <v>6.71</v>
      </c>
      <c r="AJ62">
        <v>1</v>
      </c>
      <c r="AK62">
        <v>1</v>
      </c>
      <c r="AL62">
        <v>1</v>
      </c>
      <c r="AN62">
        <v>0</v>
      </c>
      <c r="AO62">
        <v>0</v>
      </c>
      <c r="AP62">
        <v>0</v>
      </c>
      <c r="AQ62">
        <v>0</v>
      </c>
      <c r="AR62">
        <v>0</v>
      </c>
      <c r="AS62" t="s">
        <v>6</v>
      </c>
      <c r="AT62">
        <v>7.9707E-2</v>
      </c>
      <c r="AU62" t="s">
        <v>6</v>
      </c>
      <c r="AV62">
        <v>0</v>
      </c>
      <c r="AW62">
        <v>1</v>
      </c>
      <c r="AX62">
        <v>-1</v>
      </c>
      <c r="AY62">
        <v>0</v>
      </c>
      <c r="AZ62">
        <v>0</v>
      </c>
      <c r="BA62" t="s">
        <v>6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Y62*Source!I45</f>
        <v>0.10000040219999999</v>
      </c>
      <c r="CY62">
        <f t="shared" si="4"/>
        <v>422.73</v>
      </c>
      <c r="CZ62">
        <f t="shared" si="5"/>
        <v>63</v>
      </c>
      <c r="DA62">
        <f t="shared" si="6"/>
        <v>6.71</v>
      </c>
      <c r="DB62">
        <f t="shared" si="7"/>
        <v>5.0199999999999996</v>
      </c>
      <c r="DC62">
        <f t="shared" si="8"/>
        <v>0</v>
      </c>
    </row>
    <row r="63" spans="1:107" x14ac:dyDescent="0.2">
      <c r="A63">
        <f>ROW(Source!A45)</f>
        <v>45</v>
      </c>
      <c r="B63">
        <v>16802145</v>
      </c>
      <c r="C63">
        <v>16802606</v>
      </c>
      <c r="D63">
        <v>15197770</v>
      </c>
      <c r="E63">
        <v>1</v>
      </c>
      <c r="F63">
        <v>1</v>
      </c>
      <c r="G63">
        <v>1</v>
      </c>
      <c r="H63">
        <v>3</v>
      </c>
      <c r="I63" t="s">
        <v>124</v>
      </c>
      <c r="J63" t="s">
        <v>127</v>
      </c>
      <c r="K63" t="s">
        <v>125</v>
      </c>
      <c r="L63">
        <v>1355</v>
      </c>
      <c r="N63">
        <v>1010</v>
      </c>
      <c r="O63" t="s">
        <v>126</v>
      </c>
      <c r="P63" t="s">
        <v>126</v>
      </c>
      <c r="Q63">
        <v>100</v>
      </c>
      <c r="W63">
        <v>0</v>
      </c>
      <c r="X63">
        <v>1906340979</v>
      </c>
      <c r="Y63">
        <v>7.9707E-2</v>
      </c>
      <c r="AA63">
        <v>422.73</v>
      </c>
      <c r="AB63">
        <v>0</v>
      </c>
      <c r="AC63">
        <v>0</v>
      </c>
      <c r="AD63">
        <v>0</v>
      </c>
      <c r="AE63">
        <v>63</v>
      </c>
      <c r="AF63">
        <v>0</v>
      </c>
      <c r="AG63">
        <v>0</v>
      </c>
      <c r="AH63">
        <v>0</v>
      </c>
      <c r="AI63">
        <v>6.71</v>
      </c>
      <c r="AJ63">
        <v>1</v>
      </c>
      <c r="AK63">
        <v>1</v>
      </c>
      <c r="AL63">
        <v>1</v>
      </c>
      <c r="AN63">
        <v>0</v>
      </c>
      <c r="AO63">
        <v>0</v>
      </c>
      <c r="AP63">
        <v>0</v>
      </c>
      <c r="AQ63">
        <v>0</v>
      </c>
      <c r="AR63">
        <v>0</v>
      </c>
      <c r="AS63" t="s">
        <v>6</v>
      </c>
      <c r="AT63">
        <v>7.9707E-2</v>
      </c>
      <c r="AU63" t="s">
        <v>6</v>
      </c>
      <c r="AV63">
        <v>0</v>
      </c>
      <c r="AW63">
        <v>1</v>
      </c>
      <c r="AX63">
        <v>-1</v>
      </c>
      <c r="AY63">
        <v>0</v>
      </c>
      <c r="AZ63">
        <v>0</v>
      </c>
      <c r="BA63" t="s">
        <v>6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Y63*Source!I45</f>
        <v>0.10000040219999999</v>
      </c>
      <c r="CY63">
        <f t="shared" si="4"/>
        <v>422.73</v>
      </c>
      <c r="CZ63">
        <f t="shared" si="5"/>
        <v>63</v>
      </c>
      <c r="DA63">
        <f t="shared" si="6"/>
        <v>6.71</v>
      </c>
      <c r="DB63">
        <f t="shared" si="7"/>
        <v>5.0199999999999996</v>
      </c>
      <c r="DC63">
        <f t="shared" si="8"/>
        <v>0</v>
      </c>
    </row>
    <row r="64" spans="1:107" x14ac:dyDescent="0.2">
      <c r="A64">
        <f>ROW(Source!A45)</f>
        <v>45</v>
      </c>
      <c r="B64">
        <v>16802145</v>
      </c>
      <c r="C64">
        <v>16802606</v>
      </c>
      <c r="D64">
        <v>15197772</v>
      </c>
      <c r="E64">
        <v>1</v>
      </c>
      <c r="F64">
        <v>1</v>
      </c>
      <c r="G64">
        <v>1</v>
      </c>
      <c r="H64">
        <v>3</v>
      </c>
      <c r="I64" t="s">
        <v>133</v>
      </c>
      <c r="J64" t="s">
        <v>135</v>
      </c>
      <c r="K64" t="s">
        <v>134</v>
      </c>
      <c r="L64">
        <v>1355</v>
      </c>
      <c r="N64">
        <v>1010</v>
      </c>
      <c r="O64" t="s">
        <v>126</v>
      </c>
      <c r="P64" t="s">
        <v>126</v>
      </c>
      <c r="Q64">
        <v>100</v>
      </c>
      <c r="W64">
        <v>0</v>
      </c>
      <c r="X64">
        <v>848075668</v>
      </c>
      <c r="Y64">
        <v>0.39853300000000003</v>
      </c>
      <c r="AA64">
        <v>858.88</v>
      </c>
      <c r="AB64">
        <v>0</v>
      </c>
      <c r="AC64">
        <v>0</v>
      </c>
      <c r="AD64">
        <v>0</v>
      </c>
      <c r="AE64">
        <v>128</v>
      </c>
      <c r="AF64">
        <v>0</v>
      </c>
      <c r="AG64">
        <v>0</v>
      </c>
      <c r="AH64">
        <v>0</v>
      </c>
      <c r="AI64">
        <v>6.71</v>
      </c>
      <c r="AJ64">
        <v>1</v>
      </c>
      <c r="AK64">
        <v>1</v>
      </c>
      <c r="AL64">
        <v>1</v>
      </c>
      <c r="AN64">
        <v>0</v>
      </c>
      <c r="AO64">
        <v>0</v>
      </c>
      <c r="AP64">
        <v>0</v>
      </c>
      <c r="AQ64">
        <v>0</v>
      </c>
      <c r="AR64">
        <v>0</v>
      </c>
      <c r="AS64" t="s">
        <v>6</v>
      </c>
      <c r="AT64">
        <v>0.39853300000000003</v>
      </c>
      <c r="AU64" t="s">
        <v>6</v>
      </c>
      <c r="AV64">
        <v>0</v>
      </c>
      <c r="AW64">
        <v>1</v>
      </c>
      <c r="AX64">
        <v>-1</v>
      </c>
      <c r="AY64">
        <v>0</v>
      </c>
      <c r="AZ64">
        <v>0</v>
      </c>
      <c r="BA64" t="s">
        <v>6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Y64*Source!I45</f>
        <v>0.49999950180000002</v>
      </c>
      <c r="CY64">
        <f t="shared" si="4"/>
        <v>858.88</v>
      </c>
      <c r="CZ64">
        <f t="shared" si="5"/>
        <v>128</v>
      </c>
      <c r="DA64">
        <f t="shared" si="6"/>
        <v>6.71</v>
      </c>
      <c r="DB64">
        <f t="shared" si="7"/>
        <v>51.01</v>
      </c>
      <c r="DC64">
        <f t="shared" si="8"/>
        <v>0</v>
      </c>
    </row>
    <row r="65" spans="1:107" x14ac:dyDescent="0.2">
      <c r="A65">
        <f>ROW(Source!A45)</f>
        <v>45</v>
      </c>
      <c r="B65">
        <v>16802145</v>
      </c>
      <c r="C65">
        <v>16802606</v>
      </c>
      <c r="D65">
        <v>15197774</v>
      </c>
      <c r="E65">
        <v>1</v>
      </c>
      <c r="F65">
        <v>1</v>
      </c>
      <c r="G65">
        <v>1</v>
      </c>
      <c r="H65">
        <v>3</v>
      </c>
      <c r="I65" t="s">
        <v>137</v>
      </c>
      <c r="J65" t="s">
        <v>139</v>
      </c>
      <c r="K65" t="s">
        <v>138</v>
      </c>
      <c r="L65">
        <v>1355</v>
      </c>
      <c r="N65">
        <v>1010</v>
      </c>
      <c r="O65" t="s">
        <v>126</v>
      </c>
      <c r="P65" t="s">
        <v>126</v>
      </c>
      <c r="Q65">
        <v>100</v>
      </c>
      <c r="W65">
        <v>0</v>
      </c>
      <c r="X65">
        <v>1508644261</v>
      </c>
      <c r="Y65">
        <v>6.3765000000000002E-2</v>
      </c>
      <c r="AA65">
        <v>858.88</v>
      </c>
      <c r="AB65">
        <v>0</v>
      </c>
      <c r="AC65">
        <v>0</v>
      </c>
      <c r="AD65">
        <v>0</v>
      </c>
      <c r="AE65">
        <v>128</v>
      </c>
      <c r="AF65">
        <v>0</v>
      </c>
      <c r="AG65">
        <v>0</v>
      </c>
      <c r="AH65">
        <v>0</v>
      </c>
      <c r="AI65">
        <v>6.71</v>
      </c>
      <c r="AJ65">
        <v>1</v>
      </c>
      <c r="AK65">
        <v>1</v>
      </c>
      <c r="AL65">
        <v>1</v>
      </c>
      <c r="AN65">
        <v>0</v>
      </c>
      <c r="AO65">
        <v>0</v>
      </c>
      <c r="AP65">
        <v>0</v>
      </c>
      <c r="AQ65">
        <v>0</v>
      </c>
      <c r="AR65">
        <v>0</v>
      </c>
      <c r="AS65" t="s">
        <v>6</v>
      </c>
      <c r="AT65">
        <v>6.3765000000000002E-2</v>
      </c>
      <c r="AU65" t="s">
        <v>6</v>
      </c>
      <c r="AV65">
        <v>0</v>
      </c>
      <c r="AW65">
        <v>1</v>
      </c>
      <c r="AX65">
        <v>-1</v>
      </c>
      <c r="AY65">
        <v>0</v>
      </c>
      <c r="AZ65">
        <v>0</v>
      </c>
      <c r="BA65" t="s">
        <v>6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Y65*Source!I45</f>
        <v>7.9999568999999993E-2</v>
      </c>
      <c r="CY65">
        <f t="shared" si="4"/>
        <v>858.88</v>
      </c>
      <c r="CZ65">
        <f t="shared" si="5"/>
        <v>128</v>
      </c>
      <c r="DA65">
        <f t="shared" si="6"/>
        <v>6.71</v>
      </c>
      <c r="DB65">
        <f t="shared" si="7"/>
        <v>8.16</v>
      </c>
      <c r="DC65">
        <f t="shared" si="8"/>
        <v>0</v>
      </c>
    </row>
    <row r="66" spans="1:107" x14ac:dyDescent="0.2">
      <c r="A66">
        <f>ROW(Source!A45)</f>
        <v>45</v>
      </c>
      <c r="B66">
        <v>16802145</v>
      </c>
      <c r="C66">
        <v>16802606</v>
      </c>
      <c r="D66">
        <v>15197776</v>
      </c>
      <c r="E66">
        <v>1</v>
      </c>
      <c r="F66">
        <v>1</v>
      </c>
      <c r="G66">
        <v>1</v>
      </c>
      <c r="H66">
        <v>3</v>
      </c>
      <c r="I66" t="s">
        <v>141</v>
      </c>
      <c r="J66" t="s">
        <v>143</v>
      </c>
      <c r="K66" t="s">
        <v>142</v>
      </c>
      <c r="L66">
        <v>1355</v>
      </c>
      <c r="N66">
        <v>1010</v>
      </c>
      <c r="O66" t="s">
        <v>126</v>
      </c>
      <c r="P66" t="s">
        <v>126</v>
      </c>
      <c r="Q66">
        <v>100</v>
      </c>
      <c r="W66">
        <v>0</v>
      </c>
      <c r="X66">
        <v>-1530028590</v>
      </c>
      <c r="Y66">
        <v>6.3765000000000002E-2</v>
      </c>
      <c r="AA66">
        <v>858.88</v>
      </c>
      <c r="AB66">
        <v>0</v>
      </c>
      <c r="AC66">
        <v>0</v>
      </c>
      <c r="AD66">
        <v>0</v>
      </c>
      <c r="AE66">
        <v>128</v>
      </c>
      <c r="AF66">
        <v>0</v>
      </c>
      <c r="AG66">
        <v>0</v>
      </c>
      <c r="AH66">
        <v>0</v>
      </c>
      <c r="AI66">
        <v>6.71</v>
      </c>
      <c r="AJ66">
        <v>1</v>
      </c>
      <c r="AK66">
        <v>1</v>
      </c>
      <c r="AL66">
        <v>1</v>
      </c>
      <c r="AN66">
        <v>0</v>
      </c>
      <c r="AO66">
        <v>0</v>
      </c>
      <c r="AP66">
        <v>0</v>
      </c>
      <c r="AQ66">
        <v>0</v>
      </c>
      <c r="AR66">
        <v>0</v>
      </c>
      <c r="AS66" t="s">
        <v>6</v>
      </c>
      <c r="AT66">
        <v>6.3765000000000002E-2</v>
      </c>
      <c r="AU66" t="s">
        <v>6</v>
      </c>
      <c r="AV66">
        <v>0</v>
      </c>
      <c r="AW66">
        <v>1</v>
      </c>
      <c r="AX66">
        <v>-1</v>
      </c>
      <c r="AY66">
        <v>0</v>
      </c>
      <c r="AZ66">
        <v>0</v>
      </c>
      <c r="BA66" t="s">
        <v>6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Y66*Source!I45</f>
        <v>7.9999568999999993E-2</v>
      </c>
      <c r="CY66">
        <f t="shared" si="4"/>
        <v>858.88</v>
      </c>
      <c r="CZ66">
        <f t="shared" si="5"/>
        <v>128</v>
      </c>
      <c r="DA66">
        <f t="shared" si="6"/>
        <v>6.71</v>
      </c>
      <c r="DB66">
        <f t="shared" si="7"/>
        <v>8.16</v>
      </c>
      <c r="DC66">
        <f t="shared" si="8"/>
        <v>0</v>
      </c>
    </row>
    <row r="67" spans="1:107" x14ac:dyDescent="0.2">
      <c r="A67">
        <f>ROW(Source!A58)</f>
        <v>58</v>
      </c>
      <c r="B67">
        <v>16802145</v>
      </c>
      <c r="C67">
        <v>16802650</v>
      </c>
      <c r="D67">
        <v>15436014</v>
      </c>
      <c r="E67">
        <v>1</v>
      </c>
      <c r="F67">
        <v>1</v>
      </c>
      <c r="G67">
        <v>1</v>
      </c>
      <c r="H67">
        <v>1</v>
      </c>
      <c r="I67" t="s">
        <v>710</v>
      </c>
      <c r="J67" t="s">
        <v>6</v>
      </c>
      <c r="K67" t="s">
        <v>711</v>
      </c>
      <c r="L67">
        <v>1191</v>
      </c>
      <c r="N67">
        <v>1013</v>
      </c>
      <c r="O67" t="s">
        <v>660</v>
      </c>
      <c r="P67" t="s">
        <v>660</v>
      </c>
      <c r="Q67">
        <v>1</v>
      </c>
      <c r="W67">
        <v>0</v>
      </c>
      <c r="X67">
        <v>-784637506</v>
      </c>
      <c r="Y67">
        <v>19.135999999999999</v>
      </c>
      <c r="AA67">
        <v>0</v>
      </c>
      <c r="AB67">
        <v>0</v>
      </c>
      <c r="AC67">
        <v>0</v>
      </c>
      <c r="AD67">
        <v>58.65</v>
      </c>
      <c r="AE67">
        <v>0</v>
      </c>
      <c r="AF67">
        <v>0</v>
      </c>
      <c r="AG67">
        <v>0</v>
      </c>
      <c r="AH67">
        <v>8.74</v>
      </c>
      <c r="AI67">
        <v>1</v>
      </c>
      <c r="AJ67">
        <v>1</v>
      </c>
      <c r="AK67">
        <v>1</v>
      </c>
      <c r="AL67">
        <v>6.71</v>
      </c>
      <c r="AN67">
        <v>0</v>
      </c>
      <c r="AO67">
        <v>1</v>
      </c>
      <c r="AP67">
        <v>1</v>
      </c>
      <c r="AQ67">
        <v>0</v>
      </c>
      <c r="AR67">
        <v>0</v>
      </c>
      <c r="AS67" t="s">
        <v>6</v>
      </c>
      <c r="AT67">
        <v>16.64</v>
      </c>
      <c r="AU67" t="s">
        <v>72</v>
      </c>
      <c r="AV67">
        <v>1</v>
      </c>
      <c r="AW67">
        <v>2</v>
      </c>
      <c r="AX67">
        <v>16802656</v>
      </c>
      <c r="AY67">
        <v>1</v>
      </c>
      <c r="AZ67">
        <v>0</v>
      </c>
      <c r="BA67">
        <v>64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Y67*Source!I58</f>
        <v>0.51667200000000002</v>
      </c>
      <c r="CY67">
        <f>AD67</f>
        <v>58.65</v>
      </c>
      <c r="CZ67">
        <f>AH67</f>
        <v>8.74</v>
      </c>
      <c r="DA67">
        <f>AL67</f>
        <v>6.71</v>
      </c>
      <c r="DB67">
        <f>ROUND((ROUND(AT67*CZ67,2)*1.15),2)</f>
        <v>167.24</v>
      </c>
      <c r="DC67">
        <f>ROUND((ROUND(AT67*AG67,2)*1.15),2)</f>
        <v>0</v>
      </c>
    </row>
    <row r="68" spans="1:107" x14ac:dyDescent="0.2">
      <c r="A68">
        <f>ROW(Source!A58)</f>
        <v>58</v>
      </c>
      <c r="B68">
        <v>16802145</v>
      </c>
      <c r="C68">
        <v>16802650</v>
      </c>
      <c r="D68">
        <v>15169972</v>
      </c>
      <c r="E68">
        <v>1</v>
      </c>
      <c r="F68">
        <v>1</v>
      </c>
      <c r="G68">
        <v>1</v>
      </c>
      <c r="H68">
        <v>3</v>
      </c>
      <c r="I68" t="s">
        <v>703</v>
      </c>
      <c r="J68" t="s">
        <v>704</v>
      </c>
      <c r="K68" t="s">
        <v>705</v>
      </c>
      <c r="L68">
        <v>1355</v>
      </c>
      <c r="N68">
        <v>1010</v>
      </c>
      <c r="O68" t="s">
        <v>126</v>
      </c>
      <c r="P68" t="s">
        <v>126</v>
      </c>
      <c r="Q68">
        <v>100</v>
      </c>
      <c r="W68">
        <v>0</v>
      </c>
      <c r="X68">
        <v>-725528132</v>
      </c>
      <c r="Y68">
        <v>6.7</v>
      </c>
      <c r="AA68">
        <v>80.52</v>
      </c>
      <c r="AB68">
        <v>0</v>
      </c>
      <c r="AC68">
        <v>0</v>
      </c>
      <c r="AD68">
        <v>0</v>
      </c>
      <c r="AE68">
        <v>12</v>
      </c>
      <c r="AF68">
        <v>0</v>
      </c>
      <c r="AG68">
        <v>0</v>
      </c>
      <c r="AH68">
        <v>0</v>
      </c>
      <c r="AI68">
        <v>6.71</v>
      </c>
      <c r="AJ68">
        <v>1</v>
      </c>
      <c r="AK68">
        <v>1</v>
      </c>
      <c r="AL68">
        <v>1</v>
      </c>
      <c r="AN68">
        <v>0</v>
      </c>
      <c r="AO68">
        <v>1</v>
      </c>
      <c r="AP68">
        <v>0</v>
      </c>
      <c r="AQ68">
        <v>0</v>
      </c>
      <c r="AR68">
        <v>0</v>
      </c>
      <c r="AS68" t="s">
        <v>6</v>
      </c>
      <c r="AT68">
        <v>6.7</v>
      </c>
      <c r="AU68" t="s">
        <v>6</v>
      </c>
      <c r="AV68">
        <v>0</v>
      </c>
      <c r="AW68">
        <v>2</v>
      </c>
      <c r="AX68">
        <v>16802657</v>
      </c>
      <c r="AY68">
        <v>1</v>
      </c>
      <c r="AZ68">
        <v>0</v>
      </c>
      <c r="BA68">
        <v>65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Y68*Source!I58</f>
        <v>0.18090000000000001</v>
      </c>
      <c r="CY68">
        <f>AA68</f>
        <v>80.52</v>
      </c>
      <c r="CZ68">
        <f>AE68</f>
        <v>12</v>
      </c>
      <c r="DA68">
        <f>AI68</f>
        <v>6.71</v>
      </c>
      <c r="DB68">
        <f>ROUND(ROUND(AT68*CZ68,2),2)</f>
        <v>80.400000000000006</v>
      </c>
      <c r="DC68">
        <f>ROUND(ROUND(AT68*AG68,2),2)</f>
        <v>0</v>
      </c>
    </row>
    <row r="69" spans="1:107" x14ac:dyDescent="0.2">
      <c r="A69">
        <f>ROW(Source!A58)</f>
        <v>58</v>
      </c>
      <c r="B69">
        <v>16802145</v>
      </c>
      <c r="C69">
        <v>16802650</v>
      </c>
      <c r="D69">
        <v>15162775</v>
      </c>
      <c r="E69">
        <v>17</v>
      </c>
      <c r="F69">
        <v>1</v>
      </c>
      <c r="G69">
        <v>1</v>
      </c>
      <c r="H69">
        <v>3</v>
      </c>
      <c r="I69" t="s">
        <v>165</v>
      </c>
      <c r="J69" t="s">
        <v>6</v>
      </c>
      <c r="K69" t="s">
        <v>166</v>
      </c>
      <c r="L69">
        <v>1301</v>
      </c>
      <c r="N69">
        <v>1003</v>
      </c>
      <c r="O69" t="s">
        <v>115</v>
      </c>
      <c r="P69" t="s">
        <v>115</v>
      </c>
      <c r="Q69">
        <v>1</v>
      </c>
      <c r="W69">
        <v>0</v>
      </c>
      <c r="X69">
        <v>2101938969</v>
      </c>
      <c r="Y69">
        <v>105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6.71</v>
      </c>
      <c r="AJ69">
        <v>1</v>
      </c>
      <c r="AK69">
        <v>1</v>
      </c>
      <c r="AL69">
        <v>1</v>
      </c>
      <c r="AN69">
        <v>0</v>
      </c>
      <c r="AO69">
        <v>0</v>
      </c>
      <c r="AP69">
        <v>0</v>
      </c>
      <c r="AQ69">
        <v>0</v>
      </c>
      <c r="AR69">
        <v>0</v>
      </c>
      <c r="AS69" t="s">
        <v>6</v>
      </c>
      <c r="AT69">
        <v>105</v>
      </c>
      <c r="AU69" t="s">
        <v>6</v>
      </c>
      <c r="AV69">
        <v>0</v>
      </c>
      <c r="AW69">
        <v>2</v>
      </c>
      <c r="AX69">
        <v>16802658</v>
      </c>
      <c r="AY69">
        <v>1</v>
      </c>
      <c r="AZ69">
        <v>0</v>
      </c>
      <c r="BA69">
        <v>66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Y69*Source!I58</f>
        <v>2.835</v>
      </c>
      <c r="CY69">
        <f>AA69</f>
        <v>0</v>
      </c>
      <c r="CZ69">
        <f>AE69</f>
        <v>0</v>
      </c>
      <c r="DA69">
        <f>AI69</f>
        <v>6.71</v>
      </c>
      <c r="DB69">
        <f>ROUND(ROUND(AT69*CZ69,2),2)</f>
        <v>0</v>
      </c>
      <c r="DC69">
        <f>ROUND(ROUND(AT69*AG69,2),2)</f>
        <v>0</v>
      </c>
    </row>
    <row r="70" spans="1:107" x14ac:dyDescent="0.2">
      <c r="A70">
        <f>ROW(Source!A58)</f>
        <v>58</v>
      </c>
      <c r="B70">
        <v>16802145</v>
      </c>
      <c r="C70">
        <v>16802650</v>
      </c>
      <c r="D70">
        <v>15192878</v>
      </c>
      <c r="E70">
        <v>1</v>
      </c>
      <c r="F70">
        <v>1</v>
      </c>
      <c r="G70">
        <v>1</v>
      </c>
      <c r="H70">
        <v>3</v>
      </c>
      <c r="I70" t="s">
        <v>161</v>
      </c>
      <c r="J70" t="s">
        <v>163</v>
      </c>
      <c r="K70" t="s">
        <v>162</v>
      </c>
      <c r="L70">
        <v>1354</v>
      </c>
      <c r="N70">
        <v>1010</v>
      </c>
      <c r="O70" t="s">
        <v>42</v>
      </c>
      <c r="P70" t="s">
        <v>42</v>
      </c>
      <c r="Q70">
        <v>1</v>
      </c>
      <c r="W70">
        <v>0</v>
      </c>
      <c r="X70">
        <v>-1858633972</v>
      </c>
      <c r="Y70">
        <v>148.14814799999999</v>
      </c>
      <c r="AA70">
        <v>101.12</v>
      </c>
      <c r="AB70">
        <v>0</v>
      </c>
      <c r="AC70">
        <v>0</v>
      </c>
      <c r="AD70">
        <v>0</v>
      </c>
      <c r="AE70">
        <v>15.07</v>
      </c>
      <c r="AF70">
        <v>0</v>
      </c>
      <c r="AG70">
        <v>0</v>
      </c>
      <c r="AH70">
        <v>0</v>
      </c>
      <c r="AI70">
        <v>6.71</v>
      </c>
      <c r="AJ70">
        <v>1</v>
      </c>
      <c r="AK70">
        <v>1</v>
      </c>
      <c r="AL70">
        <v>1</v>
      </c>
      <c r="AN70">
        <v>0</v>
      </c>
      <c r="AO70">
        <v>0</v>
      </c>
      <c r="AP70">
        <v>0</v>
      </c>
      <c r="AQ70">
        <v>0</v>
      </c>
      <c r="AR70">
        <v>0</v>
      </c>
      <c r="AS70" t="s">
        <v>6</v>
      </c>
      <c r="AT70">
        <v>148.14814799999999</v>
      </c>
      <c r="AU70" t="s">
        <v>6</v>
      </c>
      <c r="AV70">
        <v>0</v>
      </c>
      <c r="AW70">
        <v>1</v>
      </c>
      <c r="AX70">
        <v>-1</v>
      </c>
      <c r="AY70">
        <v>0</v>
      </c>
      <c r="AZ70">
        <v>0</v>
      </c>
      <c r="BA70" t="s">
        <v>6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Y70*Source!I58</f>
        <v>3.9999999959999997</v>
      </c>
      <c r="CY70">
        <f>AA70</f>
        <v>101.12</v>
      </c>
      <c r="CZ70">
        <f>AE70</f>
        <v>15.07</v>
      </c>
      <c r="DA70">
        <f>AI70</f>
        <v>6.71</v>
      </c>
      <c r="DB70">
        <f>ROUND(ROUND(AT70*CZ70,2),2)</f>
        <v>2232.59</v>
      </c>
      <c r="DC70">
        <f>ROUND(ROUND(AT70*AG70,2),2)</f>
        <v>0</v>
      </c>
    </row>
    <row r="71" spans="1:107" x14ac:dyDescent="0.2">
      <c r="A71">
        <f>ROW(Source!A58)</f>
        <v>58</v>
      </c>
      <c r="B71">
        <v>16802145</v>
      </c>
      <c r="C71">
        <v>16802650</v>
      </c>
      <c r="D71">
        <v>15192879</v>
      </c>
      <c r="E71">
        <v>1</v>
      </c>
      <c r="F71">
        <v>1</v>
      </c>
      <c r="G71">
        <v>1</v>
      </c>
      <c r="H71">
        <v>3</v>
      </c>
      <c r="I71" t="s">
        <v>157</v>
      </c>
      <c r="J71" t="s">
        <v>159</v>
      </c>
      <c r="K71" t="s">
        <v>158</v>
      </c>
      <c r="L71">
        <v>1354</v>
      </c>
      <c r="N71">
        <v>1010</v>
      </c>
      <c r="O71" t="s">
        <v>42</v>
      </c>
      <c r="P71" t="s">
        <v>42</v>
      </c>
      <c r="Q71">
        <v>1</v>
      </c>
      <c r="W71">
        <v>0</v>
      </c>
      <c r="X71">
        <v>577992781</v>
      </c>
      <c r="Y71">
        <v>37.037036999999998</v>
      </c>
      <c r="AA71">
        <v>209.89</v>
      </c>
      <c r="AB71">
        <v>0</v>
      </c>
      <c r="AC71">
        <v>0</v>
      </c>
      <c r="AD71">
        <v>0</v>
      </c>
      <c r="AE71">
        <v>31.28</v>
      </c>
      <c r="AF71">
        <v>0</v>
      </c>
      <c r="AG71">
        <v>0</v>
      </c>
      <c r="AH71">
        <v>0</v>
      </c>
      <c r="AI71">
        <v>6.71</v>
      </c>
      <c r="AJ71">
        <v>1</v>
      </c>
      <c r="AK71">
        <v>1</v>
      </c>
      <c r="AL71">
        <v>1</v>
      </c>
      <c r="AN71">
        <v>0</v>
      </c>
      <c r="AO71">
        <v>0</v>
      </c>
      <c r="AP71">
        <v>0</v>
      </c>
      <c r="AQ71">
        <v>0</v>
      </c>
      <c r="AR71">
        <v>0</v>
      </c>
      <c r="AS71" t="s">
        <v>6</v>
      </c>
      <c r="AT71">
        <v>37.037036999999998</v>
      </c>
      <c r="AU71" t="s">
        <v>6</v>
      </c>
      <c r="AV71">
        <v>0</v>
      </c>
      <c r="AW71">
        <v>1</v>
      </c>
      <c r="AX71">
        <v>-1</v>
      </c>
      <c r="AY71">
        <v>0</v>
      </c>
      <c r="AZ71">
        <v>0</v>
      </c>
      <c r="BA71" t="s">
        <v>6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Y71*Source!I58</f>
        <v>0.99999999899999992</v>
      </c>
      <c r="CY71">
        <f>AA71</f>
        <v>209.89</v>
      </c>
      <c r="CZ71">
        <f>AE71</f>
        <v>31.28</v>
      </c>
      <c r="DA71">
        <f>AI71</f>
        <v>6.71</v>
      </c>
      <c r="DB71">
        <f>ROUND(ROUND(AT71*CZ71,2),2)</f>
        <v>1158.52</v>
      </c>
      <c r="DC71">
        <f>ROUND(ROUND(AT71*AG71,2),2)</f>
        <v>0</v>
      </c>
    </row>
    <row r="72" spans="1:107" x14ac:dyDescent="0.2">
      <c r="A72">
        <f>ROW(Source!A62)</f>
        <v>62</v>
      </c>
      <c r="B72">
        <v>16802145</v>
      </c>
      <c r="C72">
        <v>16807780</v>
      </c>
      <c r="D72">
        <v>15430767</v>
      </c>
      <c r="E72">
        <v>1</v>
      </c>
      <c r="F72">
        <v>1</v>
      </c>
      <c r="G72">
        <v>1</v>
      </c>
      <c r="H72">
        <v>1</v>
      </c>
      <c r="I72" t="s">
        <v>667</v>
      </c>
      <c r="J72" t="s">
        <v>6</v>
      </c>
      <c r="K72" t="s">
        <v>668</v>
      </c>
      <c r="L72">
        <v>1191</v>
      </c>
      <c r="N72">
        <v>1013</v>
      </c>
      <c r="O72" t="s">
        <v>660</v>
      </c>
      <c r="P72" t="s">
        <v>660</v>
      </c>
      <c r="Q72">
        <v>1</v>
      </c>
      <c r="W72">
        <v>0</v>
      </c>
      <c r="X72">
        <v>-400197608</v>
      </c>
      <c r="Y72">
        <v>37.363500000000002</v>
      </c>
      <c r="AA72">
        <v>0</v>
      </c>
      <c r="AB72">
        <v>0</v>
      </c>
      <c r="AC72">
        <v>0</v>
      </c>
      <c r="AD72">
        <v>57.24</v>
      </c>
      <c r="AE72">
        <v>0</v>
      </c>
      <c r="AF72">
        <v>0</v>
      </c>
      <c r="AG72">
        <v>0</v>
      </c>
      <c r="AH72">
        <v>8.5299999999999994</v>
      </c>
      <c r="AI72">
        <v>1</v>
      </c>
      <c r="AJ72">
        <v>1</v>
      </c>
      <c r="AK72">
        <v>1</v>
      </c>
      <c r="AL72">
        <v>6.71</v>
      </c>
      <c r="AN72">
        <v>0</v>
      </c>
      <c r="AO72">
        <v>1</v>
      </c>
      <c r="AP72">
        <v>1</v>
      </c>
      <c r="AQ72">
        <v>0</v>
      </c>
      <c r="AR72">
        <v>0</v>
      </c>
      <c r="AS72" t="s">
        <v>6</v>
      </c>
      <c r="AT72">
        <v>32.49</v>
      </c>
      <c r="AU72" t="s">
        <v>72</v>
      </c>
      <c r="AV72">
        <v>1</v>
      </c>
      <c r="AW72">
        <v>2</v>
      </c>
      <c r="AX72">
        <v>16807781</v>
      </c>
      <c r="AY72">
        <v>1</v>
      </c>
      <c r="AZ72">
        <v>0</v>
      </c>
      <c r="BA72">
        <v>67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Y72*Source!I62</f>
        <v>41.510848500000002</v>
      </c>
      <c r="CY72">
        <f>AD72</f>
        <v>57.24</v>
      </c>
      <c r="CZ72">
        <f>AH72</f>
        <v>8.5299999999999994</v>
      </c>
      <c r="DA72">
        <f>AL72</f>
        <v>6.71</v>
      </c>
      <c r="DB72">
        <f>ROUND((ROUND(AT72*CZ72,2)*1.15),2)</f>
        <v>318.70999999999998</v>
      </c>
      <c r="DC72">
        <f>ROUND((ROUND(AT72*AG72,2)*1.15),2)</f>
        <v>0</v>
      </c>
    </row>
    <row r="73" spans="1:107" x14ac:dyDescent="0.2">
      <c r="A73">
        <f>ROW(Source!A62)</f>
        <v>62</v>
      </c>
      <c r="B73">
        <v>16802145</v>
      </c>
      <c r="C73">
        <v>16807780</v>
      </c>
      <c r="D73">
        <v>15430395</v>
      </c>
      <c r="E73">
        <v>1</v>
      </c>
      <c r="F73">
        <v>1</v>
      </c>
      <c r="G73">
        <v>1</v>
      </c>
      <c r="H73">
        <v>1</v>
      </c>
      <c r="I73" t="s">
        <v>661</v>
      </c>
      <c r="J73" t="s">
        <v>6</v>
      </c>
      <c r="K73" t="s">
        <v>662</v>
      </c>
      <c r="L73">
        <v>1191</v>
      </c>
      <c r="N73">
        <v>1013</v>
      </c>
      <c r="O73" t="s">
        <v>660</v>
      </c>
      <c r="P73" t="s">
        <v>660</v>
      </c>
      <c r="Q73">
        <v>1</v>
      </c>
      <c r="W73">
        <v>0</v>
      </c>
      <c r="X73">
        <v>-1417349443</v>
      </c>
      <c r="Y73">
        <v>0.93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1</v>
      </c>
      <c r="AJ73">
        <v>1</v>
      </c>
      <c r="AK73">
        <v>6.71</v>
      </c>
      <c r="AL73">
        <v>1</v>
      </c>
      <c r="AN73">
        <v>0</v>
      </c>
      <c r="AO73">
        <v>1</v>
      </c>
      <c r="AP73">
        <v>0</v>
      </c>
      <c r="AQ73">
        <v>0</v>
      </c>
      <c r="AR73">
        <v>0</v>
      </c>
      <c r="AS73" t="s">
        <v>6</v>
      </c>
      <c r="AT73">
        <v>0.93</v>
      </c>
      <c r="AU73" t="s">
        <v>6</v>
      </c>
      <c r="AV73">
        <v>2</v>
      </c>
      <c r="AW73">
        <v>2</v>
      </c>
      <c r="AX73">
        <v>16807782</v>
      </c>
      <c r="AY73">
        <v>1</v>
      </c>
      <c r="AZ73">
        <v>2048</v>
      </c>
      <c r="BA73">
        <v>68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Y73*Source!I62</f>
        <v>1.0332300000000001</v>
      </c>
      <c r="CY73">
        <f>AD73</f>
        <v>0</v>
      </c>
      <c r="CZ73">
        <f>AH73</f>
        <v>0</v>
      </c>
      <c r="DA73">
        <f>AL73</f>
        <v>1</v>
      </c>
      <c r="DB73">
        <f>ROUND(ROUND(AT73*CZ73,2),2)</f>
        <v>0</v>
      </c>
      <c r="DC73">
        <f>ROUND(ROUND(AT73*AG73,2),2)</f>
        <v>0</v>
      </c>
    </row>
    <row r="74" spans="1:107" x14ac:dyDescent="0.2">
      <c r="A74">
        <f>ROW(Source!A62)</f>
        <v>62</v>
      </c>
      <c r="B74">
        <v>16802145</v>
      </c>
      <c r="C74">
        <v>16807780</v>
      </c>
      <c r="D74">
        <v>15247905</v>
      </c>
      <c r="E74">
        <v>1</v>
      </c>
      <c r="F74">
        <v>1</v>
      </c>
      <c r="G74">
        <v>1</v>
      </c>
      <c r="H74">
        <v>2</v>
      </c>
      <c r="I74" t="s">
        <v>712</v>
      </c>
      <c r="J74" t="s">
        <v>713</v>
      </c>
      <c r="K74" t="s">
        <v>714</v>
      </c>
      <c r="L74">
        <v>1368</v>
      </c>
      <c r="N74">
        <v>1011</v>
      </c>
      <c r="O74" t="s">
        <v>666</v>
      </c>
      <c r="P74" t="s">
        <v>666</v>
      </c>
      <c r="Q74">
        <v>1</v>
      </c>
      <c r="W74">
        <v>0</v>
      </c>
      <c r="X74">
        <v>1225731627</v>
      </c>
      <c r="Y74">
        <v>2.5000000000000001E-2</v>
      </c>
      <c r="AA74">
        <v>0</v>
      </c>
      <c r="AB74">
        <v>603.83000000000004</v>
      </c>
      <c r="AC74">
        <v>10.06</v>
      </c>
      <c r="AD74">
        <v>0</v>
      </c>
      <c r="AE74">
        <v>0</v>
      </c>
      <c r="AF74">
        <v>89.99</v>
      </c>
      <c r="AG74">
        <v>10.06</v>
      </c>
      <c r="AH74">
        <v>0</v>
      </c>
      <c r="AI74">
        <v>1</v>
      </c>
      <c r="AJ74">
        <v>6.71</v>
      </c>
      <c r="AK74">
        <v>1</v>
      </c>
      <c r="AL74">
        <v>1</v>
      </c>
      <c r="AN74">
        <v>0</v>
      </c>
      <c r="AO74">
        <v>1</v>
      </c>
      <c r="AP74">
        <v>1</v>
      </c>
      <c r="AQ74">
        <v>0</v>
      </c>
      <c r="AR74">
        <v>0</v>
      </c>
      <c r="AS74" t="s">
        <v>6</v>
      </c>
      <c r="AT74">
        <v>0.02</v>
      </c>
      <c r="AU74" t="s">
        <v>71</v>
      </c>
      <c r="AV74">
        <v>0</v>
      </c>
      <c r="AW74">
        <v>2</v>
      </c>
      <c r="AX74">
        <v>16807783</v>
      </c>
      <c r="AY74">
        <v>1</v>
      </c>
      <c r="AZ74">
        <v>0</v>
      </c>
      <c r="BA74">
        <v>69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Y74*Source!I62</f>
        <v>2.7775000000000001E-2</v>
      </c>
      <c r="CY74">
        <f>AB74</f>
        <v>603.83000000000004</v>
      </c>
      <c r="CZ74">
        <f>AF74</f>
        <v>89.99</v>
      </c>
      <c r="DA74">
        <f>AJ74</f>
        <v>6.71</v>
      </c>
      <c r="DB74">
        <f>ROUND((ROUND(AT74*CZ74,2)*1.25),2)</f>
        <v>2.25</v>
      </c>
      <c r="DC74">
        <f>ROUND((ROUND(AT74*AG74,2)*1.25),2)</f>
        <v>0.25</v>
      </c>
    </row>
    <row r="75" spans="1:107" x14ac:dyDescent="0.2">
      <c r="A75">
        <f>ROW(Source!A62)</f>
        <v>62</v>
      </c>
      <c r="B75">
        <v>16802145</v>
      </c>
      <c r="C75">
        <v>16807780</v>
      </c>
      <c r="D75">
        <v>15247974</v>
      </c>
      <c r="E75">
        <v>1</v>
      </c>
      <c r="F75">
        <v>1</v>
      </c>
      <c r="G75">
        <v>1</v>
      </c>
      <c r="H75">
        <v>2</v>
      </c>
      <c r="I75" t="s">
        <v>663</v>
      </c>
      <c r="J75" t="s">
        <v>664</v>
      </c>
      <c r="K75" t="s">
        <v>665</v>
      </c>
      <c r="L75">
        <v>1368</v>
      </c>
      <c r="N75">
        <v>1011</v>
      </c>
      <c r="O75" t="s">
        <v>666</v>
      </c>
      <c r="P75" t="s">
        <v>666</v>
      </c>
      <c r="Q75">
        <v>1</v>
      </c>
      <c r="W75">
        <v>0</v>
      </c>
      <c r="X75">
        <v>1188625873</v>
      </c>
      <c r="Y75">
        <v>0.26250000000000001</v>
      </c>
      <c r="AA75">
        <v>0</v>
      </c>
      <c r="AB75">
        <v>209.75</v>
      </c>
      <c r="AC75">
        <v>13.5</v>
      </c>
      <c r="AD75">
        <v>0</v>
      </c>
      <c r="AE75">
        <v>0</v>
      </c>
      <c r="AF75">
        <v>31.26</v>
      </c>
      <c r="AG75">
        <v>13.5</v>
      </c>
      <c r="AH75">
        <v>0</v>
      </c>
      <c r="AI75">
        <v>1</v>
      </c>
      <c r="AJ75">
        <v>6.71</v>
      </c>
      <c r="AK75">
        <v>1</v>
      </c>
      <c r="AL75">
        <v>1</v>
      </c>
      <c r="AN75">
        <v>0</v>
      </c>
      <c r="AO75">
        <v>1</v>
      </c>
      <c r="AP75">
        <v>1</v>
      </c>
      <c r="AQ75">
        <v>0</v>
      </c>
      <c r="AR75">
        <v>0</v>
      </c>
      <c r="AS75" t="s">
        <v>6</v>
      </c>
      <c r="AT75">
        <v>0.21</v>
      </c>
      <c r="AU75" t="s">
        <v>71</v>
      </c>
      <c r="AV75">
        <v>0</v>
      </c>
      <c r="AW75">
        <v>2</v>
      </c>
      <c r="AX75">
        <v>16807784</v>
      </c>
      <c r="AY75">
        <v>1</v>
      </c>
      <c r="AZ75">
        <v>0</v>
      </c>
      <c r="BA75">
        <v>70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Y75*Source!I62</f>
        <v>0.29163749999999999</v>
      </c>
      <c r="CY75">
        <f>AB75</f>
        <v>209.75</v>
      </c>
      <c r="CZ75">
        <f>AF75</f>
        <v>31.26</v>
      </c>
      <c r="DA75">
        <f>AJ75</f>
        <v>6.71</v>
      </c>
      <c r="DB75">
        <f>ROUND((ROUND(AT75*CZ75,2)*1.25),2)</f>
        <v>8.1999999999999993</v>
      </c>
      <c r="DC75">
        <f>ROUND((ROUND(AT75*AG75,2)*1.25),2)</f>
        <v>3.55</v>
      </c>
    </row>
    <row r="76" spans="1:107" x14ac:dyDescent="0.2">
      <c r="A76">
        <f>ROW(Source!A62)</f>
        <v>62</v>
      </c>
      <c r="B76">
        <v>16802145</v>
      </c>
      <c r="C76">
        <v>16807780</v>
      </c>
      <c r="D76">
        <v>15248143</v>
      </c>
      <c r="E76">
        <v>1</v>
      </c>
      <c r="F76">
        <v>1</v>
      </c>
      <c r="G76">
        <v>1</v>
      </c>
      <c r="H76">
        <v>2</v>
      </c>
      <c r="I76" t="s">
        <v>715</v>
      </c>
      <c r="J76" t="s">
        <v>716</v>
      </c>
      <c r="K76" t="s">
        <v>717</v>
      </c>
      <c r="L76">
        <v>1368</v>
      </c>
      <c r="N76">
        <v>1011</v>
      </c>
      <c r="O76" t="s">
        <v>666</v>
      </c>
      <c r="P76" t="s">
        <v>666</v>
      </c>
      <c r="Q76">
        <v>1</v>
      </c>
      <c r="W76">
        <v>0</v>
      </c>
      <c r="X76">
        <v>983187852</v>
      </c>
      <c r="Y76">
        <v>0.875</v>
      </c>
      <c r="AA76">
        <v>0</v>
      </c>
      <c r="AB76">
        <v>83.14</v>
      </c>
      <c r="AC76">
        <v>10.06</v>
      </c>
      <c r="AD76">
        <v>0</v>
      </c>
      <c r="AE76">
        <v>0</v>
      </c>
      <c r="AF76">
        <v>12.39</v>
      </c>
      <c r="AG76">
        <v>10.06</v>
      </c>
      <c r="AH76">
        <v>0</v>
      </c>
      <c r="AI76">
        <v>1</v>
      </c>
      <c r="AJ76">
        <v>6.71</v>
      </c>
      <c r="AK76">
        <v>1</v>
      </c>
      <c r="AL76">
        <v>1</v>
      </c>
      <c r="AN76">
        <v>0</v>
      </c>
      <c r="AO76">
        <v>1</v>
      </c>
      <c r="AP76">
        <v>1</v>
      </c>
      <c r="AQ76">
        <v>0</v>
      </c>
      <c r="AR76">
        <v>0</v>
      </c>
      <c r="AS76" t="s">
        <v>6</v>
      </c>
      <c r="AT76">
        <v>0.7</v>
      </c>
      <c r="AU76" t="s">
        <v>71</v>
      </c>
      <c r="AV76">
        <v>0</v>
      </c>
      <c r="AW76">
        <v>2</v>
      </c>
      <c r="AX76">
        <v>16807785</v>
      </c>
      <c r="AY76">
        <v>1</v>
      </c>
      <c r="AZ76">
        <v>0</v>
      </c>
      <c r="BA76">
        <v>71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Y76*Source!I62</f>
        <v>0.97212500000000002</v>
      </c>
      <c r="CY76">
        <f>AB76</f>
        <v>83.14</v>
      </c>
      <c r="CZ76">
        <f>AF76</f>
        <v>12.39</v>
      </c>
      <c r="DA76">
        <f>AJ76</f>
        <v>6.71</v>
      </c>
      <c r="DB76">
        <f>ROUND((ROUND(AT76*CZ76,2)*1.25),2)</f>
        <v>10.84</v>
      </c>
      <c r="DC76">
        <f>ROUND((ROUND(AT76*AG76,2)*1.25),2)</f>
        <v>8.8000000000000007</v>
      </c>
    </row>
    <row r="77" spans="1:107" x14ac:dyDescent="0.2">
      <c r="A77">
        <f>ROW(Source!A62)</f>
        <v>62</v>
      </c>
      <c r="B77">
        <v>16802145</v>
      </c>
      <c r="C77">
        <v>16807780</v>
      </c>
      <c r="D77">
        <v>15167286</v>
      </c>
      <c r="E77">
        <v>1</v>
      </c>
      <c r="F77">
        <v>1</v>
      </c>
      <c r="G77">
        <v>1</v>
      </c>
      <c r="H77">
        <v>3</v>
      </c>
      <c r="I77" t="s">
        <v>669</v>
      </c>
      <c r="J77" t="s">
        <v>670</v>
      </c>
      <c r="K77" t="s">
        <v>671</v>
      </c>
      <c r="L77">
        <v>1339</v>
      </c>
      <c r="N77">
        <v>1007</v>
      </c>
      <c r="O77" t="s">
        <v>61</v>
      </c>
      <c r="P77" t="s">
        <v>61</v>
      </c>
      <c r="Q77">
        <v>1</v>
      </c>
      <c r="W77">
        <v>0</v>
      </c>
      <c r="X77">
        <v>-1660354250</v>
      </c>
      <c r="Y77">
        <v>0.51</v>
      </c>
      <c r="AA77">
        <v>16.37</v>
      </c>
      <c r="AB77">
        <v>0</v>
      </c>
      <c r="AC77">
        <v>0</v>
      </c>
      <c r="AD77">
        <v>0</v>
      </c>
      <c r="AE77">
        <v>2.44</v>
      </c>
      <c r="AF77">
        <v>0</v>
      </c>
      <c r="AG77">
        <v>0</v>
      </c>
      <c r="AH77">
        <v>0</v>
      </c>
      <c r="AI77">
        <v>6.71</v>
      </c>
      <c r="AJ77">
        <v>1</v>
      </c>
      <c r="AK77">
        <v>1</v>
      </c>
      <c r="AL77">
        <v>1</v>
      </c>
      <c r="AN77">
        <v>0</v>
      </c>
      <c r="AO77">
        <v>1</v>
      </c>
      <c r="AP77">
        <v>0</v>
      </c>
      <c r="AQ77">
        <v>0</v>
      </c>
      <c r="AR77">
        <v>0</v>
      </c>
      <c r="AS77" t="s">
        <v>6</v>
      </c>
      <c r="AT77">
        <v>0.51</v>
      </c>
      <c r="AU77" t="s">
        <v>6</v>
      </c>
      <c r="AV77">
        <v>0</v>
      </c>
      <c r="AW77">
        <v>2</v>
      </c>
      <c r="AX77">
        <v>16807786</v>
      </c>
      <c r="AY77">
        <v>1</v>
      </c>
      <c r="AZ77">
        <v>0</v>
      </c>
      <c r="BA77">
        <v>72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Y77*Source!I62</f>
        <v>0.56661000000000006</v>
      </c>
      <c r="CY77">
        <f>AA77</f>
        <v>16.37</v>
      </c>
      <c r="CZ77">
        <f>AE77</f>
        <v>2.44</v>
      </c>
      <c r="DA77">
        <f>AI77</f>
        <v>6.71</v>
      </c>
      <c r="DB77">
        <f>ROUND(ROUND(AT77*CZ77,2),2)</f>
        <v>1.24</v>
      </c>
      <c r="DC77">
        <f>ROUND(ROUND(AT77*AG77,2),2)</f>
        <v>0</v>
      </c>
    </row>
    <row r="78" spans="1:107" x14ac:dyDescent="0.2">
      <c r="A78">
        <f>ROW(Source!A62)</f>
        <v>62</v>
      </c>
      <c r="B78">
        <v>16802145</v>
      </c>
      <c r="C78">
        <v>16807780</v>
      </c>
      <c r="D78">
        <v>15173003</v>
      </c>
      <c r="E78">
        <v>1</v>
      </c>
      <c r="F78">
        <v>1</v>
      </c>
      <c r="G78">
        <v>1</v>
      </c>
      <c r="H78">
        <v>3</v>
      </c>
      <c r="I78" t="s">
        <v>175</v>
      </c>
      <c r="J78" t="s">
        <v>177</v>
      </c>
      <c r="K78" t="s">
        <v>176</v>
      </c>
      <c r="L78">
        <v>1346</v>
      </c>
      <c r="N78">
        <v>1009</v>
      </c>
      <c r="O78" t="s">
        <v>103</v>
      </c>
      <c r="P78" t="s">
        <v>103</v>
      </c>
      <c r="Q78">
        <v>1</v>
      </c>
      <c r="W78">
        <v>0</v>
      </c>
      <c r="X78">
        <v>-60067644</v>
      </c>
      <c r="Y78">
        <v>850</v>
      </c>
      <c r="AA78">
        <v>13.89</v>
      </c>
      <c r="AB78">
        <v>0</v>
      </c>
      <c r="AC78">
        <v>0</v>
      </c>
      <c r="AD78">
        <v>0</v>
      </c>
      <c r="AE78">
        <v>2.0699999999999998</v>
      </c>
      <c r="AF78">
        <v>0</v>
      </c>
      <c r="AG78">
        <v>0</v>
      </c>
      <c r="AH78">
        <v>0</v>
      </c>
      <c r="AI78">
        <v>6.71</v>
      </c>
      <c r="AJ78">
        <v>1</v>
      </c>
      <c r="AK78">
        <v>1</v>
      </c>
      <c r="AL78">
        <v>1</v>
      </c>
      <c r="AN78">
        <v>0</v>
      </c>
      <c r="AO78">
        <v>0</v>
      </c>
      <c r="AP78">
        <v>0</v>
      </c>
      <c r="AQ78">
        <v>0</v>
      </c>
      <c r="AR78">
        <v>0</v>
      </c>
      <c r="AS78" t="s">
        <v>6</v>
      </c>
      <c r="AT78">
        <v>850</v>
      </c>
      <c r="AU78" t="s">
        <v>6</v>
      </c>
      <c r="AV78">
        <v>0</v>
      </c>
      <c r="AW78">
        <v>1</v>
      </c>
      <c r="AX78">
        <v>-1</v>
      </c>
      <c r="AY78">
        <v>0</v>
      </c>
      <c r="AZ78">
        <v>0</v>
      </c>
      <c r="BA78" t="s">
        <v>6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Y78*Source!I62</f>
        <v>944.35</v>
      </c>
      <c r="CY78">
        <f>AA78</f>
        <v>13.89</v>
      </c>
      <c r="CZ78">
        <f>AE78</f>
        <v>2.0699999999999998</v>
      </c>
      <c r="DA78">
        <f>AI78</f>
        <v>6.71</v>
      </c>
      <c r="DB78">
        <f>ROUND(ROUND(AT78*CZ78,2),2)</f>
        <v>1759.5</v>
      </c>
      <c r="DC78">
        <f>ROUND(ROUND(AT78*AG78,2),2)</f>
        <v>0</v>
      </c>
    </row>
    <row r="79" spans="1:107" x14ac:dyDescent="0.2">
      <c r="A79">
        <f>ROW(Source!A62)</f>
        <v>62</v>
      </c>
      <c r="B79">
        <v>16802145</v>
      </c>
      <c r="C79">
        <v>16807780</v>
      </c>
      <c r="D79">
        <v>15163028</v>
      </c>
      <c r="E79">
        <v>17</v>
      </c>
      <c r="F79">
        <v>1</v>
      </c>
      <c r="G79">
        <v>1</v>
      </c>
      <c r="H79">
        <v>3</v>
      </c>
      <c r="I79" t="s">
        <v>172</v>
      </c>
      <c r="J79" t="s">
        <v>6</v>
      </c>
      <c r="K79" t="s">
        <v>173</v>
      </c>
      <c r="L79">
        <v>1348</v>
      </c>
      <c r="N79">
        <v>1009</v>
      </c>
      <c r="O79" t="s">
        <v>65</v>
      </c>
      <c r="P79" t="s">
        <v>65</v>
      </c>
      <c r="Q79">
        <v>1000</v>
      </c>
      <c r="W79">
        <v>0</v>
      </c>
      <c r="X79">
        <v>1880203204</v>
      </c>
      <c r="Y79">
        <v>0.85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6.71</v>
      </c>
      <c r="AJ79">
        <v>1</v>
      </c>
      <c r="AK79">
        <v>1</v>
      </c>
      <c r="AL79">
        <v>1</v>
      </c>
      <c r="AN79">
        <v>0</v>
      </c>
      <c r="AO79">
        <v>0</v>
      </c>
      <c r="AP79">
        <v>0</v>
      </c>
      <c r="AQ79">
        <v>0</v>
      </c>
      <c r="AR79">
        <v>0</v>
      </c>
      <c r="AS79" t="s">
        <v>6</v>
      </c>
      <c r="AT79">
        <v>0.85</v>
      </c>
      <c r="AU79" t="s">
        <v>6</v>
      </c>
      <c r="AV79">
        <v>0</v>
      </c>
      <c r="AW79">
        <v>2</v>
      </c>
      <c r="AX79">
        <v>16807787</v>
      </c>
      <c r="AY79">
        <v>1</v>
      </c>
      <c r="AZ79">
        <v>0</v>
      </c>
      <c r="BA79">
        <v>73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Y79*Source!I62</f>
        <v>0.94434999999999991</v>
      </c>
      <c r="CY79">
        <f>AA79</f>
        <v>0</v>
      </c>
      <c r="CZ79">
        <f>AE79</f>
        <v>0</v>
      </c>
      <c r="DA79">
        <f>AI79</f>
        <v>6.71</v>
      </c>
      <c r="DB79">
        <f>ROUND(ROUND(AT79*CZ79,2),2)</f>
        <v>0</v>
      </c>
      <c r="DC79">
        <f>ROUND(ROUND(AT79*AG79,2),2)</f>
        <v>0</v>
      </c>
    </row>
    <row r="80" spans="1:107" x14ac:dyDescent="0.2">
      <c r="A80">
        <f>ROW(Source!A62)</f>
        <v>62</v>
      </c>
      <c r="B80">
        <v>16802145</v>
      </c>
      <c r="C80">
        <v>16807780</v>
      </c>
      <c r="D80">
        <v>15203211</v>
      </c>
      <c r="E80">
        <v>1</v>
      </c>
      <c r="F80">
        <v>1</v>
      </c>
      <c r="G80">
        <v>1</v>
      </c>
      <c r="H80">
        <v>3</v>
      </c>
      <c r="I80" t="s">
        <v>181</v>
      </c>
      <c r="J80" t="s">
        <v>183</v>
      </c>
      <c r="K80" t="s">
        <v>182</v>
      </c>
      <c r="L80">
        <v>1346</v>
      </c>
      <c r="N80">
        <v>1009</v>
      </c>
      <c r="O80" t="s">
        <v>103</v>
      </c>
      <c r="P80" t="s">
        <v>103</v>
      </c>
      <c r="Q80">
        <v>1</v>
      </c>
      <c r="W80">
        <v>0</v>
      </c>
      <c r="X80">
        <v>1453462043</v>
      </c>
      <c r="Y80">
        <v>1.2999999999999999E-2</v>
      </c>
      <c r="AA80">
        <v>101.25</v>
      </c>
      <c r="AB80">
        <v>0</v>
      </c>
      <c r="AC80">
        <v>0</v>
      </c>
      <c r="AD80">
        <v>0</v>
      </c>
      <c r="AE80">
        <v>15.09</v>
      </c>
      <c r="AF80">
        <v>0</v>
      </c>
      <c r="AG80">
        <v>0</v>
      </c>
      <c r="AH80">
        <v>0</v>
      </c>
      <c r="AI80">
        <v>6.71</v>
      </c>
      <c r="AJ80">
        <v>1</v>
      </c>
      <c r="AK80">
        <v>1</v>
      </c>
      <c r="AL80">
        <v>1</v>
      </c>
      <c r="AN80">
        <v>0</v>
      </c>
      <c r="AO80">
        <v>0</v>
      </c>
      <c r="AP80">
        <v>0</v>
      </c>
      <c r="AQ80">
        <v>0</v>
      </c>
      <c r="AR80">
        <v>0</v>
      </c>
      <c r="AS80" t="s">
        <v>6</v>
      </c>
      <c r="AT80">
        <v>1.2999999999999999E-2</v>
      </c>
      <c r="AU80" t="s">
        <v>6</v>
      </c>
      <c r="AV80">
        <v>0</v>
      </c>
      <c r="AW80">
        <v>1</v>
      </c>
      <c r="AX80">
        <v>-1</v>
      </c>
      <c r="AY80">
        <v>0</v>
      </c>
      <c r="AZ80">
        <v>0</v>
      </c>
      <c r="BA80" t="s">
        <v>6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Y80*Source!I62</f>
        <v>1.4442999999999999E-2</v>
      </c>
      <c r="CY80">
        <f>AA80</f>
        <v>101.25</v>
      </c>
      <c r="CZ80">
        <f>AE80</f>
        <v>15.09</v>
      </c>
      <c r="DA80">
        <f>AI80</f>
        <v>6.71</v>
      </c>
      <c r="DB80">
        <f>ROUND(ROUND(AT80*CZ80,2),2)</f>
        <v>0.2</v>
      </c>
      <c r="DC80">
        <f>ROUND(ROUND(AT80*AG80,2),2)</f>
        <v>0</v>
      </c>
    </row>
    <row r="81" spans="1:107" x14ac:dyDescent="0.2">
      <c r="A81">
        <f>ROW(Source!A66)</f>
        <v>66</v>
      </c>
      <c r="B81">
        <v>16802145</v>
      </c>
      <c r="C81">
        <v>16807813</v>
      </c>
      <c r="D81">
        <v>15430767</v>
      </c>
      <c r="E81">
        <v>1</v>
      </c>
      <c r="F81">
        <v>1</v>
      </c>
      <c r="G81">
        <v>1</v>
      </c>
      <c r="H81">
        <v>1</v>
      </c>
      <c r="I81" t="s">
        <v>667</v>
      </c>
      <c r="J81" t="s">
        <v>6</v>
      </c>
      <c r="K81" t="s">
        <v>668</v>
      </c>
      <c r="L81">
        <v>1191</v>
      </c>
      <c r="N81">
        <v>1013</v>
      </c>
      <c r="O81" t="s">
        <v>660</v>
      </c>
      <c r="P81" t="s">
        <v>660</v>
      </c>
      <c r="Q81">
        <v>1</v>
      </c>
      <c r="W81">
        <v>0</v>
      </c>
      <c r="X81">
        <v>-400197608</v>
      </c>
      <c r="Y81">
        <v>35.65</v>
      </c>
      <c r="AA81">
        <v>0</v>
      </c>
      <c r="AB81">
        <v>0</v>
      </c>
      <c r="AC81">
        <v>0</v>
      </c>
      <c r="AD81">
        <v>57.24</v>
      </c>
      <c r="AE81">
        <v>0</v>
      </c>
      <c r="AF81">
        <v>0</v>
      </c>
      <c r="AG81">
        <v>0</v>
      </c>
      <c r="AH81">
        <v>8.5299999999999994</v>
      </c>
      <c r="AI81">
        <v>1</v>
      </c>
      <c r="AJ81">
        <v>1</v>
      </c>
      <c r="AK81">
        <v>1</v>
      </c>
      <c r="AL81">
        <v>6.71</v>
      </c>
      <c r="AN81">
        <v>0</v>
      </c>
      <c r="AO81">
        <v>1</v>
      </c>
      <c r="AP81">
        <v>1</v>
      </c>
      <c r="AQ81">
        <v>0</v>
      </c>
      <c r="AR81">
        <v>0</v>
      </c>
      <c r="AS81" t="s">
        <v>6</v>
      </c>
      <c r="AT81">
        <v>3.1</v>
      </c>
      <c r="AU81" t="s">
        <v>190</v>
      </c>
      <c r="AV81">
        <v>1</v>
      </c>
      <c r="AW81">
        <v>2</v>
      </c>
      <c r="AX81">
        <v>16807814</v>
      </c>
      <c r="AY81">
        <v>1</v>
      </c>
      <c r="AZ81">
        <v>0</v>
      </c>
      <c r="BA81">
        <v>75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Y81*Source!I66</f>
        <v>39.607149999999997</v>
      </c>
      <c r="CY81">
        <f>AD81</f>
        <v>57.24</v>
      </c>
      <c r="CZ81">
        <f>AH81</f>
        <v>8.5299999999999994</v>
      </c>
      <c r="DA81">
        <f>AL81</f>
        <v>6.71</v>
      </c>
      <c r="DB81">
        <f>ROUND((ROUND(AT81*CZ81,2)*1.15*10),2)</f>
        <v>304.06</v>
      </c>
      <c r="DC81">
        <f>ROUND((ROUND(AT81*AG81,2)*1.15*10),2)</f>
        <v>0</v>
      </c>
    </row>
    <row r="82" spans="1:107" x14ac:dyDescent="0.2">
      <c r="A82">
        <f>ROW(Source!A66)</f>
        <v>66</v>
      </c>
      <c r="B82">
        <v>16802145</v>
      </c>
      <c r="C82">
        <v>16807813</v>
      </c>
      <c r="D82">
        <v>15430395</v>
      </c>
      <c r="E82">
        <v>1</v>
      </c>
      <c r="F82">
        <v>1</v>
      </c>
      <c r="G82">
        <v>1</v>
      </c>
      <c r="H82">
        <v>1</v>
      </c>
      <c r="I82" t="s">
        <v>661</v>
      </c>
      <c r="J82" t="s">
        <v>6</v>
      </c>
      <c r="K82" t="s">
        <v>662</v>
      </c>
      <c r="L82">
        <v>1191</v>
      </c>
      <c r="N82">
        <v>1013</v>
      </c>
      <c r="O82" t="s">
        <v>660</v>
      </c>
      <c r="P82" t="s">
        <v>660</v>
      </c>
      <c r="Q82">
        <v>1</v>
      </c>
      <c r="W82">
        <v>0</v>
      </c>
      <c r="X82">
        <v>-1417349443</v>
      </c>
      <c r="Y82">
        <v>0.09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1</v>
      </c>
      <c r="AJ82">
        <v>1</v>
      </c>
      <c r="AK82">
        <v>6.71</v>
      </c>
      <c r="AL82">
        <v>1</v>
      </c>
      <c r="AN82">
        <v>0</v>
      </c>
      <c r="AO82">
        <v>1</v>
      </c>
      <c r="AP82">
        <v>0</v>
      </c>
      <c r="AQ82">
        <v>0</v>
      </c>
      <c r="AR82">
        <v>0</v>
      </c>
      <c r="AS82" t="s">
        <v>6</v>
      </c>
      <c r="AT82">
        <v>0.09</v>
      </c>
      <c r="AU82" t="s">
        <v>6</v>
      </c>
      <c r="AV82">
        <v>2</v>
      </c>
      <c r="AW82">
        <v>2</v>
      </c>
      <c r="AX82">
        <v>16807815</v>
      </c>
      <c r="AY82">
        <v>1</v>
      </c>
      <c r="AZ82">
        <v>2048</v>
      </c>
      <c r="BA82">
        <v>76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Y82*Source!I66</f>
        <v>9.9989999999999996E-2</v>
      </c>
      <c r="CY82">
        <f>AD82</f>
        <v>0</v>
      </c>
      <c r="CZ82">
        <f>AH82</f>
        <v>0</v>
      </c>
      <c r="DA82">
        <f>AL82</f>
        <v>1</v>
      </c>
      <c r="DB82">
        <f>ROUND(ROUND(AT82*CZ82,2),2)</f>
        <v>0</v>
      </c>
      <c r="DC82">
        <f>ROUND(ROUND(AT82*AG82,2),2)</f>
        <v>0</v>
      </c>
    </row>
    <row r="83" spans="1:107" x14ac:dyDescent="0.2">
      <c r="A83">
        <f>ROW(Source!A66)</f>
        <v>66</v>
      </c>
      <c r="B83">
        <v>16802145</v>
      </c>
      <c r="C83">
        <v>16807813</v>
      </c>
      <c r="D83">
        <v>15247905</v>
      </c>
      <c r="E83">
        <v>1</v>
      </c>
      <c r="F83">
        <v>1</v>
      </c>
      <c r="G83">
        <v>1</v>
      </c>
      <c r="H83">
        <v>2</v>
      </c>
      <c r="I83" t="s">
        <v>712</v>
      </c>
      <c r="J83" t="s">
        <v>713</v>
      </c>
      <c r="K83" t="s">
        <v>714</v>
      </c>
      <c r="L83">
        <v>1368</v>
      </c>
      <c r="N83">
        <v>1011</v>
      </c>
      <c r="O83" t="s">
        <v>666</v>
      </c>
      <c r="P83" t="s">
        <v>666</v>
      </c>
      <c r="Q83">
        <v>1</v>
      </c>
      <c r="W83">
        <v>0</v>
      </c>
      <c r="X83">
        <v>1225731627</v>
      </c>
      <c r="Y83">
        <v>2.5000000000000001E-2</v>
      </c>
      <c r="AA83">
        <v>0</v>
      </c>
      <c r="AB83">
        <v>603.83000000000004</v>
      </c>
      <c r="AC83">
        <v>10.06</v>
      </c>
      <c r="AD83">
        <v>0</v>
      </c>
      <c r="AE83">
        <v>0</v>
      </c>
      <c r="AF83">
        <v>89.99</v>
      </c>
      <c r="AG83">
        <v>10.06</v>
      </c>
      <c r="AH83">
        <v>0</v>
      </c>
      <c r="AI83">
        <v>1</v>
      </c>
      <c r="AJ83">
        <v>6.71</v>
      </c>
      <c r="AK83">
        <v>1</v>
      </c>
      <c r="AL83">
        <v>1</v>
      </c>
      <c r="AN83">
        <v>0</v>
      </c>
      <c r="AO83">
        <v>1</v>
      </c>
      <c r="AP83">
        <v>1</v>
      </c>
      <c r="AQ83">
        <v>0</v>
      </c>
      <c r="AR83">
        <v>0</v>
      </c>
      <c r="AS83" t="s">
        <v>6</v>
      </c>
      <c r="AT83">
        <v>2E-3</v>
      </c>
      <c r="AU83" t="s">
        <v>189</v>
      </c>
      <c r="AV83">
        <v>0</v>
      </c>
      <c r="AW83">
        <v>2</v>
      </c>
      <c r="AX83">
        <v>16807816</v>
      </c>
      <c r="AY83">
        <v>1</v>
      </c>
      <c r="AZ83">
        <v>0</v>
      </c>
      <c r="BA83">
        <v>77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Y83*Source!I66</f>
        <v>2.7775000000000001E-2</v>
      </c>
      <c r="CY83">
        <f>AB83</f>
        <v>603.83000000000004</v>
      </c>
      <c r="CZ83">
        <f>AF83</f>
        <v>89.99</v>
      </c>
      <c r="DA83">
        <f>AJ83</f>
        <v>6.71</v>
      </c>
      <c r="DB83">
        <f>ROUND((ROUND(AT83*CZ83,2)*1.25*10),2)</f>
        <v>2.25</v>
      </c>
      <c r="DC83">
        <f>ROUND((ROUND(AT83*AG83,2)*1.25*10),2)</f>
        <v>0.25</v>
      </c>
    </row>
    <row r="84" spans="1:107" x14ac:dyDescent="0.2">
      <c r="A84">
        <f>ROW(Source!A66)</f>
        <v>66</v>
      </c>
      <c r="B84">
        <v>16802145</v>
      </c>
      <c r="C84">
        <v>16807813</v>
      </c>
      <c r="D84">
        <v>15247974</v>
      </c>
      <c r="E84">
        <v>1</v>
      </c>
      <c r="F84">
        <v>1</v>
      </c>
      <c r="G84">
        <v>1</v>
      </c>
      <c r="H84">
        <v>2</v>
      </c>
      <c r="I84" t="s">
        <v>663</v>
      </c>
      <c r="J84" t="s">
        <v>664</v>
      </c>
      <c r="K84" t="s">
        <v>665</v>
      </c>
      <c r="L84">
        <v>1368</v>
      </c>
      <c r="N84">
        <v>1011</v>
      </c>
      <c r="O84" t="s">
        <v>666</v>
      </c>
      <c r="P84" t="s">
        <v>666</v>
      </c>
      <c r="Q84">
        <v>1</v>
      </c>
      <c r="W84">
        <v>0</v>
      </c>
      <c r="X84">
        <v>1188625873</v>
      </c>
      <c r="Y84">
        <v>0.25</v>
      </c>
      <c r="AA84">
        <v>0</v>
      </c>
      <c r="AB84">
        <v>209.75</v>
      </c>
      <c r="AC84">
        <v>13.5</v>
      </c>
      <c r="AD84">
        <v>0</v>
      </c>
      <c r="AE84">
        <v>0</v>
      </c>
      <c r="AF84">
        <v>31.26</v>
      </c>
      <c r="AG84">
        <v>13.5</v>
      </c>
      <c r="AH84">
        <v>0</v>
      </c>
      <c r="AI84">
        <v>1</v>
      </c>
      <c r="AJ84">
        <v>6.71</v>
      </c>
      <c r="AK84">
        <v>1</v>
      </c>
      <c r="AL84">
        <v>1</v>
      </c>
      <c r="AN84">
        <v>0</v>
      </c>
      <c r="AO84">
        <v>1</v>
      </c>
      <c r="AP84">
        <v>1</v>
      </c>
      <c r="AQ84">
        <v>0</v>
      </c>
      <c r="AR84">
        <v>0</v>
      </c>
      <c r="AS84" t="s">
        <v>6</v>
      </c>
      <c r="AT84">
        <v>0.02</v>
      </c>
      <c r="AU84" t="s">
        <v>189</v>
      </c>
      <c r="AV84">
        <v>0</v>
      </c>
      <c r="AW84">
        <v>2</v>
      </c>
      <c r="AX84">
        <v>16807817</v>
      </c>
      <c r="AY84">
        <v>1</v>
      </c>
      <c r="AZ84">
        <v>0</v>
      </c>
      <c r="BA84">
        <v>78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Y84*Source!I66</f>
        <v>0.27775</v>
      </c>
      <c r="CY84">
        <f>AB84</f>
        <v>209.75</v>
      </c>
      <c r="CZ84">
        <f>AF84</f>
        <v>31.26</v>
      </c>
      <c r="DA84">
        <f>AJ84</f>
        <v>6.71</v>
      </c>
      <c r="DB84">
        <f>ROUND((ROUND(AT84*CZ84,2)*1.25*10),2)</f>
        <v>7.88</v>
      </c>
      <c r="DC84">
        <f>ROUND((ROUND(AT84*AG84,2)*1.25*10),2)</f>
        <v>3.38</v>
      </c>
    </row>
    <row r="85" spans="1:107" x14ac:dyDescent="0.2">
      <c r="A85">
        <f>ROW(Source!A66)</f>
        <v>66</v>
      </c>
      <c r="B85">
        <v>16802145</v>
      </c>
      <c r="C85">
        <v>16807813</v>
      </c>
      <c r="D85">
        <v>15248143</v>
      </c>
      <c r="E85">
        <v>1</v>
      </c>
      <c r="F85">
        <v>1</v>
      </c>
      <c r="G85">
        <v>1</v>
      </c>
      <c r="H85">
        <v>2</v>
      </c>
      <c r="I85" t="s">
        <v>715</v>
      </c>
      <c r="J85" t="s">
        <v>716</v>
      </c>
      <c r="K85" t="s">
        <v>717</v>
      </c>
      <c r="L85">
        <v>1368</v>
      </c>
      <c r="N85">
        <v>1011</v>
      </c>
      <c r="O85" t="s">
        <v>666</v>
      </c>
      <c r="P85" t="s">
        <v>666</v>
      </c>
      <c r="Q85">
        <v>1</v>
      </c>
      <c r="W85">
        <v>0</v>
      </c>
      <c r="X85">
        <v>983187852</v>
      </c>
      <c r="Y85">
        <v>0.87500000000000011</v>
      </c>
      <c r="AA85">
        <v>0</v>
      </c>
      <c r="AB85">
        <v>83.14</v>
      </c>
      <c r="AC85">
        <v>10.06</v>
      </c>
      <c r="AD85">
        <v>0</v>
      </c>
      <c r="AE85">
        <v>0</v>
      </c>
      <c r="AF85">
        <v>12.39</v>
      </c>
      <c r="AG85">
        <v>10.06</v>
      </c>
      <c r="AH85">
        <v>0</v>
      </c>
      <c r="AI85">
        <v>1</v>
      </c>
      <c r="AJ85">
        <v>6.71</v>
      </c>
      <c r="AK85">
        <v>1</v>
      </c>
      <c r="AL85">
        <v>1</v>
      </c>
      <c r="AN85">
        <v>0</v>
      </c>
      <c r="AO85">
        <v>1</v>
      </c>
      <c r="AP85">
        <v>1</v>
      </c>
      <c r="AQ85">
        <v>0</v>
      </c>
      <c r="AR85">
        <v>0</v>
      </c>
      <c r="AS85" t="s">
        <v>6</v>
      </c>
      <c r="AT85">
        <v>7.0000000000000007E-2</v>
      </c>
      <c r="AU85" t="s">
        <v>189</v>
      </c>
      <c r="AV85">
        <v>0</v>
      </c>
      <c r="AW85">
        <v>2</v>
      </c>
      <c r="AX85">
        <v>16807818</v>
      </c>
      <c r="AY85">
        <v>1</v>
      </c>
      <c r="AZ85">
        <v>0</v>
      </c>
      <c r="BA85">
        <v>79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Y85*Source!I66</f>
        <v>0.97212500000000013</v>
      </c>
      <c r="CY85">
        <f>AB85</f>
        <v>83.14</v>
      </c>
      <c r="CZ85">
        <f>AF85</f>
        <v>12.39</v>
      </c>
      <c r="DA85">
        <f>AJ85</f>
        <v>6.71</v>
      </c>
      <c r="DB85">
        <f>ROUND((ROUND(AT85*CZ85,2)*1.25*10),2)</f>
        <v>10.88</v>
      </c>
      <c r="DC85">
        <f>ROUND((ROUND(AT85*AG85,2)*1.25*10),2)</f>
        <v>8.75</v>
      </c>
    </row>
    <row r="86" spans="1:107" x14ac:dyDescent="0.2">
      <c r="A86">
        <f>ROW(Source!A66)</f>
        <v>66</v>
      </c>
      <c r="B86">
        <v>16802145</v>
      </c>
      <c r="C86">
        <v>16807813</v>
      </c>
      <c r="D86">
        <v>15167286</v>
      </c>
      <c r="E86">
        <v>1</v>
      </c>
      <c r="F86">
        <v>1</v>
      </c>
      <c r="G86">
        <v>1</v>
      </c>
      <c r="H86">
        <v>3</v>
      </c>
      <c r="I86" t="s">
        <v>669</v>
      </c>
      <c r="J86" t="s">
        <v>670</v>
      </c>
      <c r="K86" t="s">
        <v>671</v>
      </c>
      <c r="L86">
        <v>1339</v>
      </c>
      <c r="N86">
        <v>1007</v>
      </c>
      <c r="O86" t="s">
        <v>61</v>
      </c>
      <c r="P86" t="s">
        <v>61</v>
      </c>
      <c r="Q86">
        <v>1</v>
      </c>
      <c r="W86">
        <v>0</v>
      </c>
      <c r="X86">
        <v>-1660354250</v>
      </c>
      <c r="Y86">
        <v>0.51</v>
      </c>
      <c r="AA86">
        <v>16.37</v>
      </c>
      <c r="AB86">
        <v>0</v>
      </c>
      <c r="AC86">
        <v>0</v>
      </c>
      <c r="AD86">
        <v>0</v>
      </c>
      <c r="AE86">
        <v>2.44</v>
      </c>
      <c r="AF86">
        <v>0</v>
      </c>
      <c r="AG86">
        <v>0</v>
      </c>
      <c r="AH86">
        <v>0</v>
      </c>
      <c r="AI86">
        <v>6.71</v>
      </c>
      <c r="AJ86">
        <v>1</v>
      </c>
      <c r="AK86">
        <v>1</v>
      </c>
      <c r="AL86">
        <v>1</v>
      </c>
      <c r="AN86">
        <v>0</v>
      </c>
      <c r="AO86">
        <v>1</v>
      </c>
      <c r="AP86">
        <v>1</v>
      </c>
      <c r="AQ86">
        <v>0</v>
      </c>
      <c r="AR86">
        <v>0</v>
      </c>
      <c r="AS86" t="s">
        <v>6</v>
      </c>
      <c r="AT86">
        <v>5.0999999999999997E-2</v>
      </c>
      <c r="AU86" t="s">
        <v>188</v>
      </c>
      <c r="AV86">
        <v>0</v>
      </c>
      <c r="AW86">
        <v>2</v>
      </c>
      <c r="AX86">
        <v>16807819</v>
      </c>
      <c r="AY86">
        <v>1</v>
      </c>
      <c r="AZ86">
        <v>0</v>
      </c>
      <c r="BA86">
        <v>80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Y86*Source!I66</f>
        <v>0.56661000000000006</v>
      </c>
      <c r="CY86">
        <f>AA86</f>
        <v>16.37</v>
      </c>
      <c r="CZ86">
        <f>AE86</f>
        <v>2.44</v>
      </c>
      <c r="DA86">
        <f>AI86</f>
        <v>6.71</v>
      </c>
      <c r="DB86">
        <f>ROUND((ROUND(AT86*CZ86,2)*10),2)</f>
        <v>1.2</v>
      </c>
      <c r="DC86">
        <f>ROUND((ROUND(AT86*AG86,2)*10),2)</f>
        <v>0</v>
      </c>
    </row>
    <row r="87" spans="1:107" x14ac:dyDescent="0.2">
      <c r="A87">
        <f>ROW(Source!A66)</f>
        <v>66</v>
      </c>
      <c r="B87">
        <v>16802145</v>
      </c>
      <c r="C87">
        <v>16807813</v>
      </c>
      <c r="D87">
        <v>15173003</v>
      </c>
      <c r="E87">
        <v>1</v>
      </c>
      <c r="F87">
        <v>1</v>
      </c>
      <c r="G87">
        <v>1</v>
      </c>
      <c r="H87">
        <v>3</v>
      </c>
      <c r="I87" t="s">
        <v>175</v>
      </c>
      <c r="J87" t="s">
        <v>177</v>
      </c>
      <c r="K87" t="s">
        <v>176</v>
      </c>
      <c r="L87">
        <v>1346</v>
      </c>
      <c r="N87">
        <v>1009</v>
      </c>
      <c r="O87" t="s">
        <v>103</v>
      </c>
      <c r="P87" t="s">
        <v>103</v>
      </c>
      <c r="Q87">
        <v>1</v>
      </c>
      <c r="W87">
        <v>0</v>
      </c>
      <c r="X87">
        <v>-60067644</v>
      </c>
      <c r="Y87">
        <v>8500</v>
      </c>
      <c r="AA87">
        <v>13.89</v>
      </c>
      <c r="AB87">
        <v>0</v>
      </c>
      <c r="AC87">
        <v>0</v>
      </c>
      <c r="AD87">
        <v>0</v>
      </c>
      <c r="AE87">
        <v>2.0699999999999998</v>
      </c>
      <c r="AF87">
        <v>0</v>
      </c>
      <c r="AG87">
        <v>0</v>
      </c>
      <c r="AH87">
        <v>0</v>
      </c>
      <c r="AI87">
        <v>6.71</v>
      </c>
      <c r="AJ87">
        <v>1</v>
      </c>
      <c r="AK87">
        <v>1</v>
      </c>
      <c r="AL87">
        <v>1</v>
      </c>
      <c r="AN87">
        <v>0</v>
      </c>
      <c r="AO87">
        <v>0</v>
      </c>
      <c r="AP87">
        <v>1</v>
      </c>
      <c r="AQ87">
        <v>0</v>
      </c>
      <c r="AR87">
        <v>0</v>
      </c>
      <c r="AS87" t="s">
        <v>6</v>
      </c>
      <c r="AT87">
        <v>850</v>
      </c>
      <c r="AU87" t="s">
        <v>188</v>
      </c>
      <c r="AV87">
        <v>0</v>
      </c>
      <c r="AW87">
        <v>1</v>
      </c>
      <c r="AX87">
        <v>-1</v>
      </c>
      <c r="AY87">
        <v>0</v>
      </c>
      <c r="AZ87">
        <v>0</v>
      </c>
      <c r="BA87" t="s">
        <v>6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Y87*Source!I66</f>
        <v>9443.5</v>
      </c>
      <c r="CY87">
        <f>AA87</f>
        <v>13.89</v>
      </c>
      <c r="CZ87">
        <f>AE87</f>
        <v>2.0699999999999998</v>
      </c>
      <c r="DA87">
        <f>AI87</f>
        <v>6.71</v>
      </c>
      <c r="DB87">
        <f>ROUND((ROUND(AT87*CZ87,2)*10),2)</f>
        <v>17595</v>
      </c>
      <c r="DC87">
        <f>ROUND((ROUND(AT87*AG87,2)*10),2)</f>
        <v>0</v>
      </c>
    </row>
    <row r="88" spans="1:107" x14ac:dyDescent="0.2">
      <c r="A88">
        <f>ROW(Source!A66)</f>
        <v>66</v>
      </c>
      <c r="B88">
        <v>16802145</v>
      </c>
      <c r="C88">
        <v>16807813</v>
      </c>
      <c r="D88">
        <v>15163028</v>
      </c>
      <c r="E88">
        <v>17</v>
      </c>
      <c r="F88">
        <v>1</v>
      </c>
      <c r="G88">
        <v>1</v>
      </c>
      <c r="H88">
        <v>3</v>
      </c>
      <c r="I88" t="s">
        <v>172</v>
      </c>
      <c r="J88" t="s">
        <v>6</v>
      </c>
      <c r="K88" t="s">
        <v>173</v>
      </c>
      <c r="L88">
        <v>1348</v>
      </c>
      <c r="N88">
        <v>1009</v>
      </c>
      <c r="O88" t="s">
        <v>65</v>
      </c>
      <c r="P88" t="s">
        <v>65</v>
      </c>
      <c r="Q88">
        <v>1000</v>
      </c>
      <c r="W88">
        <v>0</v>
      </c>
      <c r="X88">
        <v>1880203204</v>
      </c>
      <c r="Y88">
        <v>0.85000000000000009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6.71</v>
      </c>
      <c r="AJ88">
        <v>1</v>
      </c>
      <c r="AK88">
        <v>1</v>
      </c>
      <c r="AL88">
        <v>1</v>
      </c>
      <c r="AN88">
        <v>0</v>
      </c>
      <c r="AO88">
        <v>0</v>
      </c>
      <c r="AP88">
        <v>1</v>
      </c>
      <c r="AQ88">
        <v>0</v>
      </c>
      <c r="AR88">
        <v>0</v>
      </c>
      <c r="AS88" t="s">
        <v>6</v>
      </c>
      <c r="AT88">
        <v>8.5000000000000006E-2</v>
      </c>
      <c r="AU88" t="s">
        <v>188</v>
      </c>
      <c r="AV88">
        <v>0</v>
      </c>
      <c r="AW88">
        <v>2</v>
      </c>
      <c r="AX88">
        <v>16807820</v>
      </c>
      <c r="AY88">
        <v>1</v>
      </c>
      <c r="AZ88">
        <v>0</v>
      </c>
      <c r="BA88">
        <v>81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Y88*Source!I66</f>
        <v>0.94435000000000013</v>
      </c>
      <c r="CY88">
        <f>AA88</f>
        <v>0</v>
      </c>
      <c r="CZ88">
        <f>AE88</f>
        <v>0</v>
      </c>
      <c r="DA88">
        <f>AI88</f>
        <v>6.71</v>
      </c>
      <c r="DB88">
        <f>ROUND((ROUND(AT88*CZ88,2)*10),2)</f>
        <v>0</v>
      </c>
      <c r="DC88">
        <f>ROUND((ROUND(AT88*AG88,2)*10),2)</f>
        <v>0</v>
      </c>
    </row>
    <row r="89" spans="1:107" x14ac:dyDescent="0.2">
      <c r="A89">
        <f>ROW(Source!A69)</f>
        <v>69</v>
      </c>
      <c r="B89">
        <v>16802145</v>
      </c>
      <c r="C89">
        <v>16802679</v>
      </c>
      <c r="D89">
        <v>15430397</v>
      </c>
      <c r="E89">
        <v>1</v>
      </c>
      <c r="F89">
        <v>1</v>
      </c>
      <c r="G89">
        <v>1</v>
      </c>
      <c r="H89">
        <v>1</v>
      </c>
      <c r="I89" t="s">
        <v>718</v>
      </c>
      <c r="J89" t="s">
        <v>6</v>
      </c>
      <c r="K89" t="s">
        <v>719</v>
      </c>
      <c r="L89">
        <v>1191</v>
      </c>
      <c r="N89">
        <v>1013</v>
      </c>
      <c r="O89" t="s">
        <v>660</v>
      </c>
      <c r="P89" t="s">
        <v>660</v>
      </c>
      <c r="Q89">
        <v>1</v>
      </c>
      <c r="W89">
        <v>0</v>
      </c>
      <c r="X89">
        <v>-1081351934</v>
      </c>
      <c r="Y89">
        <v>117.82899999999998</v>
      </c>
      <c r="AA89">
        <v>0</v>
      </c>
      <c r="AB89">
        <v>0</v>
      </c>
      <c r="AC89">
        <v>0</v>
      </c>
      <c r="AD89">
        <v>63.07</v>
      </c>
      <c r="AE89">
        <v>0</v>
      </c>
      <c r="AF89">
        <v>0</v>
      </c>
      <c r="AG89">
        <v>0</v>
      </c>
      <c r="AH89">
        <v>9.4</v>
      </c>
      <c r="AI89">
        <v>1</v>
      </c>
      <c r="AJ89">
        <v>1</v>
      </c>
      <c r="AK89">
        <v>1</v>
      </c>
      <c r="AL89">
        <v>6.71</v>
      </c>
      <c r="AN89">
        <v>0</v>
      </c>
      <c r="AO89">
        <v>1</v>
      </c>
      <c r="AP89">
        <v>1</v>
      </c>
      <c r="AQ89">
        <v>0</v>
      </c>
      <c r="AR89">
        <v>0</v>
      </c>
      <c r="AS89" t="s">
        <v>6</v>
      </c>
      <c r="AT89">
        <v>102.46</v>
      </c>
      <c r="AU89" t="s">
        <v>72</v>
      </c>
      <c r="AV89">
        <v>1</v>
      </c>
      <c r="AW89">
        <v>2</v>
      </c>
      <c r="AX89">
        <v>16802685</v>
      </c>
      <c r="AY89">
        <v>1</v>
      </c>
      <c r="AZ89">
        <v>0</v>
      </c>
      <c r="BA89">
        <v>82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Y89*Source!I69</f>
        <v>247.20524199999994</v>
      </c>
      <c r="CY89">
        <f>AD89</f>
        <v>63.07</v>
      </c>
      <c r="CZ89">
        <f>AH89</f>
        <v>9.4</v>
      </c>
      <c r="DA89">
        <f>AL89</f>
        <v>6.71</v>
      </c>
      <c r="DB89">
        <f>ROUND((ROUND(AT89*CZ89,2)*1.15),2)</f>
        <v>1107.5899999999999</v>
      </c>
      <c r="DC89">
        <f>ROUND((ROUND(AT89*AG89,2)*1.15),2)</f>
        <v>0</v>
      </c>
    </row>
    <row r="90" spans="1:107" x14ac:dyDescent="0.2">
      <c r="A90">
        <f>ROW(Source!A69)</f>
        <v>69</v>
      </c>
      <c r="B90">
        <v>16802145</v>
      </c>
      <c r="C90">
        <v>16802679</v>
      </c>
      <c r="D90">
        <v>15430395</v>
      </c>
      <c r="E90">
        <v>1</v>
      </c>
      <c r="F90">
        <v>1</v>
      </c>
      <c r="G90">
        <v>1</v>
      </c>
      <c r="H90">
        <v>1</v>
      </c>
      <c r="I90" t="s">
        <v>661</v>
      </c>
      <c r="J90" t="s">
        <v>6</v>
      </c>
      <c r="K90" t="s">
        <v>662</v>
      </c>
      <c r="L90">
        <v>1191</v>
      </c>
      <c r="N90">
        <v>1013</v>
      </c>
      <c r="O90" t="s">
        <v>660</v>
      </c>
      <c r="P90" t="s">
        <v>660</v>
      </c>
      <c r="Q90">
        <v>1</v>
      </c>
      <c r="W90">
        <v>0</v>
      </c>
      <c r="X90">
        <v>-1417349443</v>
      </c>
      <c r="Y90">
        <v>5.34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1</v>
      </c>
      <c r="AJ90">
        <v>1</v>
      </c>
      <c r="AK90">
        <v>6.71</v>
      </c>
      <c r="AL90">
        <v>1</v>
      </c>
      <c r="AN90">
        <v>0</v>
      </c>
      <c r="AO90">
        <v>1</v>
      </c>
      <c r="AP90">
        <v>0</v>
      </c>
      <c r="AQ90">
        <v>0</v>
      </c>
      <c r="AR90">
        <v>0</v>
      </c>
      <c r="AS90" t="s">
        <v>6</v>
      </c>
      <c r="AT90">
        <v>5.34</v>
      </c>
      <c r="AU90" t="s">
        <v>6</v>
      </c>
      <c r="AV90">
        <v>2</v>
      </c>
      <c r="AW90">
        <v>2</v>
      </c>
      <c r="AX90">
        <v>16802686</v>
      </c>
      <c r="AY90">
        <v>1</v>
      </c>
      <c r="AZ90">
        <v>2048</v>
      </c>
      <c r="BA90">
        <v>83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Y90*Source!I69</f>
        <v>11.20332</v>
      </c>
      <c r="CY90">
        <f>AD90</f>
        <v>0</v>
      </c>
      <c r="CZ90">
        <f>AH90</f>
        <v>0</v>
      </c>
      <c r="DA90">
        <f>AL90</f>
        <v>1</v>
      </c>
      <c r="DB90">
        <f>ROUND(ROUND(AT90*CZ90,2),2)</f>
        <v>0</v>
      </c>
      <c r="DC90">
        <f>ROUND(ROUND(AT90*AG90,2),2)</f>
        <v>0</v>
      </c>
    </row>
    <row r="91" spans="1:107" x14ac:dyDescent="0.2">
      <c r="A91">
        <f>ROW(Source!A69)</f>
        <v>69</v>
      </c>
      <c r="B91">
        <v>16802145</v>
      </c>
      <c r="C91">
        <v>16802679</v>
      </c>
      <c r="D91">
        <v>15247974</v>
      </c>
      <c r="E91">
        <v>1</v>
      </c>
      <c r="F91">
        <v>1</v>
      </c>
      <c r="G91">
        <v>1</v>
      </c>
      <c r="H91">
        <v>2</v>
      </c>
      <c r="I91" t="s">
        <v>663</v>
      </c>
      <c r="J91" t="s">
        <v>664</v>
      </c>
      <c r="K91" t="s">
        <v>665</v>
      </c>
      <c r="L91">
        <v>1368</v>
      </c>
      <c r="N91">
        <v>1011</v>
      </c>
      <c r="O91" t="s">
        <v>666</v>
      </c>
      <c r="P91" t="s">
        <v>666</v>
      </c>
      <c r="Q91">
        <v>1</v>
      </c>
      <c r="W91">
        <v>0</v>
      </c>
      <c r="X91">
        <v>1188625873</v>
      </c>
      <c r="Y91">
        <v>0.95</v>
      </c>
      <c r="AA91">
        <v>0</v>
      </c>
      <c r="AB91">
        <v>209.75</v>
      </c>
      <c r="AC91">
        <v>13.5</v>
      </c>
      <c r="AD91">
        <v>0</v>
      </c>
      <c r="AE91">
        <v>0</v>
      </c>
      <c r="AF91">
        <v>31.26</v>
      </c>
      <c r="AG91">
        <v>13.5</v>
      </c>
      <c r="AH91">
        <v>0</v>
      </c>
      <c r="AI91">
        <v>1</v>
      </c>
      <c r="AJ91">
        <v>6.71</v>
      </c>
      <c r="AK91">
        <v>1</v>
      </c>
      <c r="AL91">
        <v>1</v>
      </c>
      <c r="AN91">
        <v>0</v>
      </c>
      <c r="AO91">
        <v>1</v>
      </c>
      <c r="AP91">
        <v>1</v>
      </c>
      <c r="AQ91">
        <v>0</v>
      </c>
      <c r="AR91">
        <v>0</v>
      </c>
      <c r="AS91" t="s">
        <v>6</v>
      </c>
      <c r="AT91">
        <v>0.76</v>
      </c>
      <c r="AU91" t="s">
        <v>71</v>
      </c>
      <c r="AV91">
        <v>0</v>
      </c>
      <c r="AW91">
        <v>2</v>
      </c>
      <c r="AX91">
        <v>16802687</v>
      </c>
      <c r="AY91">
        <v>1</v>
      </c>
      <c r="AZ91">
        <v>0</v>
      </c>
      <c r="BA91">
        <v>84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Y91*Source!I69</f>
        <v>1.9930999999999999</v>
      </c>
      <c r="CY91">
        <f>AB91</f>
        <v>209.75</v>
      </c>
      <c r="CZ91">
        <f>AF91</f>
        <v>31.26</v>
      </c>
      <c r="DA91">
        <f>AJ91</f>
        <v>6.71</v>
      </c>
      <c r="DB91">
        <f>ROUND((ROUND(AT91*CZ91,2)*1.25),2)</f>
        <v>29.7</v>
      </c>
      <c r="DC91">
        <f>ROUND((ROUND(AT91*AG91,2)*1.25),2)</f>
        <v>12.83</v>
      </c>
    </row>
    <row r="92" spans="1:107" x14ac:dyDescent="0.2">
      <c r="A92">
        <f>ROW(Source!A69)</f>
        <v>69</v>
      </c>
      <c r="B92">
        <v>16802145</v>
      </c>
      <c r="C92">
        <v>16802679</v>
      </c>
      <c r="D92">
        <v>15249073</v>
      </c>
      <c r="E92">
        <v>1</v>
      </c>
      <c r="F92">
        <v>1</v>
      </c>
      <c r="G92">
        <v>1</v>
      </c>
      <c r="H92">
        <v>2</v>
      </c>
      <c r="I92" t="s">
        <v>684</v>
      </c>
      <c r="J92" t="s">
        <v>685</v>
      </c>
      <c r="K92" t="s">
        <v>686</v>
      </c>
      <c r="L92">
        <v>1368</v>
      </c>
      <c r="N92">
        <v>1011</v>
      </c>
      <c r="O92" t="s">
        <v>666</v>
      </c>
      <c r="P92" t="s">
        <v>666</v>
      </c>
      <c r="Q92">
        <v>1</v>
      </c>
      <c r="W92">
        <v>0</v>
      </c>
      <c r="X92">
        <v>1372534845</v>
      </c>
      <c r="Y92">
        <v>5.7249999999999996</v>
      </c>
      <c r="AA92">
        <v>0</v>
      </c>
      <c r="AB92">
        <v>440.91</v>
      </c>
      <c r="AC92">
        <v>11.6</v>
      </c>
      <c r="AD92">
        <v>0</v>
      </c>
      <c r="AE92">
        <v>0</v>
      </c>
      <c r="AF92">
        <v>65.709999999999994</v>
      </c>
      <c r="AG92">
        <v>11.6</v>
      </c>
      <c r="AH92">
        <v>0</v>
      </c>
      <c r="AI92">
        <v>1</v>
      </c>
      <c r="AJ92">
        <v>6.71</v>
      </c>
      <c r="AK92">
        <v>1</v>
      </c>
      <c r="AL92">
        <v>1</v>
      </c>
      <c r="AN92">
        <v>0</v>
      </c>
      <c r="AO92">
        <v>1</v>
      </c>
      <c r="AP92">
        <v>1</v>
      </c>
      <c r="AQ92">
        <v>0</v>
      </c>
      <c r="AR92">
        <v>0</v>
      </c>
      <c r="AS92" t="s">
        <v>6</v>
      </c>
      <c r="AT92">
        <v>4.58</v>
      </c>
      <c r="AU92" t="s">
        <v>71</v>
      </c>
      <c r="AV92">
        <v>0</v>
      </c>
      <c r="AW92">
        <v>2</v>
      </c>
      <c r="AX92">
        <v>16802688</v>
      </c>
      <c r="AY92">
        <v>1</v>
      </c>
      <c r="AZ92">
        <v>0</v>
      </c>
      <c r="BA92">
        <v>85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Y92*Source!I69</f>
        <v>12.011049999999999</v>
      </c>
      <c r="CY92">
        <f>AB92</f>
        <v>440.91</v>
      </c>
      <c r="CZ92">
        <f>AF92</f>
        <v>65.709999999999994</v>
      </c>
      <c r="DA92">
        <f>AJ92</f>
        <v>6.71</v>
      </c>
      <c r="DB92">
        <f>ROUND((ROUND(AT92*CZ92,2)*1.25),2)</f>
        <v>376.19</v>
      </c>
      <c r="DC92">
        <f>ROUND((ROUND(AT92*AG92,2)*1.25),2)</f>
        <v>66.41</v>
      </c>
    </row>
    <row r="93" spans="1:107" x14ac:dyDescent="0.2">
      <c r="A93">
        <f>ROW(Source!A69)</f>
        <v>69</v>
      </c>
      <c r="B93">
        <v>16802145</v>
      </c>
      <c r="C93">
        <v>16802679</v>
      </c>
      <c r="D93">
        <v>15167143</v>
      </c>
      <c r="E93">
        <v>1</v>
      </c>
      <c r="F93">
        <v>1</v>
      </c>
      <c r="G93">
        <v>1</v>
      </c>
      <c r="H93">
        <v>3</v>
      </c>
      <c r="I93" t="s">
        <v>720</v>
      </c>
      <c r="J93" t="s">
        <v>721</v>
      </c>
      <c r="K93" t="s">
        <v>722</v>
      </c>
      <c r="L93">
        <v>1327</v>
      </c>
      <c r="N93">
        <v>1005</v>
      </c>
      <c r="O93" t="s">
        <v>95</v>
      </c>
      <c r="P93" t="s">
        <v>95</v>
      </c>
      <c r="Q93">
        <v>1</v>
      </c>
      <c r="W93">
        <v>0</v>
      </c>
      <c r="X93">
        <v>1385600515</v>
      </c>
      <c r="Y93">
        <v>103</v>
      </c>
      <c r="AA93">
        <v>347.58</v>
      </c>
      <c r="AB93">
        <v>0</v>
      </c>
      <c r="AC93">
        <v>0</v>
      </c>
      <c r="AD93">
        <v>0</v>
      </c>
      <c r="AE93">
        <v>51.8</v>
      </c>
      <c r="AF93">
        <v>0</v>
      </c>
      <c r="AG93">
        <v>0</v>
      </c>
      <c r="AH93">
        <v>0</v>
      </c>
      <c r="AI93">
        <v>6.71</v>
      </c>
      <c r="AJ93">
        <v>1</v>
      </c>
      <c r="AK93">
        <v>1</v>
      </c>
      <c r="AL93">
        <v>1</v>
      </c>
      <c r="AN93">
        <v>0</v>
      </c>
      <c r="AO93">
        <v>1</v>
      </c>
      <c r="AP93">
        <v>0</v>
      </c>
      <c r="AQ93">
        <v>0</v>
      </c>
      <c r="AR93">
        <v>0</v>
      </c>
      <c r="AS93" t="s">
        <v>6</v>
      </c>
      <c r="AT93">
        <v>103</v>
      </c>
      <c r="AU93" t="s">
        <v>6</v>
      </c>
      <c r="AV93">
        <v>0</v>
      </c>
      <c r="AW93">
        <v>2</v>
      </c>
      <c r="AX93">
        <v>16802689</v>
      </c>
      <c r="AY93">
        <v>1</v>
      </c>
      <c r="AZ93">
        <v>0</v>
      </c>
      <c r="BA93">
        <v>86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Y93*Source!I69</f>
        <v>216.09399999999999</v>
      </c>
      <c r="CY93">
        <f>AA93</f>
        <v>347.58</v>
      </c>
      <c r="CZ93">
        <f>AE93</f>
        <v>51.8</v>
      </c>
      <c r="DA93">
        <f>AI93</f>
        <v>6.71</v>
      </c>
      <c r="DB93">
        <f>ROUND(ROUND(AT93*CZ93,2),2)</f>
        <v>5335.4</v>
      </c>
      <c r="DC93">
        <f>ROUND(ROUND(AT93*AG93,2),2)</f>
        <v>0</v>
      </c>
    </row>
    <row r="94" spans="1:107" x14ac:dyDescent="0.2">
      <c r="A94">
        <f>ROW(Source!A70)</f>
        <v>70</v>
      </c>
      <c r="B94">
        <v>16802145</v>
      </c>
      <c r="C94">
        <v>16807803</v>
      </c>
      <c r="D94">
        <v>15435487</v>
      </c>
      <c r="E94">
        <v>1</v>
      </c>
      <c r="F94">
        <v>1</v>
      </c>
      <c r="G94">
        <v>1</v>
      </c>
      <c r="H94">
        <v>1</v>
      </c>
      <c r="I94" t="s">
        <v>723</v>
      </c>
      <c r="J94" t="s">
        <v>6</v>
      </c>
      <c r="K94" t="s">
        <v>724</v>
      </c>
      <c r="L94">
        <v>1191</v>
      </c>
      <c r="N94">
        <v>1013</v>
      </c>
      <c r="O94" t="s">
        <v>660</v>
      </c>
      <c r="P94" t="s">
        <v>660</v>
      </c>
      <c r="Q94">
        <v>1</v>
      </c>
      <c r="W94">
        <v>0</v>
      </c>
      <c r="X94">
        <v>-200730820</v>
      </c>
      <c r="Y94">
        <v>57.959999999999994</v>
      </c>
      <c r="AA94">
        <v>0</v>
      </c>
      <c r="AB94">
        <v>0</v>
      </c>
      <c r="AC94">
        <v>0</v>
      </c>
      <c r="AD94">
        <v>56.23</v>
      </c>
      <c r="AE94">
        <v>0</v>
      </c>
      <c r="AF94">
        <v>0</v>
      </c>
      <c r="AG94">
        <v>0</v>
      </c>
      <c r="AH94">
        <v>8.3800000000000008</v>
      </c>
      <c r="AI94">
        <v>1</v>
      </c>
      <c r="AJ94">
        <v>1</v>
      </c>
      <c r="AK94">
        <v>1</v>
      </c>
      <c r="AL94">
        <v>6.71</v>
      </c>
      <c r="AN94">
        <v>0</v>
      </c>
      <c r="AO94">
        <v>1</v>
      </c>
      <c r="AP94">
        <v>1</v>
      </c>
      <c r="AQ94">
        <v>0</v>
      </c>
      <c r="AR94">
        <v>0</v>
      </c>
      <c r="AS94" t="s">
        <v>6</v>
      </c>
      <c r="AT94">
        <v>50.4</v>
      </c>
      <c r="AU94" t="s">
        <v>72</v>
      </c>
      <c r="AV94">
        <v>1</v>
      </c>
      <c r="AW94">
        <v>2</v>
      </c>
      <c r="AX94">
        <v>16807804</v>
      </c>
      <c r="AY94">
        <v>1</v>
      </c>
      <c r="AZ94">
        <v>0</v>
      </c>
      <c r="BA94">
        <v>87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Y94*Source!I70</f>
        <v>128.72915999999998</v>
      </c>
      <c r="CY94">
        <f>AD94</f>
        <v>56.23</v>
      </c>
      <c r="CZ94">
        <f>AH94</f>
        <v>8.3800000000000008</v>
      </c>
      <c r="DA94">
        <f>AL94</f>
        <v>6.71</v>
      </c>
      <c r="DB94">
        <f>ROUND((ROUND(AT94*CZ94,2)*1.15),2)</f>
        <v>485.7</v>
      </c>
      <c r="DC94">
        <f>ROUND((ROUND(AT94*AG94,2)*1.15),2)</f>
        <v>0</v>
      </c>
    </row>
    <row r="95" spans="1:107" x14ac:dyDescent="0.2">
      <c r="A95">
        <f>ROW(Source!A70)</f>
        <v>70</v>
      </c>
      <c r="B95">
        <v>16802145</v>
      </c>
      <c r="C95">
        <v>16807803</v>
      </c>
      <c r="D95">
        <v>15430395</v>
      </c>
      <c r="E95">
        <v>1</v>
      </c>
      <c r="F95">
        <v>1</v>
      </c>
      <c r="G95">
        <v>1</v>
      </c>
      <c r="H95">
        <v>1</v>
      </c>
      <c r="I95" t="s">
        <v>661</v>
      </c>
      <c r="J95" t="s">
        <v>6</v>
      </c>
      <c r="K95" t="s">
        <v>662</v>
      </c>
      <c r="L95">
        <v>1191</v>
      </c>
      <c r="N95">
        <v>1013</v>
      </c>
      <c r="O95" t="s">
        <v>660</v>
      </c>
      <c r="P95" t="s">
        <v>660</v>
      </c>
      <c r="Q95">
        <v>1</v>
      </c>
      <c r="W95">
        <v>0</v>
      </c>
      <c r="X95">
        <v>-1417349443</v>
      </c>
      <c r="Y95">
        <v>0.57999999999999996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1</v>
      </c>
      <c r="AJ95">
        <v>1</v>
      </c>
      <c r="AK95">
        <v>6.71</v>
      </c>
      <c r="AL95">
        <v>1</v>
      </c>
      <c r="AN95">
        <v>0</v>
      </c>
      <c r="AO95">
        <v>1</v>
      </c>
      <c r="AP95">
        <v>0</v>
      </c>
      <c r="AQ95">
        <v>0</v>
      </c>
      <c r="AR95">
        <v>0</v>
      </c>
      <c r="AS95" t="s">
        <v>6</v>
      </c>
      <c r="AT95">
        <v>0.57999999999999996</v>
      </c>
      <c r="AU95" t="s">
        <v>6</v>
      </c>
      <c r="AV95">
        <v>2</v>
      </c>
      <c r="AW95">
        <v>2</v>
      </c>
      <c r="AX95">
        <v>16807805</v>
      </c>
      <c r="AY95">
        <v>1</v>
      </c>
      <c r="AZ95">
        <v>0</v>
      </c>
      <c r="BA95">
        <v>88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Y95*Source!I70</f>
        <v>1.2881799999999999</v>
      </c>
      <c r="CY95">
        <f>AD95</f>
        <v>0</v>
      </c>
      <c r="CZ95">
        <f>AH95</f>
        <v>0</v>
      </c>
      <c r="DA95">
        <f>AL95</f>
        <v>1</v>
      </c>
      <c r="DB95">
        <f>ROUND(ROUND(AT95*CZ95,2),2)</f>
        <v>0</v>
      </c>
      <c r="DC95">
        <f>ROUND(ROUND(AT95*AG95,2),2)</f>
        <v>0</v>
      </c>
    </row>
    <row r="96" spans="1:107" x14ac:dyDescent="0.2">
      <c r="A96">
        <f>ROW(Source!A70)</f>
        <v>70</v>
      </c>
      <c r="B96">
        <v>16802145</v>
      </c>
      <c r="C96">
        <v>16807803</v>
      </c>
      <c r="D96">
        <v>15247974</v>
      </c>
      <c r="E96">
        <v>1</v>
      </c>
      <c r="F96">
        <v>1</v>
      </c>
      <c r="G96">
        <v>1</v>
      </c>
      <c r="H96">
        <v>2</v>
      </c>
      <c r="I96" t="s">
        <v>663</v>
      </c>
      <c r="J96" t="s">
        <v>664</v>
      </c>
      <c r="K96" t="s">
        <v>665</v>
      </c>
      <c r="L96">
        <v>1368</v>
      </c>
      <c r="N96">
        <v>1011</v>
      </c>
      <c r="O96" t="s">
        <v>666</v>
      </c>
      <c r="P96" t="s">
        <v>666</v>
      </c>
      <c r="Q96">
        <v>1</v>
      </c>
      <c r="W96">
        <v>0</v>
      </c>
      <c r="X96">
        <v>1188625873</v>
      </c>
      <c r="Y96">
        <v>0.57999999999999996</v>
      </c>
      <c r="AA96">
        <v>0</v>
      </c>
      <c r="AB96">
        <v>209.75</v>
      </c>
      <c r="AC96">
        <v>13.5</v>
      </c>
      <c r="AD96">
        <v>0</v>
      </c>
      <c r="AE96">
        <v>0</v>
      </c>
      <c r="AF96">
        <v>31.26</v>
      </c>
      <c r="AG96">
        <v>13.5</v>
      </c>
      <c r="AH96">
        <v>0</v>
      </c>
      <c r="AI96">
        <v>1</v>
      </c>
      <c r="AJ96">
        <v>6.71</v>
      </c>
      <c r="AK96">
        <v>1</v>
      </c>
      <c r="AL96">
        <v>1</v>
      </c>
      <c r="AN96">
        <v>0</v>
      </c>
      <c r="AO96">
        <v>1</v>
      </c>
      <c r="AP96">
        <v>0</v>
      </c>
      <c r="AQ96">
        <v>0</v>
      </c>
      <c r="AR96">
        <v>0</v>
      </c>
      <c r="AS96" t="s">
        <v>6</v>
      </c>
      <c r="AT96">
        <v>0.57999999999999996</v>
      </c>
      <c r="AU96" t="s">
        <v>6</v>
      </c>
      <c r="AV96">
        <v>0</v>
      </c>
      <c r="AW96">
        <v>2</v>
      </c>
      <c r="AX96">
        <v>16807806</v>
      </c>
      <c r="AY96">
        <v>1</v>
      </c>
      <c r="AZ96">
        <v>0</v>
      </c>
      <c r="BA96">
        <v>89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Y96*Source!I70</f>
        <v>1.2881799999999999</v>
      </c>
      <c r="CY96">
        <f>AB96</f>
        <v>209.75</v>
      </c>
      <c r="CZ96">
        <f>AF96</f>
        <v>31.26</v>
      </c>
      <c r="DA96">
        <f>AJ96</f>
        <v>6.71</v>
      </c>
      <c r="DB96">
        <f>ROUND(ROUND(AT96*CZ96,2),2)</f>
        <v>18.13</v>
      </c>
      <c r="DC96">
        <f>ROUND(ROUND(AT96*AG96,2),2)</f>
        <v>7.83</v>
      </c>
    </row>
    <row r="97" spans="1:107" x14ac:dyDescent="0.2">
      <c r="A97">
        <f>ROW(Source!A70)</f>
        <v>70</v>
      </c>
      <c r="B97">
        <v>16802145</v>
      </c>
      <c r="C97">
        <v>16807803</v>
      </c>
      <c r="D97">
        <v>15167286</v>
      </c>
      <c r="E97">
        <v>1</v>
      </c>
      <c r="F97">
        <v>1</v>
      </c>
      <c r="G97">
        <v>1</v>
      </c>
      <c r="H97">
        <v>3</v>
      </c>
      <c r="I97" t="s">
        <v>669</v>
      </c>
      <c r="J97" t="s">
        <v>670</v>
      </c>
      <c r="K97" t="s">
        <v>671</v>
      </c>
      <c r="L97">
        <v>1339</v>
      </c>
      <c r="N97">
        <v>1007</v>
      </c>
      <c r="O97" t="s">
        <v>61</v>
      </c>
      <c r="P97" t="s">
        <v>61</v>
      </c>
      <c r="Q97">
        <v>1</v>
      </c>
      <c r="W97">
        <v>0</v>
      </c>
      <c r="X97">
        <v>-1660354250</v>
      </c>
      <c r="Y97">
        <v>0.35</v>
      </c>
      <c r="AA97">
        <v>16.37</v>
      </c>
      <c r="AB97">
        <v>0</v>
      </c>
      <c r="AC97">
        <v>0</v>
      </c>
      <c r="AD97">
        <v>0</v>
      </c>
      <c r="AE97">
        <v>2.44</v>
      </c>
      <c r="AF97">
        <v>0</v>
      </c>
      <c r="AG97">
        <v>0</v>
      </c>
      <c r="AH97">
        <v>0</v>
      </c>
      <c r="AI97">
        <v>6.71</v>
      </c>
      <c r="AJ97">
        <v>1</v>
      </c>
      <c r="AK97">
        <v>1</v>
      </c>
      <c r="AL97">
        <v>1</v>
      </c>
      <c r="AN97">
        <v>0</v>
      </c>
      <c r="AO97">
        <v>1</v>
      </c>
      <c r="AP97">
        <v>0</v>
      </c>
      <c r="AQ97">
        <v>0</v>
      </c>
      <c r="AR97">
        <v>0</v>
      </c>
      <c r="AS97" t="s">
        <v>6</v>
      </c>
      <c r="AT97">
        <v>0.35</v>
      </c>
      <c r="AU97" t="s">
        <v>6</v>
      </c>
      <c r="AV97">
        <v>0</v>
      </c>
      <c r="AW97">
        <v>2</v>
      </c>
      <c r="AX97">
        <v>16807807</v>
      </c>
      <c r="AY97">
        <v>1</v>
      </c>
      <c r="AZ97">
        <v>0</v>
      </c>
      <c r="BA97">
        <v>90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Y97*Source!I70</f>
        <v>0.77734999999999999</v>
      </c>
      <c r="CY97">
        <f>AA97</f>
        <v>16.37</v>
      </c>
      <c r="CZ97">
        <f>AE97</f>
        <v>2.44</v>
      </c>
      <c r="DA97">
        <f>AI97</f>
        <v>6.71</v>
      </c>
      <c r="DB97">
        <f>ROUND(ROUND(AT97*CZ97,2),2)</f>
        <v>0.85</v>
      </c>
      <c r="DC97">
        <f>ROUND(ROUND(AT97*AG97,2),2)</f>
        <v>0</v>
      </c>
    </row>
    <row r="98" spans="1:107" x14ac:dyDescent="0.2">
      <c r="A98">
        <f>ROW(Source!A70)</f>
        <v>70</v>
      </c>
      <c r="B98">
        <v>16802145</v>
      </c>
      <c r="C98">
        <v>16807803</v>
      </c>
      <c r="D98">
        <v>15167717</v>
      </c>
      <c r="E98">
        <v>1</v>
      </c>
      <c r="F98">
        <v>1</v>
      </c>
      <c r="G98">
        <v>1</v>
      </c>
      <c r="H98">
        <v>3</v>
      </c>
      <c r="I98" t="s">
        <v>725</v>
      </c>
      <c r="J98" t="s">
        <v>726</v>
      </c>
      <c r="K98" t="s">
        <v>727</v>
      </c>
      <c r="L98">
        <v>1348</v>
      </c>
      <c r="N98">
        <v>1009</v>
      </c>
      <c r="O98" t="s">
        <v>65</v>
      </c>
      <c r="P98" t="s">
        <v>65</v>
      </c>
      <c r="Q98">
        <v>1000</v>
      </c>
      <c r="W98">
        <v>0</v>
      </c>
      <c r="X98">
        <v>-1704802034</v>
      </c>
      <c r="Y98">
        <v>5.0599999999999999E-2</v>
      </c>
      <c r="AA98">
        <v>109943.35</v>
      </c>
      <c r="AB98">
        <v>0</v>
      </c>
      <c r="AC98">
        <v>0</v>
      </c>
      <c r="AD98">
        <v>0</v>
      </c>
      <c r="AE98">
        <v>16385</v>
      </c>
      <c r="AF98">
        <v>0</v>
      </c>
      <c r="AG98">
        <v>0</v>
      </c>
      <c r="AH98">
        <v>0</v>
      </c>
      <c r="AI98">
        <v>6.71</v>
      </c>
      <c r="AJ98">
        <v>1</v>
      </c>
      <c r="AK98">
        <v>1</v>
      </c>
      <c r="AL98">
        <v>1</v>
      </c>
      <c r="AN98">
        <v>0</v>
      </c>
      <c r="AO98">
        <v>1</v>
      </c>
      <c r="AP98">
        <v>0</v>
      </c>
      <c r="AQ98">
        <v>0</v>
      </c>
      <c r="AR98">
        <v>0</v>
      </c>
      <c r="AS98" t="s">
        <v>6</v>
      </c>
      <c r="AT98">
        <v>5.0599999999999999E-2</v>
      </c>
      <c r="AU98" t="s">
        <v>6</v>
      </c>
      <c r="AV98">
        <v>0</v>
      </c>
      <c r="AW98">
        <v>2</v>
      </c>
      <c r="AX98">
        <v>16807808</v>
      </c>
      <c r="AY98">
        <v>1</v>
      </c>
      <c r="AZ98">
        <v>0</v>
      </c>
      <c r="BA98">
        <v>91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Y98*Source!I70</f>
        <v>0.1123826</v>
      </c>
      <c r="CY98">
        <f>AA98</f>
        <v>109943.35</v>
      </c>
      <c r="CZ98">
        <f>AE98</f>
        <v>16385</v>
      </c>
      <c r="DA98">
        <f>AI98</f>
        <v>6.71</v>
      </c>
      <c r="DB98">
        <f>ROUND(ROUND(AT98*CZ98,2),2)</f>
        <v>829.08</v>
      </c>
      <c r="DC98">
        <f>ROUND(ROUND(AT98*AG98,2),2)</f>
        <v>0</v>
      </c>
    </row>
    <row r="99" spans="1:107" x14ac:dyDescent="0.2">
      <c r="A99">
        <f>ROW(Source!A70)</f>
        <v>70</v>
      </c>
      <c r="B99">
        <v>16802145</v>
      </c>
      <c r="C99">
        <v>16807803</v>
      </c>
      <c r="D99">
        <v>15173003</v>
      </c>
      <c r="E99">
        <v>1</v>
      </c>
      <c r="F99">
        <v>1</v>
      </c>
      <c r="G99">
        <v>1</v>
      </c>
      <c r="H99">
        <v>3</v>
      </c>
      <c r="I99" t="s">
        <v>175</v>
      </c>
      <c r="J99" t="s">
        <v>177</v>
      </c>
      <c r="K99" t="s">
        <v>176</v>
      </c>
      <c r="L99">
        <v>1346</v>
      </c>
      <c r="N99">
        <v>1009</v>
      </c>
      <c r="O99" t="s">
        <v>103</v>
      </c>
      <c r="P99" t="s">
        <v>103</v>
      </c>
      <c r="Q99">
        <v>1</v>
      </c>
      <c r="W99">
        <v>0</v>
      </c>
      <c r="X99">
        <v>-60067644</v>
      </c>
      <c r="Y99">
        <v>1135</v>
      </c>
      <c r="AA99">
        <v>13.89</v>
      </c>
      <c r="AB99">
        <v>0</v>
      </c>
      <c r="AC99">
        <v>0</v>
      </c>
      <c r="AD99">
        <v>0</v>
      </c>
      <c r="AE99">
        <v>2.0699999999999998</v>
      </c>
      <c r="AF99">
        <v>0</v>
      </c>
      <c r="AG99">
        <v>0</v>
      </c>
      <c r="AH99">
        <v>0</v>
      </c>
      <c r="AI99">
        <v>6.71</v>
      </c>
      <c r="AJ99">
        <v>1</v>
      </c>
      <c r="AK99">
        <v>1</v>
      </c>
      <c r="AL99">
        <v>1</v>
      </c>
      <c r="AN99">
        <v>0</v>
      </c>
      <c r="AO99">
        <v>0</v>
      </c>
      <c r="AP99">
        <v>0</v>
      </c>
      <c r="AQ99">
        <v>0</v>
      </c>
      <c r="AR99">
        <v>0</v>
      </c>
      <c r="AS99" t="s">
        <v>6</v>
      </c>
      <c r="AT99">
        <v>1135</v>
      </c>
      <c r="AU99" t="s">
        <v>6</v>
      </c>
      <c r="AV99">
        <v>0</v>
      </c>
      <c r="AW99">
        <v>1</v>
      </c>
      <c r="AX99">
        <v>-1</v>
      </c>
      <c r="AY99">
        <v>0</v>
      </c>
      <c r="AZ99">
        <v>0</v>
      </c>
      <c r="BA99" t="s">
        <v>6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Y99*Source!I70</f>
        <v>2520.835</v>
      </c>
      <c r="CY99">
        <f>AA99</f>
        <v>13.89</v>
      </c>
      <c r="CZ99">
        <f>AE99</f>
        <v>2.0699999999999998</v>
      </c>
      <c r="DA99">
        <f>AI99</f>
        <v>6.71</v>
      </c>
      <c r="DB99">
        <f>ROUND(ROUND(AT99*CZ99,2),2)</f>
        <v>2349.4499999999998</v>
      </c>
      <c r="DC99">
        <f>ROUND(ROUND(AT99*AG99,2),2)</f>
        <v>0</v>
      </c>
    </row>
    <row r="100" spans="1:107" x14ac:dyDescent="0.2">
      <c r="A100">
        <f>ROW(Source!A72)</f>
        <v>72</v>
      </c>
      <c r="B100">
        <v>16802145</v>
      </c>
      <c r="C100">
        <v>16802718</v>
      </c>
      <c r="D100">
        <v>15435609</v>
      </c>
      <c r="E100">
        <v>1</v>
      </c>
      <c r="F100">
        <v>1</v>
      </c>
      <c r="G100">
        <v>1</v>
      </c>
      <c r="H100">
        <v>1</v>
      </c>
      <c r="I100" t="s">
        <v>728</v>
      </c>
      <c r="J100" t="s">
        <v>6</v>
      </c>
      <c r="K100" t="s">
        <v>729</v>
      </c>
      <c r="L100">
        <v>1191</v>
      </c>
      <c r="N100">
        <v>1013</v>
      </c>
      <c r="O100" t="s">
        <v>660</v>
      </c>
      <c r="P100" t="s">
        <v>660</v>
      </c>
      <c r="Q100">
        <v>1</v>
      </c>
      <c r="W100">
        <v>0</v>
      </c>
      <c r="X100">
        <v>-814890593</v>
      </c>
      <c r="Y100">
        <v>49.334999999999994</v>
      </c>
      <c r="AA100">
        <v>0</v>
      </c>
      <c r="AB100">
        <v>0</v>
      </c>
      <c r="AC100">
        <v>0</v>
      </c>
      <c r="AD100">
        <v>60.19</v>
      </c>
      <c r="AE100">
        <v>0</v>
      </c>
      <c r="AF100">
        <v>0</v>
      </c>
      <c r="AG100">
        <v>0</v>
      </c>
      <c r="AH100">
        <v>8.9700000000000006</v>
      </c>
      <c r="AI100">
        <v>1</v>
      </c>
      <c r="AJ100">
        <v>1</v>
      </c>
      <c r="AK100">
        <v>1</v>
      </c>
      <c r="AL100">
        <v>6.71</v>
      </c>
      <c r="AN100">
        <v>0</v>
      </c>
      <c r="AO100">
        <v>1</v>
      </c>
      <c r="AP100">
        <v>1</v>
      </c>
      <c r="AQ100">
        <v>0</v>
      </c>
      <c r="AR100">
        <v>0</v>
      </c>
      <c r="AS100" t="s">
        <v>6</v>
      </c>
      <c r="AT100">
        <v>42.9</v>
      </c>
      <c r="AU100" t="s">
        <v>72</v>
      </c>
      <c r="AV100">
        <v>1</v>
      </c>
      <c r="AW100">
        <v>2</v>
      </c>
      <c r="AX100">
        <v>16802728</v>
      </c>
      <c r="AY100">
        <v>1</v>
      </c>
      <c r="AZ100">
        <v>0</v>
      </c>
      <c r="BA100">
        <v>93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Y100*Source!I72</f>
        <v>164.38421999999997</v>
      </c>
      <c r="CY100">
        <f>AD100</f>
        <v>60.19</v>
      </c>
      <c r="CZ100">
        <f>AH100</f>
        <v>8.9700000000000006</v>
      </c>
      <c r="DA100">
        <f>AL100</f>
        <v>6.71</v>
      </c>
      <c r="DB100">
        <f>ROUND((ROUND(AT100*CZ100,2)*1.15),2)</f>
        <v>442.53</v>
      </c>
      <c r="DC100">
        <f>ROUND((ROUND(AT100*AG100,2)*1.15),2)</f>
        <v>0</v>
      </c>
    </row>
    <row r="101" spans="1:107" x14ac:dyDescent="0.2">
      <c r="A101">
        <f>ROW(Source!A72)</f>
        <v>72</v>
      </c>
      <c r="B101">
        <v>16802145</v>
      </c>
      <c r="C101">
        <v>16802718</v>
      </c>
      <c r="D101">
        <v>15430395</v>
      </c>
      <c r="E101">
        <v>1</v>
      </c>
      <c r="F101">
        <v>1</v>
      </c>
      <c r="G101">
        <v>1</v>
      </c>
      <c r="H101">
        <v>1</v>
      </c>
      <c r="I101" t="s">
        <v>661</v>
      </c>
      <c r="J101" t="s">
        <v>6</v>
      </c>
      <c r="K101" t="s">
        <v>662</v>
      </c>
      <c r="L101">
        <v>1191</v>
      </c>
      <c r="N101">
        <v>1013</v>
      </c>
      <c r="O101" t="s">
        <v>660</v>
      </c>
      <c r="P101" t="s">
        <v>660</v>
      </c>
      <c r="Q101">
        <v>1</v>
      </c>
      <c r="W101">
        <v>0</v>
      </c>
      <c r="X101">
        <v>-1417349443</v>
      </c>
      <c r="Y101">
        <v>0.17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1</v>
      </c>
      <c r="AJ101">
        <v>1</v>
      </c>
      <c r="AK101">
        <v>6.71</v>
      </c>
      <c r="AL101">
        <v>1</v>
      </c>
      <c r="AN101">
        <v>0</v>
      </c>
      <c r="AO101">
        <v>1</v>
      </c>
      <c r="AP101">
        <v>0</v>
      </c>
      <c r="AQ101">
        <v>0</v>
      </c>
      <c r="AR101">
        <v>0</v>
      </c>
      <c r="AS101" t="s">
        <v>6</v>
      </c>
      <c r="AT101">
        <v>0.17</v>
      </c>
      <c r="AU101" t="s">
        <v>6</v>
      </c>
      <c r="AV101">
        <v>2</v>
      </c>
      <c r="AW101">
        <v>2</v>
      </c>
      <c r="AX101">
        <v>16802729</v>
      </c>
      <c r="AY101">
        <v>1</v>
      </c>
      <c r="AZ101">
        <v>2048</v>
      </c>
      <c r="BA101">
        <v>94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Y101*Source!I72</f>
        <v>0.56644000000000005</v>
      </c>
      <c r="CY101">
        <f>AD101</f>
        <v>0</v>
      </c>
      <c r="CZ101">
        <f>AH101</f>
        <v>0</v>
      </c>
      <c r="DA101">
        <f>AL101</f>
        <v>1</v>
      </c>
      <c r="DB101">
        <f>ROUND(ROUND(AT101*CZ101,2),2)</f>
        <v>0</v>
      </c>
      <c r="DC101">
        <f>ROUND(ROUND(AT101*AG101,2),2)</f>
        <v>0</v>
      </c>
    </row>
    <row r="102" spans="1:107" x14ac:dyDescent="0.2">
      <c r="A102">
        <f>ROW(Source!A72)</f>
        <v>72</v>
      </c>
      <c r="B102">
        <v>16802145</v>
      </c>
      <c r="C102">
        <v>16802718</v>
      </c>
      <c r="D102">
        <v>15247974</v>
      </c>
      <c r="E102">
        <v>1</v>
      </c>
      <c r="F102">
        <v>1</v>
      </c>
      <c r="G102">
        <v>1</v>
      </c>
      <c r="H102">
        <v>2</v>
      </c>
      <c r="I102" t="s">
        <v>663</v>
      </c>
      <c r="J102" t="s">
        <v>664</v>
      </c>
      <c r="K102" t="s">
        <v>665</v>
      </c>
      <c r="L102">
        <v>1368</v>
      </c>
      <c r="N102">
        <v>1011</v>
      </c>
      <c r="O102" t="s">
        <v>666</v>
      </c>
      <c r="P102" t="s">
        <v>666</v>
      </c>
      <c r="Q102">
        <v>1</v>
      </c>
      <c r="W102">
        <v>0</v>
      </c>
      <c r="X102">
        <v>1188625873</v>
      </c>
      <c r="Y102">
        <v>2.5000000000000001E-2</v>
      </c>
      <c r="AA102">
        <v>0</v>
      </c>
      <c r="AB102">
        <v>209.75</v>
      </c>
      <c r="AC102">
        <v>13.5</v>
      </c>
      <c r="AD102">
        <v>0</v>
      </c>
      <c r="AE102">
        <v>0</v>
      </c>
      <c r="AF102">
        <v>31.26</v>
      </c>
      <c r="AG102">
        <v>13.5</v>
      </c>
      <c r="AH102">
        <v>0</v>
      </c>
      <c r="AI102">
        <v>1</v>
      </c>
      <c r="AJ102">
        <v>6.71</v>
      </c>
      <c r="AK102">
        <v>1</v>
      </c>
      <c r="AL102">
        <v>1</v>
      </c>
      <c r="AN102">
        <v>0</v>
      </c>
      <c r="AO102">
        <v>1</v>
      </c>
      <c r="AP102">
        <v>1</v>
      </c>
      <c r="AQ102">
        <v>0</v>
      </c>
      <c r="AR102">
        <v>0</v>
      </c>
      <c r="AS102" t="s">
        <v>6</v>
      </c>
      <c r="AT102">
        <v>0.02</v>
      </c>
      <c r="AU102" t="s">
        <v>71</v>
      </c>
      <c r="AV102">
        <v>0</v>
      </c>
      <c r="AW102">
        <v>2</v>
      </c>
      <c r="AX102">
        <v>16802730</v>
      </c>
      <c r="AY102">
        <v>1</v>
      </c>
      <c r="AZ102">
        <v>0</v>
      </c>
      <c r="BA102">
        <v>95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Y102*Source!I72</f>
        <v>8.3299999999999999E-2</v>
      </c>
      <c r="CY102">
        <f>AB102</f>
        <v>209.75</v>
      </c>
      <c r="CZ102">
        <f>AF102</f>
        <v>31.26</v>
      </c>
      <c r="DA102">
        <f>AJ102</f>
        <v>6.71</v>
      </c>
      <c r="DB102">
        <f>ROUND((ROUND(AT102*CZ102,2)*1.25),2)</f>
        <v>0.79</v>
      </c>
      <c r="DC102">
        <f>ROUND((ROUND(AT102*AG102,2)*1.25),2)</f>
        <v>0.34</v>
      </c>
    </row>
    <row r="103" spans="1:107" x14ac:dyDescent="0.2">
      <c r="A103">
        <f>ROW(Source!A72)</f>
        <v>72</v>
      </c>
      <c r="B103">
        <v>16802145</v>
      </c>
      <c r="C103">
        <v>16802718</v>
      </c>
      <c r="D103">
        <v>15249073</v>
      </c>
      <c r="E103">
        <v>1</v>
      </c>
      <c r="F103">
        <v>1</v>
      </c>
      <c r="G103">
        <v>1</v>
      </c>
      <c r="H103">
        <v>2</v>
      </c>
      <c r="I103" t="s">
        <v>684</v>
      </c>
      <c r="J103" t="s">
        <v>685</v>
      </c>
      <c r="K103" t="s">
        <v>686</v>
      </c>
      <c r="L103">
        <v>1368</v>
      </c>
      <c r="N103">
        <v>1011</v>
      </c>
      <c r="O103" t="s">
        <v>666</v>
      </c>
      <c r="P103" t="s">
        <v>666</v>
      </c>
      <c r="Q103">
        <v>1</v>
      </c>
      <c r="W103">
        <v>0</v>
      </c>
      <c r="X103">
        <v>1372534845</v>
      </c>
      <c r="Y103">
        <v>0.1875</v>
      </c>
      <c r="AA103">
        <v>0</v>
      </c>
      <c r="AB103">
        <v>440.91</v>
      </c>
      <c r="AC103">
        <v>11.6</v>
      </c>
      <c r="AD103">
        <v>0</v>
      </c>
      <c r="AE103">
        <v>0</v>
      </c>
      <c r="AF103">
        <v>65.709999999999994</v>
      </c>
      <c r="AG103">
        <v>11.6</v>
      </c>
      <c r="AH103">
        <v>0</v>
      </c>
      <c r="AI103">
        <v>1</v>
      </c>
      <c r="AJ103">
        <v>6.71</v>
      </c>
      <c r="AK103">
        <v>1</v>
      </c>
      <c r="AL103">
        <v>1</v>
      </c>
      <c r="AN103">
        <v>0</v>
      </c>
      <c r="AO103">
        <v>1</v>
      </c>
      <c r="AP103">
        <v>1</v>
      </c>
      <c r="AQ103">
        <v>0</v>
      </c>
      <c r="AR103">
        <v>0</v>
      </c>
      <c r="AS103" t="s">
        <v>6</v>
      </c>
      <c r="AT103">
        <v>0.15</v>
      </c>
      <c r="AU103" t="s">
        <v>71</v>
      </c>
      <c r="AV103">
        <v>0</v>
      </c>
      <c r="AW103">
        <v>2</v>
      </c>
      <c r="AX103">
        <v>16802731</v>
      </c>
      <c r="AY103">
        <v>1</v>
      </c>
      <c r="AZ103">
        <v>0</v>
      </c>
      <c r="BA103">
        <v>96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Y103*Source!I72</f>
        <v>0.62474999999999992</v>
      </c>
      <c r="CY103">
        <f>AB103</f>
        <v>440.91</v>
      </c>
      <c r="CZ103">
        <f>AF103</f>
        <v>65.709999999999994</v>
      </c>
      <c r="DA103">
        <f>AJ103</f>
        <v>6.71</v>
      </c>
      <c r="DB103">
        <f>ROUND((ROUND(AT103*CZ103,2)*1.25),2)</f>
        <v>12.33</v>
      </c>
      <c r="DC103">
        <f>ROUND((ROUND(AT103*AG103,2)*1.25),2)</f>
        <v>2.1800000000000002</v>
      </c>
    </row>
    <row r="104" spans="1:107" x14ac:dyDescent="0.2">
      <c r="A104">
        <f>ROW(Source!A72)</f>
        <v>72</v>
      </c>
      <c r="B104">
        <v>16802145</v>
      </c>
      <c r="C104">
        <v>16802718</v>
      </c>
      <c r="D104">
        <v>15170682</v>
      </c>
      <c r="E104">
        <v>1</v>
      </c>
      <c r="F104">
        <v>1</v>
      </c>
      <c r="G104">
        <v>1</v>
      </c>
      <c r="H104">
        <v>3</v>
      </c>
      <c r="I104" t="s">
        <v>730</v>
      </c>
      <c r="J104" t="s">
        <v>731</v>
      </c>
      <c r="K104" t="s">
        <v>732</v>
      </c>
      <c r="L104">
        <v>1327</v>
      </c>
      <c r="N104">
        <v>1005</v>
      </c>
      <c r="O104" t="s">
        <v>95</v>
      </c>
      <c r="P104" t="s">
        <v>95</v>
      </c>
      <c r="Q104">
        <v>1</v>
      </c>
      <c r="W104">
        <v>0</v>
      </c>
      <c r="X104">
        <v>-1987926685</v>
      </c>
      <c r="Y104">
        <v>0.84</v>
      </c>
      <c r="AA104">
        <v>485.27</v>
      </c>
      <c r="AB104">
        <v>0</v>
      </c>
      <c r="AC104">
        <v>0</v>
      </c>
      <c r="AD104">
        <v>0</v>
      </c>
      <c r="AE104">
        <v>72.319999999999993</v>
      </c>
      <c r="AF104">
        <v>0</v>
      </c>
      <c r="AG104">
        <v>0</v>
      </c>
      <c r="AH104">
        <v>0</v>
      </c>
      <c r="AI104">
        <v>6.71</v>
      </c>
      <c r="AJ104">
        <v>1</v>
      </c>
      <c r="AK104">
        <v>1</v>
      </c>
      <c r="AL104">
        <v>1</v>
      </c>
      <c r="AN104">
        <v>0</v>
      </c>
      <c r="AO104">
        <v>1</v>
      </c>
      <c r="AP104">
        <v>0</v>
      </c>
      <c r="AQ104">
        <v>0</v>
      </c>
      <c r="AR104">
        <v>0</v>
      </c>
      <c r="AS104" t="s">
        <v>6</v>
      </c>
      <c r="AT104">
        <v>0.84</v>
      </c>
      <c r="AU104" t="s">
        <v>6</v>
      </c>
      <c r="AV104">
        <v>0</v>
      </c>
      <c r="AW104">
        <v>2</v>
      </c>
      <c r="AX104">
        <v>16802732</v>
      </c>
      <c r="AY104">
        <v>1</v>
      </c>
      <c r="AZ104">
        <v>0</v>
      </c>
      <c r="BA104">
        <v>97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Y104*Source!I72</f>
        <v>2.7988799999999996</v>
      </c>
      <c r="CY104">
        <f>AA104</f>
        <v>485.27</v>
      </c>
      <c r="CZ104">
        <f>AE104</f>
        <v>72.319999999999993</v>
      </c>
      <c r="DA104">
        <f>AI104</f>
        <v>6.71</v>
      </c>
      <c r="DB104">
        <f>ROUND(ROUND(AT104*CZ104,2),2)</f>
        <v>60.75</v>
      </c>
      <c r="DC104">
        <f>ROUND(ROUND(AT104*AG104,2),2)</f>
        <v>0</v>
      </c>
    </row>
    <row r="105" spans="1:107" x14ac:dyDescent="0.2">
      <c r="A105">
        <f>ROW(Source!A72)</f>
        <v>72</v>
      </c>
      <c r="B105">
        <v>16802145</v>
      </c>
      <c r="C105">
        <v>16802718</v>
      </c>
      <c r="D105">
        <v>15171018</v>
      </c>
      <c r="E105">
        <v>1</v>
      </c>
      <c r="F105">
        <v>1</v>
      </c>
      <c r="G105">
        <v>1</v>
      </c>
      <c r="H105">
        <v>3</v>
      </c>
      <c r="I105" t="s">
        <v>698</v>
      </c>
      <c r="J105" t="s">
        <v>699</v>
      </c>
      <c r="K105" t="s">
        <v>700</v>
      </c>
      <c r="L105">
        <v>1346</v>
      </c>
      <c r="N105">
        <v>1009</v>
      </c>
      <c r="O105" t="s">
        <v>103</v>
      </c>
      <c r="P105" t="s">
        <v>103</v>
      </c>
      <c r="Q105">
        <v>1</v>
      </c>
      <c r="W105">
        <v>0</v>
      </c>
      <c r="X105">
        <v>813963326</v>
      </c>
      <c r="Y105">
        <v>0.31</v>
      </c>
      <c r="AA105">
        <v>12.21</v>
      </c>
      <c r="AB105">
        <v>0</v>
      </c>
      <c r="AC105">
        <v>0</v>
      </c>
      <c r="AD105">
        <v>0</v>
      </c>
      <c r="AE105">
        <v>1.82</v>
      </c>
      <c r="AF105">
        <v>0</v>
      </c>
      <c r="AG105">
        <v>0</v>
      </c>
      <c r="AH105">
        <v>0</v>
      </c>
      <c r="AI105">
        <v>6.71</v>
      </c>
      <c r="AJ105">
        <v>1</v>
      </c>
      <c r="AK105">
        <v>1</v>
      </c>
      <c r="AL105">
        <v>1</v>
      </c>
      <c r="AN105">
        <v>0</v>
      </c>
      <c r="AO105">
        <v>1</v>
      </c>
      <c r="AP105">
        <v>0</v>
      </c>
      <c r="AQ105">
        <v>0</v>
      </c>
      <c r="AR105">
        <v>0</v>
      </c>
      <c r="AS105" t="s">
        <v>6</v>
      </c>
      <c r="AT105">
        <v>0.31</v>
      </c>
      <c r="AU105" t="s">
        <v>6</v>
      </c>
      <c r="AV105">
        <v>0</v>
      </c>
      <c r="AW105">
        <v>2</v>
      </c>
      <c r="AX105">
        <v>16802733</v>
      </c>
      <c r="AY105">
        <v>1</v>
      </c>
      <c r="AZ105">
        <v>0</v>
      </c>
      <c r="BA105">
        <v>98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Y105*Source!I72</f>
        <v>1.0329199999999998</v>
      </c>
      <c r="CY105">
        <f>AA105</f>
        <v>12.21</v>
      </c>
      <c r="CZ105">
        <f>AE105</f>
        <v>1.82</v>
      </c>
      <c r="DA105">
        <f>AI105</f>
        <v>6.71</v>
      </c>
      <c r="DB105">
        <f>ROUND(ROUND(AT105*CZ105,2),2)</f>
        <v>0.56000000000000005</v>
      </c>
      <c r="DC105">
        <f>ROUND(ROUND(AT105*AG105,2),2)</f>
        <v>0</v>
      </c>
    </row>
    <row r="106" spans="1:107" x14ac:dyDescent="0.2">
      <c r="A106">
        <f>ROW(Source!A72)</f>
        <v>72</v>
      </c>
      <c r="B106">
        <v>16802145</v>
      </c>
      <c r="C106">
        <v>16802718</v>
      </c>
      <c r="D106">
        <v>15163054</v>
      </c>
      <c r="E106">
        <v>17</v>
      </c>
      <c r="F106">
        <v>1</v>
      </c>
      <c r="G106">
        <v>1</v>
      </c>
      <c r="H106">
        <v>3</v>
      </c>
      <c r="I106" t="s">
        <v>208</v>
      </c>
      <c r="J106" t="s">
        <v>6</v>
      </c>
      <c r="K106" t="s">
        <v>209</v>
      </c>
      <c r="L106">
        <v>1348</v>
      </c>
      <c r="N106">
        <v>1009</v>
      </c>
      <c r="O106" t="s">
        <v>65</v>
      </c>
      <c r="P106" t="s">
        <v>65</v>
      </c>
      <c r="Q106">
        <v>1000</v>
      </c>
      <c r="W106">
        <v>0</v>
      </c>
      <c r="X106">
        <v>1891904026</v>
      </c>
      <c r="Y106">
        <v>6.3E-2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6.71</v>
      </c>
      <c r="AJ106">
        <v>1</v>
      </c>
      <c r="AK106">
        <v>1</v>
      </c>
      <c r="AL106">
        <v>1</v>
      </c>
      <c r="AN106">
        <v>0</v>
      </c>
      <c r="AO106">
        <v>0</v>
      </c>
      <c r="AP106">
        <v>0</v>
      </c>
      <c r="AQ106">
        <v>0</v>
      </c>
      <c r="AR106">
        <v>0</v>
      </c>
      <c r="AS106" t="s">
        <v>6</v>
      </c>
      <c r="AT106">
        <v>6.3E-2</v>
      </c>
      <c r="AU106" t="s">
        <v>6</v>
      </c>
      <c r="AV106">
        <v>0</v>
      </c>
      <c r="AW106">
        <v>2</v>
      </c>
      <c r="AX106">
        <v>16802734</v>
      </c>
      <c r="AY106">
        <v>1</v>
      </c>
      <c r="AZ106">
        <v>0</v>
      </c>
      <c r="BA106">
        <v>99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Y106*Source!I72</f>
        <v>0.20991599999999999</v>
      </c>
      <c r="CY106">
        <f>AA106</f>
        <v>0</v>
      </c>
      <c r="CZ106">
        <f>AE106</f>
        <v>0</v>
      </c>
      <c r="DA106">
        <f>AI106</f>
        <v>6.71</v>
      </c>
      <c r="DB106">
        <f>ROUND(ROUND(AT106*CZ106,2),2)</f>
        <v>0</v>
      </c>
      <c r="DC106">
        <f>ROUND(ROUND(AT106*AG106,2),2)</f>
        <v>0</v>
      </c>
    </row>
    <row r="107" spans="1:107" x14ac:dyDescent="0.2">
      <c r="A107">
        <f>ROW(Source!A72)</f>
        <v>72</v>
      </c>
      <c r="B107">
        <v>16802145</v>
      </c>
      <c r="C107">
        <v>16802718</v>
      </c>
      <c r="D107">
        <v>15203308</v>
      </c>
      <c r="E107">
        <v>1</v>
      </c>
      <c r="F107">
        <v>1</v>
      </c>
      <c r="G107">
        <v>1</v>
      </c>
      <c r="H107">
        <v>3</v>
      </c>
      <c r="I107" t="s">
        <v>211</v>
      </c>
      <c r="J107" t="s">
        <v>213</v>
      </c>
      <c r="K107" t="s">
        <v>212</v>
      </c>
      <c r="L107">
        <v>1348</v>
      </c>
      <c r="N107">
        <v>1009</v>
      </c>
      <c r="O107" t="s">
        <v>65</v>
      </c>
      <c r="P107" t="s">
        <v>65</v>
      </c>
      <c r="Q107">
        <v>1000</v>
      </c>
      <c r="W107">
        <v>0</v>
      </c>
      <c r="X107">
        <v>772632804</v>
      </c>
      <c r="Y107">
        <v>6.3E-2</v>
      </c>
      <c r="AA107">
        <v>134023.32999999999</v>
      </c>
      <c r="AB107">
        <v>0</v>
      </c>
      <c r="AC107">
        <v>0</v>
      </c>
      <c r="AD107">
        <v>0</v>
      </c>
      <c r="AE107">
        <v>19973.669999999998</v>
      </c>
      <c r="AF107">
        <v>0</v>
      </c>
      <c r="AG107">
        <v>0</v>
      </c>
      <c r="AH107">
        <v>0</v>
      </c>
      <c r="AI107">
        <v>6.71</v>
      </c>
      <c r="AJ107">
        <v>1</v>
      </c>
      <c r="AK107">
        <v>1</v>
      </c>
      <c r="AL107">
        <v>1</v>
      </c>
      <c r="AN107">
        <v>0</v>
      </c>
      <c r="AO107">
        <v>0</v>
      </c>
      <c r="AP107">
        <v>0</v>
      </c>
      <c r="AQ107">
        <v>0</v>
      </c>
      <c r="AR107">
        <v>0</v>
      </c>
      <c r="AS107" t="s">
        <v>6</v>
      </c>
      <c r="AT107">
        <v>6.3E-2</v>
      </c>
      <c r="AU107" t="s">
        <v>6</v>
      </c>
      <c r="AV107">
        <v>0</v>
      </c>
      <c r="AW107">
        <v>1</v>
      </c>
      <c r="AX107">
        <v>-1</v>
      </c>
      <c r="AY107">
        <v>0</v>
      </c>
      <c r="AZ107">
        <v>0</v>
      </c>
      <c r="BA107" t="s">
        <v>6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Y107*Source!I72</f>
        <v>0.20991599999999999</v>
      </c>
      <c r="CY107">
        <f>AA107</f>
        <v>134023.32999999999</v>
      </c>
      <c r="CZ107">
        <f>AE107</f>
        <v>19973.669999999998</v>
      </c>
      <c r="DA107">
        <f>AI107</f>
        <v>6.71</v>
      </c>
      <c r="DB107">
        <f>ROUND(ROUND(AT107*CZ107,2),2)</f>
        <v>1258.3399999999999</v>
      </c>
      <c r="DC107">
        <f>ROUND(ROUND(AT107*AG107,2),2)</f>
        <v>0</v>
      </c>
    </row>
    <row r="108" spans="1:107" x14ac:dyDescent="0.2">
      <c r="A108">
        <f>ROW(Source!A72)</f>
        <v>72</v>
      </c>
      <c r="B108">
        <v>16802145</v>
      </c>
      <c r="C108">
        <v>16802718</v>
      </c>
      <c r="D108">
        <v>15204729</v>
      </c>
      <c r="E108">
        <v>1</v>
      </c>
      <c r="F108">
        <v>1</v>
      </c>
      <c r="G108">
        <v>1</v>
      </c>
      <c r="H108">
        <v>3</v>
      </c>
      <c r="I108" t="s">
        <v>733</v>
      </c>
      <c r="J108" t="s">
        <v>734</v>
      </c>
      <c r="K108" t="s">
        <v>735</v>
      </c>
      <c r="L108">
        <v>1348</v>
      </c>
      <c r="N108">
        <v>1009</v>
      </c>
      <c r="O108" t="s">
        <v>65</v>
      </c>
      <c r="P108" t="s">
        <v>65</v>
      </c>
      <c r="Q108">
        <v>1000</v>
      </c>
      <c r="W108">
        <v>0</v>
      </c>
      <c r="X108">
        <v>-2084827333</v>
      </c>
      <c r="Y108">
        <v>5.0999999999999997E-2</v>
      </c>
      <c r="AA108">
        <v>28812.74</v>
      </c>
      <c r="AB108">
        <v>0</v>
      </c>
      <c r="AC108">
        <v>0</v>
      </c>
      <c r="AD108">
        <v>0</v>
      </c>
      <c r="AE108">
        <v>4294</v>
      </c>
      <c r="AF108">
        <v>0</v>
      </c>
      <c r="AG108">
        <v>0</v>
      </c>
      <c r="AH108">
        <v>0</v>
      </c>
      <c r="AI108">
        <v>6.71</v>
      </c>
      <c r="AJ108">
        <v>1</v>
      </c>
      <c r="AK108">
        <v>1</v>
      </c>
      <c r="AL108">
        <v>1</v>
      </c>
      <c r="AN108">
        <v>0</v>
      </c>
      <c r="AO108">
        <v>1</v>
      </c>
      <c r="AP108">
        <v>0</v>
      </c>
      <c r="AQ108">
        <v>0</v>
      </c>
      <c r="AR108">
        <v>0</v>
      </c>
      <c r="AS108" t="s">
        <v>6</v>
      </c>
      <c r="AT108">
        <v>5.0999999999999997E-2</v>
      </c>
      <c r="AU108" t="s">
        <v>6</v>
      </c>
      <c r="AV108">
        <v>0</v>
      </c>
      <c r="AW108">
        <v>2</v>
      </c>
      <c r="AX108">
        <v>16802735</v>
      </c>
      <c r="AY108">
        <v>1</v>
      </c>
      <c r="AZ108">
        <v>0</v>
      </c>
      <c r="BA108">
        <v>100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Y108*Source!I72</f>
        <v>0.16993199999999997</v>
      </c>
      <c r="CY108">
        <f>AA108</f>
        <v>28812.74</v>
      </c>
      <c r="CZ108">
        <f>AE108</f>
        <v>4294</v>
      </c>
      <c r="DA108">
        <f>AI108</f>
        <v>6.71</v>
      </c>
      <c r="DB108">
        <f>ROUND(ROUND(AT108*CZ108,2),2)</f>
        <v>218.99</v>
      </c>
      <c r="DC108">
        <f>ROUND(ROUND(AT108*AG108,2),2)</f>
        <v>0</v>
      </c>
    </row>
    <row r="109" spans="1:107" x14ac:dyDescent="0.2">
      <c r="A109">
        <f>ROW(Source!A75)</f>
        <v>75</v>
      </c>
      <c r="B109">
        <v>16802145</v>
      </c>
      <c r="C109">
        <v>16807824</v>
      </c>
      <c r="D109">
        <v>15436556</v>
      </c>
      <c r="E109">
        <v>1</v>
      </c>
      <c r="F109">
        <v>1</v>
      </c>
      <c r="G109">
        <v>1</v>
      </c>
      <c r="H109">
        <v>1</v>
      </c>
      <c r="I109" t="s">
        <v>736</v>
      </c>
      <c r="J109" t="s">
        <v>6</v>
      </c>
      <c r="K109" t="s">
        <v>737</v>
      </c>
      <c r="L109">
        <v>1191</v>
      </c>
      <c r="N109">
        <v>1013</v>
      </c>
      <c r="O109" t="s">
        <v>660</v>
      </c>
      <c r="P109" t="s">
        <v>660</v>
      </c>
      <c r="Q109">
        <v>1</v>
      </c>
      <c r="W109">
        <v>0</v>
      </c>
      <c r="X109">
        <v>1069510174</v>
      </c>
      <c r="Y109">
        <v>7.5324999999999989</v>
      </c>
      <c r="AA109">
        <v>0</v>
      </c>
      <c r="AB109">
        <v>0</v>
      </c>
      <c r="AC109">
        <v>0</v>
      </c>
      <c r="AD109">
        <v>64.55</v>
      </c>
      <c r="AE109">
        <v>0</v>
      </c>
      <c r="AF109">
        <v>0</v>
      </c>
      <c r="AG109">
        <v>0</v>
      </c>
      <c r="AH109">
        <v>9.6199999999999992</v>
      </c>
      <c r="AI109">
        <v>1</v>
      </c>
      <c r="AJ109">
        <v>1</v>
      </c>
      <c r="AK109">
        <v>1</v>
      </c>
      <c r="AL109">
        <v>6.71</v>
      </c>
      <c r="AN109">
        <v>0</v>
      </c>
      <c r="AO109">
        <v>1</v>
      </c>
      <c r="AP109">
        <v>1</v>
      </c>
      <c r="AQ109">
        <v>0</v>
      </c>
      <c r="AR109">
        <v>0</v>
      </c>
      <c r="AS109" t="s">
        <v>6</v>
      </c>
      <c r="AT109">
        <v>6.55</v>
      </c>
      <c r="AU109" t="s">
        <v>72</v>
      </c>
      <c r="AV109">
        <v>1</v>
      </c>
      <c r="AW109">
        <v>2</v>
      </c>
      <c r="AX109">
        <v>16807825</v>
      </c>
      <c r="AY109">
        <v>1</v>
      </c>
      <c r="AZ109">
        <v>0</v>
      </c>
      <c r="BA109">
        <v>101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Y109*Source!I75</f>
        <v>25.098289999999995</v>
      </c>
      <c r="CY109">
        <f>AD109</f>
        <v>64.55</v>
      </c>
      <c r="CZ109">
        <f>AH109</f>
        <v>9.6199999999999992</v>
      </c>
      <c r="DA109">
        <f>AL109</f>
        <v>6.71</v>
      </c>
      <c r="DB109">
        <f>ROUND((ROUND(AT109*CZ109,2)*1.15),2)</f>
        <v>72.459999999999994</v>
      </c>
      <c r="DC109">
        <f>ROUND((ROUND(AT109*AG109,2)*1.15),2)</f>
        <v>0</v>
      </c>
    </row>
    <row r="110" spans="1:107" x14ac:dyDescent="0.2">
      <c r="A110">
        <f>ROW(Source!A75)</f>
        <v>75</v>
      </c>
      <c r="B110">
        <v>16802145</v>
      </c>
      <c r="C110">
        <v>16807824</v>
      </c>
      <c r="D110">
        <v>15430395</v>
      </c>
      <c r="E110">
        <v>1</v>
      </c>
      <c r="F110">
        <v>1</v>
      </c>
      <c r="G110">
        <v>1</v>
      </c>
      <c r="H110">
        <v>1</v>
      </c>
      <c r="I110" t="s">
        <v>661</v>
      </c>
      <c r="J110" t="s">
        <v>6</v>
      </c>
      <c r="K110" t="s">
        <v>662</v>
      </c>
      <c r="L110">
        <v>1191</v>
      </c>
      <c r="N110">
        <v>1013</v>
      </c>
      <c r="O110" t="s">
        <v>660</v>
      </c>
      <c r="P110" t="s">
        <v>660</v>
      </c>
      <c r="Q110">
        <v>1</v>
      </c>
      <c r="W110">
        <v>0</v>
      </c>
      <c r="X110">
        <v>-1417349443</v>
      </c>
      <c r="Y110">
        <v>0.02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1</v>
      </c>
      <c r="AJ110">
        <v>1</v>
      </c>
      <c r="AK110">
        <v>6.71</v>
      </c>
      <c r="AL110">
        <v>1</v>
      </c>
      <c r="AN110">
        <v>0</v>
      </c>
      <c r="AO110">
        <v>1</v>
      </c>
      <c r="AP110">
        <v>0</v>
      </c>
      <c r="AQ110">
        <v>0</v>
      </c>
      <c r="AR110">
        <v>0</v>
      </c>
      <c r="AS110" t="s">
        <v>6</v>
      </c>
      <c r="AT110">
        <v>0.02</v>
      </c>
      <c r="AU110" t="s">
        <v>6</v>
      </c>
      <c r="AV110">
        <v>2</v>
      </c>
      <c r="AW110">
        <v>2</v>
      </c>
      <c r="AX110">
        <v>16807826</v>
      </c>
      <c r="AY110">
        <v>1</v>
      </c>
      <c r="AZ110">
        <v>2048</v>
      </c>
      <c r="BA110">
        <v>102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Y110*Source!I75</f>
        <v>6.6640000000000005E-2</v>
      </c>
      <c r="CY110">
        <f>AD110</f>
        <v>0</v>
      </c>
      <c r="CZ110">
        <f>AH110</f>
        <v>0</v>
      </c>
      <c r="DA110">
        <f>AL110</f>
        <v>1</v>
      </c>
      <c r="DB110">
        <f>ROUND(ROUND(AT110*CZ110,2),2)</f>
        <v>0</v>
      </c>
      <c r="DC110">
        <f>ROUND(ROUND(AT110*AG110,2),2)</f>
        <v>0</v>
      </c>
    </row>
    <row r="111" spans="1:107" x14ac:dyDescent="0.2">
      <c r="A111">
        <f>ROW(Source!A75)</f>
        <v>75</v>
      </c>
      <c r="B111">
        <v>16802145</v>
      </c>
      <c r="C111">
        <v>16807824</v>
      </c>
      <c r="D111">
        <v>15247974</v>
      </c>
      <c r="E111">
        <v>1</v>
      </c>
      <c r="F111">
        <v>1</v>
      </c>
      <c r="G111">
        <v>1</v>
      </c>
      <c r="H111">
        <v>2</v>
      </c>
      <c r="I111" t="s">
        <v>663</v>
      </c>
      <c r="J111" t="s">
        <v>664</v>
      </c>
      <c r="K111" t="s">
        <v>665</v>
      </c>
      <c r="L111">
        <v>1368</v>
      </c>
      <c r="N111">
        <v>1011</v>
      </c>
      <c r="O111" t="s">
        <v>666</v>
      </c>
      <c r="P111" t="s">
        <v>666</v>
      </c>
      <c r="Q111">
        <v>1</v>
      </c>
      <c r="W111">
        <v>0</v>
      </c>
      <c r="X111">
        <v>1188625873</v>
      </c>
      <c r="Y111">
        <v>1.2500000000000001E-2</v>
      </c>
      <c r="AA111">
        <v>0</v>
      </c>
      <c r="AB111">
        <v>209.75</v>
      </c>
      <c r="AC111">
        <v>13.5</v>
      </c>
      <c r="AD111">
        <v>0</v>
      </c>
      <c r="AE111">
        <v>0</v>
      </c>
      <c r="AF111">
        <v>31.26</v>
      </c>
      <c r="AG111">
        <v>13.5</v>
      </c>
      <c r="AH111">
        <v>0</v>
      </c>
      <c r="AI111">
        <v>1</v>
      </c>
      <c r="AJ111">
        <v>6.71</v>
      </c>
      <c r="AK111">
        <v>1</v>
      </c>
      <c r="AL111">
        <v>1</v>
      </c>
      <c r="AN111">
        <v>0</v>
      </c>
      <c r="AO111">
        <v>1</v>
      </c>
      <c r="AP111">
        <v>1</v>
      </c>
      <c r="AQ111">
        <v>0</v>
      </c>
      <c r="AR111">
        <v>0</v>
      </c>
      <c r="AS111" t="s">
        <v>6</v>
      </c>
      <c r="AT111">
        <v>0.01</v>
      </c>
      <c r="AU111" t="s">
        <v>71</v>
      </c>
      <c r="AV111">
        <v>0</v>
      </c>
      <c r="AW111">
        <v>2</v>
      </c>
      <c r="AX111">
        <v>16807827</v>
      </c>
      <c r="AY111">
        <v>1</v>
      </c>
      <c r="AZ111">
        <v>0</v>
      </c>
      <c r="BA111">
        <v>103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Y111*Source!I75</f>
        <v>4.165E-2</v>
      </c>
      <c r="CY111">
        <f>AB111</f>
        <v>209.75</v>
      </c>
      <c r="CZ111">
        <f>AF111</f>
        <v>31.26</v>
      </c>
      <c r="DA111">
        <f>AJ111</f>
        <v>6.71</v>
      </c>
      <c r="DB111">
        <f>ROUND((ROUND(AT111*CZ111,2)*1.25),2)</f>
        <v>0.39</v>
      </c>
      <c r="DC111">
        <f>ROUND((ROUND(AT111*AG111,2)*1.25),2)</f>
        <v>0.18</v>
      </c>
    </row>
    <row r="112" spans="1:107" x14ac:dyDescent="0.2">
      <c r="A112">
        <f>ROW(Source!A75)</f>
        <v>75</v>
      </c>
      <c r="B112">
        <v>16802145</v>
      </c>
      <c r="C112">
        <v>16807824</v>
      </c>
      <c r="D112">
        <v>15249073</v>
      </c>
      <c r="E112">
        <v>1</v>
      </c>
      <c r="F112">
        <v>1</v>
      </c>
      <c r="G112">
        <v>1</v>
      </c>
      <c r="H112">
        <v>2</v>
      </c>
      <c r="I112" t="s">
        <v>684</v>
      </c>
      <c r="J112" t="s">
        <v>685</v>
      </c>
      <c r="K112" t="s">
        <v>686</v>
      </c>
      <c r="L112">
        <v>1368</v>
      </c>
      <c r="N112">
        <v>1011</v>
      </c>
      <c r="O112" t="s">
        <v>666</v>
      </c>
      <c r="P112" t="s">
        <v>666</v>
      </c>
      <c r="Q112">
        <v>1</v>
      </c>
      <c r="W112">
        <v>0</v>
      </c>
      <c r="X112">
        <v>1372534845</v>
      </c>
      <c r="Y112">
        <v>1.2500000000000001E-2</v>
      </c>
      <c r="AA112">
        <v>0</v>
      </c>
      <c r="AB112">
        <v>440.91</v>
      </c>
      <c r="AC112">
        <v>11.6</v>
      </c>
      <c r="AD112">
        <v>0</v>
      </c>
      <c r="AE112">
        <v>0</v>
      </c>
      <c r="AF112">
        <v>65.709999999999994</v>
      </c>
      <c r="AG112">
        <v>11.6</v>
      </c>
      <c r="AH112">
        <v>0</v>
      </c>
      <c r="AI112">
        <v>1</v>
      </c>
      <c r="AJ112">
        <v>6.71</v>
      </c>
      <c r="AK112">
        <v>1</v>
      </c>
      <c r="AL112">
        <v>1</v>
      </c>
      <c r="AN112">
        <v>0</v>
      </c>
      <c r="AO112">
        <v>1</v>
      </c>
      <c r="AP112">
        <v>1</v>
      </c>
      <c r="AQ112">
        <v>0</v>
      </c>
      <c r="AR112">
        <v>0</v>
      </c>
      <c r="AS112" t="s">
        <v>6</v>
      </c>
      <c r="AT112">
        <v>0.01</v>
      </c>
      <c r="AU112" t="s">
        <v>71</v>
      </c>
      <c r="AV112">
        <v>0</v>
      </c>
      <c r="AW112">
        <v>2</v>
      </c>
      <c r="AX112">
        <v>16807828</v>
      </c>
      <c r="AY112">
        <v>1</v>
      </c>
      <c r="AZ112">
        <v>0</v>
      </c>
      <c r="BA112">
        <v>104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Y112*Source!I75</f>
        <v>4.165E-2</v>
      </c>
      <c r="CY112">
        <f>AB112</f>
        <v>440.91</v>
      </c>
      <c r="CZ112">
        <f>AF112</f>
        <v>65.709999999999994</v>
      </c>
      <c r="DA112">
        <f>AJ112</f>
        <v>6.71</v>
      </c>
      <c r="DB112">
        <f>ROUND((ROUND(AT112*CZ112,2)*1.25),2)</f>
        <v>0.83</v>
      </c>
      <c r="DC112">
        <f>ROUND((ROUND(AT112*AG112,2)*1.25),2)</f>
        <v>0.15</v>
      </c>
    </row>
    <row r="113" spans="1:107" x14ac:dyDescent="0.2">
      <c r="A113">
        <f>ROW(Source!A75)</f>
        <v>75</v>
      </c>
      <c r="B113">
        <v>16802145</v>
      </c>
      <c r="C113">
        <v>16807824</v>
      </c>
      <c r="D113">
        <v>15171018</v>
      </c>
      <c r="E113">
        <v>1</v>
      </c>
      <c r="F113">
        <v>1</v>
      </c>
      <c r="G113">
        <v>1</v>
      </c>
      <c r="H113">
        <v>3</v>
      </c>
      <c r="I113" t="s">
        <v>698</v>
      </c>
      <c r="J113" t="s">
        <v>699</v>
      </c>
      <c r="K113" t="s">
        <v>700</v>
      </c>
      <c r="L113">
        <v>1346</v>
      </c>
      <c r="N113">
        <v>1009</v>
      </c>
      <c r="O113" t="s">
        <v>103</v>
      </c>
      <c r="P113" t="s">
        <v>103</v>
      </c>
      <c r="Q113">
        <v>1</v>
      </c>
      <c r="W113">
        <v>0</v>
      </c>
      <c r="X113">
        <v>813963326</v>
      </c>
      <c r="Y113">
        <v>0.1</v>
      </c>
      <c r="AA113">
        <v>12.21</v>
      </c>
      <c r="AB113">
        <v>0</v>
      </c>
      <c r="AC113">
        <v>0</v>
      </c>
      <c r="AD113">
        <v>0</v>
      </c>
      <c r="AE113">
        <v>1.82</v>
      </c>
      <c r="AF113">
        <v>0</v>
      </c>
      <c r="AG113">
        <v>0</v>
      </c>
      <c r="AH113">
        <v>0</v>
      </c>
      <c r="AI113">
        <v>6.71</v>
      </c>
      <c r="AJ113">
        <v>1</v>
      </c>
      <c r="AK113">
        <v>1</v>
      </c>
      <c r="AL113">
        <v>1</v>
      </c>
      <c r="AN113">
        <v>0</v>
      </c>
      <c r="AO113">
        <v>1</v>
      </c>
      <c r="AP113">
        <v>0</v>
      </c>
      <c r="AQ113">
        <v>0</v>
      </c>
      <c r="AR113">
        <v>0</v>
      </c>
      <c r="AS113" t="s">
        <v>6</v>
      </c>
      <c r="AT113">
        <v>0.1</v>
      </c>
      <c r="AU113" t="s">
        <v>6</v>
      </c>
      <c r="AV113">
        <v>0</v>
      </c>
      <c r="AW113">
        <v>2</v>
      </c>
      <c r="AX113">
        <v>16807829</v>
      </c>
      <c r="AY113">
        <v>1</v>
      </c>
      <c r="AZ113">
        <v>0</v>
      </c>
      <c r="BA113">
        <v>105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Y113*Source!I75</f>
        <v>0.3332</v>
      </c>
      <c r="CY113">
        <f>AA113</f>
        <v>12.21</v>
      </c>
      <c r="CZ113">
        <f>AE113</f>
        <v>1.82</v>
      </c>
      <c r="DA113">
        <f>AI113</f>
        <v>6.71</v>
      </c>
      <c r="DB113">
        <f>ROUND(ROUND(AT113*CZ113,2),2)</f>
        <v>0.18</v>
      </c>
      <c r="DC113">
        <f>ROUND(ROUND(AT113*AG113,2),2)</f>
        <v>0</v>
      </c>
    </row>
    <row r="114" spans="1:107" x14ac:dyDescent="0.2">
      <c r="A114">
        <f>ROW(Source!A75)</f>
        <v>75</v>
      </c>
      <c r="B114">
        <v>16802145</v>
      </c>
      <c r="C114">
        <v>16807824</v>
      </c>
      <c r="D114">
        <v>15203211</v>
      </c>
      <c r="E114">
        <v>1</v>
      </c>
      <c r="F114">
        <v>1</v>
      </c>
      <c r="G114">
        <v>1</v>
      </c>
      <c r="H114">
        <v>3</v>
      </c>
      <c r="I114" t="s">
        <v>181</v>
      </c>
      <c r="J114" t="s">
        <v>183</v>
      </c>
      <c r="K114" t="s">
        <v>182</v>
      </c>
      <c r="L114">
        <v>1346</v>
      </c>
      <c r="N114">
        <v>1009</v>
      </c>
      <c r="O114" t="s">
        <v>103</v>
      </c>
      <c r="P114" t="s">
        <v>103</v>
      </c>
      <c r="Q114">
        <v>1</v>
      </c>
      <c r="W114">
        <v>0</v>
      </c>
      <c r="X114">
        <v>1453462043</v>
      </c>
      <c r="Y114">
        <v>13</v>
      </c>
      <c r="AA114">
        <v>101.25</v>
      </c>
      <c r="AB114">
        <v>0</v>
      </c>
      <c r="AC114">
        <v>0</v>
      </c>
      <c r="AD114">
        <v>0</v>
      </c>
      <c r="AE114">
        <v>15.09</v>
      </c>
      <c r="AF114">
        <v>0</v>
      </c>
      <c r="AG114">
        <v>0</v>
      </c>
      <c r="AH114">
        <v>0</v>
      </c>
      <c r="AI114">
        <v>6.71</v>
      </c>
      <c r="AJ114">
        <v>1</v>
      </c>
      <c r="AK114">
        <v>1</v>
      </c>
      <c r="AL114">
        <v>1</v>
      </c>
      <c r="AN114">
        <v>0</v>
      </c>
      <c r="AO114">
        <v>0</v>
      </c>
      <c r="AP114">
        <v>0</v>
      </c>
      <c r="AQ114">
        <v>0</v>
      </c>
      <c r="AR114">
        <v>0</v>
      </c>
      <c r="AS114" t="s">
        <v>6</v>
      </c>
      <c r="AT114">
        <v>13</v>
      </c>
      <c r="AU114" t="s">
        <v>6</v>
      </c>
      <c r="AV114">
        <v>0</v>
      </c>
      <c r="AW114">
        <v>1</v>
      </c>
      <c r="AX114">
        <v>-1</v>
      </c>
      <c r="AY114">
        <v>0</v>
      </c>
      <c r="AZ114">
        <v>0</v>
      </c>
      <c r="BA114" t="s">
        <v>6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Y114*Source!I75</f>
        <v>43.315999999999995</v>
      </c>
      <c r="CY114">
        <f>AA114</f>
        <v>101.25</v>
      </c>
      <c r="CZ114">
        <f>AE114</f>
        <v>15.09</v>
      </c>
      <c r="DA114">
        <f>AI114</f>
        <v>6.71</v>
      </c>
      <c r="DB114">
        <f>ROUND(ROUND(AT114*CZ114,2),2)</f>
        <v>196.17</v>
      </c>
      <c r="DC114">
        <f>ROUND(ROUND(AT114*AG114,2),2)</f>
        <v>0</v>
      </c>
    </row>
    <row r="115" spans="1:107" x14ac:dyDescent="0.2">
      <c r="A115">
        <f>ROW(Source!A75)</f>
        <v>75</v>
      </c>
      <c r="B115">
        <v>16802145</v>
      </c>
      <c r="C115">
        <v>16807824</v>
      </c>
      <c r="D115">
        <v>15162572</v>
      </c>
      <c r="E115">
        <v>17</v>
      </c>
      <c r="F115">
        <v>1</v>
      </c>
      <c r="G115">
        <v>1</v>
      </c>
      <c r="H115">
        <v>3</v>
      </c>
      <c r="I115" t="s">
        <v>219</v>
      </c>
      <c r="J115" t="s">
        <v>6</v>
      </c>
      <c r="K115" t="s">
        <v>220</v>
      </c>
      <c r="L115">
        <v>1348</v>
      </c>
      <c r="N115">
        <v>1009</v>
      </c>
      <c r="O115" t="s">
        <v>65</v>
      </c>
      <c r="P115" t="s">
        <v>65</v>
      </c>
      <c r="Q115">
        <v>1000</v>
      </c>
      <c r="W115">
        <v>0</v>
      </c>
      <c r="X115">
        <v>-1212923053</v>
      </c>
      <c r="Y115">
        <v>1.2999999999999999E-2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6.71</v>
      </c>
      <c r="AJ115">
        <v>1</v>
      </c>
      <c r="AK115">
        <v>1</v>
      </c>
      <c r="AL115">
        <v>1</v>
      </c>
      <c r="AN115">
        <v>0</v>
      </c>
      <c r="AO115">
        <v>0</v>
      </c>
      <c r="AP115">
        <v>0</v>
      </c>
      <c r="AQ115">
        <v>0</v>
      </c>
      <c r="AR115">
        <v>0</v>
      </c>
      <c r="AS115" t="s">
        <v>6</v>
      </c>
      <c r="AT115">
        <v>1.2999999999999999E-2</v>
      </c>
      <c r="AU115" t="s">
        <v>6</v>
      </c>
      <c r="AV115">
        <v>0</v>
      </c>
      <c r="AW115">
        <v>2</v>
      </c>
      <c r="AX115">
        <v>16807830</v>
      </c>
      <c r="AY115">
        <v>1</v>
      </c>
      <c r="AZ115">
        <v>0</v>
      </c>
      <c r="BA115">
        <v>106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Y115*Source!I75</f>
        <v>4.3315999999999993E-2</v>
      </c>
      <c r="CY115">
        <f>AA115</f>
        <v>0</v>
      </c>
      <c r="CZ115">
        <f>AE115</f>
        <v>0</v>
      </c>
      <c r="DA115">
        <f>AI115</f>
        <v>6.71</v>
      </c>
      <c r="DB115">
        <f>ROUND(ROUND(AT115*CZ115,2),2)</f>
        <v>0</v>
      </c>
      <c r="DC115">
        <f>ROUND(ROUND(AT115*AG115,2),2)</f>
        <v>0</v>
      </c>
    </row>
    <row r="116" spans="1:107" x14ac:dyDescent="0.2">
      <c r="A116">
        <f>ROW(Source!A78)</f>
        <v>78</v>
      </c>
      <c r="B116">
        <v>16802145</v>
      </c>
      <c r="C116">
        <v>16802755</v>
      </c>
      <c r="D116">
        <v>15435721</v>
      </c>
      <c r="E116">
        <v>1</v>
      </c>
      <c r="F116">
        <v>1</v>
      </c>
      <c r="G116">
        <v>1</v>
      </c>
      <c r="H116">
        <v>1</v>
      </c>
      <c r="I116" t="s">
        <v>738</v>
      </c>
      <c r="J116" t="s">
        <v>6</v>
      </c>
      <c r="K116" t="s">
        <v>739</v>
      </c>
      <c r="L116">
        <v>1191</v>
      </c>
      <c r="N116">
        <v>1013</v>
      </c>
      <c r="O116" t="s">
        <v>660</v>
      </c>
      <c r="P116" t="s">
        <v>660</v>
      </c>
      <c r="Q116">
        <v>1</v>
      </c>
      <c r="W116">
        <v>0</v>
      </c>
      <c r="X116">
        <v>1983201532</v>
      </c>
      <c r="Y116">
        <v>40.480000000000004</v>
      </c>
      <c r="AA116">
        <v>0</v>
      </c>
      <c r="AB116">
        <v>0</v>
      </c>
      <c r="AC116">
        <v>0</v>
      </c>
      <c r="AD116">
        <v>63.81</v>
      </c>
      <c r="AE116">
        <v>0</v>
      </c>
      <c r="AF116">
        <v>0</v>
      </c>
      <c r="AG116">
        <v>0</v>
      </c>
      <c r="AH116">
        <v>9.51</v>
      </c>
      <c r="AI116">
        <v>1</v>
      </c>
      <c r="AJ116">
        <v>1</v>
      </c>
      <c r="AK116">
        <v>1</v>
      </c>
      <c r="AL116">
        <v>6.71</v>
      </c>
      <c r="AN116">
        <v>0</v>
      </c>
      <c r="AO116">
        <v>1</v>
      </c>
      <c r="AP116">
        <v>1</v>
      </c>
      <c r="AQ116">
        <v>0</v>
      </c>
      <c r="AR116">
        <v>0</v>
      </c>
      <c r="AS116" t="s">
        <v>6</v>
      </c>
      <c r="AT116">
        <v>50.6</v>
      </c>
      <c r="AU116" t="s">
        <v>228</v>
      </c>
      <c r="AV116">
        <v>1</v>
      </c>
      <c r="AW116">
        <v>2</v>
      </c>
      <c r="AX116">
        <v>16802765</v>
      </c>
      <c r="AY116">
        <v>1</v>
      </c>
      <c r="AZ116">
        <v>0</v>
      </c>
      <c r="BA116">
        <v>107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Y116*Source!I78</f>
        <v>9.1080000000000005</v>
      </c>
      <c r="CY116">
        <f>AD116</f>
        <v>63.81</v>
      </c>
      <c r="CZ116">
        <f>AH116</f>
        <v>9.51</v>
      </c>
      <c r="DA116">
        <f>AL116</f>
        <v>6.71</v>
      </c>
      <c r="DB116">
        <f>ROUND((ROUND(AT116*CZ116,2)*0.8),2)</f>
        <v>384.97</v>
      </c>
      <c r="DC116">
        <f>ROUND((ROUND(AT116*AG116,2)*0.8),2)</f>
        <v>0</v>
      </c>
    </row>
    <row r="117" spans="1:107" x14ac:dyDescent="0.2">
      <c r="A117">
        <f>ROW(Source!A78)</f>
        <v>78</v>
      </c>
      <c r="B117">
        <v>16802145</v>
      </c>
      <c r="C117">
        <v>16802755</v>
      </c>
      <c r="D117">
        <v>15430395</v>
      </c>
      <c r="E117">
        <v>1</v>
      </c>
      <c r="F117">
        <v>1</v>
      </c>
      <c r="G117">
        <v>1</v>
      </c>
      <c r="H117">
        <v>1</v>
      </c>
      <c r="I117" t="s">
        <v>661</v>
      </c>
      <c r="J117" t="s">
        <v>6</v>
      </c>
      <c r="K117" t="s">
        <v>662</v>
      </c>
      <c r="L117">
        <v>1191</v>
      </c>
      <c r="N117">
        <v>1013</v>
      </c>
      <c r="O117" t="s">
        <v>660</v>
      </c>
      <c r="P117" t="s">
        <v>660</v>
      </c>
      <c r="Q117">
        <v>1</v>
      </c>
      <c r="W117">
        <v>0</v>
      </c>
      <c r="X117">
        <v>-1417349443</v>
      </c>
      <c r="Y117">
        <v>1.42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1</v>
      </c>
      <c r="AJ117">
        <v>1</v>
      </c>
      <c r="AK117">
        <v>6.71</v>
      </c>
      <c r="AL117">
        <v>1</v>
      </c>
      <c r="AN117">
        <v>0</v>
      </c>
      <c r="AO117">
        <v>1</v>
      </c>
      <c r="AP117">
        <v>0</v>
      </c>
      <c r="AQ117">
        <v>0</v>
      </c>
      <c r="AR117">
        <v>0</v>
      </c>
      <c r="AS117" t="s">
        <v>6</v>
      </c>
      <c r="AT117">
        <v>1.42</v>
      </c>
      <c r="AU117" t="s">
        <v>6</v>
      </c>
      <c r="AV117">
        <v>2</v>
      </c>
      <c r="AW117">
        <v>2</v>
      </c>
      <c r="AX117">
        <v>16802766</v>
      </c>
      <c r="AY117">
        <v>1</v>
      </c>
      <c r="AZ117">
        <v>2048</v>
      </c>
      <c r="BA117">
        <v>108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Y117*Source!I78</f>
        <v>0.31950000000000001</v>
      </c>
      <c r="CY117">
        <f>AD117</f>
        <v>0</v>
      </c>
      <c r="CZ117">
        <f>AH117</f>
        <v>0</v>
      </c>
      <c r="DA117">
        <f>AL117</f>
        <v>1</v>
      </c>
      <c r="DB117">
        <f>ROUND(ROUND(AT117*CZ117,2),2)</f>
        <v>0</v>
      </c>
      <c r="DC117">
        <f>ROUND(ROUND(AT117*AG117,2),2)</f>
        <v>0</v>
      </c>
    </row>
    <row r="118" spans="1:107" x14ac:dyDescent="0.2">
      <c r="A118">
        <f>ROW(Source!A78)</f>
        <v>78</v>
      </c>
      <c r="B118">
        <v>16802145</v>
      </c>
      <c r="C118">
        <v>16802755</v>
      </c>
      <c r="D118">
        <v>15247974</v>
      </c>
      <c r="E118">
        <v>1</v>
      </c>
      <c r="F118">
        <v>1</v>
      </c>
      <c r="G118">
        <v>1</v>
      </c>
      <c r="H118">
        <v>2</v>
      </c>
      <c r="I118" t="s">
        <v>663</v>
      </c>
      <c r="J118" t="s">
        <v>664</v>
      </c>
      <c r="K118" t="s">
        <v>665</v>
      </c>
      <c r="L118">
        <v>1368</v>
      </c>
      <c r="N118">
        <v>1011</v>
      </c>
      <c r="O118" t="s">
        <v>666</v>
      </c>
      <c r="P118" t="s">
        <v>666</v>
      </c>
      <c r="Q118">
        <v>1</v>
      </c>
      <c r="W118">
        <v>0</v>
      </c>
      <c r="X118">
        <v>1188625873</v>
      </c>
      <c r="Y118">
        <v>0.17600000000000002</v>
      </c>
      <c r="AA118">
        <v>0</v>
      </c>
      <c r="AB118">
        <v>209.75</v>
      </c>
      <c r="AC118">
        <v>13.5</v>
      </c>
      <c r="AD118">
        <v>0</v>
      </c>
      <c r="AE118">
        <v>0</v>
      </c>
      <c r="AF118">
        <v>31.26</v>
      </c>
      <c r="AG118">
        <v>13.5</v>
      </c>
      <c r="AH118">
        <v>0</v>
      </c>
      <c r="AI118">
        <v>1</v>
      </c>
      <c r="AJ118">
        <v>6.71</v>
      </c>
      <c r="AK118">
        <v>1</v>
      </c>
      <c r="AL118">
        <v>1</v>
      </c>
      <c r="AN118">
        <v>0</v>
      </c>
      <c r="AO118">
        <v>1</v>
      </c>
      <c r="AP118">
        <v>1</v>
      </c>
      <c r="AQ118">
        <v>0</v>
      </c>
      <c r="AR118">
        <v>0</v>
      </c>
      <c r="AS118" t="s">
        <v>6</v>
      </c>
      <c r="AT118">
        <v>0.22</v>
      </c>
      <c r="AU118" t="s">
        <v>228</v>
      </c>
      <c r="AV118">
        <v>0</v>
      </c>
      <c r="AW118">
        <v>2</v>
      </c>
      <c r="AX118">
        <v>16802767</v>
      </c>
      <c r="AY118">
        <v>1</v>
      </c>
      <c r="AZ118">
        <v>0</v>
      </c>
      <c r="BA118">
        <v>109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Y118*Source!I78</f>
        <v>3.9600000000000003E-2</v>
      </c>
      <c r="CY118">
        <f>AB118</f>
        <v>209.75</v>
      </c>
      <c r="CZ118">
        <f>AF118</f>
        <v>31.26</v>
      </c>
      <c r="DA118">
        <f>AJ118</f>
        <v>6.71</v>
      </c>
      <c r="DB118">
        <f>ROUND((ROUND(AT118*CZ118,2)*0.8),2)</f>
        <v>5.5</v>
      </c>
      <c r="DC118">
        <f>ROUND((ROUND(AT118*AG118,2)*0.8),2)</f>
        <v>2.38</v>
      </c>
    </row>
    <row r="119" spans="1:107" x14ac:dyDescent="0.2">
      <c r="A119">
        <f>ROW(Source!A78)</f>
        <v>78</v>
      </c>
      <c r="B119">
        <v>16802145</v>
      </c>
      <c r="C119">
        <v>16802755</v>
      </c>
      <c r="D119">
        <v>15249073</v>
      </c>
      <c r="E119">
        <v>1</v>
      </c>
      <c r="F119">
        <v>1</v>
      </c>
      <c r="G119">
        <v>1</v>
      </c>
      <c r="H119">
        <v>2</v>
      </c>
      <c r="I119" t="s">
        <v>684</v>
      </c>
      <c r="J119" t="s">
        <v>685</v>
      </c>
      <c r="K119" t="s">
        <v>686</v>
      </c>
      <c r="L119">
        <v>1368</v>
      </c>
      <c r="N119">
        <v>1011</v>
      </c>
      <c r="O119" t="s">
        <v>666</v>
      </c>
      <c r="P119" t="s">
        <v>666</v>
      </c>
      <c r="Q119">
        <v>1</v>
      </c>
      <c r="W119">
        <v>0</v>
      </c>
      <c r="X119">
        <v>1372534845</v>
      </c>
      <c r="Y119">
        <v>0.96</v>
      </c>
      <c r="AA119">
        <v>0</v>
      </c>
      <c r="AB119">
        <v>440.91</v>
      </c>
      <c r="AC119">
        <v>11.6</v>
      </c>
      <c r="AD119">
        <v>0</v>
      </c>
      <c r="AE119">
        <v>0</v>
      </c>
      <c r="AF119">
        <v>65.709999999999994</v>
      </c>
      <c r="AG119">
        <v>11.6</v>
      </c>
      <c r="AH119">
        <v>0</v>
      </c>
      <c r="AI119">
        <v>1</v>
      </c>
      <c r="AJ119">
        <v>6.71</v>
      </c>
      <c r="AK119">
        <v>1</v>
      </c>
      <c r="AL119">
        <v>1</v>
      </c>
      <c r="AN119">
        <v>0</v>
      </c>
      <c r="AO119">
        <v>1</v>
      </c>
      <c r="AP119">
        <v>1</v>
      </c>
      <c r="AQ119">
        <v>0</v>
      </c>
      <c r="AR119">
        <v>0</v>
      </c>
      <c r="AS119" t="s">
        <v>6</v>
      </c>
      <c r="AT119">
        <v>1.2</v>
      </c>
      <c r="AU119" t="s">
        <v>228</v>
      </c>
      <c r="AV119">
        <v>0</v>
      </c>
      <c r="AW119">
        <v>2</v>
      </c>
      <c r="AX119">
        <v>16802768</v>
      </c>
      <c r="AY119">
        <v>1</v>
      </c>
      <c r="AZ119">
        <v>0</v>
      </c>
      <c r="BA119">
        <v>110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Y119*Source!I78</f>
        <v>0.216</v>
      </c>
      <c r="CY119">
        <f>AB119</f>
        <v>440.91</v>
      </c>
      <c r="CZ119">
        <f>AF119</f>
        <v>65.709999999999994</v>
      </c>
      <c r="DA119">
        <f>AJ119</f>
        <v>6.71</v>
      </c>
      <c r="DB119">
        <f>ROUND((ROUND(AT119*CZ119,2)*0.8),2)</f>
        <v>63.08</v>
      </c>
      <c r="DC119">
        <f>ROUND((ROUND(AT119*AG119,2)*0.8),2)</f>
        <v>11.14</v>
      </c>
    </row>
    <row r="120" spans="1:107" x14ac:dyDescent="0.2">
      <c r="A120">
        <f>ROW(Source!A78)</f>
        <v>78</v>
      </c>
      <c r="B120">
        <v>16802145</v>
      </c>
      <c r="C120">
        <v>16802755</v>
      </c>
      <c r="D120">
        <v>15167277</v>
      </c>
      <c r="E120">
        <v>1</v>
      </c>
      <c r="F120">
        <v>1</v>
      </c>
      <c r="G120">
        <v>1</v>
      </c>
      <c r="H120">
        <v>3</v>
      </c>
      <c r="I120" t="s">
        <v>740</v>
      </c>
      <c r="J120" t="s">
        <v>741</v>
      </c>
      <c r="K120" t="s">
        <v>742</v>
      </c>
      <c r="L120">
        <v>1348</v>
      </c>
      <c r="N120">
        <v>1009</v>
      </c>
      <c r="O120" t="s">
        <v>65</v>
      </c>
      <c r="P120" t="s">
        <v>65</v>
      </c>
      <c r="Q120">
        <v>1000</v>
      </c>
      <c r="W120">
        <v>0</v>
      </c>
      <c r="X120">
        <v>-107449080</v>
      </c>
      <c r="Y120">
        <v>0</v>
      </c>
      <c r="AA120">
        <v>37911.5</v>
      </c>
      <c r="AB120">
        <v>0</v>
      </c>
      <c r="AC120">
        <v>0</v>
      </c>
      <c r="AD120">
        <v>0</v>
      </c>
      <c r="AE120">
        <v>5650</v>
      </c>
      <c r="AF120">
        <v>0</v>
      </c>
      <c r="AG120">
        <v>0</v>
      </c>
      <c r="AH120">
        <v>0</v>
      </c>
      <c r="AI120">
        <v>6.71</v>
      </c>
      <c r="AJ120">
        <v>1</v>
      </c>
      <c r="AK120">
        <v>1</v>
      </c>
      <c r="AL120">
        <v>1</v>
      </c>
      <c r="AN120">
        <v>0</v>
      </c>
      <c r="AO120">
        <v>1</v>
      </c>
      <c r="AP120">
        <v>1</v>
      </c>
      <c r="AQ120">
        <v>0</v>
      </c>
      <c r="AR120">
        <v>0</v>
      </c>
      <c r="AS120" t="s">
        <v>6</v>
      </c>
      <c r="AT120">
        <v>0.01</v>
      </c>
      <c r="AU120" t="s">
        <v>227</v>
      </c>
      <c r="AV120">
        <v>0</v>
      </c>
      <c r="AW120">
        <v>2</v>
      </c>
      <c r="AX120">
        <v>16802769</v>
      </c>
      <c r="AY120">
        <v>1</v>
      </c>
      <c r="AZ120">
        <v>0</v>
      </c>
      <c r="BA120">
        <v>111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Y120*Source!I78</f>
        <v>0</v>
      </c>
      <c r="CY120">
        <f>AA120</f>
        <v>37911.5</v>
      </c>
      <c r="CZ120">
        <f>AE120</f>
        <v>5650</v>
      </c>
      <c r="DA120">
        <f>AI120</f>
        <v>6.71</v>
      </c>
      <c r="DB120">
        <f>ROUND((ROUND(AT120*CZ120,2)*0),2)</f>
        <v>0</v>
      </c>
      <c r="DC120">
        <f>ROUND((ROUND(AT120*AG120,2)*0),2)</f>
        <v>0</v>
      </c>
    </row>
    <row r="121" spans="1:107" x14ac:dyDescent="0.2">
      <c r="A121">
        <f>ROW(Source!A78)</f>
        <v>78</v>
      </c>
      <c r="B121">
        <v>16802145</v>
      </c>
      <c r="C121">
        <v>16802755</v>
      </c>
      <c r="D121">
        <v>15170447</v>
      </c>
      <c r="E121">
        <v>1</v>
      </c>
      <c r="F121">
        <v>1</v>
      </c>
      <c r="G121">
        <v>1</v>
      </c>
      <c r="H121">
        <v>3</v>
      </c>
      <c r="I121" t="s">
        <v>743</v>
      </c>
      <c r="J121" t="s">
        <v>744</v>
      </c>
      <c r="K121" t="s">
        <v>745</v>
      </c>
      <c r="L121">
        <v>1348</v>
      </c>
      <c r="N121">
        <v>1009</v>
      </c>
      <c r="O121" t="s">
        <v>65</v>
      </c>
      <c r="P121" t="s">
        <v>65</v>
      </c>
      <c r="Q121">
        <v>1000</v>
      </c>
      <c r="W121">
        <v>0</v>
      </c>
      <c r="X121">
        <v>-34039275</v>
      </c>
      <c r="Y121">
        <v>0</v>
      </c>
      <c r="AA121">
        <v>76158.5</v>
      </c>
      <c r="AB121">
        <v>0</v>
      </c>
      <c r="AC121">
        <v>0</v>
      </c>
      <c r="AD121">
        <v>0</v>
      </c>
      <c r="AE121">
        <v>11350</v>
      </c>
      <c r="AF121">
        <v>0</v>
      </c>
      <c r="AG121">
        <v>0</v>
      </c>
      <c r="AH121">
        <v>0</v>
      </c>
      <c r="AI121">
        <v>6.71</v>
      </c>
      <c r="AJ121">
        <v>1</v>
      </c>
      <c r="AK121">
        <v>1</v>
      </c>
      <c r="AL121">
        <v>1</v>
      </c>
      <c r="AN121">
        <v>0</v>
      </c>
      <c r="AO121">
        <v>1</v>
      </c>
      <c r="AP121">
        <v>1</v>
      </c>
      <c r="AQ121">
        <v>0</v>
      </c>
      <c r="AR121">
        <v>0</v>
      </c>
      <c r="AS121" t="s">
        <v>6</v>
      </c>
      <c r="AT121">
        <v>8.4000000000000003E-4</v>
      </c>
      <c r="AU121" t="s">
        <v>227</v>
      </c>
      <c r="AV121">
        <v>0</v>
      </c>
      <c r="AW121">
        <v>2</v>
      </c>
      <c r="AX121">
        <v>16802770</v>
      </c>
      <c r="AY121">
        <v>1</v>
      </c>
      <c r="AZ121">
        <v>0</v>
      </c>
      <c r="BA121">
        <v>112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Y121*Source!I78</f>
        <v>0</v>
      </c>
      <c r="CY121">
        <f>AA121</f>
        <v>76158.5</v>
      </c>
      <c r="CZ121">
        <f>AE121</f>
        <v>11350</v>
      </c>
      <c r="DA121">
        <f>AI121</f>
        <v>6.71</v>
      </c>
      <c r="DB121">
        <f>ROUND((ROUND(AT121*CZ121,2)*0),2)</f>
        <v>0</v>
      </c>
      <c r="DC121">
        <f>ROUND((ROUND(AT121*AG121,2)*0),2)</f>
        <v>0</v>
      </c>
    </row>
    <row r="122" spans="1:107" x14ac:dyDescent="0.2">
      <c r="A122">
        <f>ROW(Source!A78)</f>
        <v>78</v>
      </c>
      <c r="B122">
        <v>16802145</v>
      </c>
      <c r="C122">
        <v>16802755</v>
      </c>
      <c r="D122">
        <v>15171018</v>
      </c>
      <c r="E122">
        <v>1</v>
      </c>
      <c r="F122">
        <v>1</v>
      </c>
      <c r="G122">
        <v>1</v>
      </c>
      <c r="H122">
        <v>3</v>
      </c>
      <c r="I122" t="s">
        <v>698</v>
      </c>
      <c r="J122" t="s">
        <v>699</v>
      </c>
      <c r="K122" t="s">
        <v>700</v>
      </c>
      <c r="L122">
        <v>1346</v>
      </c>
      <c r="N122">
        <v>1009</v>
      </c>
      <c r="O122" t="s">
        <v>103</v>
      </c>
      <c r="P122" t="s">
        <v>103</v>
      </c>
      <c r="Q122">
        <v>1</v>
      </c>
      <c r="W122">
        <v>0</v>
      </c>
      <c r="X122">
        <v>813963326</v>
      </c>
      <c r="Y122">
        <v>0</v>
      </c>
      <c r="AA122">
        <v>12.21</v>
      </c>
      <c r="AB122">
        <v>0</v>
      </c>
      <c r="AC122">
        <v>0</v>
      </c>
      <c r="AD122">
        <v>0</v>
      </c>
      <c r="AE122">
        <v>1.82</v>
      </c>
      <c r="AF122">
        <v>0</v>
      </c>
      <c r="AG122">
        <v>0</v>
      </c>
      <c r="AH122">
        <v>0</v>
      </c>
      <c r="AI122">
        <v>6.71</v>
      </c>
      <c r="AJ122">
        <v>1</v>
      </c>
      <c r="AK122">
        <v>1</v>
      </c>
      <c r="AL122">
        <v>1</v>
      </c>
      <c r="AN122">
        <v>0</v>
      </c>
      <c r="AO122">
        <v>1</v>
      </c>
      <c r="AP122">
        <v>1</v>
      </c>
      <c r="AQ122">
        <v>0</v>
      </c>
      <c r="AR122">
        <v>0</v>
      </c>
      <c r="AS122" t="s">
        <v>6</v>
      </c>
      <c r="AT122">
        <v>0.2</v>
      </c>
      <c r="AU122" t="s">
        <v>227</v>
      </c>
      <c r="AV122">
        <v>0</v>
      </c>
      <c r="AW122">
        <v>2</v>
      </c>
      <c r="AX122">
        <v>16802771</v>
      </c>
      <c r="AY122">
        <v>1</v>
      </c>
      <c r="AZ122">
        <v>0</v>
      </c>
      <c r="BA122">
        <v>113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Y122*Source!I78</f>
        <v>0</v>
      </c>
      <c r="CY122">
        <f>AA122</f>
        <v>12.21</v>
      </c>
      <c r="CZ122">
        <f>AE122</f>
        <v>1.82</v>
      </c>
      <c r="DA122">
        <f>AI122</f>
        <v>6.71</v>
      </c>
      <c r="DB122">
        <f>ROUND((ROUND(AT122*CZ122,2)*0),2)</f>
        <v>0</v>
      </c>
      <c r="DC122">
        <f>ROUND((ROUND(AT122*AG122,2)*0),2)</f>
        <v>0</v>
      </c>
    </row>
    <row r="123" spans="1:107" x14ac:dyDescent="0.2">
      <c r="A123">
        <f>ROW(Source!A78)</f>
        <v>78</v>
      </c>
      <c r="B123">
        <v>16802145</v>
      </c>
      <c r="C123">
        <v>16802755</v>
      </c>
      <c r="D123">
        <v>15203980</v>
      </c>
      <c r="E123">
        <v>1</v>
      </c>
      <c r="F123">
        <v>1</v>
      </c>
      <c r="G123">
        <v>1</v>
      </c>
      <c r="H123">
        <v>3</v>
      </c>
      <c r="I123" t="s">
        <v>746</v>
      </c>
      <c r="J123" t="s">
        <v>747</v>
      </c>
      <c r="K123" t="s">
        <v>748</v>
      </c>
      <c r="L123">
        <v>1348</v>
      </c>
      <c r="N123">
        <v>1009</v>
      </c>
      <c r="O123" t="s">
        <v>65</v>
      </c>
      <c r="P123" t="s">
        <v>65</v>
      </c>
      <c r="Q123">
        <v>1000</v>
      </c>
      <c r="W123">
        <v>0</v>
      </c>
      <c r="X123">
        <v>307837237</v>
      </c>
      <c r="Y123">
        <v>0</v>
      </c>
      <c r="AA123">
        <v>225724.4</v>
      </c>
      <c r="AB123">
        <v>0</v>
      </c>
      <c r="AC123">
        <v>0</v>
      </c>
      <c r="AD123">
        <v>0</v>
      </c>
      <c r="AE123">
        <v>33640</v>
      </c>
      <c r="AF123">
        <v>0</v>
      </c>
      <c r="AG123">
        <v>0</v>
      </c>
      <c r="AH123">
        <v>0</v>
      </c>
      <c r="AI123">
        <v>6.71</v>
      </c>
      <c r="AJ123">
        <v>1</v>
      </c>
      <c r="AK123">
        <v>1</v>
      </c>
      <c r="AL123">
        <v>1</v>
      </c>
      <c r="AN123">
        <v>0</v>
      </c>
      <c r="AO123">
        <v>1</v>
      </c>
      <c r="AP123">
        <v>1</v>
      </c>
      <c r="AQ123">
        <v>0</v>
      </c>
      <c r="AR123">
        <v>0</v>
      </c>
      <c r="AS123" t="s">
        <v>6</v>
      </c>
      <c r="AT123">
        <v>1.1000000000000001E-3</v>
      </c>
      <c r="AU123" t="s">
        <v>227</v>
      </c>
      <c r="AV123">
        <v>0</v>
      </c>
      <c r="AW123">
        <v>2</v>
      </c>
      <c r="AX123">
        <v>16802773</v>
      </c>
      <c r="AY123">
        <v>1</v>
      </c>
      <c r="AZ123">
        <v>0</v>
      </c>
      <c r="BA123">
        <v>115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Y123*Source!I78</f>
        <v>0</v>
      </c>
      <c r="CY123">
        <f>AA123</f>
        <v>225724.4</v>
      </c>
      <c r="CZ123">
        <f>AE123</f>
        <v>33640</v>
      </c>
      <c r="DA123">
        <f>AI123</f>
        <v>6.71</v>
      </c>
      <c r="DB123">
        <f>ROUND((ROUND(AT123*CZ123,2)*0),2)</f>
        <v>0</v>
      </c>
      <c r="DC123">
        <f>ROUND((ROUND(AT123*AG123,2)*0),2)</f>
        <v>0</v>
      </c>
    </row>
    <row r="124" spans="1:107" x14ac:dyDescent="0.2">
      <c r="A124">
        <f>ROW(Source!A78)</f>
        <v>78</v>
      </c>
      <c r="B124">
        <v>16802145</v>
      </c>
      <c r="C124">
        <v>16802755</v>
      </c>
      <c r="D124">
        <v>15204665</v>
      </c>
      <c r="E124">
        <v>1</v>
      </c>
      <c r="F124">
        <v>1</v>
      </c>
      <c r="G124">
        <v>1</v>
      </c>
      <c r="H124">
        <v>3</v>
      </c>
      <c r="I124" t="s">
        <v>749</v>
      </c>
      <c r="J124" t="s">
        <v>750</v>
      </c>
      <c r="K124" t="s">
        <v>751</v>
      </c>
      <c r="L124">
        <v>1348</v>
      </c>
      <c r="N124">
        <v>1009</v>
      </c>
      <c r="O124" t="s">
        <v>65</v>
      </c>
      <c r="P124" t="s">
        <v>65</v>
      </c>
      <c r="Q124">
        <v>1000</v>
      </c>
      <c r="W124">
        <v>0</v>
      </c>
      <c r="X124">
        <v>1237311677</v>
      </c>
      <c r="Y124">
        <v>0</v>
      </c>
      <c r="AA124">
        <v>36770.129999999997</v>
      </c>
      <c r="AB124">
        <v>0</v>
      </c>
      <c r="AC124">
        <v>0</v>
      </c>
      <c r="AD124">
        <v>0</v>
      </c>
      <c r="AE124">
        <v>5479.9</v>
      </c>
      <c r="AF124">
        <v>0</v>
      </c>
      <c r="AG124">
        <v>0</v>
      </c>
      <c r="AH124">
        <v>0</v>
      </c>
      <c r="AI124">
        <v>6.71</v>
      </c>
      <c r="AJ124">
        <v>1</v>
      </c>
      <c r="AK124">
        <v>1</v>
      </c>
      <c r="AL124">
        <v>1</v>
      </c>
      <c r="AN124">
        <v>0</v>
      </c>
      <c r="AO124">
        <v>1</v>
      </c>
      <c r="AP124">
        <v>1</v>
      </c>
      <c r="AQ124">
        <v>0</v>
      </c>
      <c r="AR124">
        <v>0</v>
      </c>
      <c r="AS124" t="s">
        <v>6</v>
      </c>
      <c r="AT124">
        <v>3.0000000000000001E-3</v>
      </c>
      <c r="AU124" t="s">
        <v>227</v>
      </c>
      <c r="AV124">
        <v>0</v>
      </c>
      <c r="AW124">
        <v>2</v>
      </c>
      <c r="AX124">
        <v>16802774</v>
      </c>
      <c r="AY124">
        <v>1</v>
      </c>
      <c r="AZ124">
        <v>0</v>
      </c>
      <c r="BA124">
        <v>116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Y124*Source!I78</f>
        <v>0</v>
      </c>
      <c r="CY124">
        <f>AA124</f>
        <v>36770.129999999997</v>
      </c>
      <c r="CZ124">
        <f>AE124</f>
        <v>5479.9</v>
      </c>
      <c r="DA124">
        <f>AI124</f>
        <v>6.71</v>
      </c>
      <c r="DB124">
        <f>ROUND((ROUND(AT124*CZ124,2)*0),2)</f>
        <v>0</v>
      </c>
      <c r="DC124">
        <f>ROUND((ROUND(AT124*AG124,2)*0),2)</f>
        <v>0</v>
      </c>
    </row>
    <row r="125" spans="1:107" x14ac:dyDescent="0.2">
      <c r="A125">
        <f>ROW(Source!A79)</f>
        <v>79</v>
      </c>
      <c r="B125">
        <v>16802145</v>
      </c>
      <c r="C125">
        <v>16802776</v>
      </c>
      <c r="D125">
        <v>15435721</v>
      </c>
      <c r="E125">
        <v>1</v>
      </c>
      <c r="F125">
        <v>1</v>
      </c>
      <c r="G125">
        <v>1</v>
      </c>
      <c r="H125">
        <v>1</v>
      </c>
      <c r="I125" t="s">
        <v>738</v>
      </c>
      <c r="J125" t="s">
        <v>6</v>
      </c>
      <c r="K125" t="s">
        <v>739</v>
      </c>
      <c r="L125">
        <v>1191</v>
      </c>
      <c r="N125">
        <v>1013</v>
      </c>
      <c r="O125" t="s">
        <v>660</v>
      </c>
      <c r="P125" t="s">
        <v>660</v>
      </c>
      <c r="Q125">
        <v>1</v>
      </c>
      <c r="W125">
        <v>0</v>
      </c>
      <c r="X125">
        <v>1983201532</v>
      </c>
      <c r="Y125">
        <v>40.480000000000004</v>
      </c>
      <c r="AA125">
        <v>0</v>
      </c>
      <c r="AB125">
        <v>0</v>
      </c>
      <c r="AC125">
        <v>0</v>
      </c>
      <c r="AD125">
        <v>63.81</v>
      </c>
      <c r="AE125">
        <v>0</v>
      </c>
      <c r="AF125">
        <v>0</v>
      </c>
      <c r="AG125">
        <v>0</v>
      </c>
      <c r="AH125">
        <v>9.51</v>
      </c>
      <c r="AI125">
        <v>1</v>
      </c>
      <c r="AJ125">
        <v>1</v>
      </c>
      <c r="AK125">
        <v>1</v>
      </c>
      <c r="AL125">
        <v>6.71</v>
      </c>
      <c r="AN125">
        <v>0</v>
      </c>
      <c r="AO125">
        <v>1</v>
      </c>
      <c r="AP125">
        <v>1</v>
      </c>
      <c r="AQ125">
        <v>0</v>
      </c>
      <c r="AR125">
        <v>0</v>
      </c>
      <c r="AS125" t="s">
        <v>6</v>
      </c>
      <c r="AT125">
        <v>50.6</v>
      </c>
      <c r="AU125" t="s">
        <v>228</v>
      </c>
      <c r="AV125">
        <v>1</v>
      </c>
      <c r="AW125">
        <v>2</v>
      </c>
      <c r="AX125">
        <v>16802786</v>
      </c>
      <c r="AY125">
        <v>1</v>
      </c>
      <c r="AZ125">
        <v>0</v>
      </c>
      <c r="BA125">
        <v>117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Y125*Source!I79</f>
        <v>9.1080000000000005</v>
      </c>
      <c r="CY125">
        <f>AD125</f>
        <v>63.81</v>
      </c>
      <c r="CZ125">
        <f>AH125</f>
        <v>9.51</v>
      </c>
      <c r="DA125">
        <f>AL125</f>
        <v>6.71</v>
      </c>
      <c r="DB125">
        <f>ROUND((ROUND(AT125*CZ125,2)*0.8),2)</f>
        <v>384.97</v>
      </c>
      <c r="DC125">
        <f>ROUND((ROUND(AT125*AG125,2)*0.8),2)</f>
        <v>0</v>
      </c>
    </row>
    <row r="126" spans="1:107" x14ac:dyDescent="0.2">
      <c r="A126">
        <f>ROW(Source!A79)</f>
        <v>79</v>
      </c>
      <c r="B126">
        <v>16802145</v>
      </c>
      <c r="C126">
        <v>16802776</v>
      </c>
      <c r="D126">
        <v>15430395</v>
      </c>
      <c r="E126">
        <v>1</v>
      </c>
      <c r="F126">
        <v>1</v>
      </c>
      <c r="G126">
        <v>1</v>
      </c>
      <c r="H126">
        <v>1</v>
      </c>
      <c r="I126" t="s">
        <v>661</v>
      </c>
      <c r="J126" t="s">
        <v>6</v>
      </c>
      <c r="K126" t="s">
        <v>662</v>
      </c>
      <c r="L126">
        <v>1191</v>
      </c>
      <c r="N126">
        <v>1013</v>
      </c>
      <c r="O126" t="s">
        <v>660</v>
      </c>
      <c r="P126" t="s">
        <v>660</v>
      </c>
      <c r="Q126">
        <v>1</v>
      </c>
      <c r="W126">
        <v>0</v>
      </c>
      <c r="X126">
        <v>-1417349443</v>
      </c>
      <c r="Y126">
        <v>1.42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1</v>
      </c>
      <c r="AJ126">
        <v>1</v>
      </c>
      <c r="AK126">
        <v>6.71</v>
      </c>
      <c r="AL126">
        <v>1</v>
      </c>
      <c r="AN126">
        <v>0</v>
      </c>
      <c r="AO126">
        <v>1</v>
      </c>
      <c r="AP126">
        <v>0</v>
      </c>
      <c r="AQ126">
        <v>0</v>
      </c>
      <c r="AR126">
        <v>0</v>
      </c>
      <c r="AS126" t="s">
        <v>6</v>
      </c>
      <c r="AT126">
        <v>1.42</v>
      </c>
      <c r="AU126" t="s">
        <v>6</v>
      </c>
      <c r="AV126">
        <v>2</v>
      </c>
      <c r="AW126">
        <v>2</v>
      </c>
      <c r="AX126">
        <v>16802787</v>
      </c>
      <c r="AY126">
        <v>1</v>
      </c>
      <c r="AZ126">
        <v>2048</v>
      </c>
      <c r="BA126">
        <v>118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Y126*Source!I79</f>
        <v>0.31950000000000001</v>
      </c>
      <c r="CY126">
        <f>AD126</f>
        <v>0</v>
      </c>
      <c r="CZ126">
        <f>AH126</f>
        <v>0</v>
      </c>
      <c r="DA126">
        <f>AL126</f>
        <v>1</v>
      </c>
      <c r="DB126">
        <f>ROUND(ROUND(AT126*CZ126,2),2)</f>
        <v>0</v>
      </c>
      <c r="DC126">
        <f>ROUND(ROUND(AT126*AG126,2),2)</f>
        <v>0</v>
      </c>
    </row>
    <row r="127" spans="1:107" x14ac:dyDescent="0.2">
      <c r="A127">
        <f>ROW(Source!A79)</f>
        <v>79</v>
      </c>
      <c r="B127">
        <v>16802145</v>
      </c>
      <c r="C127">
        <v>16802776</v>
      </c>
      <c r="D127">
        <v>15247974</v>
      </c>
      <c r="E127">
        <v>1</v>
      </c>
      <c r="F127">
        <v>1</v>
      </c>
      <c r="G127">
        <v>1</v>
      </c>
      <c r="H127">
        <v>2</v>
      </c>
      <c r="I127" t="s">
        <v>663</v>
      </c>
      <c r="J127" t="s">
        <v>664</v>
      </c>
      <c r="K127" t="s">
        <v>665</v>
      </c>
      <c r="L127">
        <v>1368</v>
      </c>
      <c r="N127">
        <v>1011</v>
      </c>
      <c r="O127" t="s">
        <v>666</v>
      </c>
      <c r="P127" t="s">
        <v>666</v>
      </c>
      <c r="Q127">
        <v>1</v>
      </c>
      <c r="W127">
        <v>0</v>
      </c>
      <c r="X127">
        <v>1188625873</v>
      </c>
      <c r="Y127">
        <v>0.17600000000000002</v>
      </c>
      <c r="AA127">
        <v>0</v>
      </c>
      <c r="AB127">
        <v>209.75</v>
      </c>
      <c r="AC127">
        <v>13.5</v>
      </c>
      <c r="AD127">
        <v>0</v>
      </c>
      <c r="AE127">
        <v>0</v>
      </c>
      <c r="AF127">
        <v>31.26</v>
      </c>
      <c r="AG127">
        <v>13.5</v>
      </c>
      <c r="AH127">
        <v>0</v>
      </c>
      <c r="AI127">
        <v>1</v>
      </c>
      <c r="AJ127">
        <v>6.71</v>
      </c>
      <c r="AK127">
        <v>1</v>
      </c>
      <c r="AL127">
        <v>1</v>
      </c>
      <c r="AN127">
        <v>0</v>
      </c>
      <c r="AO127">
        <v>1</v>
      </c>
      <c r="AP127">
        <v>1</v>
      </c>
      <c r="AQ127">
        <v>0</v>
      </c>
      <c r="AR127">
        <v>0</v>
      </c>
      <c r="AS127" t="s">
        <v>6</v>
      </c>
      <c r="AT127">
        <v>0.22</v>
      </c>
      <c r="AU127" t="s">
        <v>228</v>
      </c>
      <c r="AV127">
        <v>0</v>
      </c>
      <c r="AW127">
        <v>2</v>
      </c>
      <c r="AX127">
        <v>16802788</v>
      </c>
      <c r="AY127">
        <v>1</v>
      </c>
      <c r="AZ127">
        <v>0</v>
      </c>
      <c r="BA127">
        <v>119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Y127*Source!I79</f>
        <v>3.9600000000000003E-2</v>
      </c>
      <c r="CY127">
        <f>AB127</f>
        <v>209.75</v>
      </c>
      <c r="CZ127">
        <f>AF127</f>
        <v>31.26</v>
      </c>
      <c r="DA127">
        <f>AJ127</f>
        <v>6.71</v>
      </c>
      <c r="DB127">
        <f>ROUND((ROUND(AT127*CZ127,2)*0.8),2)</f>
        <v>5.5</v>
      </c>
      <c r="DC127">
        <f>ROUND((ROUND(AT127*AG127,2)*0.8),2)</f>
        <v>2.38</v>
      </c>
    </row>
    <row r="128" spans="1:107" x14ac:dyDescent="0.2">
      <c r="A128">
        <f>ROW(Source!A79)</f>
        <v>79</v>
      </c>
      <c r="B128">
        <v>16802145</v>
      </c>
      <c r="C128">
        <v>16802776</v>
      </c>
      <c r="D128">
        <v>15249073</v>
      </c>
      <c r="E128">
        <v>1</v>
      </c>
      <c r="F128">
        <v>1</v>
      </c>
      <c r="G128">
        <v>1</v>
      </c>
      <c r="H128">
        <v>2</v>
      </c>
      <c r="I128" t="s">
        <v>684</v>
      </c>
      <c r="J128" t="s">
        <v>685</v>
      </c>
      <c r="K128" t="s">
        <v>686</v>
      </c>
      <c r="L128">
        <v>1368</v>
      </c>
      <c r="N128">
        <v>1011</v>
      </c>
      <c r="O128" t="s">
        <v>666</v>
      </c>
      <c r="P128" t="s">
        <v>666</v>
      </c>
      <c r="Q128">
        <v>1</v>
      </c>
      <c r="W128">
        <v>0</v>
      </c>
      <c r="X128">
        <v>1372534845</v>
      </c>
      <c r="Y128">
        <v>0.96</v>
      </c>
      <c r="AA128">
        <v>0</v>
      </c>
      <c r="AB128">
        <v>440.91</v>
      </c>
      <c r="AC128">
        <v>11.6</v>
      </c>
      <c r="AD128">
        <v>0</v>
      </c>
      <c r="AE128">
        <v>0</v>
      </c>
      <c r="AF128">
        <v>65.709999999999994</v>
      </c>
      <c r="AG128">
        <v>11.6</v>
      </c>
      <c r="AH128">
        <v>0</v>
      </c>
      <c r="AI128">
        <v>1</v>
      </c>
      <c r="AJ128">
        <v>6.71</v>
      </c>
      <c r="AK128">
        <v>1</v>
      </c>
      <c r="AL128">
        <v>1</v>
      </c>
      <c r="AN128">
        <v>0</v>
      </c>
      <c r="AO128">
        <v>1</v>
      </c>
      <c r="AP128">
        <v>1</v>
      </c>
      <c r="AQ128">
        <v>0</v>
      </c>
      <c r="AR128">
        <v>0</v>
      </c>
      <c r="AS128" t="s">
        <v>6</v>
      </c>
      <c r="AT128">
        <v>1.2</v>
      </c>
      <c r="AU128" t="s">
        <v>228</v>
      </c>
      <c r="AV128">
        <v>0</v>
      </c>
      <c r="AW128">
        <v>2</v>
      </c>
      <c r="AX128">
        <v>16802789</v>
      </c>
      <c r="AY128">
        <v>1</v>
      </c>
      <c r="AZ128">
        <v>0</v>
      </c>
      <c r="BA128">
        <v>120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Y128*Source!I79</f>
        <v>0.216</v>
      </c>
      <c r="CY128">
        <f>AB128</f>
        <v>440.91</v>
      </c>
      <c r="CZ128">
        <f>AF128</f>
        <v>65.709999999999994</v>
      </c>
      <c r="DA128">
        <f>AJ128</f>
        <v>6.71</v>
      </c>
      <c r="DB128">
        <f>ROUND((ROUND(AT128*CZ128,2)*0.8),2)</f>
        <v>63.08</v>
      </c>
      <c r="DC128">
        <f>ROUND((ROUND(AT128*AG128,2)*0.8),2)</f>
        <v>11.14</v>
      </c>
    </row>
    <row r="129" spans="1:107" x14ac:dyDescent="0.2">
      <c r="A129">
        <f>ROW(Source!A79)</f>
        <v>79</v>
      </c>
      <c r="B129">
        <v>16802145</v>
      </c>
      <c r="C129">
        <v>16802776</v>
      </c>
      <c r="D129">
        <v>15167277</v>
      </c>
      <c r="E129">
        <v>1</v>
      </c>
      <c r="F129">
        <v>1</v>
      </c>
      <c r="G129">
        <v>1</v>
      </c>
      <c r="H129">
        <v>3</v>
      </c>
      <c r="I129" t="s">
        <v>740</v>
      </c>
      <c r="J129" t="s">
        <v>741</v>
      </c>
      <c r="K129" t="s">
        <v>742</v>
      </c>
      <c r="L129">
        <v>1348</v>
      </c>
      <c r="N129">
        <v>1009</v>
      </c>
      <c r="O129" t="s">
        <v>65</v>
      </c>
      <c r="P129" t="s">
        <v>65</v>
      </c>
      <c r="Q129">
        <v>1000</v>
      </c>
      <c r="W129">
        <v>0</v>
      </c>
      <c r="X129">
        <v>-107449080</v>
      </c>
      <c r="Y129">
        <v>0</v>
      </c>
      <c r="AA129">
        <v>37911.5</v>
      </c>
      <c r="AB129">
        <v>0</v>
      </c>
      <c r="AC129">
        <v>0</v>
      </c>
      <c r="AD129">
        <v>0</v>
      </c>
      <c r="AE129">
        <v>5650</v>
      </c>
      <c r="AF129">
        <v>0</v>
      </c>
      <c r="AG129">
        <v>0</v>
      </c>
      <c r="AH129">
        <v>0</v>
      </c>
      <c r="AI129">
        <v>6.71</v>
      </c>
      <c r="AJ129">
        <v>1</v>
      </c>
      <c r="AK129">
        <v>1</v>
      </c>
      <c r="AL129">
        <v>1</v>
      </c>
      <c r="AN129">
        <v>0</v>
      </c>
      <c r="AO129">
        <v>1</v>
      </c>
      <c r="AP129">
        <v>1</v>
      </c>
      <c r="AQ129">
        <v>0</v>
      </c>
      <c r="AR129">
        <v>0</v>
      </c>
      <c r="AS129" t="s">
        <v>6</v>
      </c>
      <c r="AT129">
        <v>0.01</v>
      </c>
      <c r="AU129" t="s">
        <v>227</v>
      </c>
      <c r="AV129">
        <v>0</v>
      </c>
      <c r="AW129">
        <v>2</v>
      </c>
      <c r="AX129">
        <v>16802790</v>
      </c>
      <c r="AY129">
        <v>1</v>
      </c>
      <c r="AZ129">
        <v>0</v>
      </c>
      <c r="BA129">
        <v>121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Y129*Source!I79</f>
        <v>0</v>
      </c>
      <c r="CY129">
        <f>AA129</f>
        <v>37911.5</v>
      </c>
      <c r="CZ129">
        <f>AE129</f>
        <v>5650</v>
      </c>
      <c r="DA129">
        <f>AI129</f>
        <v>6.71</v>
      </c>
      <c r="DB129">
        <f>ROUND((ROUND(AT129*CZ129,2)*0),2)</f>
        <v>0</v>
      </c>
      <c r="DC129">
        <f>ROUND((ROUND(AT129*AG129,2)*0),2)</f>
        <v>0</v>
      </c>
    </row>
    <row r="130" spans="1:107" x14ac:dyDescent="0.2">
      <c r="A130">
        <f>ROW(Source!A79)</f>
        <v>79</v>
      </c>
      <c r="B130">
        <v>16802145</v>
      </c>
      <c r="C130">
        <v>16802776</v>
      </c>
      <c r="D130">
        <v>15170447</v>
      </c>
      <c r="E130">
        <v>1</v>
      </c>
      <c r="F130">
        <v>1</v>
      </c>
      <c r="G130">
        <v>1</v>
      </c>
      <c r="H130">
        <v>3</v>
      </c>
      <c r="I130" t="s">
        <v>743</v>
      </c>
      <c r="J130" t="s">
        <v>744</v>
      </c>
      <c r="K130" t="s">
        <v>745</v>
      </c>
      <c r="L130">
        <v>1348</v>
      </c>
      <c r="N130">
        <v>1009</v>
      </c>
      <c r="O130" t="s">
        <v>65</v>
      </c>
      <c r="P130" t="s">
        <v>65</v>
      </c>
      <c r="Q130">
        <v>1000</v>
      </c>
      <c r="W130">
        <v>0</v>
      </c>
      <c r="X130">
        <v>-34039275</v>
      </c>
      <c r="Y130">
        <v>0</v>
      </c>
      <c r="AA130">
        <v>76158.5</v>
      </c>
      <c r="AB130">
        <v>0</v>
      </c>
      <c r="AC130">
        <v>0</v>
      </c>
      <c r="AD130">
        <v>0</v>
      </c>
      <c r="AE130">
        <v>11350</v>
      </c>
      <c r="AF130">
        <v>0</v>
      </c>
      <c r="AG130">
        <v>0</v>
      </c>
      <c r="AH130">
        <v>0</v>
      </c>
      <c r="AI130">
        <v>6.71</v>
      </c>
      <c r="AJ130">
        <v>1</v>
      </c>
      <c r="AK130">
        <v>1</v>
      </c>
      <c r="AL130">
        <v>1</v>
      </c>
      <c r="AN130">
        <v>0</v>
      </c>
      <c r="AO130">
        <v>1</v>
      </c>
      <c r="AP130">
        <v>1</v>
      </c>
      <c r="AQ130">
        <v>0</v>
      </c>
      <c r="AR130">
        <v>0</v>
      </c>
      <c r="AS130" t="s">
        <v>6</v>
      </c>
      <c r="AT130">
        <v>8.4000000000000003E-4</v>
      </c>
      <c r="AU130" t="s">
        <v>227</v>
      </c>
      <c r="AV130">
        <v>0</v>
      </c>
      <c r="AW130">
        <v>2</v>
      </c>
      <c r="AX130">
        <v>16802791</v>
      </c>
      <c r="AY130">
        <v>1</v>
      </c>
      <c r="AZ130">
        <v>0</v>
      </c>
      <c r="BA130">
        <v>122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Y130*Source!I79</f>
        <v>0</v>
      </c>
      <c r="CY130">
        <f>AA130</f>
        <v>76158.5</v>
      </c>
      <c r="CZ130">
        <f>AE130</f>
        <v>11350</v>
      </c>
      <c r="DA130">
        <f>AI130</f>
        <v>6.71</v>
      </c>
      <c r="DB130">
        <f>ROUND((ROUND(AT130*CZ130,2)*0),2)</f>
        <v>0</v>
      </c>
      <c r="DC130">
        <f>ROUND((ROUND(AT130*AG130,2)*0),2)</f>
        <v>0</v>
      </c>
    </row>
    <row r="131" spans="1:107" x14ac:dyDescent="0.2">
      <c r="A131">
        <f>ROW(Source!A79)</f>
        <v>79</v>
      </c>
      <c r="B131">
        <v>16802145</v>
      </c>
      <c r="C131">
        <v>16802776</v>
      </c>
      <c r="D131">
        <v>15171018</v>
      </c>
      <c r="E131">
        <v>1</v>
      </c>
      <c r="F131">
        <v>1</v>
      </c>
      <c r="G131">
        <v>1</v>
      </c>
      <c r="H131">
        <v>3</v>
      </c>
      <c r="I131" t="s">
        <v>698</v>
      </c>
      <c r="J131" t="s">
        <v>699</v>
      </c>
      <c r="K131" t="s">
        <v>700</v>
      </c>
      <c r="L131">
        <v>1346</v>
      </c>
      <c r="N131">
        <v>1009</v>
      </c>
      <c r="O131" t="s">
        <v>103</v>
      </c>
      <c r="P131" t="s">
        <v>103</v>
      </c>
      <c r="Q131">
        <v>1</v>
      </c>
      <c r="W131">
        <v>0</v>
      </c>
      <c r="X131">
        <v>813963326</v>
      </c>
      <c r="Y131">
        <v>0</v>
      </c>
      <c r="AA131">
        <v>12.21</v>
      </c>
      <c r="AB131">
        <v>0</v>
      </c>
      <c r="AC131">
        <v>0</v>
      </c>
      <c r="AD131">
        <v>0</v>
      </c>
      <c r="AE131">
        <v>1.82</v>
      </c>
      <c r="AF131">
        <v>0</v>
      </c>
      <c r="AG131">
        <v>0</v>
      </c>
      <c r="AH131">
        <v>0</v>
      </c>
      <c r="AI131">
        <v>6.71</v>
      </c>
      <c r="AJ131">
        <v>1</v>
      </c>
      <c r="AK131">
        <v>1</v>
      </c>
      <c r="AL131">
        <v>1</v>
      </c>
      <c r="AN131">
        <v>0</v>
      </c>
      <c r="AO131">
        <v>1</v>
      </c>
      <c r="AP131">
        <v>1</v>
      </c>
      <c r="AQ131">
        <v>0</v>
      </c>
      <c r="AR131">
        <v>0</v>
      </c>
      <c r="AS131" t="s">
        <v>6</v>
      </c>
      <c r="AT131">
        <v>0.2</v>
      </c>
      <c r="AU131" t="s">
        <v>227</v>
      </c>
      <c r="AV131">
        <v>0</v>
      </c>
      <c r="AW131">
        <v>2</v>
      </c>
      <c r="AX131">
        <v>16802792</v>
      </c>
      <c r="AY131">
        <v>1</v>
      </c>
      <c r="AZ131">
        <v>0</v>
      </c>
      <c r="BA131">
        <v>123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Y131*Source!I79</f>
        <v>0</v>
      </c>
      <c r="CY131">
        <f>AA131</f>
        <v>12.21</v>
      </c>
      <c r="CZ131">
        <f>AE131</f>
        <v>1.82</v>
      </c>
      <c r="DA131">
        <f>AI131</f>
        <v>6.71</v>
      </c>
      <c r="DB131">
        <f>ROUND((ROUND(AT131*CZ131,2)*0),2)</f>
        <v>0</v>
      </c>
      <c r="DC131">
        <f>ROUND((ROUND(AT131*AG131,2)*0),2)</f>
        <v>0</v>
      </c>
    </row>
    <row r="132" spans="1:107" x14ac:dyDescent="0.2">
      <c r="A132">
        <f>ROW(Source!A79)</f>
        <v>79</v>
      </c>
      <c r="B132">
        <v>16802145</v>
      </c>
      <c r="C132">
        <v>16802776</v>
      </c>
      <c r="D132">
        <v>15203980</v>
      </c>
      <c r="E132">
        <v>1</v>
      </c>
      <c r="F132">
        <v>1</v>
      </c>
      <c r="G132">
        <v>1</v>
      </c>
      <c r="H132">
        <v>3</v>
      </c>
      <c r="I132" t="s">
        <v>746</v>
      </c>
      <c r="J132" t="s">
        <v>747</v>
      </c>
      <c r="K132" t="s">
        <v>748</v>
      </c>
      <c r="L132">
        <v>1348</v>
      </c>
      <c r="N132">
        <v>1009</v>
      </c>
      <c r="O132" t="s">
        <v>65</v>
      </c>
      <c r="P132" t="s">
        <v>65</v>
      </c>
      <c r="Q132">
        <v>1000</v>
      </c>
      <c r="W132">
        <v>0</v>
      </c>
      <c r="X132">
        <v>307837237</v>
      </c>
      <c r="Y132">
        <v>0</v>
      </c>
      <c r="AA132">
        <v>225724.4</v>
      </c>
      <c r="AB132">
        <v>0</v>
      </c>
      <c r="AC132">
        <v>0</v>
      </c>
      <c r="AD132">
        <v>0</v>
      </c>
      <c r="AE132">
        <v>33640</v>
      </c>
      <c r="AF132">
        <v>0</v>
      </c>
      <c r="AG132">
        <v>0</v>
      </c>
      <c r="AH132">
        <v>0</v>
      </c>
      <c r="AI132">
        <v>6.71</v>
      </c>
      <c r="AJ132">
        <v>1</v>
      </c>
      <c r="AK132">
        <v>1</v>
      </c>
      <c r="AL132">
        <v>1</v>
      </c>
      <c r="AN132">
        <v>0</v>
      </c>
      <c r="AO132">
        <v>1</v>
      </c>
      <c r="AP132">
        <v>1</v>
      </c>
      <c r="AQ132">
        <v>0</v>
      </c>
      <c r="AR132">
        <v>0</v>
      </c>
      <c r="AS132" t="s">
        <v>6</v>
      </c>
      <c r="AT132">
        <v>1.1000000000000001E-3</v>
      </c>
      <c r="AU132" t="s">
        <v>227</v>
      </c>
      <c r="AV132">
        <v>0</v>
      </c>
      <c r="AW132">
        <v>2</v>
      </c>
      <c r="AX132">
        <v>16802794</v>
      </c>
      <c r="AY132">
        <v>1</v>
      </c>
      <c r="AZ132">
        <v>0</v>
      </c>
      <c r="BA132">
        <v>125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Y132*Source!I79</f>
        <v>0</v>
      </c>
      <c r="CY132">
        <f>AA132</f>
        <v>225724.4</v>
      </c>
      <c r="CZ132">
        <f>AE132</f>
        <v>33640</v>
      </c>
      <c r="DA132">
        <f>AI132</f>
        <v>6.71</v>
      </c>
      <c r="DB132">
        <f>ROUND((ROUND(AT132*CZ132,2)*0),2)</f>
        <v>0</v>
      </c>
      <c r="DC132">
        <f>ROUND((ROUND(AT132*AG132,2)*0),2)</f>
        <v>0</v>
      </c>
    </row>
    <row r="133" spans="1:107" x14ac:dyDescent="0.2">
      <c r="A133">
        <f>ROW(Source!A79)</f>
        <v>79</v>
      </c>
      <c r="B133">
        <v>16802145</v>
      </c>
      <c r="C133">
        <v>16802776</v>
      </c>
      <c r="D133">
        <v>15204665</v>
      </c>
      <c r="E133">
        <v>1</v>
      </c>
      <c r="F133">
        <v>1</v>
      </c>
      <c r="G133">
        <v>1</v>
      </c>
      <c r="H133">
        <v>3</v>
      </c>
      <c r="I133" t="s">
        <v>749</v>
      </c>
      <c r="J133" t="s">
        <v>750</v>
      </c>
      <c r="K133" t="s">
        <v>751</v>
      </c>
      <c r="L133">
        <v>1348</v>
      </c>
      <c r="N133">
        <v>1009</v>
      </c>
      <c r="O133" t="s">
        <v>65</v>
      </c>
      <c r="P133" t="s">
        <v>65</v>
      </c>
      <c r="Q133">
        <v>1000</v>
      </c>
      <c r="W133">
        <v>0</v>
      </c>
      <c r="X133">
        <v>1237311677</v>
      </c>
      <c r="Y133">
        <v>0</v>
      </c>
      <c r="AA133">
        <v>36770.129999999997</v>
      </c>
      <c r="AB133">
        <v>0</v>
      </c>
      <c r="AC133">
        <v>0</v>
      </c>
      <c r="AD133">
        <v>0</v>
      </c>
      <c r="AE133">
        <v>5479.9</v>
      </c>
      <c r="AF133">
        <v>0</v>
      </c>
      <c r="AG133">
        <v>0</v>
      </c>
      <c r="AH133">
        <v>0</v>
      </c>
      <c r="AI133">
        <v>6.71</v>
      </c>
      <c r="AJ133">
        <v>1</v>
      </c>
      <c r="AK133">
        <v>1</v>
      </c>
      <c r="AL133">
        <v>1</v>
      </c>
      <c r="AN133">
        <v>0</v>
      </c>
      <c r="AO133">
        <v>1</v>
      </c>
      <c r="AP133">
        <v>1</v>
      </c>
      <c r="AQ133">
        <v>0</v>
      </c>
      <c r="AR133">
        <v>0</v>
      </c>
      <c r="AS133" t="s">
        <v>6</v>
      </c>
      <c r="AT133">
        <v>3.0000000000000001E-3</v>
      </c>
      <c r="AU133" t="s">
        <v>227</v>
      </c>
      <c r="AV133">
        <v>0</v>
      </c>
      <c r="AW133">
        <v>2</v>
      </c>
      <c r="AX133">
        <v>16802795</v>
      </c>
      <c r="AY133">
        <v>1</v>
      </c>
      <c r="AZ133">
        <v>0</v>
      </c>
      <c r="BA133">
        <v>126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Y133*Source!I79</f>
        <v>0</v>
      </c>
      <c r="CY133">
        <f>AA133</f>
        <v>36770.129999999997</v>
      </c>
      <c r="CZ133">
        <f>AE133</f>
        <v>5479.9</v>
      </c>
      <c r="DA133">
        <f>AI133</f>
        <v>6.71</v>
      </c>
      <c r="DB133">
        <f>ROUND((ROUND(AT133*CZ133,2)*0),2)</f>
        <v>0</v>
      </c>
      <c r="DC133">
        <f>ROUND((ROUND(AT133*AG133,2)*0),2)</f>
        <v>0</v>
      </c>
    </row>
    <row r="134" spans="1:107" x14ac:dyDescent="0.2">
      <c r="A134">
        <f>ROW(Source!A80)</f>
        <v>80</v>
      </c>
      <c r="B134">
        <v>16802145</v>
      </c>
      <c r="C134">
        <v>16802797</v>
      </c>
      <c r="D134">
        <v>15436556</v>
      </c>
      <c r="E134">
        <v>1</v>
      </c>
      <c r="F134">
        <v>1</v>
      </c>
      <c r="G134">
        <v>1</v>
      </c>
      <c r="H134">
        <v>1</v>
      </c>
      <c r="I134" t="s">
        <v>736</v>
      </c>
      <c r="J134" t="s">
        <v>6</v>
      </c>
      <c r="K134" t="s">
        <v>737</v>
      </c>
      <c r="L134">
        <v>1191</v>
      </c>
      <c r="N134">
        <v>1013</v>
      </c>
      <c r="O134" t="s">
        <v>660</v>
      </c>
      <c r="P134" t="s">
        <v>660</v>
      </c>
      <c r="Q134">
        <v>1</v>
      </c>
      <c r="W134">
        <v>0</v>
      </c>
      <c r="X134">
        <v>1069510174</v>
      </c>
      <c r="Y134">
        <v>1.1199999999999999</v>
      </c>
      <c r="AA134">
        <v>0</v>
      </c>
      <c r="AB134">
        <v>0</v>
      </c>
      <c r="AC134">
        <v>0</v>
      </c>
      <c r="AD134">
        <v>64.55</v>
      </c>
      <c r="AE134">
        <v>0</v>
      </c>
      <c r="AF134">
        <v>0</v>
      </c>
      <c r="AG134">
        <v>0</v>
      </c>
      <c r="AH134">
        <v>9.6199999999999992</v>
      </c>
      <c r="AI134">
        <v>1</v>
      </c>
      <c r="AJ134">
        <v>1</v>
      </c>
      <c r="AK134">
        <v>1</v>
      </c>
      <c r="AL134">
        <v>6.71</v>
      </c>
      <c r="AN134">
        <v>0</v>
      </c>
      <c r="AO134">
        <v>1</v>
      </c>
      <c r="AP134">
        <v>1</v>
      </c>
      <c r="AQ134">
        <v>0</v>
      </c>
      <c r="AR134">
        <v>0</v>
      </c>
      <c r="AS134" t="s">
        <v>6</v>
      </c>
      <c r="AT134">
        <v>2.8</v>
      </c>
      <c r="AU134" t="s">
        <v>238</v>
      </c>
      <c r="AV134">
        <v>1</v>
      </c>
      <c r="AW134">
        <v>2</v>
      </c>
      <c r="AX134">
        <v>16802800</v>
      </c>
      <c r="AY134">
        <v>1</v>
      </c>
      <c r="AZ134">
        <v>0</v>
      </c>
      <c r="BA134">
        <v>127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Y134*Source!I80</f>
        <v>0.55999999999999994</v>
      </c>
      <c r="CY134">
        <f>AD134</f>
        <v>64.55</v>
      </c>
      <c r="CZ134">
        <f>AH134</f>
        <v>9.6199999999999992</v>
      </c>
      <c r="DA134">
        <f>AL134</f>
        <v>6.71</v>
      </c>
      <c r="DB134">
        <f>ROUND((ROUND(AT134*CZ134,2)*0.4),2)</f>
        <v>10.78</v>
      </c>
      <c r="DC134">
        <f>ROUND((ROUND(AT134*AG134,2)*0.4),2)</f>
        <v>0</v>
      </c>
    </row>
    <row r="135" spans="1:107" x14ac:dyDescent="0.2">
      <c r="A135">
        <f>ROW(Source!A80)</f>
        <v>80</v>
      </c>
      <c r="B135">
        <v>16802145</v>
      </c>
      <c r="C135">
        <v>16802797</v>
      </c>
      <c r="D135">
        <v>15189796</v>
      </c>
      <c r="E135">
        <v>1</v>
      </c>
      <c r="F135">
        <v>1</v>
      </c>
      <c r="G135">
        <v>1</v>
      </c>
      <c r="H135">
        <v>3</v>
      </c>
      <c r="I135" t="s">
        <v>752</v>
      </c>
      <c r="J135" t="s">
        <v>753</v>
      </c>
      <c r="K135" t="s">
        <v>754</v>
      </c>
      <c r="L135">
        <v>1348</v>
      </c>
      <c r="N135">
        <v>1009</v>
      </c>
      <c r="O135" t="s">
        <v>65</v>
      </c>
      <c r="P135" t="s">
        <v>65</v>
      </c>
      <c r="Q135">
        <v>1000</v>
      </c>
      <c r="W135">
        <v>0</v>
      </c>
      <c r="X135">
        <v>-1756095795</v>
      </c>
      <c r="Y135">
        <v>0</v>
      </c>
      <c r="AA135">
        <v>40186.19</v>
      </c>
      <c r="AB135">
        <v>0</v>
      </c>
      <c r="AC135">
        <v>0</v>
      </c>
      <c r="AD135">
        <v>0</v>
      </c>
      <c r="AE135">
        <v>5989</v>
      </c>
      <c r="AF135">
        <v>0</v>
      </c>
      <c r="AG135">
        <v>0</v>
      </c>
      <c r="AH135">
        <v>0</v>
      </c>
      <c r="AI135">
        <v>6.71</v>
      </c>
      <c r="AJ135">
        <v>1</v>
      </c>
      <c r="AK135">
        <v>1</v>
      </c>
      <c r="AL135">
        <v>1</v>
      </c>
      <c r="AN135">
        <v>0</v>
      </c>
      <c r="AO135">
        <v>1</v>
      </c>
      <c r="AP135">
        <v>1</v>
      </c>
      <c r="AQ135">
        <v>0</v>
      </c>
      <c r="AR135">
        <v>0</v>
      </c>
      <c r="AS135" t="s">
        <v>6</v>
      </c>
      <c r="AT135">
        <v>1E-4</v>
      </c>
      <c r="AU135" t="s">
        <v>227</v>
      </c>
      <c r="AV135">
        <v>0</v>
      </c>
      <c r="AW135">
        <v>2</v>
      </c>
      <c r="AX135">
        <v>16802803</v>
      </c>
      <c r="AY135">
        <v>1</v>
      </c>
      <c r="AZ135">
        <v>0</v>
      </c>
      <c r="BA135">
        <v>130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Y135*Source!I80</f>
        <v>0</v>
      </c>
      <c r="CY135">
        <f>AA135</f>
        <v>40186.19</v>
      </c>
      <c r="CZ135">
        <f>AE135</f>
        <v>5989</v>
      </c>
      <c r="DA135">
        <f>AI135</f>
        <v>6.71</v>
      </c>
      <c r="DB135">
        <f>ROUND((ROUND(AT135*CZ135,2)*0),2)</f>
        <v>0</v>
      </c>
      <c r="DC135">
        <f>ROUND((ROUND(AT135*AG135,2)*0),2)</f>
        <v>0</v>
      </c>
    </row>
    <row r="136" spans="1:107" x14ac:dyDescent="0.2">
      <c r="A136">
        <f>ROW(Source!A81)</f>
        <v>81</v>
      </c>
      <c r="B136">
        <v>16802145</v>
      </c>
      <c r="C136">
        <v>16802805</v>
      </c>
      <c r="D136">
        <v>15436556</v>
      </c>
      <c r="E136">
        <v>1</v>
      </c>
      <c r="F136">
        <v>1</v>
      </c>
      <c r="G136">
        <v>1</v>
      </c>
      <c r="H136">
        <v>1</v>
      </c>
      <c r="I136" t="s">
        <v>736</v>
      </c>
      <c r="J136" t="s">
        <v>6</v>
      </c>
      <c r="K136" t="s">
        <v>737</v>
      </c>
      <c r="L136">
        <v>1191</v>
      </c>
      <c r="N136">
        <v>1013</v>
      </c>
      <c r="O136" t="s">
        <v>660</v>
      </c>
      <c r="P136" t="s">
        <v>660</v>
      </c>
      <c r="Q136">
        <v>1</v>
      </c>
      <c r="W136">
        <v>0</v>
      </c>
      <c r="X136">
        <v>1069510174</v>
      </c>
      <c r="Y136">
        <v>2.8</v>
      </c>
      <c r="AA136">
        <v>0</v>
      </c>
      <c r="AB136">
        <v>0</v>
      </c>
      <c r="AC136">
        <v>0</v>
      </c>
      <c r="AD136">
        <v>64.55</v>
      </c>
      <c r="AE136">
        <v>0</v>
      </c>
      <c r="AF136">
        <v>0</v>
      </c>
      <c r="AG136">
        <v>0</v>
      </c>
      <c r="AH136">
        <v>9.6199999999999992</v>
      </c>
      <c r="AI136">
        <v>1</v>
      </c>
      <c r="AJ136">
        <v>1</v>
      </c>
      <c r="AK136">
        <v>1</v>
      </c>
      <c r="AL136">
        <v>6.71</v>
      </c>
      <c r="AN136">
        <v>0</v>
      </c>
      <c r="AO136">
        <v>1</v>
      </c>
      <c r="AP136">
        <v>0</v>
      </c>
      <c r="AQ136">
        <v>0</v>
      </c>
      <c r="AR136">
        <v>0</v>
      </c>
      <c r="AS136" t="s">
        <v>6</v>
      </c>
      <c r="AT136">
        <v>2.8</v>
      </c>
      <c r="AU136" t="s">
        <v>6</v>
      </c>
      <c r="AV136">
        <v>1</v>
      </c>
      <c r="AW136">
        <v>2</v>
      </c>
      <c r="AX136">
        <v>16802810</v>
      </c>
      <c r="AY136">
        <v>1</v>
      </c>
      <c r="AZ136">
        <v>0</v>
      </c>
      <c r="BA136">
        <v>132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Y136*Source!I81</f>
        <v>1.4</v>
      </c>
      <c r="CY136">
        <f>AD136</f>
        <v>64.55</v>
      </c>
      <c r="CZ136">
        <f>AH136</f>
        <v>9.6199999999999992</v>
      </c>
      <c r="DA136">
        <f>AL136</f>
        <v>6.71</v>
      </c>
      <c r="DB136">
        <f t="shared" ref="DB136:DB167" si="9">ROUND(ROUND(AT136*CZ136,2),2)</f>
        <v>26.94</v>
      </c>
      <c r="DC136">
        <f t="shared" ref="DC136:DC167" si="10">ROUND(ROUND(AT136*AG136,2),2)</f>
        <v>0</v>
      </c>
    </row>
    <row r="137" spans="1:107" x14ac:dyDescent="0.2">
      <c r="A137">
        <f>ROW(Source!A81)</f>
        <v>81</v>
      </c>
      <c r="B137">
        <v>16802145</v>
      </c>
      <c r="C137">
        <v>16802805</v>
      </c>
      <c r="D137">
        <v>15189796</v>
      </c>
      <c r="E137">
        <v>1</v>
      </c>
      <c r="F137">
        <v>1</v>
      </c>
      <c r="G137">
        <v>1</v>
      </c>
      <c r="H137">
        <v>3</v>
      </c>
      <c r="I137" t="s">
        <v>752</v>
      </c>
      <c r="J137" t="s">
        <v>753</v>
      </c>
      <c r="K137" t="s">
        <v>754</v>
      </c>
      <c r="L137">
        <v>1348</v>
      </c>
      <c r="N137">
        <v>1009</v>
      </c>
      <c r="O137" t="s">
        <v>65</v>
      </c>
      <c r="P137" t="s">
        <v>65</v>
      </c>
      <c r="Q137">
        <v>1000</v>
      </c>
      <c r="W137">
        <v>0</v>
      </c>
      <c r="X137">
        <v>-1756095795</v>
      </c>
      <c r="Y137">
        <v>1E-4</v>
      </c>
      <c r="AA137">
        <v>40186.19</v>
      </c>
      <c r="AB137">
        <v>0</v>
      </c>
      <c r="AC137">
        <v>0</v>
      </c>
      <c r="AD137">
        <v>0</v>
      </c>
      <c r="AE137">
        <v>5989</v>
      </c>
      <c r="AF137">
        <v>0</v>
      </c>
      <c r="AG137">
        <v>0</v>
      </c>
      <c r="AH137">
        <v>0</v>
      </c>
      <c r="AI137">
        <v>6.71</v>
      </c>
      <c r="AJ137">
        <v>1</v>
      </c>
      <c r="AK137">
        <v>1</v>
      </c>
      <c r="AL137">
        <v>1</v>
      </c>
      <c r="AN137">
        <v>0</v>
      </c>
      <c r="AO137">
        <v>1</v>
      </c>
      <c r="AP137">
        <v>0</v>
      </c>
      <c r="AQ137">
        <v>0</v>
      </c>
      <c r="AR137">
        <v>0</v>
      </c>
      <c r="AS137" t="s">
        <v>6</v>
      </c>
      <c r="AT137">
        <v>1E-4</v>
      </c>
      <c r="AU137" t="s">
        <v>6</v>
      </c>
      <c r="AV137">
        <v>0</v>
      </c>
      <c r="AW137">
        <v>2</v>
      </c>
      <c r="AX137">
        <v>16802813</v>
      </c>
      <c r="AY137">
        <v>1</v>
      </c>
      <c r="AZ137">
        <v>0</v>
      </c>
      <c r="BA137">
        <v>135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Y137*Source!I81</f>
        <v>5.0000000000000002E-5</v>
      </c>
      <c r="CY137">
        <f>AA137</f>
        <v>40186.19</v>
      </c>
      <c r="CZ137">
        <f>AE137</f>
        <v>5989</v>
      </c>
      <c r="DA137">
        <f>AI137</f>
        <v>6.71</v>
      </c>
      <c r="DB137">
        <f t="shared" si="9"/>
        <v>0.6</v>
      </c>
      <c r="DC137">
        <f t="shared" si="10"/>
        <v>0</v>
      </c>
    </row>
    <row r="138" spans="1:107" x14ac:dyDescent="0.2">
      <c r="A138">
        <f>ROW(Source!A81)</f>
        <v>81</v>
      </c>
      <c r="B138">
        <v>16802145</v>
      </c>
      <c r="C138">
        <v>16802805</v>
      </c>
      <c r="D138">
        <v>15211932</v>
      </c>
      <c r="E138">
        <v>1</v>
      </c>
      <c r="F138">
        <v>1</v>
      </c>
      <c r="G138">
        <v>1</v>
      </c>
      <c r="H138">
        <v>3</v>
      </c>
      <c r="I138" t="s">
        <v>245</v>
      </c>
      <c r="J138" t="s">
        <v>247</v>
      </c>
      <c r="K138" t="s">
        <v>246</v>
      </c>
      <c r="L138">
        <v>1354</v>
      </c>
      <c r="N138">
        <v>1010</v>
      </c>
      <c r="O138" t="s">
        <v>42</v>
      </c>
      <c r="P138" t="s">
        <v>42</v>
      </c>
      <c r="Q138">
        <v>1</v>
      </c>
      <c r="W138">
        <v>0</v>
      </c>
      <c r="X138">
        <v>2053814225</v>
      </c>
      <c r="Y138">
        <v>10</v>
      </c>
      <c r="AA138">
        <v>25.1</v>
      </c>
      <c r="AB138">
        <v>0</v>
      </c>
      <c r="AC138">
        <v>0</v>
      </c>
      <c r="AD138">
        <v>0</v>
      </c>
      <c r="AE138">
        <v>3.74</v>
      </c>
      <c r="AF138">
        <v>0</v>
      </c>
      <c r="AG138">
        <v>0</v>
      </c>
      <c r="AH138">
        <v>0</v>
      </c>
      <c r="AI138">
        <v>6.71</v>
      </c>
      <c r="AJ138">
        <v>1</v>
      </c>
      <c r="AK138">
        <v>1</v>
      </c>
      <c r="AL138">
        <v>1</v>
      </c>
      <c r="AN138">
        <v>0</v>
      </c>
      <c r="AO138">
        <v>0</v>
      </c>
      <c r="AP138">
        <v>0</v>
      </c>
      <c r="AQ138">
        <v>0</v>
      </c>
      <c r="AR138">
        <v>0</v>
      </c>
      <c r="AS138" t="s">
        <v>6</v>
      </c>
      <c r="AT138">
        <v>10</v>
      </c>
      <c r="AU138" t="s">
        <v>6</v>
      </c>
      <c r="AV138">
        <v>0</v>
      </c>
      <c r="AW138">
        <v>1</v>
      </c>
      <c r="AX138">
        <v>-1</v>
      </c>
      <c r="AY138">
        <v>0</v>
      </c>
      <c r="AZ138">
        <v>0</v>
      </c>
      <c r="BA138" t="s">
        <v>6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Y138*Source!I81</f>
        <v>5</v>
      </c>
      <c r="CY138">
        <f>AA138</f>
        <v>25.1</v>
      </c>
      <c r="CZ138">
        <f>AE138</f>
        <v>3.74</v>
      </c>
      <c r="DA138">
        <f>AI138</f>
        <v>6.71</v>
      </c>
      <c r="DB138">
        <f t="shared" si="9"/>
        <v>37.4</v>
      </c>
      <c r="DC138">
        <f t="shared" si="10"/>
        <v>0</v>
      </c>
    </row>
    <row r="139" spans="1:107" x14ac:dyDescent="0.2">
      <c r="A139">
        <f>ROW(Source!A83)</f>
        <v>83</v>
      </c>
      <c r="B139">
        <v>16802145</v>
      </c>
      <c r="C139">
        <v>16802817</v>
      </c>
      <c r="D139">
        <v>15430447</v>
      </c>
      <c r="E139">
        <v>1</v>
      </c>
      <c r="F139">
        <v>1</v>
      </c>
      <c r="G139">
        <v>1</v>
      </c>
      <c r="H139">
        <v>1</v>
      </c>
      <c r="I139" t="s">
        <v>755</v>
      </c>
      <c r="J139" t="s">
        <v>6</v>
      </c>
      <c r="K139" t="s">
        <v>756</v>
      </c>
      <c r="L139">
        <v>1191</v>
      </c>
      <c r="N139">
        <v>1013</v>
      </c>
      <c r="O139" t="s">
        <v>660</v>
      </c>
      <c r="P139" t="s">
        <v>660</v>
      </c>
      <c r="Q139">
        <v>1</v>
      </c>
      <c r="W139">
        <v>0</v>
      </c>
      <c r="X139">
        <v>145020957</v>
      </c>
      <c r="Y139">
        <v>505</v>
      </c>
      <c r="AA139">
        <v>0</v>
      </c>
      <c r="AB139">
        <v>0</v>
      </c>
      <c r="AC139">
        <v>0</v>
      </c>
      <c r="AD139">
        <v>60.86</v>
      </c>
      <c r="AE139">
        <v>0</v>
      </c>
      <c r="AF139">
        <v>0</v>
      </c>
      <c r="AG139">
        <v>0</v>
      </c>
      <c r="AH139">
        <v>9.07</v>
      </c>
      <c r="AI139">
        <v>1</v>
      </c>
      <c r="AJ139">
        <v>1</v>
      </c>
      <c r="AK139">
        <v>1</v>
      </c>
      <c r="AL139">
        <v>6.71</v>
      </c>
      <c r="AN139">
        <v>0</v>
      </c>
      <c r="AO139">
        <v>1</v>
      </c>
      <c r="AP139">
        <v>0</v>
      </c>
      <c r="AQ139">
        <v>0</v>
      </c>
      <c r="AR139">
        <v>0</v>
      </c>
      <c r="AS139" t="s">
        <v>6</v>
      </c>
      <c r="AT139">
        <v>505</v>
      </c>
      <c r="AU139" t="s">
        <v>6</v>
      </c>
      <c r="AV139">
        <v>1</v>
      </c>
      <c r="AW139">
        <v>2</v>
      </c>
      <c r="AX139">
        <v>16802832</v>
      </c>
      <c r="AY139">
        <v>1</v>
      </c>
      <c r="AZ139">
        <v>0</v>
      </c>
      <c r="BA139">
        <v>137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Y139*Source!I83</f>
        <v>35.35</v>
      </c>
      <c r="CY139">
        <f>AD139</f>
        <v>60.86</v>
      </c>
      <c r="CZ139">
        <f>AH139</f>
        <v>9.07</v>
      </c>
      <c r="DA139">
        <f>AL139</f>
        <v>6.71</v>
      </c>
      <c r="DB139">
        <f t="shared" si="9"/>
        <v>4580.3500000000004</v>
      </c>
      <c r="DC139">
        <f t="shared" si="10"/>
        <v>0</v>
      </c>
    </row>
    <row r="140" spans="1:107" x14ac:dyDescent="0.2">
      <c r="A140">
        <f>ROW(Source!A83)</f>
        <v>83</v>
      </c>
      <c r="B140">
        <v>16802145</v>
      </c>
      <c r="C140">
        <v>16802817</v>
      </c>
      <c r="D140">
        <v>15430395</v>
      </c>
      <c r="E140">
        <v>1</v>
      </c>
      <c r="F140">
        <v>1</v>
      </c>
      <c r="G140">
        <v>1</v>
      </c>
      <c r="H140">
        <v>1</v>
      </c>
      <c r="I140" t="s">
        <v>661</v>
      </c>
      <c r="J140" t="s">
        <v>6</v>
      </c>
      <c r="K140" t="s">
        <v>662</v>
      </c>
      <c r="L140">
        <v>1191</v>
      </c>
      <c r="N140">
        <v>1013</v>
      </c>
      <c r="O140" t="s">
        <v>660</v>
      </c>
      <c r="P140" t="s">
        <v>660</v>
      </c>
      <c r="Q140">
        <v>1</v>
      </c>
      <c r="W140">
        <v>0</v>
      </c>
      <c r="X140">
        <v>-1417349443</v>
      </c>
      <c r="Y140">
        <v>0.13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1</v>
      </c>
      <c r="AJ140">
        <v>1</v>
      </c>
      <c r="AK140">
        <v>6.71</v>
      </c>
      <c r="AL140">
        <v>1</v>
      </c>
      <c r="AN140">
        <v>0</v>
      </c>
      <c r="AO140">
        <v>1</v>
      </c>
      <c r="AP140">
        <v>0</v>
      </c>
      <c r="AQ140">
        <v>0</v>
      </c>
      <c r="AR140">
        <v>0</v>
      </c>
      <c r="AS140" t="s">
        <v>6</v>
      </c>
      <c r="AT140">
        <v>0.13</v>
      </c>
      <c r="AU140" t="s">
        <v>6</v>
      </c>
      <c r="AV140">
        <v>2</v>
      </c>
      <c r="AW140">
        <v>2</v>
      </c>
      <c r="AX140">
        <v>16802833</v>
      </c>
      <c r="AY140">
        <v>1</v>
      </c>
      <c r="AZ140">
        <v>0</v>
      </c>
      <c r="BA140">
        <v>138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Y140*Source!I83</f>
        <v>9.1000000000000004E-3</v>
      </c>
      <c r="CY140">
        <f>AD140</f>
        <v>0</v>
      </c>
      <c r="CZ140">
        <f>AH140</f>
        <v>0</v>
      </c>
      <c r="DA140">
        <f>AL140</f>
        <v>1</v>
      </c>
      <c r="DB140">
        <f t="shared" si="9"/>
        <v>0</v>
      </c>
      <c r="DC140">
        <f t="shared" si="10"/>
        <v>0</v>
      </c>
    </row>
    <row r="141" spans="1:107" x14ac:dyDescent="0.2">
      <c r="A141">
        <f>ROW(Source!A83)</f>
        <v>83</v>
      </c>
      <c r="B141">
        <v>16802145</v>
      </c>
      <c r="C141">
        <v>16802817</v>
      </c>
      <c r="D141">
        <v>15249073</v>
      </c>
      <c r="E141">
        <v>1</v>
      </c>
      <c r="F141">
        <v>1</v>
      </c>
      <c r="G141">
        <v>1</v>
      </c>
      <c r="H141">
        <v>2</v>
      </c>
      <c r="I141" t="s">
        <v>684</v>
      </c>
      <c r="J141" t="s">
        <v>685</v>
      </c>
      <c r="K141" t="s">
        <v>686</v>
      </c>
      <c r="L141">
        <v>1368</v>
      </c>
      <c r="N141">
        <v>1011</v>
      </c>
      <c r="O141" t="s">
        <v>666</v>
      </c>
      <c r="P141" t="s">
        <v>666</v>
      </c>
      <c r="Q141">
        <v>1</v>
      </c>
      <c r="W141">
        <v>0</v>
      </c>
      <c r="X141">
        <v>1372534845</v>
      </c>
      <c r="Y141">
        <v>0.13</v>
      </c>
      <c r="AA141">
        <v>0</v>
      </c>
      <c r="AB141">
        <v>440.91</v>
      </c>
      <c r="AC141">
        <v>11.6</v>
      </c>
      <c r="AD141">
        <v>0</v>
      </c>
      <c r="AE141">
        <v>0</v>
      </c>
      <c r="AF141">
        <v>65.709999999999994</v>
      </c>
      <c r="AG141">
        <v>11.6</v>
      </c>
      <c r="AH141">
        <v>0</v>
      </c>
      <c r="AI141">
        <v>1</v>
      </c>
      <c r="AJ141">
        <v>6.71</v>
      </c>
      <c r="AK141">
        <v>1</v>
      </c>
      <c r="AL141">
        <v>1</v>
      </c>
      <c r="AN141">
        <v>0</v>
      </c>
      <c r="AO141">
        <v>1</v>
      </c>
      <c r="AP141">
        <v>0</v>
      </c>
      <c r="AQ141">
        <v>0</v>
      </c>
      <c r="AR141">
        <v>0</v>
      </c>
      <c r="AS141" t="s">
        <v>6</v>
      </c>
      <c r="AT141">
        <v>0.13</v>
      </c>
      <c r="AU141" t="s">
        <v>6</v>
      </c>
      <c r="AV141">
        <v>0</v>
      </c>
      <c r="AW141">
        <v>2</v>
      </c>
      <c r="AX141">
        <v>16802834</v>
      </c>
      <c r="AY141">
        <v>1</v>
      </c>
      <c r="AZ141">
        <v>0</v>
      </c>
      <c r="BA141">
        <v>139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Y141*Source!I83</f>
        <v>9.1000000000000004E-3</v>
      </c>
      <c r="CY141">
        <f>AB141</f>
        <v>440.91</v>
      </c>
      <c r="CZ141">
        <f>AF141</f>
        <v>65.709999999999994</v>
      </c>
      <c r="DA141">
        <f>AJ141</f>
        <v>6.71</v>
      </c>
      <c r="DB141">
        <f t="shared" si="9"/>
        <v>8.5399999999999991</v>
      </c>
      <c r="DC141">
        <f t="shared" si="10"/>
        <v>1.51</v>
      </c>
    </row>
    <row r="142" spans="1:107" x14ac:dyDescent="0.2">
      <c r="A142">
        <f>ROW(Source!A83)</f>
        <v>83</v>
      </c>
      <c r="B142">
        <v>16802145</v>
      </c>
      <c r="C142">
        <v>16802817</v>
      </c>
      <c r="D142">
        <v>15165390</v>
      </c>
      <c r="E142">
        <v>1</v>
      </c>
      <c r="F142">
        <v>1</v>
      </c>
      <c r="G142">
        <v>1</v>
      </c>
      <c r="H142">
        <v>3</v>
      </c>
      <c r="I142" t="s">
        <v>757</v>
      </c>
      <c r="J142" t="s">
        <v>758</v>
      </c>
      <c r="K142" t="s">
        <v>759</v>
      </c>
      <c r="L142">
        <v>1348</v>
      </c>
      <c r="N142">
        <v>1009</v>
      </c>
      <c r="O142" t="s">
        <v>65</v>
      </c>
      <c r="P142" t="s">
        <v>65</v>
      </c>
      <c r="Q142">
        <v>1000</v>
      </c>
      <c r="W142">
        <v>0</v>
      </c>
      <c r="X142">
        <v>-967072784</v>
      </c>
      <c r="Y142">
        <v>2E-3</v>
      </c>
      <c r="AA142">
        <v>22746.9</v>
      </c>
      <c r="AB142">
        <v>0</v>
      </c>
      <c r="AC142">
        <v>0</v>
      </c>
      <c r="AD142">
        <v>0</v>
      </c>
      <c r="AE142">
        <v>3390</v>
      </c>
      <c r="AF142">
        <v>0</v>
      </c>
      <c r="AG142">
        <v>0</v>
      </c>
      <c r="AH142">
        <v>0</v>
      </c>
      <c r="AI142">
        <v>6.71</v>
      </c>
      <c r="AJ142">
        <v>1</v>
      </c>
      <c r="AK142">
        <v>1</v>
      </c>
      <c r="AL142">
        <v>1</v>
      </c>
      <c r="AN142">
        <v>0</v>
      </c>
      <c r="AO142">
        <v>1</v>
      </c>
      <c r="AP142">
        <v>0</v>
      </c>
      <c r="AQ142">
        <v>0</v>
      </c>
      <c r="AR142">
        <v>0</v>
      </c>
      <c r="AS142" t="s">
        <v>6</v>
      </c>
      <c r="AT142">
        <v>2E-3</v>
      </c>
      <c r="AU142" t="s">
        <v>6</v>
      </c>
      <c r="AV142">
        <v>0</v>
      </c>
      <c r="AW142">
        <v>2</v>
      </c>
      <c r="AX142">
        <v>16802835</v>
      </c>
      <c r="AY142">
        <v>1</v>
      </c>
      <c r="AZ142">
        <v>0</v>
      </c>
      <c r="BA142">
        <v>140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Y142*Source!I83</f>
        <v>1.4000000000000001E-4</v>
      </c>
      <c r="CY142">
        <f t="shared" ref="CY142:CY151" si="11">AA142</f>
        <v>22746.9</v>
      </c>
      <c r="CZ142">
        <f t="shared" ref="CZ142:CZ151" si="12">AE142</f>
        <v>3390</v>
      </c>
      <c r="DA142">
        <f t="shared" ref="DA142:DA151" si="13">AI142</f>
        <v>6.71</v>
      </c>
      <c r="DB142">
        <f t="shared" si="9"/>
        <v>6.78</v>
      </c>
      <c r="DC142">
        <f t="shared" si="10"/>
        <v>0</v>
      </c>
    </row>
    <row r="143" spans="1:107" x14ac:dyDescent="0.2">
      <c r="A143">
        <f>ROW(Source!A83)</f>
        <v>83</v>
      </c>
      <c r="B143">
        <v>16802145</v>
      </c>
      <c r="C143">
        <v>16802817</v>
      </c>
      <c r="D143">
        <v>15167286</v>
      </c>
      <c r="E143">
        <v>1</v>
      </c>
      <c r="F143">
        <v>1</v>
      </c>
      <c r="G143">
        <v>1</v>
      </c>
      <c r="H143">
        <v>3</v>
      </c>
      <c r="I143" t="s">
        <v>669</v>
      </c>
      <c r="J143" t="s">
        <v>670</v>
      </c>
      <c r="K143" t="s">
        <v>671</v>
      </c>
      <c r="L143">
        <v>1339</v>
      </c>
      <c r="N143">
        <v>1007</v>
      </c>
      <c r="O143" t="s">
        <v>61</v>
      </c>
      <c r="P143" t="s">
        <v>61</v>
      </c>
      <c r="Q143">
        <v>1</v>
      </c>
      <c r="W143">
        <v>0</v>
      </c>
      <c r="X143">
        <v>-1660354250</v>
      </c>
      <c r="Y143">
        <v>0.17</v>
      </c>
      <c r="AA143">
        <v>16.37</v>
      </c>
      <c r="AB143">
        <v>0</v>
      </c>
      <c r="AC143">
        <v>0</v>
      </c>
      <c r="AD143">
        <v>0</v>
      </c>
      <c r="AE143">
        <v>2.44</v>
      </c>
      <c r="AF143">
        <v>0</v>
      </c>
      <c r="AG143">
        <v>0</v>
      </c>
      <c r="AH143">
        <v>0</v>
      </c>
      <c r="AI143">
        <v>6.71</v>
      </c>
      <c r="AJ143">
        <v>1</v>
      </c>
      <c r="AK143">
        <v>1</v>
      </c>
      <c r="AL143">
        <v>1</v>
      </c>
      <c r="AN143">
        <v>0</v>
      </c>
      <c r="AO143">
        <v>1</v>
      </c>
      <c r="AP143">
        <v>0</v>
      </c>
      <c r="AQ143">
        <v>0</v>
      </c>
      <c r="AR143">
        <v>0</v>
      </c>
      <c r="AS143" t="s">
        <v>6</v>
      </c>
      <c r="AT143">
        <v>0.17</v>
      </c>
      <c r="AU143" t="s">
        <v>6</v>
      </c>
      <c r="AV143">
        <v>0</v>
      </c>
      <c r="AW143">
        <v>2</v>
      </c>
      <c r="AX143">
        <v>16802836</v>
      </c>
      <c r="AY143">
        <v>1</v>
      </c>
      <c r="AZ143">
        <v>0</v>
      </c>
      <c r="BA143">
        <v>141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Y143*Source!I83</f>
        <v>1.1900000000000003E-2</v>
      </c>
      <c r="CY143">
        <f t="shared" si="11"/>
        <v>16.37</v>
      </c>
      <c r="CZ143">
        <f t="shared" si="12"/>
        <v>2.44</v>
      </c>
      <c r="DA143">
        <f t="shared" si="13"/>
        <v>6.71</v>
      </c>
      <c r="DB143">
        <f t="shared" si="9"/>
        <v>0.41</v>
      </c>
      <c r="DC143">
        <f t="shared" si="10"/>
        <v>0</v>
      </c>
    </row>
    <row r="144" spans="1:107" x14ac:dyDescent="0.2">
      <c r="A144">
        <f>ROW(Source!A83)</f>
        <v>83</v>
      </c>
      <c r="B144">
        <v>16802145</v>
      </c>
      <c r="C144">
        <v>16802817</v>
      </c>
      <c r="D144">
        <v>15170039</v>
      </c>
      <c r="E144">
        <v>1</v>
      </c>
      <c r="F144">
        <v>1</v>
      </c>
      <c r="G144">
        <v>1</v>
      </c>
      <c r="H144">
        <v>3</v>
      </c>
      <c r="I144" t="s">
        <v>760</v>
      </c>
      <c r="J144" t="s">
        <v>761</v>
      </c>
      <c r="K144" t="s">
        <v>762</v>
      </c>
      <c r="L144">
        <v>1348</v>
      </c>
      <c r="N144">
        <v>1009</v>
      </c>
      <c r="O144" t="s">
        <v>65</v>
      </c>
      <c r="P144" t="s">
        <v>65</v>
      </c>
      <c r="Q144">
        <v>1000</v>
      </c>
      <c r="W144">
        <v>0</v>
      </c>
      <c r="X144">
        <v>1174701286</v>
      </c>
      <c r="Y144">
        <v>4.0000000000000001E-3</v>
      </c>
      <c r="AA144">
        <v>80372.38</v>
      </c>
      <c r="AB144">
        <v>0</v>
      </c>
      <c r="AC144">
        <v>0</v>
      </c>
      <c r="AD144">
        <v>0</v>
      </c>
      <c r="AE144">
        <v>11978</v>
      </c>
      <c r="AF144">
        <v>0</v>
      </c>
      <c r="AG144">
        <v>0</v>
      </c>
      <c r="AH144">
        <v>0</v>
      </c>
      <c r="AI144">
        <v>6.71</v>
      </c>
      <c r="AJ144">
        <v>1</v>
      </c>
      <c r="AK144">
        <v>1</v>
      </c>
      <c r="AL144">
        <v>1</v>
      </c>
      <c r="AN144">
        <v>0</v>
      </c>
      <c r="AO144">
        <v>1</v>
      </c>
      <c r="AP144">
        <v>0</v>
      </c>
      <c r="AQ144">
        <v>0</v>
      </c>
      <c r="AR144">
        <v>0</v>
      </c>
      <c r="AS144" t="s">
        <v>6</v>
      </c>
      <c r="AT144">
        <v>4.0000000000000001E-3</v>
      </c>
      <c r="AU144" t="s">
        <v>6</v>
      </c>
      <c r="AV144">
        <v>0</v>
      </c>
      <c r="AW144">
        <v>2</v>
      </c>
      <c r="AX144">
        <v>16802838</v>
      </c>
      <c r="AY144">
        <v>1</v>
      </c>
      <c r="AZ144">
        <v>0</v>
      </c>
      <c r="BA144">
        <v>143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Y144*Source!I83</f>
        <v>2.8000000000000003E-4</v>
      </c>
      <c r="CY144">
        <f t="shared" si="11"/>
        <v>80372.38</v>
      </c>
      <c r="CZ144">
        <f t="shared" si="12"/>
        <v>11978</v>
      </c>
      <c r="DA144">
        <f t="shared" si="13"/>
        <v>6.71</v>
      </c>
      <c r="DB144">
        <f t="shared" si="9"/>
        <v>47.91</v>
      </c>
      <c r="DC144">
        <f t="shared" si="10"/>
        <v>0</v>
      </c>
    </row>
    <row r="145" spans="1:107" x14ac:dyDescent="0.2">
      <c r="A145">
        <f>ROW(Source!A83)</f>
        <v>83</v>
      </c>
      <c r="B145">
        <v>16802145</v>
      </c>
      <c r="C145">
        <v>16802817</v>
      </c>
      <c r="D145">
        <v>15170437</v>
      </c>
      <c r="E145">
        <v>1</v>
      </c>
      <c r="F145">
        <v>1</v>
      </c>
      <c r="G145">
        <v>1</v>
      </c>
      <c r="H145">
        <v>3</v>
      </c>
      <c r="I145" t="s">
        <v>763</v>
      </c>
      <c r="J145" t="s">
        <v>764</v>
      </c>
      <c r="K145" t="s">
        <v>765</v>
      </c>
      <c r="L145">
        <v>1348</v>
      </c>
      <c r="N145">
        <v>1009</v>
      </c>
      <c r="O145" t="s">
        <v>65</v>
      </c>
      <c r="P145" t="s">
        <v>65</v>
      </c>
      <c r="Q145">
        <v>1000</v>
      </c>
      <c r="W145">
        <v>0</v>
      </c>
      <c r="X145">
        <v>2128740752</v>
      </c>
      <c r="Y145">
        <v>2.2399999999999998E-3</v>
      </c>
      <c r="AA145">
        <v>113895.54</v>
      </c>
      <c r="AB145">
        <v>0</v>
      </c>
      <c r="AC145">
        <v>0</v>
      </c>
      <c r="AD145">
        <v>0</v>
      </c>
      <c r="AE145">
        <v>16974</v>
      </c>
      <c r="AF145">
        <v>0</v>
      </c>
      <c r="AG145">
        <v>0</v>
      </c>
      <c r="AH145">
        <v>0</v>
      </c>
      <c r="AI145">
        <v>6.71</v>
      </c>
      <c r="AJ145">
        <v>1</v>
      </c>
      <c r="AK145">
        <v>1</v>
      </c>
      <c r="AL145">
        <v>1</v>
      </c>
      <c r="AN145">
        <v>0</v>
      </c>
      <c r="AO145">
        <v>1</v>
      </c>
      <c r="AP145">
        <v>0</v>
      </c>
      <c r="AQ145">
        <v>0</v>
      </c>
      <c r="AR145">
        <v>0</v>
      </c>
      <c r="AS145" t="s">
        <v>6</v>
      </c>
      <c r="AT145">
        <v>2.2399999999999998E-3</v>
      </c>
      <c r="AU145" t="s">
        <v>6</v>
      </c>
      <c r="AV145">
        <v>0</v>
      </c>
      <c r="AW145">
        <v>2</v>
      </c>
      <c r="AX145">
        <v>16802839</v>
      </c>
      <c r="AY145">
        <v>1</v>
      </c>
      <c r="AZ145">
        <v>0</v>
      </c>
      <c r="BA145">
        <v>144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Y145*Source!I83</f>
        <v>1.5679999999999999E-4</v>
      </c>
      <c r="CY145">
        <f t="shared" si="11"/>
        <v>113895.54</v>
      </c>
      <c r="CZ145">
        <f t="shared" si="12"/>
        <v>16974</v>
      </c>
      <c r="DA145">
        <f t="shared" si="13"/>
        <v>6.71</v>
      </c>
      <c r="DB145">
        <f t="shared" si="9"/>
        <v>38.020000000000003</v>
      </c>
      <c r="DC145">
        <f t="shared" si="10"/>
        <v>0</v>
      </c>
    </row>
    <row r="146" spans="1:107" x14ac:dyDescent="0.2">
      <c r="A146">
        <f>ROW(Source!A83)</f>
        <v>83</v>
      </c>
      <c r="B146">
        <v>16802145</v>
      </c>
      <c r="C146">
        <v>16802817</v>
      </c>
      <c r="D146">
        <v>15170843</v>
      </c>
      <c r="E146">
        <v>1</v>
      </c>
      <c r="F146">
        <v>1</v>
      </c>
      <c r="G146">
        <v>1</v>
      </c>
      <c r="H146">
        <v>3</v>
      </c>
      <c r="I146" t="s">
        <v>255</v>
      </c>
      <c r="J146" t="s">
        <v>257</v>
      </c>
      <c r="K146" t="s">
        <v>256</v>
      </c>
      <c r="L146">
        <v>1301</v>
      </c>
      <c r="N146">
        <v>1003</v>
      </c>
      <c r="O146" t="s">
        <v>115</v>
      </c>
      <c r="P146" t="s">
        <v>115</v>
      </c>
      <c r="Q146">
        <v>1</v>
      </c>
      <c r="W146">
        <v>0</v>
      </c>
      <c r="X146">
        <v>2008626522</v>
      </c>
      <c r="Y146">
        <v>100</v>
      </c>
      <c r="AA146">
        <v>103.4</v>
      </c>
      <c r="AB146">
        <v>0</v>
      </c>
      <c r="AC146">
        <v>0</v>
      </c>
      <c r="AD146">
        <v>0</v>
      </c>
      <c r="AE146">
        <v>15.41</v>
      </c>
      <c r="AF146">
        <v>0</v>
      </c>
      <c r="AG146">
        <v>0</v>
      </c>
      <c r="AH146">
        <v>0</v>
      </c>
      <c r="AI146">
        <v>6.71</v>
      </c>
      <c r="AJ146">
        <v>1</v>
      </c>
      <c r="AK146">
        <v>1</v>
      </c>
      <c r="AL146">
        <v>1</v>
      </c>
      <c r="AN146">
        <v>0</v>
      </c>
      <c r="AO146">
        <v>0</v>
      </c>
      <c r="AP146">
        <v>0</v>
      </c>
      <c r="AQ146">
        <v>0</v>
      </c>
      <c r="AR146">
        <v>0</v>
      </c>
      <c r="AS146" t="s">
        <v>6</v>
      </c>
      <c r="AT146">
        <v>100</v>
      </c>
      <c r="AU146" t="s">
        <v>6</v>
      </c>
      <c r="AV146">
        <v>0</v>
      </c>
      <c r="AW146">
        <v>1</v>
      </c>
      <c r="AX146">
        <v>-1</v>
      </c>
      <c r="AY146">
        <v>0</v>
      </c>
      <c r="AZ146">
        <v>0</v>
      </c>
      <c r="BA146" t="s">
        <v>6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Y146*Source!I83</f>
        <v>7.0000000000000009</v>
      </c>
      <c r="CY146">
        <f t="shared" si="11"/>
        <v>103.4</v>
      </c>
      <c r="CZ146">
        <f t="shared" si="12"/>
        <v>15.41</v>
      </c>
      <c r="DA146">
        <f t="shared" si="13"/>
        <v>6.71</v>
      </c>
      <c r="DB146">
        <f t="shared" si="9"/>
        <v>1541</v>
      </c>
      <c r="DC146">
        <f t="shared" si="10"/>
        <v>0</v>
      </c>
    </row>
    <row r="147" spans="1:107" x14ac:dyDescent="0.2">
      <c r="A147">
        <f>ROW(Source!A83)</f>
        <v>83</v>
      </c>
      <c r="B147">
        <v>16802145</v>
      </c>
      <c r="C147">
        <v>16802817</v>
      </c>
      <c r="D147">
        <v>15171982</v>
      </c>
      <c r="E147">
        <v>1</v>
      </c>
      <c r="F147">
        <v>1</v>
      </c>
      <c r="G147">
        <v>1</v>
      </c>
      <c r="H147">
        <v>3</v>
      </c>
      <c r="I147" t="s">
        <v>672</v>
      </c>
      <c r="J147" t="s">
        <v>673</v>
      </c>
      <c r="K147" t="s">
        <v>674</v>
      </c>
      <c r="L147">
        <v>1348</v>
      </c>
      <c r="N147">
        <v>1009</v>
      </c>
      <c r="O147" t="s">
        <v>65</v>
      </c>
      <c r="P147" t="s">
        <v>65</v>
      </c>
      <c r="Q147">
        <v>1000</v>
      </c>
      <c r="W147">
        <v>0</v>
      </c>
      <c r="X147">
        <v>-1421715385</v>
      </c>
      <c r="Y147">
        <v>0.16500000000000001</v>
      </c>
      <c r="AA147">
        <v>4898.17</v>
      </c>
      <c r="AB147">
        <v>0</v>
      </c>
      <c r="AC147">
        <v>0</v>
      </c>
      <c r="AD147">
        <v>0</v>
      </c>
      <c r="AE147">
        <v>729.98</v>
      </c>
      <c r="AF147">
        <v>0</v>
      </c>
      <c r="AG147">
        <v>0</v>
      </c>
      <c r="AH147">
        <v>0</v>
      </c>
      <c r="AI147">
        <v>6.71</v>
      </c>
      <c r="AJ147">
        <v>1</v>
      </c>
      <c r="AK147">
        <v>1</v>
      </c>
      <c r="AL147">
        <v>1</v>
      </c>
      <c r="AN147">
        <v>0</v>
      </c>
      <c r="AO147">
        <v>1</v>
      </c>
      <c r="AP147">
        <v>0</v>
      </c>
      <c r="AQ147">
        <v>0</v>
      </c>
      <c r="AR147">
        <v>0</v>
      </c>
      <c r="AS147" t="s">
        <v>6</v>
      </c>
      <c r="AT147">
        <v>0.16500000000000001</v>
      </c>
      <c r="AU147" t="s">
        <v>6</v>
      </c>
      <c r="AV147">
        <v>0</v>
      </c>
      <c r="AW147">
        <v>2</v>
      </c>
      <c r="AX147">
        <v>16802840</v>
      </c>
      <c r="AY147">
        <v>1</v>
      </c>
      <c r="AZ147">
        <v>0</v>
      </c>
      <c r="BA147">
        <v>145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Y147*Source!I83</f>
        <v>1.1550000000000001E-2</v>
      </c>
      <c r="CY147">
        <f t="shared" si="11"/>
        <v>4898.17</v>
      </c>
      <c r="CZ147">
        <f t="shared" si="12"/>
        <v>729.98</v>
      </c>
      <c r="DA147">
        <f t="shared" si="13"/>
        <v>6.71</v>
      </c>
      <c r="DB147">
        <f t="shared" si="9"/>
        <v>120.45</v>
      </c>
      <c r="DC147">
        <f t="shared" si="10"/>
        <v>0</v>
      </c>
    </row>
    <row r="148" spans="1:107" x14ac:dyDescent="0.2">
      <c r="A148">
        <f>ROW(Source!A83)</f>
        <v>83</v>
      </c>
      <c r="B148">
        <v>16802145</v>
      </c>
      <c r="C148">
        <v>16802817</v>
      </c>
      <c r="D148">
        <v>15195805</v>
      </c>
      <c r="E148">
        <v>1</v>
      </c>
      <c r="F148">
        <v>1</v>
      </c>
      <c r="G148">
        <v>1</v>
      </c>
      <c r="H148">
        <v>3</v>
      </c>
      <c r="I148" t="s">
        <v>766</v>
      </c>
      <c r="J148" t="s">
        <v>767</v>
      </c>
      <c r="K148" t="s">
        <v>768</v>
      </c>
      <c r="L148">
        <v>1339</v>
      </c>
      <c r="N148">
        <v>1007</v>
      </c>
      <c r="O148" t="s">
        <v>61</v>
      </c>
      <c r="P148" t="s">
        <v>61</v>
      </c>
      <c r="Q148">
        <v>1</v>
      </c>
      <c r="W148">
        <v>0</v>
      </c>
      <c r="X148">
        <v>364481419</v>
      </c>
      <c r="Y148">
        <v>0.54</v>
      </c>
      <c r="AA148">
        <v>9636.9</v>
      </c>
      <c r="AB148">
        <v>0</v>
      </c>
      <c r="AC148">
        <v>0</v>
      </c>
      <c r="AD148">
        <v>0</v>
      </c>
      <c r="AE148">
        <v>1436.2</v>
      </c>
      <c r="AF148">
        <v>0</v>
      </c>
      <c r="AG148">
        <v>0</v>
      </c>
      <c r="AH148">
        <v>0</v>
      </c>
      <c r="AI148">
        <v>6.71</v>
      </c>
      <c r="AJ148">
        <v>1</v>
      </c>
      <c r="AK148">
        <v>1</v>
      </c>
      <c r="AL148">
        <v>1</v>
      </c>
      <c r="AN148">
        <v>0</v>
      </c>
      <c r="AO148">
        <v>1</v>
      </c>
      <c r="AP148">
        <v>0</v>
      </c>
      <c r="AQ148">
        <v>0</v>
      </c>
      <c r="AR148">
        <v>0</v>
      </c>
      <c r="AS148" t="s">
        <v>6</v>
      </c>
      <c r="AT148">
        <v>0.54</v>
      </c>
      <c r="AU148" t="s">
        <v>6</v>
      </c>
      <c r="AV148">
        <v>0</v>
      </c>
      <c r="AW148">
        <v>2</v>
      </c>
      <c r="AX148">
        <v>16802841</v>
      </c>
      <c r="AY148">
        <v>1</v>
      </c>
      <c r="AZ148">
        <v>0</v>
      </c>
      <c r="BA148">
        <v>146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Y148*Source!I83</f>
        <v>3.7800000000000007E-2</v>
      </c>
      <c r="CY148">
        <f t="shared" si="11"/>
        <v>9636.9</v>
      </c>
      <c r="CZ148">
        <f t="shared" si="12"/>
        <v>1436.2</v>
      </c>
      <c r="DA148">
        <f t="shared" si="13"/>
        <v>6.71</v>
      </c>
      <c r="DB148">
        <f t="shared" si="9"/>
        <v>775.55</v>
      </c>
      <c r="DC148">
        <f t="shared" si="10"/>
        <v>0</v>
      </c>
    </row>
    <row r="149" spans="1:107" x14ac:dyDescent="0.2">
      <c r="A149">
        <f>ROW(Source!A83)</f>
        <v>83</v>
      </c>
      <c r="B149">
        <v>16802145</v>
      </c>
      <c r="C149">
        <v>16802817</v>
      </c>
      <c r="D149">
        <v>15198455</v>
      </c>
      <c r="E149">
        <v>1</v>
      </c>
      <c r="F149">
        <v>1</v>
      </c>
      <c r="G149">
        <v>1</v>
      </c>
      <c r="H149">
        <v>3</v>
      </c>
      <c r="I149" t="s">
        <v>769</v>
      </c>
      <c r="J149" t="s">
        <v>770</v>
      </c>
      <c r="K149" t="s">
        <v>771</v>
      </c>
      <c r="L149">
        <v>1327</v>
      </c>
      <c r="N149">
        <v>1005</v>
      </c>
      <c r="O149" t="s">
        <v>95</v>
      </c>
      <c r="P149" t="s">
        <v>95</v>
      </c>
      <c r="Q149">
        <v>1</v>
      </c>
      <c r="W149">
        <v>0</v>
      </c>
      <c r="X149">
        <v>-1963914880</v>
      </c>
      <c r="Y149">
        <v>31.3</v>
      </c>
      <c r="AA149">
        <v>38.31</v>
      </c>
      <c r="AB149">
        <v>0</v>
      </c>
      <c r="AC149">
        <v>0</v>
      </c>
      <c r="AD149">
        <v>0</v>
      </c>
      <c r="AE149">
        <v>5.71</v>
      </c>
      <c r="AF149">
        <v>0</v>
      </c>
      <c r="AG149">
        <v>0</v>
      </c>
      <c r="AH149">
        <v>0</v>
      </c>
      <c r="AI149">
        <v>6.71</v>
      </c>
      <c r="AJ149">
        <v>1</v>
      </c>
      <c r="AK149">
        <v>1</v>
      </c>
      <c r="AL149">
        <v>1</v>
      </c>
      <c r="AN149">
        <v>0</v>
      </c>
      <c r="AO149">
        <v>1</v>
      </c>
      <c r="AP149">
        <v>0</v>
      </c>
      <c r="AQ149">
        <v>0</v>
      </c>
      <c r="AR149">
        <v>0</v>
      </c>
      <c r="AS149" t="s">
        <v>6</v>
      </c>
      <c r="AT149">
        <v>31.3</v>
      </c>
      <c r="AU149" t="s">
        <v>6</v>
      </c>
      <c r="AV149">
        <v>0</v>
      </c>
      <c r="AW149">
        <v>2</v>
      </c>
      <c r="AX149">
        <v>16802842</v>
      </c>
      <c r="AY149">
        <v>1</v>
      </c>
      <c r="AZ149">
        <v>0</v>
      </c>
      <c r="BA149">
        <v>147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Y149*Source!I83</f>
        <v>2.1910000000000003</v>
      </c>
      <c r="CY149">
        <f t="shared" si="11"/>
        <v>38.31</v>
      </c>
      <c r="CZ149">
        <f t="shared" si="12"/>
        <v>5.71</v>
      </c>
      <c r="DA149">
        <f t="shared" si="13"/>
        <v>6.71</v>
      </c>
      <c r="DB149">
        <f t="shared" si="9"/>
        <v>178.72</v>
      </c>
      <c r="DC149">
        <f t="shared" si="10"/>
        <v>0</v>
      </c>
    </row>
    <row r="150" spans="1:107" x14ac:dyDescent="0.2">
      <c r="A150">
        <f>ROW(Source!A83)</f>
        <v>83</v>
      </c>
      <c r="B150">
        <v>16802145</v>
      </c>
      <c r="C150">
        <v>16802817</v>
      </c>
      <c r="D150">
        <v>15202436</v>
      </c>
      <c r="E150">
        <v>1</v>
      </c>
      <c r="F150">
        <v>1</v>
      </c>
      <c r="G150">
        <v>1</v>
      </c>
      <c r="H150">
        <v>3</v>
      </c>
      <c r="I150" t="s">
        <v>772</v>
      </c>
      <c r="J150" t="s">
        <v>773</v>
      </c>
      <c r="K150" t="s">
        <v>774</v>
      </c>
      <c r="L150">
        <v>1346</v>
      </c>
      <c r="N150">
        <v>1009</v>
      </c>
      <c r="O150" t="s">
        <v>103</v>
      </c>
      <c r="P150" t="s">
        <v>103</v>
      </c>
      <c r="Q150">
        <v>1</v>
      </c>
      <c r="W150">
        <v>0</v>
      </c>
      <c r="X150">
        <v>1306523394</v>
      </c>
      <c r="Y150">
        <v>0.2</v>
      </c>
      <c r="AA150">
        <v>113.73</v>
      </c>
      <c r="AB150">
        <v>0</v>
      </c>
      <c r="AC150">
        <v>0</v>
      </c>
      <c r="AD150">
        <v>0</v>
      </c>
      <c r="AE150">
        <v>16.95</v>
      </c>
      <c r="AF150">
        <v>0</v>
      </c>
      <c r="AG150">
        <v>0</v>
      </c>
      <c r="AH150">
        <v>0</v>
      </c>
      <c r="AI150">
        <v>6.71</v>
      </c>
      <c r="AJ150">
        <v>1</v>
      </c>
      <c r="AK150">
        <v>1</v>
      </c>
      <c r="AL150">
        <v>1</v>
      </c>
      <c r="AN150">
        <v>0</v>
      </c>
      <c r="AO150">
        <v>1</v>
      </c>
      <c r="AP150">
        <v>0</v>
      </c>
      <c r="AQ150">
        <v>0</v>
      </c>
      <c r="AR150">
        <v>0</v>
      </c>
      <c r="AS150" t="s">
        <v>6</v>
      </c>
      <c r="AT150">
        <v>0.2</v>
      </c>
      <c r="AU150" t="s">
        <v>6</v>
      </c>
      <c r="AV150">
        <v>0</v>
      </c>
      <c r="AW150">
        <v>2</v>
      </c>
      <c r="AX150">
        <v>16802843</v>
      </c>
      <c r="AY150">
        <v>1</v>
      </c>
      <c r="AZ150">
        <v>0</v>
      </c>
      <c r="BA150">
        <v>148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Y150*Source!I83</f>
        <v>1.4000000000000002E-2</v>
      </c>
      <c r="CY150">
        <f t="shared" si="11"/>
        <v>113.73</v>
      </c>
      <c r="CZ150">
        <f t="shared" si="12"/>
        <v>16.95</v>
      </c>
      <c r="DA150">
        <f t="shared" si="13"/>
        <v>6.71</v>
      </c>
      <c r="DB150">
        <f t="shared" si="9"/>
        <v>3.39</v>
      </c>
      <c r="DC150">
        <f t="shared" si="10"/>
        <v>0</v>
      </c>
    </row>
    <row r="151" spans="1:107" x14ac:dyDescent="0.2">
      <c r="A151">
        <f>ROW(Source!A83)</f>
        <v>83</v>
      </c>
      <c r="B151">
        <v>16802145</v>
      </c>
      <c r="C151">
        <v>16802817</v>
      </c>
      <c r="D151">
        <v>15204315</v>
      </c>
      <c r="E151">
        <v>1</v>
      </c>
      <c r="F151">
        <v>1</v>
      </c>
      <c r="G151">
        <v>1</v>
      </c>
      <c r="H151">
        <v>3</v>
      </c>
      <c r="I151" t="s">
        <v>775</v>
      </c>
      <c r="J151" t="s">
        <v>776</v>
      </c>
      <c r="K151" t="s">
        <v>777</v>
      </c>
      <c r="L151">
        <v>1296</v>
      </c>
      <c r="N151">
        <v>1002</v>
      </c>
      <c r="O151" t="s">
        <v>778</v>
      </c>
      <c r="P151" t="s">
        <v>778</v>
      </c>
      <c r="Q151">
        <v>1</v>
      </c>
      <c r="W151">
        <v>0</v>
      </c>
      <c r="X151">
        <v>-2122226716</v>
      </c>
      <c r="Y151">
        <v>13.89</v>
      </c>
      <c r="AA151">
        <v>314.43</v>
      </c>
      <c r="AB151">
        <v>0</v>
      </c>
      <c r="AC151">
        <v>0</v>
      </c>
      <c r="AD151">
        <v>0</v>
      </c>
      <c r="AE151">
        <v>46.86</v>
      </c>
      <c r="AF151">
        <v>0</v>
      </c>
      <c r="AG151">
        <v>0</v>
      </c>
      <c r="AH151">
        <v>0</v>
      </c>
      <c r="AI151">
        <v>6.71</v>
      </c>
      <c r="AJ151">
        <v>1</v>
      </c>
      <c r="AK151">
        <v>1</v>
      </c>
      <c r="AL151">
        <v>1</v>
      </c>
      <c r="AN151">
        <v>0</v>
      </c>
      <c r="AO151">
        <v>1</v>
      </c>
      <c r="AP151">
        <v>0</v>
      </c>
      <c r="AQ151">
        <v>0</v>
      </c>
      <c r="AR151">
        <v>0</v>
      </c>
      <c r="AS151" t="s">
        <v>6</v>
      </c>
      <c r="AT151">
        <v>13.89</v>
      </c>
      <c r="AU151" t="s">
        <v>6</v>
      </c>
      <c r="AV151">
        <v>0</v>
      </c>
      <c r="AW151">
        <v>2</v>
      </c>
      <c r="AX151">
        <v>16802844</v>
      </c>
      <c r="AY151">
        <v>1</v>
      </c>
      <c r="AZ151">
        <v>0</v>
      </c>
      <c r="BA151">
        <v>149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Y151*Source!I83</f>
        <v>0.97230000000000016</v>
      </c>
      <c r="CY151">
        <f t="shared" si="11"/>
        <v>314.43</v>
      </c>
      <c r="CZ151">
        <f t="shared" si="12"/>
        <v>46.86</v>
      </c>
      <c r="DA151">
        <f t="shared" si="13"/>
        <v>6.71</v>
      </c>
      <c r="DB151">
        <f t="shared" si="9"/>
        <v>650.89</v>
      </c>
      <c r="DC151">
        <f t="shared" si="10"/>
        <v>0</v>
      </c>
    </row>
    <row r="152" spans="1:107" x14ac:dyDescent="0.2">
      <c r="A152">
        <f>ROW(Source!A85)</f>
        <v>85</v>
      </c>
      <c r="B152">
        <v>16802145</v>
      </c>
      <c r="C152">
        <v>16802846</v>
      </c>
      <c r="D152">
        <v>15433629</v>
      </c>
      <c r="E152">
        <v>1</v>
      </c>
      <c r="F152">
        <v>1</v>
      </c>
      <c r="G152">
        <v>1</v>
      </c>
      <c r="H152">
        <v>1</v>
      </c>
      <c r="I152" t="s">
        <v>779</v>
      </c>
      <c r="J152" t="s">
        <v>6</v>
      </c>
      <c r="K152" t="s">
        <v>780</v>
      </c>
      <c r="L152">
        <v>1191</v>
      </c>
      <c r="N152">
        <v>1013</v>
      </c>
      <c r="O152" t="s">
        <v>660</v>
      </c>
      <c r="P152" t="s">
        <v>660</v>
      </c>
      <c r="Q152">
        <v>1</v>
      </c>
      <c r="W152">
        <v>0</v>
      </c>
      <c r="X152">
        <v>-576067263</v>
      </c>
      <c r="Y152">
        <v>1.03</v>
      </c>
      <c r="AA152">
        <v>0</v>
      </c>
      <c r="AB152">
        <v>0</v>
      </c>
      <c r="AC152">
        <v>0</v>
      </c>
      <c r="AD152">
        <v>48.24</v>
      </c>
      <c r="AE152">
        <v>0</v>
      </c>
      <c r="AF152">
        <v>0</v>
      </c>
      <c r="AG152">
        <v>0</v>
      </c>
      <c r="AH152">
        <v>7.19</v>
      </c>
      <c r="AI152">
        <v>1</v>
      </c>
      <c r="AJ152">
        <v>1</v>
      </c>
      <c r="AK152">
        <v>1</v>
      </c>
      <c r="AL152">
        <v>6.71</v>
      </c>
      <c r="AN152">
        <v>0</v>
      </c>
      <c r="AO152">
        <v>1</v>
      </c>
      <c r="AP152">
        <v>0</v>
      </c>
      <c r="AQ152">
        <v>0</v>
      </c>
      <c r="AR152">
        <v>0</v>
      </c>
      <c r="AS152" t="s">
        <v>6</v>
      </c>
      <c r="AT152">
        <v>1.03</v>
      </c>
      <c r="AU152" t="s">
        <v>6</v>
      </c>
      <c r="AV152">
        <v>1</v>
      </c>
      <c r="AW152">
        <v>2</v>
      </c>
      <c r="AX152">
        <v>16802849</v>
      </c>
      <c r="AY152">
        <v>1</v>
      </c>
      <c r="AZ152">
        <v>0</v>
      </c>
      <c r="BA152">
        <v>150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Y152*Source!I85</f>
        <v>24.72</v>
      </c>
      <c r="CY152">
        <f>AD152</f>
        <v>48.24</v>
      </c>
      <c r="CZ152">
        <f>AH152</f>
        <v>7.19</v>
      </c>
      <c r="DA152">
        <f>AL152</f>
        <v>6.71</v>
      </c>
      <c r="DB152">
        <f t="shared" si="9"/>
        <v>7.41</v>
      </c>
      <c r="DC152">
        <f t="shared" si="10"/>
        <v>0</v>
      </c>
    </row>
    <row r="153" spans="1:107" x14ac:dyDescent="0.2">
      <c r="A153">
        <f>ROW(Source!A85)</f>
        <v>85</v>
      </c>
      <c r="B153">
        <v>16802145</v>
      </c>
      <c r="C153">
        <v>16802846</v>
      </c>
      <c r="D153">
        <v>15170984</v>
      </c>
      <c r="E153">
        <v>1</v>
      </c>
      <c r="F153">
        <v>1</v>
      </c>
      <c r="G153">
        <v>1</v>
      </c>
      <c r="H153">
        <v>3</v>
      </c>
      <c r="I153" t="s">
        <v>781</v>
      </c>
      <c r="J153" t="s">
        <v>782</v>
      </c>
      <c r="K153" t="s">
        <v>783</v>
      </c>
      <c r="L153">
        <v>1355</v>
      </c>
      <c r="N153">
        <v>1010</v>
      </c>
      <c r="O153" t="s">
        <v>126</v>
      </c>
      <c r="P153" t="s">
        <v>126</v>
      </c>
      <c r="Q153">
        <v>100</v>
      </c>
      <c r="W153">
        <v>0</v>
      </c>
      <c r="X153">
        <v>1092967459</v>
      </c>
      <c r="Y153">
        <v>0.2</v>
      </c>
      <c r="AA153">
        <v>550.22</v>
      </c>
      <c r="AB153">
        <v>0</v>
      </c>
      <c r="AC153">
        <v>0</v>
      </c>
      <c r="AD153">
        <v>0</v>
      </c>
      <c r="AE153">
        <v>82</v>
      </c>
      <c r="AF153">
        <v>0</v>
      </c>
      <c r="AG153">
        <v>0</v>
      </c>
      <c r="AH153">
        <v>0</v>
      </c>
      <c r="AI153">
        <v>6.71</v>
      </c>
      <c r="AJ153">
        <v>1</v>
      </c>
      <c r="AK153">
        <v>1</v>
      </c>
      <c r="AL153">
        <v>1</v>
      </c>
      <c r="AN153">
        <v>0</v>
      </c>
      <c r="AO153">
        <v>1</v>
      </c>
      <c r="AP153">
        <v>0</v>
      </c>
      <c r="AQ153">
        <v>0</v>
      </c>
      <c r="AR153">
        <v>0</v>
      </c>
      <c r="AS153" t="s">
        <v>6</v>
      </c>
      <c r="AT153">
        <v>0.2</v>
      </c>
      <c r="AU153" t="s">
        <v>6</v>
      </c>
      <c r="AV153">
        <v>0</v>
      </c>
      <c r="AW153">
        <v>2</v>
      </c>
      <c r="AX153">
        <v>16802850</v>
      </c>
      <c r="AY153">
        <v>1</v>
      </c>
      <c r="AZ153">
        <v>0</v>
      </c>
      <c r="BA153">
        <v>151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Y153*Source!I85</f>
        <v>4.8000000000000007</v>
      </c>
      <c r="CY153">
        <f>AA153</f>
        <v>550.22</v>
      </c>
      <c r="CZ153">
        <f>AE153</f>
        <v>82</v>
      </c>
      <c r="DA153">
        <f>AI153</f>
        <v>6.71</v>
      </c>
      <c r="DB153">
        <f t="shared" si="9"/>
        <v>16.399999999999999</v>
      </c>
      <c r="DC153">
        <f t="shared" si="10"/>
        <v>0</v>
      </c>
    </row>
    <row r="154" spans="1:107" x14ac:dyDescent="0.2">
      <c r="A154">
        <f>ROW(Source!A122)</f>
        <v>122</v>
      </c>
      <c r="B154">
        <v>16802145</v>
      </c>
      <c r="C154">
        <v>16802853</v>
      </c>
      <c r="D154">
        <v>15431465</v>
      </c>
      <c r="E154">
        <v>1</v>
      </c>
      <c r="F154">
        <v>1</v>
      </c>
      <c r="G154">
        <v>1</v>
      </c>
      <c r="H154">
        <v>1</v>
      </c>
      <c r="I154" t="s">
        <v>784</v>
      </c>
      <c r="J154" t="s">
        <v>6</v>
      </c>
      <c r="K154" t="s">
        <v>785</v>
      </c>
      <c r="L154">
        <v>1191</v>
      </c>
      <c r="N154">
        <v>1013</v>
      </c>
      <c r="O154" t="s">
        <v>660</v>
      </c>
      <c r="P154" t="s">
        <v>660</v>
      </c>
      <c r="Q154">
        <v>1</v>
      </c>
      <c r="W154">
        <v>0</v>
      </c>
      <c r="X154">
        <v>152375061</v>
      </c>
      <c r="Y154">
        <v>110</v>
      </c>
      <c r="AA154">
        <v>0</v>
      </c>
      <c r="AB154">
        <v>0</v>
      </c>
      <c r="AC154">
        <v>0</v>
      </c>
      <c r="AD154">
        <v>52.81</v>
      </c>
      <c r="AE154">
        <v>0</v>
      </c>
      <c r="AF154">
        <v>0</v>
      </c>
      <c r="AG154">
        <v>0</v>
      </c>
      <c r="AH154">
        <v>7.87</v>
      </c>
      <c r="AI154">
        <v>1</v>
      </c>
      <c r="AJ154">
        <v>1</v>
      </c>
      <c r="AK154">
        <v>1</v>
      </c>
      <c r="AL154">
        <v>6.71</v>
      </c>
      <c r="AN154">
        <v>0</v>
      </c>
      <c r="AO154">
        <v>1</v>
      </c>
      <c r="AP154">
        <v>0</v>
      </c>
      <c r="AQ154">
        <v>0</v>
      </c>
      <c r="AR154">
        <v>0</v>
      </c>
      <c r="AS154" t="s">
        <v>6</v>
      </c>
      <c r="AT154">
        <v>110</v>
      </c>
      <c r="AU154" t="s">
        <v>6</v>
      </c>
      <c r="AV154">
        <v>1</v>
      </c>
      <c r="AW154">
        <v>2</v>
      </c>
      <c r="AX154">
        <v>16802857</v>
      </c>
      <c r="AY154">
        <v>1</v>
      </c>
      <c r="AZ154">
        <v>0</v>
      </c>
      <c r="BA154">
        <v>152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Y154*Source!I122</f>
        <v>17.600000000000001</v>
      </c>
      <c r="CY154">
        <f>AD154</f>
        <v>52.81</v>
      </c>
      <c r="CZ154">
        <f>AH154</f>
        <v>7.87</v>
      </c>
      <c r="DA154">
        <f>AL154</f>
        <v>6.71</v>
      </c>
      <c r="DB154">
        <f t="shared" si="9"/>
        <v>865.7</v>
      </c>
      <c r="DC154">
        <f t="shared" si="10"/>
        <v>0</v>
      </c>
    </row>
    <row r="155" spans="1:107" x14ac:dyDescent="0.2">
      <c r="A155">
        <f>ROW(Source!A122)</f>
        <v>122</v>
      </c>
      <c r="B155">
        <v>16802145</v>
      </c>
      <c r="C155">
        <v>16802853</v>
      </c>
      <c r="D155">
        <v>15430395</v>
      </c>
      <c r="E155">
        <v>1</v>
      </c>
      <c r="F155">
        <v>1</v>
      </c>
      <c r="G155">
        <v>1</v>
      </c>
      <c r="H155">
        <v>1</v>
      </c>
      <c r="I155" t="s">
        <v>661</v>
      </c>
      <c r="J155" t="s">
        <v>6</v>
      </c>
      <c r="K155" t="s">
        <v>662</v>
      </c>
      <c r="L155">
        <v>1191</v>
      </c>
      <c r="N155">
        <v>1013</v>
      </c>
      <c r="O155" t="s">
        <v>660</v>
      </c>
      <c r="P155" t="s">
        <v>660</v>
      </c>
      <c r="Q155">
        <v>1</v>
      </c>
      <c r="W155">
        <v>0</v>
      </c>
      <c r="X155">
        <v>-1417349443</v>
      </c>
      <c r="Y155">
        <v>2.2400000000000002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1</v>
      </c>
      <c r="AJ155">
        <v>1</v>
      </c>
      <c r="AK155">
        <v>6.71</v>
      </c>
      <c r="AL155">
        <v>1</v>
      </c>
      <c r="AN155">
        <v>0</v>
      </c>
      <c r="AO155">
        <v>1</v>
      </c>
      <c r="AP155">
        <v>0</v>
      </c>
      <c r="AQ155">
        <v>0</v>
      </c>
      <c r="AR155">
        <v>0</v>
      </c>
      <c r="AS155" t="s">
        <v>6</v>
      </c>
      <c r="AT155">
        <v>2.2400000000000002</v>
      </c>
      <c r="AU155" t="s">
        <v>6</v>
      </c>
      <c r="AV155">
        <v>2</v>
      </c>
      <c r="AW155">
        <v>2</v>
      </c>
      <c r="AX155">
        <v>16802858</v>
      </c>
      <c r="AY155">
        <v>1</v>
      </c>
      <c r="AZ155">
        <v>0</v>
      </c>
      <c r="BA155">
        <v>153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Y155*Source!I122</f>
        <v>0.35840000000000005</v>
      </c>
      <c r="CY155">
        <f>AD155</f>
        <v>0</v>
      </c>
      <c r="CZ155">
        <f>AH155</f>
        <v>0</v>
      </c>
      <c r="DA155">
        <f>AL155</f>
        <v>1</v>
      </c>
      <c r="DB155">
        <f t="shared" si="9"/>
        <v>0</v>
      </c>
      <c r="DC155">
        <f t="shared" si="10"/>
        <v>0</v>
      </c>
    </row>
    <row r="156" spans="1:107" x14ac:dyDescent="0.2">
      <c r="A156">
        <f>ROW(Source!A122)</f>
        <v>122</v>
      </c>
      <c r="B156">
        <v>16802145</v>
      </c>
      <c r="C156">
        <v>16802853</v>
      </c>
      <c r="D156">
        <v>15247974</v>
      </c>
      <c r="E156">
        <v>1</v>
      </c>
      <c r="F156">
        <v>1</v>
      </c>
      <c r="G156">
        <v>1</v>
      </c>
      <c r="H156">
        <v>2</v>
      </c>
      <c r="I156" t="s">
        <v>663</v>
      </c>
      <c r="J156" t="s">
        <v>664</v>
      </c>
      <c r="K156" t="s">
        <v>665</v>
      </c>
      <c r="L156">
        <v>1368</v>
      </c>
      <c r="N156">
        <v>1011</v>
      </c>
      <c r="O156" t="s">
        <v>666</v>
      </c>
      <c r="P156" t="s">
        <v>666</v>
      </c>
      <c r="Q156">
        <v>1</v>
      </c>
      <c r="W156">
        <v>0</v>
      </c>
      <c r="X156">
        <v>1188625873</v>
      </c>
      <c r="Y156">
        <v>2.2400000000000002</v>
      </c>
      <c r="AA156">
        <v>0</v>
      </c>
      <c r="AB156">
        <v>209.75</v>
      </c>
      <c r="AC156">
        <v>13.5</v>
      </c>
      <c r="AD156">
        <v>0</v>
      </c>
      <c r="AE156">
        <v>0</v>
      </c>
      <c r="AF156">
        <v>31.26</v>
      </c>
      <c r="AG156">
        <v>13.5</v>
      </c>
      <c r="AH156">
        <v>0</v>
      </c>
      <c r="AI156">
        <v>1</v>
      </c>
      <c r="AJ156">
        <v>6.71</v>
      </c>
      <c r="AK156">
        <v>1</v>
      </c>
      <c r="AL156">
        <v>1</v>
      </c>
      <c r="AN156">
        <v>0</v>
      </c>
      <c r="AO156">
        <v>1</v>
      </c>
      <c r="AP156">
        <v>0</v>
      </c>
      <c r="AQ156">
        <v>0</v>
      </c>
      <c r="AR156">
        <v>0</v>
      </c>
      <c r="AS156" t="s">
        <v>6</v>
      </c>
      <c r="AT156">
        <v>2.2400000000000002</v>
      </c>
      <c r="AU156" t="s">
        <v>6</v>
      </c>
      <c r="AV156">
        <v>0</v>
      </c>
      <c r="AW156">
        <v>2</v>
      </c>
      <c r="AX156">
        <v>16802859</v>
      </c>
      <c r="AY156">
        <v>1</v>
      </c>
      <c r="AZ156">
        <v>0</v>
      </c>
      <c r="BA156">
        <v>154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Y156*Source!I122</f>
        <v>0.35840000000000005</v>
      </c>
      <c r="CY156">
        <f>AB156</f>
        <v>209.75</v>
      </c>
      <c r="CZ156">
        <f>AF156</f>
        <v>31.26</v>
      </c>
      <c r="DA156">
        <f>AJ156</f>
        <v>6.71</v>
      </c>
      <c r="DB156">
        <f t="shared" si="9"/>
        <v>70.02</v>
      </c>
      <c r="DC156">
        <f t="shared" si="10"/>
        <v>30.24</v>
      </c>
    </row>
    <row r="157" spans="1:107" x14ac:dyDescent="0.2">
      <c r="A157">
        <f>ROW(Source!A123)</f>
        <v>123</v>
      </c>
      <c r="B157">
        <v>16802145</v>
      </c>
      <c r="C157">
        <v>16802860</v>
      </c>
      <c r="D157">
        <v>15435609</v>
      </c>
      <c r="E157">
        <v>1</v>
      </c>
      <c r="F157">
        <v>1</v>
      </c>
      <c r="G157">
        <v>1</v>
      </c>
      <c r="H157">
        <v>1</v>
      </c>
      <c r="I157" t="s">
        <v>728</v>
      </c>
      <c r="J157" t="s">
        <v>6</v>
      </c>
      <c r="K157" t="s">
        <v>729</v>
      </c>
      <c r="L157">
        <v>1191</v>
      </c>
      <c r="N157">
        <v>1013</v>
      </c>
      <c r="O157" t="s">
        <v>660</v>
      </c>
      <c r="P157" t="s">
        <v>660</v>
      </c>
      <c r="Q157">
        <v>1</v>
      </c>
      <c r="W157">
        <v>0</v>
      </c>
      <c r="X157">
        <v>-814890593</v>
      </c>
      <c r="Y157">
        <v>65.599999999999994</v>
      </c>
      <c r="AA157">
        <v>0</v>
      </c>
      <c r="AB157">
        <v>0</v>
      </c>
      <c r="AC157">
        <v>0</v>
      </c>
      <c r="AD157">
        <v>60.19</v>
      </c>
      <c r="AE157">
        <v>0</v>
      </c>
      <c r="AF157">
        <v>0</v>
      </c>
      <c r="AG157">
        <v>0</v>
      </c>
      <c r="AH157">
        <v>8.9700000000000006</v>
      </c>
      <c r="AI157">
        <v>1</v>
      </c>
      <c r="AJ157">
        <v>1</v>
      </c>
      <c r="AK157">
        <v>1</v>
      </c>
      <c r="AL157">
        <v>6.71</v>
      </c>
      <c r="AN157">
        <v>0</v>
      </c>
      <c r="AO157">
        <v>1</v>
      </c>
      <c r="AP157">
        <v>0</v>
      </c>
      <c r="AQ157">
        <v>0</v>
      </c>
      <c r="AR157">
        <v>0</v>
      </c>
      <c r="AS157" t="s">
        <v>6</v>
      </c>
      <c r="AT157">
        <v>65.599999999999994</v>
      </c>
      <c r="AU157" t="s">
        <v>6</v>
      </c>
      <c r="AV157">
        <v>1</v>
      </c>
      <c r="AW157">
        <v>2</v>
      </c>
      <c r="AX157">
        <v>16802873</v>
      </c>
      <c r="AY157">
        <v>1</v>
      </c>
      <c r="AZ157">
        <v>0</v>
      </c>
      <c r="BA157">
        <v>155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Y157*Source!I123</f>
        <v>15.114239999999999</v>
      </c>
      <c r="CY157">
        <f>AD157</f>
        <v>60.19</v>
      </c>
      <c r="CZ157">
        <f>AH157</f>
        <v>8.9700000000000006</v>
      </c>
      <c r="DA157">
        <f>AL157</f>
        <v>6.71</v>
      </c>
      <c r="DB157">
        <f t="shared" si="9"/>
        <v>588.42999999999995</v>
      </c>
      <c r="DC157">
        <f t="shared" si="10"/>
        <v>0</v>
      </c>
    </row>
    <row r="158" spans="1:107" x14ac:dyDescent="0.2">
      <c r="A158">
        <f>ROW(Source!A123)</f>
        <v>123</v>
      </c>
      <c r="B158">
        <v>16802145</v>
      </c>
      <c r="C158">
        <v>16802860</v>
      </c>
      <c r="D158">
        <v>15430395</v>
      </c>
      <c r="E158">
        <v>1</v>
      </c>
      <c r="F158">
        <v>1</v>
      </c>
      <c r="G158">
        <v>1</v>
      </c>
      <c r="H158">
        <v>1</v>
      </c>
      <c r="I158" t="s">
        <v>661</v>
      </c>
      <c r="J158" t="s">
        <v>6</v>
      </c>
      <c r="K158" t="s">
        <v>662</v>
      </c>
      <c r="L158">
        <v>1191</v>
      </c>
      <c r="N158">
        <v>1013</v>
      </c>
      <c r="O158" t="s">
        <v>660</v>
      </c>
      <c r="P158" t="s">
        <v>660</v>
      </c>
      <c r="Q158">
        <v>1</v>
      </c>
      <c r="W158">
        <v>0</v>
      </c>
      <c r="X158">
        <v>-1417349443</v>
      </c>
      <c r="Y158">
        <v>3.13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1</v>
      </c>
      <c r="AJ158">
        <v>1</v>
      </c>
      <c r="AK158">
        <v>6.71</v>
      </c>
      <c r="AL158">
        <v>1</v>
      </c>
      <c r="AN158">
        <v>0</v>
      </c>
      <c r="AO158">
        <v>1</v>
      </c>
      <c r="AP158">
        <v>0</v>
      </c>
      <c r="AQ158">
        <v>0</v>
      </c>
      <c r="AR158">
        <v>0</v>
      </c>
      <c r="AS158" t="s">
        <v>6</v>
      </c>
      <c r="AT158">
        <v>3.13</v>
      </c>
      <c r="AU158" t="s">
        <v>6</v>
      </c>
      <c r="AV158">
        <v>2</v>
      </c>
      <c r="AW158">
        <v>2</v>
      </c>
      <c r="AX158">
        <v>16802874</v>
      </c>
      <c r="AY158">
        <v>1</v>
      </c>
      <c r="AZ158">
        <v>0</v>
      </c>
      <c r="BA158">
        <v>156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Y158*Source!I123</f>
        <v>0.7211519999999999</v>
      </c>
      <c r="CY158">
        <f>AD158</f>
        <v>0</v>
      </c>
      <c r="CZ158">
        <f>AH158</f>
        <v>0</v>
      </c>
      <c r="DA158">
        <f>AL158</f>
        <v>1</v>
      </c>
      <c r="DB158">
        <f t="shared" si="9"/>
        <v>0</v>
      </c>
      <c r="DC158">
        <f t="shared" si="10"/>
        <v>0</v>
      </c>
    </row>
    <row r="159" spans="1:107" x14ac:dyDescent="0.2">
      <c r="A159">
        <f>ROW(Source!A123)</f>
        <v>123</v>
      </c>
      <c r="B159">
        <v>16802145</v>
      </c>
      <c r="C159">
        <v>16802860</v>
      </c>
      <c r="D159">
        <v>15247680</v>
      </c>
      <c r="E159">
        <v>1</v>
      </c>
      <c r="F159">
        <v>1</v>
      </c>
      <c r="G159">
        <v>1</v>
      </c>
      <c r="H159">
        <v>2</v>
      </c>
      <c r="I159" t="s">
        <v>786</v>
      </c>
      <c r="J159" t="s">
        <v>787</v>
      </c>
      <c r="K159" t="s">
        <v>788</v>
      </c>
      <c r="L159">
        <v>1368</v>
      </c>
      <c r="N159">
        <v>1011</v>
      </c>
      <c r="O159" t="s">
        <v>666</v>
      </c>
      <c r="P159" t="s">
        <v>666</v>
      </c>
      <c r="Q159">
        <v>1</v>
      </c>
      <c r="W159">
        <v>0</v>
      </c>
      <c r="X159">
        <v>-1718674368</v>
      </c>
      <c r="Y159">
        <v>0.09</v>
      </c>
      <c r="AA159">
        <v>0</v>
      </c>
      <c r="AB159">
        <v>751.45</v>
      </c>
      <c r="AC159">
        <v>13.5</v>
      </c>
      <c r="AD159">
        <v>0</v>
      </c>
      <c r="AE159">
        <v>0</v>
      </c>
      <c r="AF159">
        <v>111.99</v>
      </c>
      <c r="AG159">
        <v>13.5</v>
      </c>
      <c r="AH159">
        <v>0</v>
      </c>
      <c r="AI159">
        <v>1</v>
      </c>
      <c r="AJ159">
        <v>6.71</v>
      </c>
      <c r="AK159">
        <v>1</v>
      </c>
      <c r="AL159">
        <v>1</v>
      </c>
      <c r="AN159">
        <v>0</v>
      </c>
      <c r="AO159">
        <v>1</v>
      </c>
      <c r="AP159">
        <v>0</v>
      </c>
      <c r="AQ159">
        <v>0</v>
      </c>
      <c r="AR159">
        <v>0</v>
      </c>
      <c r="AS159" t="s">
        <v>6</v>
      </c>
      <c r="AT159">
        <v>0.09</v>
      </c>
      <c r="AU159" t="s">
        <v>6</v>
      </c>
      <c r="AV159">
        <v>0</v>
      </c>
      <c r="AW159">
        <v>2</v>
      </c>
      <c r="AX159">
        <v>16802875</v>
      </c>
      <c r="AY159">
        <v>1</v>
      </c>
      <c r="AZ159">
        <v>0</v>
      </c>
      <c r="BA159">
        <v>157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Y159*Source!I123</f>
        <v>2.0735999999999997E-2</v>
      </c>
      <c r="CY159">
        <f>AB159</f>
        <v>751.45</v>
      </c>
      <c r="CZ159">
        <f>AF159</f>
        <v>111.99</v>
      </c>
      <c r="DA159">
        <f>AJ159</f>
        <v>6.71</v>
      </c>
      <c r="DB159">
        <f t="shared" si="9"/>
        <v>10.08</v>
      </c>
      <c r="DC159">
        <f t="shared" si="10"/>
        <v>1.22</v>
      </c>
    </row>
    <row r="160" spans="1:107" x14ac:dyDescent="0.2">
      <c r="A160">
        <f>ROW(Source!A123)</f>
        <v>123</v>
      </c>
      <c r="B160">
        <v>16802145</v>
      </c>
      <c r="C160">
        <v>16802860</v>
      </c>
      <c r="D160">
        <v>15247974</v>
      </c>
      <c r="E160">
        <v>1</v>
      </c>
      <c r="F160">
        <v>1</v>
      </c>
      <c r="G160">
        <v>1</v>
      </c>
      <c r="H160">
        <v>2</v>
      </c>
      <c r="I160" t="s">
        <v>663</v>
      </c>
      <c r="J160" t="s">
        <v>664</v>
      </c>
      <c r="K160" t="s">
        <v>665</v>
      </c>
      <c r="L160">
        <v>1368</v>
      </c>
      <c r="N160">
        <v>1011</v>
      </c>
      <c r="O160" t="s">
        <v>666</v>
      </c>
      <c r="P160" t="s">
        <v>666</v>
      </c>
      <c r="Q160">
        <v>1</v>
      </c>
      <c r="W160">
        <v>0</v>
      </c>
      <c r="X160">
        <v>1188625873</v>
      </c>
      <c r="Y160">
        <v>1.19</v>
      </c>
      <c r="AA160">
        <v>0</v>
      </c>
      <c r="AB160">
        <v>209.75</v>
      </c>
      <c r="AC160">
        <v>13.5</v>
      </c>
      <c r="AD160">
        <v>0</v>
      </c>
      <c r="AE160">
        <v>0</v>
      </c>
      <c r="AF160">
        <v>31.26</v>
      </c>
      <c r="AG160">
        <v>13.5</v>
      </c>
      <c r="AH160">
        <v>0</v>
      </c>
      <c r="AI160">
        <v>1</v>
      </c>
      <c r="AJ160">
        <v>6.71</v>
      </c>
      <c r="AK160">
        <v>1</v>
      </c>
      <c r="AL160">
        <v>1</v>
      </c>
      <c r="AN160">
        <v>0</v>
      </c>
      <c r="AO160">
        <v>1</v>
      </c>
      <c r="AP160">
        <v>0</v>
      </c>
      <c r="AQ160">
        <v>0</v>
      </c>
      <c r="AR160">
        <v>0</v>
      </c>
      <c r="AS160" t="s">
        <v>6</v>
      </c>
      <c r="AT160">
        <v>1.19</v>
      </c>
      <c r="AU160" t="s">
        <v>6</v>
      </c>
      <c r="AV160">
        <v>0</v>
      </c>
      <c r="AW160">
        <v>2</v>
      </c>
      <c r="AX160">
        <v>16802876</v>
      </c>
      <c r="AY160">
        <v>1</v>
      </c>
      <c r="AZ160">
        <v>0</v>
      </c>
      <c r="BA160">
        <v>158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Y160*Source!I123</f>
        <v>0.27417599999999998</v>
      </c>
      <c r="CY160">
        <f>AB160</f>
        <v>209.75</v>
      </c>
      <c r="CZ160">
        <f>AF160</f>
        <v>31.26</v>
      </c>
      <c r="DA160">
        <f>AJ160</f>
        <v>6.71</v>
      </c>
      <c r="DB160">
        <f t="shared" si="9"/>
        <v>37.200000000000003</v>
      </c>
      <c r="DC160">
        <f t="shared" si="10"/>
        <v>16.07</v>
      </c>
    </row>
    <row r="161" spans="1:107" x14ac:dyDescent="0.2">
      <c r="A161">
        <f>ROW(Source!A123)</f>
        <v>123</v>
      </c>
      <c r="B161">
        <v>16802145</v>
      </c>
      <c r="C161">
        <v>16802860</v>
      </c>
      <c r="D161">
        <v>15248793</v>
      </c>
      <c r="E161">
        <v>1</v>
      </c>
      <c r="F161">
        <v>1</v>
      </c>
      <c r="G161">
        <v>1</v>
      </c>
      <c r="H161">
        <v>2</v>
      </c>
      <c r="I161" t="s">
        <v>789</v>
      </c>
      <c r="J161" t="s">
        <v>790</v>
      </c>
      <c r="K161" t="s">
        <v>791</v>
      </c>
      <c r="L161">
        <v>1368</v>
      </c>
      <c r="N161">
        <v>1011</v>
      </c>
      <c r="O161" t="s">
        <v>666</v>
      </c>
      <c r="P161" t="s">
        <v>666</v>
      </c>
      <c r="Q161">
        <v>1</v>
      </c>
      <c r="W161">
        <v>0</v>
      </c>
      <c r="X161">
        <v>-1347092713</v>
      </c>
      <c r="Y161">
        <v>0.8</v>
      </c>
      <c r="AA161">
        <v>0</v>
      </c>
      <c r="AB161">
        <v>199.09</v>
      </c>
      <c r="AC161">
        <v>0</v>
      </c>
      <c r="AD161">
        <v>0</v>
      </c>
      <c r="AE161">
        <v>0</v>
      </c>
      <c r="AF161">
        <v>29.67</v>
      </c>
      <c r="AG161">
        <v>0</v>
      </c>
      <c r="AH161">
        <v>0</v>
      </c>
      <c r="AI161">
        <v>1</v>
      </c>
      <c r="AJ161">
        <v>6.71</v>
      </c>
      <c r="AK161">
        <v>1</v>
      </c>
      <c r="AL161">
        <v>1</v>
      </c>
      <c r="AN161">
        <v>0</v>
      </c>
      <c r="AO161">
        <v>1</v>
      </c>
      <c r="AP161">
        <v>0</v>
      </c>
      <c r="AQ161">
        <v>0</v>
      </c>
      <c r="AR161">
        <v>0</v>
      </c>
      <c r="AS161" t="s">
        <v>6</v>
      </c>
      <c r="AT161">
        <v>0.8</v>
      </c>
      <c r="AU161" t="s">
        <v>6</v>
      </c>
      <c r="AV161">
        <v>0</v>
      </c>
      <c r="AW161">
        <v>2</v>
      </c>
      <c r="AX161">
        <v>16802877</v>
      </c>
      <c r="AY161">
        <v>1</v>
      </c>
      <c r="AZ161">
        <v>0</v>
      </c>
      <c r="BA161">
        <v>159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Y161*Source!I123</f>
        <v>0.18432000000000001</v>
      </c>
      <c r="CY161">
        <f>AB161</f>
        <v>199.09</v>
      </c>
      <c r="CZ161">
        <f>AF161</f>
        <v>29.67</v>
      </c>
      <c r="DA161">
        <f>AJ161</f>
        <v>6.71</v>
      </c>
      <c r="DB161">
        <f t="shared" si="9"/>
        <v>23.74</v>
      </c>
      <c r="DC161">
        <f t="shared" si="10"/>
        <v>0</v>
      </c>
    </row>
    <row r="162" spans="1:107" x14ac:dyDescent="0.2">
      <c r="A162">
        <f>ROW(Source!A123)</f>
        <v>123</v>
      </c>
      <c r="B162">
        <v>16802145</v>
      </c>
      <c r="C162">
        <v>16802860</v>
      </c>
      <c r="D162">
        <v>15249073</v>
      </c>
      <c r="E162">
        <v>1</v>
      </c>
      <c r="F162">
        <v>1</v>
      </c>
      <c r="G162">
        <v>1</v>
      </c>
      <c r="H162">
        <v>2</v>
      </c>
      <c r="I162" t="s">
        <v>684</v>
      </c>
      <c r="J162" t="s">
        <v>685</v>
      </c>
      <c r="K162" t="s">
        <v>686</v>
      </c>
      <c r="L162">
        <v>1368</v>
      </c>
      <c r="N162">
        <v>1011</v>
      </c>
      <c r="O162" t="s">
        <v>666</v>
      </c>
      <c r="P162" t="s">
        <v>666</v>
      </c>
      <c r="Q162">
        <v>1</v>
      </c>
      <c r="W162">
        <v>0</v>
      </c>
      <c r="X162">
        <v>1372534845</v>
      </c>
      <c r="Y162">
        <v>1.85</v>
      </c>
      <c r="AA162">
        <v>0</v>
      </c>
      <c r="AB162">
        <v>440.91</v>
      </c>
      <c r="AC162">
        <v>11.6</v>
      </c>
      <c r="AD162">
        <v>0</v>
      </c>
      <c r="AE162">
        <v>0</v>
      </c>
      <c r="AF162">
        <v>65.709999999999994</v>
      </c>
      <c r="AG162">
        <v>11.6</v>
      </c>
      <c r="AH162">
        <v>0</v>
      </c>
      <c r="AI162">
        <v>1</v>
      </c>
      <c r="AJ162">
        <v>6.71</v>
      </c>
      <c r="AK162">
        <v>1</v>
      </c>
      <c r="AL162">
        <v>1</v>
      </c>
      <c r="AN162">
        <v>0</v>
      </c>
      <c r="AO162">
        <v>1</v>
      </c>
      <c r="AP162">
        <v>0</v>
      </c>
      <c r="AQ162">
        <v>0</v>
      </c>
      <c r="AR162">
        <v>0</v>
      </c>
      <c r="AS162" t="s">
        <v>6</v>
      </c>
      <c r="AT162">
        <v>1.85</v>
      </c>
      <c r="AU162" t="s">
        <v>6</v>
      </c>
      <c r="AV162">
        <v>0</v>
      </c>
      <c r="AW162">
        <v>2</v>
      </c>
      <c r="AX162">
        <v>16802878</v>
      </c>
      <c r="AY162">
        <v>1</v>
      </c>
      <c r="AZ162">
        <v>0</v>
      </c>
      <c r="BA162">
        <v>160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Y162*Source!I123</f>
        <v>0.42624000000000001</v>
      </c>
      <c r="CY162">
        <f>AB162</f>
        <v>440.91</v>
      </c>
      <c r="CZ162">
        <f>AF162</f>
        <v>65.709999999999994</v>
      </c>
      <c r="DA162">
        <f>AJ162</f>
        <v>6.71</v>
      </c>
      <c r="DB162">
        <f t="shared" si="9"/>
        <v>121.56</v>
      </c>
      <c r="DC162">
        <f t="shared" si="10"/>
        <v>21.46</v>
      </c>
    </row>
    <row r="163" spans="1:107" x14ac:dyDescent="0.2">
      <c r="A163">
        <f>ROW(Source!A123)</f>
        <v>123</v>
      </c>
      <c r="B163">
        <v>16802145</v>
      </c>
      <c r="C163">
        <v>16802860</v>
      </c>
      <c r="D163">
        <v>15166084</v>
      </c>
      <c r="E163">
        <v>1</v>
      </c>
      <c r="F163">
        <v>1</v>
      </c>
      <c r="G163">
        <v>1</v>
      </c>
      <c r="H163">
        <v>3</v>
      </c>
      <c r="I163" t="s">
        <v>792</v>
      </c>
      <c r="J163" t="s">
        <v>793</v>
      </c>
      <c r="K163" t="s">
        <v>794</v>
      </c>
      <c r="L163">
        <v>1339</v>
      </c>
      <c r="N163">
        <v>1007</v>
      </c>
      <c r="O163" t="s">
        <v>61</v>
      </c>
      <c r="P163" t="s">
        <v>61</v>
      </c>
      <c r="Q163">
        <v>1</v>
      </c>
      <c r="W163">
        <v>0</v>
      </c>
      <c r="X163">
        <v>2048996427</v>
      </c>
      <c r="Y163">
        <v>0.67</v>
      </c>
      <c r="AA163">
        <v>307.52</v>
      </c>
      <c r="AB163">
        <v>0</v>
      </c>
      <c r="AC163">
        <v>0</v>
      </c>
      <c r="AD163">
        <v>0</v>
      </c>
      <c r="AE163">
        <v>45.83</v>
      </c>
      <c r="AF163">
        <v>0</v>
      </c>
      <c r="AG163">
        <v>0</v>
      </c>
      <c r="AH163">
        <v>0</v>
      </c>
      <c r="AI163">
        <v>6.71</v>
      </c>
      <c r="AJ163">
        <v>1</v>
      </c>
      <c r="AK163">
        <v>1</v>
      </c>
      <c r="AL163">
        <v>1</v>
      </c>
      <c r="AN163">
        <v>0</v>
      </c>
      <c r="AO163">
        <v>1</v>
      </c>
      <c r="AP163">
        <v>0</v>
      </c>
      <c r="AQ163">
        <v>0</v>
      </c>
      <c r="AR163">
        <v>0</v>
      </c>
      <c r="AS163" t="s">
        <v>6</v>
      </c>
      <c r="AT163">
        <v>0.67</v>
      </c>
      <c r="AU163" t="s">
        <v>6</v>
      </c>
      <c r="AV163">
        <v>0</v>
      </c>
      <c r="AW163">
        <v>2</v>
      </c>
      <c r="AX163">
        <v>16802879</v>
      </c>
      <c r="AY163">
        <v>1</v>
      </c>
      <c r="AZ163">
        <v>0</v>
      </c>
      <c r="BA163">
        <v>161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Y163*Source!I123</f>
        <v>0.15436800000000001</v>
      </c>
      <c r="CY163">
        <f>AA163</f>
        <v>307.52</v>
      </c>
      <c r="CZ163">
        <f>AE163</f>
        <v>45.83</v>
      </c>
      <c r="DA163">
        <f>AI163</f>
        <v>6.71</v>
      </c>
      <c r="DB163">
        <f t="shared" si="9"/>
        <v>30.71</v>
      </c>
      <c r="DC163">
        <f t="shared" si="10"/>
        <v>0</v>
      </c>
    </row>
    <row r="164" spans="1:107" x14ac:dyDescent="0.2">
      <c r="A164">
        <f>ROW(Source!A123)</f>
        <v>123</v>
      </c>
      <c r="B164">
        <v>16802145</v>
      </c>
      <c r="C164">
        <v>16802860</v>
      </c>
      <c r="D164">
        <v>15167286</v>
      </c>
      <c r="E164">
        <v>1</v>
      </c>
      <c r="F164">
        <v>1</v>
      </c>
      <c r="G164">
        <v>1</v>
      </c>
      <c r="H164">
        <v>3</v>
      </c>
      <c r="I164" t="s">
        <v>669</v>
      </c>
      <c r="J164" t="s">
        <v>670</v>
      </c>
      <c r="K164" t="s">
        <v>671</v>
      </c>
      <c r="L164">
        <v>1339</v>
      </c>
      <c r="N164">
        <v>1007</v>
      </c>
      <c r="O164" t="s">
        <v>61</v>
      </c>
      <c r="P164" t="s">
        <v>61</v>
      </c>
      <c r="Q164">
        <v>1</v>
      </c>
      <c r="W164">
        <v>0</v>
      </c>
      <c r="X164">
        <v>-1660354250</v>
      </c>
      <c r="Y164">
        <v>15</v>
      </c>
      <c r="AA164">
        <v>16.37</v>
      </c>
      <c r="AB164">
        <v>0</v>
      </c>
      <c r="AC164">
        <v>0</v>
      </c>
      <c r="AD164">
        <v>0</v>
      </c>
      <c r="AE164">
        <v>2.44</v>
      </c>
      <c r="AF164">
        <v>0</v>
      </c>
      <c r="AG164">
        <v>0</v>
      </c>
      <c r="AH164">
        <v>0</v>
      </c>
      <c r="AI164">
        <v>6.71</v>
      </c>
      <c r="AJ164">
        <v>1</v>
      </c>
      <c r="AK164">
        <v>1</v>
      </c>
      <c r="AL164">
        <v>1</v>
      </c>
      <c r="AN164">
        <v>0</v>
      </c>
      <c r="AO164">
        <v>1</v>
      </c>
      <c r="AP164">
        <v>0</v>
      </c>
      <c r="AQ164">
        <v>0</v>
      </c>
      <c r="AR164">
        <v>0</v>
      </c>
      <c r="AS164" t="s">
        <v>6</v>
      </c>
      <c r="AT164">
        <v>15</v>
      </c>
      <c r="AU164" t="s">
        <v>6</v>
      </c>
      <c r="AV164">
        <v>0</v>
      </c>
      <c r="AW164">
        <v>2</v>
      </c>
      <c r="AX164">
        <v>16802880</v>
      </c>
      <c r="AY164">
        <v>1</v>
      </c>
      <c r="AZ164">
        <v>0</v>
      </c>
      <c r="BA164">
        <v>162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Y164*Source!I123</f>
        <v>3.456</v>
      </c>
      <c r="CY164">
        <f>AA164</f>
        <v>16.37</v>
      </c>
      <c r="CZ164">
        <f>AE164</f>
        <v>2.44</v>
      </c>
      <c r="DA164">
        <f>AI164</f>
        <v>6.71</v>
      </c>
      <c r="DB164">
        <f t="shared" si="9"/>
        <v>36.6</v>
      </c>
      <c r="DC164">
        <f t="shared" si="10"/>
        <v>0</v>
      </c>
    </row>
    <row r="165" spans="1:107" x14ac:dyDescent="0.2">
      <c r="A165">
        <f>ROW(Source!A123)</f>
        <v>123</v>
      </c>
      <c r="B165">
        <v>16802145</v>
      </c>
      <c r="C165">
        <v>16802860</v>
      </c>
      <c r="D165">
        <v>15212828</v>
      </c>
      <c r="E165">
        <v>1</v>
      </c>
      <c r="F165">
        <v>1</v>
      </c>
      <c r="G165">
        <v>1</v>
      </c>
      <c r="H165">
        <v>3</v>
      </c>
      <c r="I165" t="s">
        <v>795</v>
      </c>
      <c r="J165" t="s">
        <v>796</v>
      </c>
      <c r="K165" t="s">
        <v>797</v>
      </c>
      <c r="L165">
        <v>1035</v>
      </c>
      <c r="N165">
        <v>1013</v>
      </c>
      <c r="O165" t="s">
        <v>798</v>
      </c>
      <c r="P165" t="s">
        <v>798</v>
      </c>
      <c r="Q165">
        <v>1</v>
      </c>
      <c r="W165">
        <v>0</v>
      </c>
      <c r="X165">
        <v>-1223829238</v>
      </c>
      <c r="Y165">
        <v>44.2</v>
      </c>
      <c r="AA165">
        <v>166.07</v>
      </c>
      <c r="AB165">
        <v>0</v>
      </c>
      <c r="AC165">
        <v>0</v>
      </c>
      <c r="AD165">
        <v>0</v>
      </c>
      <c r="AE165">
        <v>24.75</v>
      </c>
      <c r="AF165">
        <v>0</v>
      </c>
      <c r="AG165">
        <v>0</v>
      </c>
      <c r="AH165">
        <v>0</v>
      </c>
      <c r="AI165">
        <v>6.71</v>
      </c>
      <c r="AJ165">
        <v>1</v>
      </c>
      <c r="AK165">
        <v>1</v>
      </c>
      <c r="AL165">
        <v>1</v>
      </c>
      <c r="AN165">
        <v>0</v>
      </c>
      <c r="AO165">
        <v>1</v>
      </c>
      <c r="AP165">
        <v>0</v>
      </c>
      <c r="AQ165">
        <v>0</v>
      </c>
      <c r="AR165">
        <v>0</v>
      </c>
      <c r="AS165" t="s">
        <v>6</v>
      </c>
      <c r="AT165">
        <v>44.2</v>
      </c>
      <c r="AU165" t="s">
        <v>6</v>
      </c>
      <c r="AV165">
        <v>0</v>
      </c>
      <c r="AW165">
        <v>2</v>
      </c>
      <c r="AX165">
        <v>16802883</v>
      </c>
      <c r="AY165">
        <v>1</v>
      </c>
      <c r="AZ165">
        <v>0</v>
      </c>
      <c r="BA165">
        <v>165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Y165*Source!I123</f>
        <v>10.183680000000001</v>
      </c>
      <c r="CY165">
        <f>AA165</f>
        <v>166.07</v>
      </c>
      <c r="CZ165">
        <f>AE165</f>
        <v>24.75</v>
      </c>
      <c r="DA165">
        <f>AI165</f>
        <v>6.71</v>
      </c>
      <c r="DB165">
        <f t="shared" si="9"/>
        <v>1093.95</v>
      </c>
      <c r="DC165">
        <f t="shared" si="10"/>
        <v>0</v>
      </c>
    </row>
    <row r="166" spans="1:107" x14ac:dyDescent="0.2">
      <c r="A166">
        <f>ROW(Source!A123)</f>
        <v>123</v>
      </c>
      <c r="B166">
        <v>16802145</v>
      </c>
      <c r="C166">
        <v>16802860</v>
      </c>
      <c r="D166">
        <v>15213166</v>
      </c>
      <c r="E166">
        <v>1</v>
      </c>
      <c r="F166">
        <v>1</v>
      </c>
      <c r="G166">
        <v>1</v>
      </c>
      <c r="H166">
        <v>3</v>
      </c>
      <c r="I166" t="s">
        <v>345</v>
      </c>
      <c r="J166" t="s">
        <v>347</v>
      </c>
      <c r="K166" t="s">
        <v>346</v>
      </c>
      <c r="L166">
        <v>1354</v>
      </c>
      <c r="N166">
        <v>1010</v>
      </c>
      <c r="O166" t="s">
        <v>42</v>
      </c>
      <c r="P166" t="s">
        <v>42</v>
      </c>
      <c r="Q166">
        <v>1</v>
      </c>
      <c r="W166">
        <v>0</v>
      </c>
      <c r="X166">
        <v>-1671494881</v>
      </c>
      <c r="Y166">
        <v>69.444444000000004</v>
      </c>
      <c r="AA166">
        <v>10089.76</v>
      </c>
      <c r="AB166">
        <v>0</v>
      </c>
      <c r="AC166">
        <v>0</v>
      </c>
      <c r="AD166">
        <v>0</v>
      </c>
      <c r="AE166">
        <v>1503.69</v>
      </c>
      <c r="AF166">
        <v>0</v>
      </c>
      <c r="AG166">
        <v>0</v>
      </c>
      <c r="AH166">
        <v>0</v>
      </c>
      <c r="AI166">
        <v>6.71</v>
      </c>
      <c r="AJ166">
        <v>1</v>
      </c>
      <c r="AK166">
        <v>1</v>
      </c>
      <c r="AL166">
        <v>1</v>
      </c>
      <c r="AN166">
        <v>0</v>
      </c>
      <c r="AO166">
        <v>0</v>
      </c>
      <c r="AP166">
        <v>0</v>
      </c>
      <c r="AQ166">
        <v>0</v>
      </c>
      <c r="AR166">
        <v>0</v>
      </c>
      <c r="AS166" t="s">
        <v>6</v>
      </c>
      <c r="AT166">
        <v>69.444444000000004</v>
      </c>
      <c r="AU166" t="s">
        <v>6</v>
      </c>
      <c r="AV166">
        <v>0</v>
      </c>
      <c r="AW166">
        <v>1</v>
      </c>
      <c r="AX166">
        <v>-1</v>
      </c>
      <c r="AY166">
        <v>0</v>
      </c>
      <c r="AZ166">
        <v>0</v>
      </c>
      <c r="BA166" t="s">
        <v>6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Y166*Source!I123</f>
        <v>15.9999998976</v>
      </c>
      <c r="CY166">
        <f>AA166</f>
        <v>10089.76</v>
      </c>
      <c r="CZ166">
        <f>AE166</f>
        <v>1503.69</v>
      </c>
      <c r="DA166">
        <f>AI166</f>
        <v>6.71</v>
      </c>
      <c r="DB166">
        <f t="shared" si="9"/>
        <v>104422.92</v>
      </c>
      <c r="DC166">
        <f t="shared" si="10"/>
        <v>0</v>
      </c>
    </row>
    <row r="167" spans="1:107" x14ac:dyDescent="0.2">
      <c r="A167">
        <f>ROW(Source!A123)</f>
        <v>123</v>
      </c>
      <c r="B167">
        <v>16802145</v>
      </c>
      <c r="C167">
        <v>16802860</v>
      </c>
      <c r="D167">
        <v>15163239</v>
      </c>
      <c r="E167">
        <v>17</v>
      </c>
      <c r="F167">
        <v>1</v>
      </c>
      <c r="G167">
        <v>1</v>
      </c>
      <c r="H167">
        <v>3</v>
      </c>
      <c r="I167" t="s">
        <v>349</v>
      </c>
      <c r="J167" t="s">
        <v>6</v>
      </c>
      <c r="K167" t="s">
        <v>350</v>
      </c>
      <c r="L167">
        <v>1033</v>
      </c>
      <c r="N167">
        <v>1013</v>
      </c>
      <c r="O167" t="s">
        <v>351</v>
      </c>
      <c r="P167" t="s">
        <v>351</v>
      </c>
      <c r="Q167">
        <v>1</v>
      </c>
      <c r="W167">
        <v>0</v>
      </c>
      <c r="X167">
        <v>704408924</v>
      </c>
      <c r="Y167">
        <v>100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6.71</v>
      </c>
      <c r="AJ167">
        <v>1</v>
      </c>
      <c r="AK167">
        <v>1</v>
      </c>
      <c r="AL167">
        <v>1</v>
      </c>
      <c r="AN167">
        <v>0</v>
      </c>
      <c r="AO167">
        <v>0</v>
      </c>
      <c r="AP167">
        <v>0</v>
      </c>
      <c r="AQ167">
        <v>0</v>
      </c>
      <c r="AR167">
        <v>0</v>
      </c>
      <c r="AS167" t="s">
        <v>6</v>
      </c>
      <c r="AT167">
        <v>100</v>
      </c>
      <c r="AU167" t="s">
        <v>6</v>
      </c>
      <c r="AV167">
        <v>0</v>
      </c>
      <c r="AW167">
        <v>2</v>
      </c>
      <c r="AX167">
        <v>16802884</v>
      </c>
      <c r="AY167">
        <v>1</v>
      </c>
      <c r="AZ167">
        <v>0</v>
      </c>
      <c r="BA167">
        <v>166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Y167*Source!I123</f>
        <v>23.04</v>
      </c>
      <c r="CY167">
        <f>AA167</f>
        <v>0</v>
      </c>
      <c r="CZ167">
        <f>AE167</f>
        <v>0</v>
      </c>
      <c r="DA167">
        <f>AI167</f>
        <v>6.71</v>
      </c>
      <c r="DB167">
        <f t="shared" si="9"/>
        <v>0</v>
      </c>
      <c r="DC167">
        <f t="shared" si="10"/>
        <v>0</v>
      </c>
    </row>
    <row r="168" spans="1:107" x14ac:dyDescent="0.2">
      <c r="A168">
        <f>ROW(Source!A126)</f>
        <v>126</v>
      </c>
      <c r="B168">
        <v>16802145</v>
      </c>
      <c r="C168">
        <v>16802887</v>
      </c>
      <c r="D168">
        <v>15430497</v>
      </c>
      <c r="E168">
        <v>1</v>
      </c>
      <c r="F168">
        <v>1</v>
      </c>
      <c r="G168">
        <v>1</v>
      </c>
      <c r="H168">
        <v>1</v>
      </c>
      <c r="I168" t="s">
        <v>799</v>
      </c>
      <c r="J168" t="s">
        <v>6</v>
      </c>
      <c r="K168" t="s">
        <v>800</v>
      </c>
      <c r="L168">
        <v>1191</v>
      </c>
      <c r="N168">
        <v>1013</v>
      </c>
      <c r="O168" t="s">
        <v>660</v>
      </c>
      <c r="P168" t="s">
        <v>660</v>
      </c>
      <c r="Q168">
        <v>1</v>
      </c>
      <c r="W168">
        <v>0</v>
      </c>
      <c r="X168">
        <v>-719309759</v>
      </c>
      <c r="Y168">
        <v>71.06</v>
      </c>
      <c r="AA168">
        <v>0</v>
      </c>
      <c r="AB168">
        <v>0</v>
      </c>
      <c r="AC168">
        <v>0</v>
      </c>
      <c r="AD168">
        <v>59.45</v>
      </c>
      <c r="AE168">
        <v>0</v>
      </c>
      <c r="AF168">
        <v>0</v>
      </c>
      <c r="AG168">
        <v>0</v>
      </c>
      <c r="AH168">
        <v>8.86</v>
      </c>
      <c r="AI168">
        <v>1</v>
      </c>
      <c r="AJ168">
        <v>1</v>
      </c>
      <c r="AK168">
        <v>1</v>
      </c>
      <c r="AL168">
        <v>6.71</v>
      </c>
      <c r="AN168">
        <v>0</v>
      </c>
      <c r="AO168">
        <v>1</v>
      </c>
      <c r="AP168">
        <v>0</v>
      </c>
      <c r="AQ168">
        <v>0</v>
      </c>
      <c r="AR168">
        <v>0</v>
      </c>
      <c r="AS168" t="s">
        <v>6</v>
      </c>
      <c r="AT168">
        <v>71.06</v>
      </c>
      <c r="AU168" t="s">
        <v>6</v>
      </c>
      <c r="AV168">
        <v>1</v>
      </c>
      <c r="AW168">
        <v>2</v>
      </c>
      <c r="AX168">
        <v>16802896</v>
      </c>
      <c r="AY168">
        <v>1</v>
      </c>
      <c r="AZ168">
        <v>0</v>
      </c>
      <c r="BA168">
        <v>167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Y168*Source!I126</f>
        <v>3.7519680000000002</v>
      </c>
      <c r="CY168">
        <f>AD168</f>
        <v>59.45</v>
      </c>
      <c r="CZ168">
        <f>AH168</f>
        <v>8.86</v>
      </c>
      <c r="DA168">
        <f>AL168</f>
        <v>6.71</v>
      </c>
      <c r="DB168">
        <f t="shared" ref="DB168:DB184" si="14">ROUND(ROUND(AT168*CZ168,2),2)</f>
        <v>629.59</v>
      </c>
      <c r="DC168">
        <f t="shared" ref="DC168:DC184" si="15">ROUND(ROUND(AT168*AG168,2),2)</f>
        <v>0</v>
      </c>
    </row>
    <row r="169" spans="1:107" x14ac:dyDescent="0.2">
      <c r="A169">
        <f>ROW(Source!A126)</f>
        <v>126</v>
      </c>
      <c r="B169">
        <v>16802145</v>
      </c>
      <c r="C169">
        <v>16802887</v>
      </c>
      <c r="D169">
        <v>15430395</v>
      </c>
      <c r="E169">
        <v>1</v>
      </c>
      <c r="F169">
        <v>1</v>
      </c>
      <c r="G169">
        <v>1</v>
      </c>
      <c r="H169">
        <v>1</v>
      </c>
      <c r="I169" t="s">
        <v>661</v>
      </c>
      <c r="J169" t="s">
        <v>6</v>
      </c>
      <c r="K169" t="s">
        <v>662</v>
      </c>
      <c r="L169">
        <v>1191</v>
      </c>
      <c r="N169">
        <v>1013</v>
      </c>
      <c r="O169" t="s">
        <v>660</v>
      </c>
      <c r="P169" t="s">
        <v>660</v>
      </c>
      <c r="Q169">
        <v>1</v>
      </c>
      <c r="W169">
        <v>0</v>
      </c>
      <c r="X169">
        <v>-1417349443</v>
      </c>
      <c r="Y169">
        <v>0.04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1</v>
      </c>
      <c r="AJ169">
        <v>1</v>
      </c>
      <c r="AK169">
        <v>6.71</v>
      </c>
      <c r="AL169">
        <v>1</v>
      </c>
      <c r="AN169">
        <v>0</v>
      </c>
      <c r="AO169">
        <v>1</v>
      </c>
      <c r="AP169">
        <v>0</v>
      </c>
      <c r="AQ169">
        <v>0</v>
      </c>
      <c r="AR169">
        <v>0</v>
      </c>
      <c r="AS169" t="s">
        <v>6</v>
      </c>
      <c r="AT169">
        <v>0.04</v>
      </c>
      <c r="AU169" t="s">
        <v>6</v>
      </c>
      <c r="AV169">
        <v>2</v>
      </c>
      <c r="AW169">
        <v>2</v>
      </c>
      <c r="AX169">
        <v>16802897</v>
      </c>
      <c r="AY169">
        <v>1</v>
      </c>
      <c r="AZ169">
        <v>0</v>
      </c>
      <c r="BA169">
        <v>168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Y169*Source!I126</f>
        <v>2.1120000000000002E-3</v>
      </c>
      <c r="CY169">
        <f>AD169</f>
        <v>0</v>
      </c>
      <c r="CZ169">
        <f>AH169</f>
        <v>0</v>
      </c>
      <c r="DA169">
        <f>AL169</f>
        <v>1</v>
      </c>
      <c r="DB169">
        <f t="shared" si="14"/>
        <v>0</v>
      </c>
      <c r="DC169">
        <f t="shared" si="15"/>
        <v>0</v>
      </c>
    </row>
    <row r="170" spans="1:107" x14ac:dyDescent="0.2">
      <c r="A170">
        <f>ROW(Source!A126)</f>
        <v>126</v>
      </c>
      <c r="B170">
        <v>16802145</v>
      </c>
      <c r="C170">
        <v>16802887</v>
      </c>
      <c r="D170">
        <v>15247974</v>
      </c>
      <c r="E170">
        <v>1</v>
      </c>
      <c r="F170">
        <v>1</v>
      </c>
      <c r="G170">
        <v>1</v>
      </c>
      <c r="H170">
        <v>2</v>
      </c>
      <c r="I170" t="s">
        <v>663</v>
      </c>
      <c r="J170" t="s">
        <v>664</v>
      </c>
      <c r="K170" t="s">
        <v>665</v>
      </c>
      <c r="L170">
        <v>1368</v>
      </c>
      <c r="N170">
        <v>1011</v>
      </c>
      <c r="O170" t="s">
        <v>666</v>
      </c>
      <c r="P170" t="s">
        <v>666</v>
      </c>
      <c r="Q170">
        <v>1</v>
      </c>
      <c r="W170">
        <v>0</v>
      </c>
      <c r="X170">
        <v>1188625873</v>
      </c>
      <c r="Y170">
        <v>0.01</v>
      </c>
      <c r="AA170">
        <v>0</v>
      </c>
      <c r="AB170">
        <v>209.75</v>
      </c>
      <c r="AC170">
        <v>13.5</v>
      </c>
      <c r="AD170">
        <v>0</v>
      </c>
      <c r="AE170">
        <v>0</v>
      </c>
      <c r="AF170">
        <v>31.26</v>
      </c>
      <c r="AG170">
        <v>13.5</v>
      </c>
      <c r="AH170">
        <v>0</v>
      </c>
      <c r="AI170">
        <v>1</v>
      </c>
      <c r="AJ170">
        <v>6.71</v>
      </c>
      <c r="AK170">
        <v>1</v>
      </c>
      <c r="AL170">
        <v>1</v>
      </c>
      <c r="AN170">
        <v>0</v>
      </c>
      <c r="AO170">
        <v>1</v>
      </c>
      <c r="AP170">
        <v>0</v>
      </c>
      <c r="AQ170">
        <v>0</v>
      </c>
      <c r="AR170">
        <v>0</v>
      </c>
      <c r="AS170" t="s">
        <v>6</v>
      </c>
      <c r="AT170">
        <v>0.01</v>
      </c>
      <c r="AU170" t="s">
        <v>6</v>
      </c>
      <c r="AV170">
        <v>0</v>
      </c>
      <c r="AW170">
        <v>2</v>
      </c>
      <c r="AX170">
        <v>16802898</v>
      </c>
      <c r="AY170">
        <v>1</v>
      </c>
      <c r="AZ170">
        <v>0</v>
      </c>
      <c r="BA170">
        <v>169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Y170*Source!I126</f>
        <v>5.2800000000000004E-4</v>
      </c>
      <c r="CY170">
        <f>AB170</f>
        <v>209.75</v>
      </c>
      <c r="CZ170">
        <f>AF170</f>
        <v>31.26</v>
      </c>
      <c r="DA170">
        <f>AJ170</f>
        <v>6.71</v>
      </c>
      <c r="DB170">
        <f t="shared" si="14"/>
        <v>0.31</v>
      </c>
      <c r="DC170">
        <f t="shared" si="15"/>
        <v>0.14000000000000001</v>
      </c>
    </row>
    <row r="171" spans="1:107" x14ac:dyDescent="0.2">
      <c r="A171">
        <f>ROW(Source!A126)</f>
        <v>126</v>
      </c>
      <c r="B171">
        <v>16802145</v>
      </c>
      <c r="C171">
        <v>16802887</v>
      </c>
      <c r="D171">
        <v>15249073</v>
      </c>
      <c r="E171">
        <v>1</v>
      </c>
      <c r="F171">
        <v>1</v>
      </c>
      <c r="G171">
        <v>1</v>
      </c>
      <c r="H171">
        <v>2</v>
      </c>
      <c r="I171" t="s">
        <v>684</v>
      </c>
      <c r="J171" t="s">
        <v>685</v>
      </c>
      <c r="K171" t="s">
        <v>686</v>
      </c>
      <c r="L171">
        <v>1368</v>
      </c>
      <c r="N171">
        <v>1011</v>
      </c>
      <c r="O171" t="s">
        <v>666</v>
      </c>
      <c r="P171" t="s">
        <v>666</v>
      </c>
      <c r="Q171">
        <v>1</v>
      </c>
      <c r="W171">
        <v>0</v>
      </c>
      <c r="X171">
        <v>1372534845</v>
      </c>
      <c r="Y171">
        <v>0.03</v>
      </c>
      <c r="AA171">
        <v>0</v>
      </c>
      <c r="AB171">
        <v>440.91</v>
      </c>
      <c r="AC171">
        <v>11.6</v>
      </c>
      <c r="AD171">
        <v>0</v>
      </c>
      <c r="AE171">
        <v>0</v>
      </c>
      <c r="AF171">
        <v>65.709999999999994</v>
      </c>
      <c r="AG171">
        <v>11.6</v>
      </c>
      <c r="AH171">
        <v>0</v>
      </c>
      <c r="AI171">
        <v>1</v>
      </c>
      <c r="AJ171">
        <v>6.71</v>
      </c>
      <c r="AK171">
        <v>1</v>
      </c>
      <c r="AL171">
        <v>1</v>
      </c>
      <c r="AN171">
        <v>0</v>
      </c>
      <c r="AO171">
        <v>1</v>
      </c>
      <c r="AP171">
        <v>0</v>
      </c>
      <c r="AQ171">
        <v>0</v>
      </c>
      <c r="AR171">
        <v>0</v>
      </c>
      <c r="AS171" t="s">
        <v>6</v>
      </c>
      <c r="AT171">
        <v>0.03</v>
      </c>
      <c r="AU171" t="s">
        <v>6</v>
      </c>
      <c r="AV171">
        <v>0</v>
      </c>
      <c r="AW171">
        <v>2</v>
      </c>
      <c r="AX171">
        <v>16802899</v>
      </c>
      <c r="AY171">
        <v>1</v>
      </c>
      <c r="AZ171">
        <v>0</v>
      </c>
      <c r="BA171">
        <v>170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Y171*Source!I126</f>
        <v>1.5839999999999999E-3</v>
      </c>
      <c r="CY171">
        <f>AB171</f>
        <v>440.91</v>
      </c>
      <c r="CZ171">
        <f>AF171</f>
        <v>65.709999999999994</v>
      </c>
      <c r="DA171">
        <f>AJ171</f>
        <v>6.71</v>
      </c>
      <c r="DB171">
        <f t="shared" si="14"/>
        <v>1.97</v>
      </c>
      <c r="DC171">
        <f t="shared" si="15"/>
        <v>0.35</v>
      </c>
    </row>
    <row r="172" spans="1:107" x14ac:dyDescent="0.2">
      <c r="A172">
        <f>ROW(Source!A126)</f>
        <v>126</v>
      </c>
      <c r="B172">
        <v>16802145</v>
      </c>
      <c r="C172">
        <v>16802887</v>
      </c>
      <c r="D172">
        <v>15171018</v>
      </c>
      <c r="E172">
        <v>1</v>
      </c>
      <c r="F172">
        <v>1</v>
      </c>
      <c r="G172">
        <v>1</v>
      </c>
      <c r="H172">
        <v>3</v>
      </c>
      <c r="I172" t="s">
        <v>698</v>
      </c>
      <c r="J172" t="s">
        <v>699</v>
      </c>
      <c r="K172" t="s">
        <v>700</v>
      </c>
      <c r="L172">
        <v>1346</v>
      </c>
      <c r="N172">
        <v>1009</v>
      </c>
      <c r="O172" t="s">
        <v>103</v>
      </c>
      <c r="P172" t="s">
        <v>103</v>
      </c>
      <c r="Q172">
        <v>1</v>
      </c>
      <c r="W172">
        <v>0</v>
      </c>
      <c r="X172">
        <v>813963326</v>
      </c>
      <c r="Y172">
        <v>0.3</v>
      </c>
      <c r="AA172">
        <v>12.21</v>
      </c>
      <c r="AB172">
        <v>0</v>
      </c>
      <c r="AC172">
        <v>0</v>
      </c>
      <c r="AD172">
        <v>0</v>
      </c>
      <c r="AE172">
        <v>1.82</v>
      </c>
      <c r="AF172">
        <v>0</v>
      </c>
      <c r="AG172">
        <v>0</v>
      </c>
      <c r="AH172">
        <v>0</v>
      </c>
      <c r="AI172">
        <v>6.71</v>
      </c>
      <c r="AJ172">
        <v>1</v>
      </c>
      <c r="AK172">
        <v>1</v>
      </c>
      <c r="AL172">
        <v>1</v>
      </c>
      <c r="AN172">
        <v>0</v>
      </c>
      <c r="AO172">
        <v>1</v>
      </c>
      <c r="AP172">
        <v>0</v>
      </c>
      <c r="AQ172">
        <v>0</v>
      </c>
      <c r="AR172">
        <v>0</v>
      </c>
      <c r="AS172" t="s">
        <v>6</v>
      </c>
      <c r="AT172">
        <v>0.3</v>
      </c>
      <c r="AU172" t="s">
        <v>6</v>
      </c>
      <c r="AV172">
        <v>0</v>
      </c>
      <c r="AW172">
        <v>2</v>
      </c>
      <c r="AX172">
        <v>16802900</v>
      </c>
      <c r="AY172">
        <v>1</v>
      </c>
      <c r="AZ172">
        <v>0</v>
      </c>
      <c r="BA172">
        <v>171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Y172*Source!I126</f>
        <v>1.584E-2</v>
      </c>
      <c r="CY172">
        <f>AA172</f>
        <v>12.21</v>
      </c>
      <c r="CZ172">
        <f>AE172</f>
        <v>1.82</v>
      </c>
      <c r="DA172">
        <f>AI172</f>
        <v>6.71</v>
      </c>
      <c r="DB172">
        <f t="shared" si="14"/>
        <v>0.55000000000000004</v>
      </c>
      <c r="DC172">
        <f t="shared" si="15"/>
        <v>0</v>
      </c>
    </row>
    <row r="173" spans="1:107" x14ac:dyDescent="0.2">
      <c r="A173">
        <f>ROW(Source!A126)</f>
        <v>126</v>
      </c>
      <c r="B173">
        <v>16802145</v>
      </c>
      <c r="C173">
        <v>16802887</v>
      </c>
      <c r="D173">
        <v>15163068</v>
      </c>
      <c r="E173">
        <v>17</v>
      </c>
      <c r="F173">
        <v>1</v>
      </c>
      <c r="G173">
        <v>1</v>
      </c>
      <c r="H173">
        <v>3</v>
      </c>
      <c r="I173" t="s">
        <v>357</v>
      </c>
      <c r="J173" t="s">
        <v>6</v>
      </c>
      <c r="K173" t="s">
        <v>358</v>
      </c>
      <c r="L173">
        <v>1348</v>
      </c>
      <c r="N173">
        <v>1009</v>
      </c>
      <c r="O173" t="s">
        <v>65</v>
      </c>
      <c r="P173" t="s">
        <v>65</v>
      </c>
      <c r="Q173">
        <v>1000</v>
      </c>
      <c r="W173">
        <v>0</v>
      </c>
      <c r="X173">
        <v>84301199</v>
      </c>
      <c r="Y173">
        <v>2.46E-2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6.71</v>
      </c>
      <c r="AJ173">
        <v>1</v>
      </c>
      <c r="AK173">
        <v>1</v>
      </c>
      <c r="AL173">
        <v>1</v>
      </c>
      <c r="AN173">
        <v>0</v>
      </c>
      <c r="AO173">
        <v>0</v>
      </c>
      <c r="AP173">
        <v>0</v>
      </c>
      <c r="AQ173">
        <v>0</v>
      </c>
      <c r="AR173">
        <v>0</v>
      </c>
      <c r="AS173" t="s">
        <v>6</v>
      </c>
      <c r="AT173">
        <v>2.46E-2</v>
      </c>
      <c r="AU173" t="s">
        <v>6</v>
      </c>
      <c r="AV173">
        <v>0</v>
      </c>
      <c r="AW173">
        <v>2</v>
      </c>
      <c r="AX173">
        <v>16802901</v>
      </c>
      <c r="AY173">
        <v>1</v>
      </c>
      <c r="AZ173">
        <v>0</v>
      </c>
      <c r="BA173">
        <v>172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Y173*Source!I126</f>
        <v>1.2988800000000001E-3</v>
      </c>
      <c r="CY173">
        <f>AA173</f>
        <v>0</v>
      </c>
      <c r="CZ173">
        <f>AE173</f>
        <v>0</v>
      </c>
      <c r="DA173">
        <f>AI173</f>
        <v>6.71</v>
      </c>
      <c r="DB173">
        <f t="shared" si="14"/>
        <v>0</v>
      </c>
      <c r="DC173">
        <f t="shared" si="15"/>
        <v>0</v>
      </c>
    </row>
    <row r="174" spans="1:107" x14ac:dyDescent="0.2">
      <c r="A174">
        <f>ROW(Source!A126)</f>
        <v>126</v>
      </c>
      <c r="B174">
        <v>16802145</v>
      </c>
      <c r="C174">
        <v>16802887</v>
      </c>
      <c r="D174">
        <v>15203725</v>
      </c>
      <c r="E174">
        <v>1</v>
      </c>
      <c r="F174">
        <v>1</v>
      </c>
      <c r="G174">
        <v>1</v>
      </c>
      <c r="H174">
        <v>3</v>
      </c>
      <c r="I174" t="s">
        <v>360</v>
      </c>
      <c r="J174" t="s">
        <v>362</v>
      </c>
      <c r="K174" t="s">
        <v>361</v>
      </c>
      <c r="L174">
        <v>1348</v>
      </c>
      <c r="N174">
        <v>1009</v>
      </c>
      <c r="O174" t="s">
        <v>65</v>
      </c>
      <c r="P174" t="s">
        <v>65</v>
      </c>
      <c r="Q174">
        <v>1000</v>
      </c>
      <c r="W174">
        <v>0</v>
      </c>
      <c r="X174">
        <v>-777870615</v>
      </c>
      <c r="Y174">
        <v>2.4598999999999999E-2</v>
      </c>
      <c r="AA174">
        <v>285229.95</v>
      </c>
      <c r="AB174">
        <v>0</v>
      </c>
      <c r="AC174">
        <v>0</v>
      </c>
      <c r="AD174">
        <v>0</v>
      </c>
      <c r="AE174">
        <v>42508.19</v>
      </c>
      <c r="AF174">
        <v>0</v>
      </c>
      <c r="AG174">
        <v>0</v>
      </c>
      <c r="AH174">
        <v>0</v>
      </c>
      <c r="AI174">
        <v>6.71</v>
      </c>
      <c r="AJ174">
        <v>1</v>
      </c>
      <c r="AK174">
        <v>1</v>
      </c>
      <c r="AL174">
        <v>1</v>
      </c>
      <c r="AN174">
        <v>0</v>
      </c>
      <c r="AO174">
        <v>0</v>
      </c>
      <c r="AP174">
        <v>0</v>
      </c>
      <c r="AQ174">
        <v>0</v>
      </c>
      <c r="AR174">
        <v>0</v>
      </c>
      <c r="AS174" t="s">
        <v>6</v>
      </c>
      <c r="AT174">
        <v>2.4598999999999999E-2</v>
      </c>
      <c r="AU174" t="s">
        <v>6</v>
      </c>
      <c r="AV174">
        <v>0</v>
      </c>
      <c r="AW174">
        <v>1</v>
      </c>
      <c r="AX174">
        <v>-1</v>
      </c>
      <c r="AY174">
        <v>0</v>
      </c>
      <c r="AZ174">
        <v>0</v>
      </c>
      <c r="BA174" t="s">
        <v>6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Y174*Source!I126</f>
        <v>1.2988271999999999E-3</v>
      </c>
      <c r="CY174">
        <f>AA174</f>
        <v>285229.95</v>
      </c>
      <c r="CZ174">
        <f>AE174</f>
        <v>42508.19</v>
      </c>
      <c r="DA174">
        <f>AI174</f>
        <v>6.71</v>
      </c>
      <c r="DB174">
        <f t="shared" si="14"/>
        <v>1045.6600000000001</v>
      </c>
      <c r="DC174">
        <f t="shared" si="15"/>
        <v>0</v>
      </c>
    </row>
    <row r="175" spans="1:107" x14ac:dyDescent="0.2">
      <c r="A175">
        <f>ROW(Source!A126)</f>
        <v>126</v>
      </c>
      <c r="B175">
        <v>16802145</v>
      </c>
      <c r="C175">
        <v>16802887</v>
      </c>
      <c r="D175">
        <v>15204471</v>
      </c>
      <c r="E175">
        <v>1</v>
      </c>
      <c r="F175">
        <v>1</v>
      </c>
      <c r="G175">
        <v>1</v>
      </c>
      <c r="H175">
        <v>3</v>
      </c>
      <c r="I175" t="s">
        <v>801</v>
      </c>
      <c r="J175" t="s">
        <v>802</v>
      </c>
      <c r="K175" t="s">
        <v>803</v>
      </c>
      <c r="L175">
        <v>1346</v>
      </c>
      <c r="N175">
        <v>1009</v>
      </c>
      <c r="O175" t="s">
        <v>103</v>
      </c>
      <c r="P175" t="s">
        <v>103</v>
      </c>
      <c r="Q175">
        <v>1</v>
      </c>
      <c r="W175">
        <v>0</v>
      </c>
      <c r="X175">
        <v>-608190322</v>
      </c>
      <c r="Y175">
        <v>2.7</v>
      </c>
      <c r="AA175">
        <v>218.75</v>
      </c>
      <c r="AB175">
        <v>0</v>
      </c>
      <c r="AC175">
        <v>0</v>
      </c>
      <c r="AD175">
        <v>0</v>
      </c>
      <c r="AE175">
        <v>32.6</v>
      </c>
      <c r="AF175">
        <v>0</v>
      </c>
      <c r="AG175">
        <v>0</v>
      </c>
      <c r="AH175">
        <v>0</v>
      </c>
      <c r="AI175">
        <v>6.71</v>
      </c>
      <c r="AJ175">
        <v>1</v>
      </c>
      <c r="AK175">
        <v>1</v>
      </c>
      <c r="AL175">
        <v>1</v>
      </c>
      <c r="AN175">
        <v>0</v>
      </c>
      <c r="AO175">
        <v>1</v>
      </c>
      <c r="AP175">
        <v>0</v>
      </c>
      <c r="AQ175">
        <v>0</v>
      </c>
      <c r="AR175">
        <v>0</v>
      </c>
      <c r="AS175" t="s">
        <v>6</v>
      </c>
      <c r="AT175">
        <v>2.7</v>
      </c>
      <c r="AU175" t="s">
        <v>6</v>
      </c>
      <c r="AV175">
        <v>0</v>
      </c>
      <c r="AW175">
        <v>2</v>
      </c>
      <c r="AX175">
        <v>16802902</v>
      </c>
      <c r="AY175">
        <v>1</v>
      </c>
      <c r="AZ175">
        <v>0</v>
      </c>
      <c r="BA175">
        <v>173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Y175*Source!I126</f>
        <v>0.14256000000000002</v>
      </c>
      <c r="CY175">
        <f>AA175</f>
        <v>218.75</v>
      </c>
      <c r="CZ175">
        <f>AE175</f>
        <v>32.6</v>
      </c>
      <c r="DA175">
        <f>AI175</f>
        <v>6.71</v>
      </c>
      <c r="DB175">
        <f t="shared" si="14"/>
        <v>88.02</v>
      </c>
      <c r="DC175">
        <f t="shared" si="15"/>
        <v>0</v>
      </c>
    </row>
    <row r="176" spans="1:107" x14ac:dyDescent="0.2">
      <c r="A176">
        <f>ROW(Source!A129)</f>
        <v>129</v>
      </c>
      <c r="B176">
        <v>16802145</v>
      </c>
      <c r="C176">
        <v>16802905</v>
      </c>
      <c r="D176">
        <v>15430447</v>
      </c>
      <c r="E176">
        <v>1</v>
      </c>
      <c r="F176">
        <v>1</v>
      </c>
      <c r="G176">
        <v>1</v>
      </c>
      <c r="H176">
        <v>1</v>
      </c>
      <c r="I176" t="s">
        <v>755</v>
      </c>
      <c r="J176" t="s">
        <v>6</v>
      </c>
      <c r="K176" t="s">
        <v>756</v>
      </c>
      <c r="L176">
        <v>1191</v>
      </c>
      <c r="N176">
        <v>1013</v>
      </c>
      <c r="O176" t="s">
        <v>660</v>
      </c>
      <c r="P176" t="s">
        <v>660</v>
      </c>
      <c r="Q176">
        <v>1</v>
      </c>
      <c r="W176">
        <v>0</v>
      </c>
      <c r="X176">
        <v>145020957</v>
      </c>
      <c r="Y176">
        <v>1.47</v>
      </c>
      <c r="AA176">
        <v>0</v>
      </c>
      <c r="AB176">
        <v>0</v>
      </c>
      <c r="AC176">
        <v>0</v>
      </c>
      <c r="AD176">
        <v>60.86</v>
      </c>
      <c r="AE176">
        <v>0</v>
      </c>
      <c r="AF176">
        <v>0</v>
      </c>
      <c r="AG176">
        <v>0</v>
      </c>
      <c r="AH176">
        <v>9.07</v>
      </c>
      <c r="AI176">
        <v>1</v>
      </c>
      <c r="AJ176">
        <v>1</v>
      </c>
      <c r="AK176">
        <v>1</v>
      </c>
      <c r="AL176">
        <v>6.71</v>
      </c>
      <c r="AN176">
        <v>0</v>
      </c>
      <c r="AO176">
        <v>1</v>
      </c>
      <c r="AP176">
        <v>0</v>
      </c>
      <c r="AQ176">
        <v>0</v>
      </c>
      <c r="AR176">
        <v>0</v>
      </c>
      <c r="AS176" t="s">
        <v>6</v>
      </c>
      <c r="AT176">
        <v>1.47</v>
      </c>
      <c r="AU176" t="s">
        <v>6</v>
      </c>
      <c r="AV176">
        <v>1</v>
      </c>
      <c r="AW176">
        <v>2</v>
      </c>
      <c r="AX176">
        <v>16802914</v>
      </c>
      <c r="AY176">
        <v>1</v>
      </c>
      <c r="AZ176">
        <v>0</v>
      </c>
      <c r="BA176">
        <v>174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Y176*Source!I129</f>
        <v>47.04</v>
      </c>
      <c r="CY176">
        <f>AD176</f>
        <v>60.86</v>
      </c>
      <c r="CZ176">
        <f>AH176</f>
        <v>9.07</v>
      </c>
      <c r="DA176">
        <f>AL176</f>
        <v>6.71</v>
      </c>
      <c r="DB176">
        <f t="shared" si="14"/>
        <v>13.33</v>
      </c>
      <c r="DC176">
        <f t="shared" si="15"/>
        <v>0</v>
      </c>
    </row>
    <row r="177" spans="1:107" x14ac:dyDescent="0.2">
      <c r="A177">
        <f>ROW(Source!A129)</f>
        <v>129</v>
      </c>
      <c r="B177">
        <v>16802145</v>
      </c>
      <c r="C177">
        <v>16802905</v>
      </c>
      <c r="D177">
        <v>15430395</v>
      </c>
      <c r="E177">
        <v>1</v>
      </c>
      <c r="F177">
        <v>1</v>
      </c>
      <c r="G177">
        <v>1</v>
      </c>
      <c r="H177">
        <v>1</v>
      </c>
      <c r="I177" t="s">
        <v>661</v>
      </c>
      <c r="J177" t="s">
        <v>6</v>
      </c>
      <c r="K177" t="s">
        <v>662</v>
      </c>
      <c r="L177">
        <v>1191</v>
      </c>
      <c r="N177">
        <v>1013</v>
      </c>
      <c r="O177" t="s">
        <v>660</v>
      </c>
      <c r="P177" t="s">
        <v>660</v>
      </c>
      <c r="Q177">
        <v>1</v>
      </c>
      <c r="W177">
        <v>0</v>
      </c>
      <c r="X177">
        <v>-1417349443</v>
      </c>
      <c r="Y177">
        <v>0.01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1</v>
      </c>
      <c r="AJ177">
        <v>1</v>
      </c>
      <c r="AK177">
        <v>6.71</v>
      </c>
      <c r="AL177">
        <v>1</v>
      </c>
      <c r="AN177">
        <v>0</v>
      </c>
      <c r="AO177">
        <v>1</v>
      </c>
      <c r="AP177">
        <v>0</v>
      </c>
      <c r="AQ177">
        <v>0</v>
      </c>
      <c r="AR177">
        <v>0</v>
      </c>
      <c r="AS177" t="s">
        <v>6</v>
      </c>
      <c r="AT177">
        <v>0.01</v>
      </c>
      <c r="AU177" t="s">
        <v>6</v>
      </c>
      <c r="AV177">
        <v>2</v>
      </c>
      <c r="AW177">
        <v>2</v>
      </c>
      <c r="AX177">
        <v>16802915</v>
      </c>
      <c r="AY177">
        <v>1</v>
      </c>
      <c r="AZ177">
        <v>0</v>
      </c>
      <c r="BA177">
        <v>175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Y177*Source!I129</f>
        <v>0.32</v>
      </c>
      <c r="CY177">
        <f>AD177</f>
        <v>0</v>
      </c>
      <c r="CZ177">
        <f>AH177</f>
        <v>0</v>
      </c>
      <c r="DA177">
        <f>AL177</f>
        <v>1</v>
      </c>
      <c r="DB177">
        <f t="shared" si="14"/>
        <v>0</v>
      </c>
      <c r="DC177">
        <f t="shared" si="15"/>
        <v>0</v>
      </c>
    </row>
    <row r="178" spans="1:107" x14ac:dyDescent="0.2">
      <c r="A178">
        <f>ROW(Source!A129)</f>
        <v>129</v>
      </c>
      <c r="B178">
        <v>16802145</v>
      </c>
      <c r="C178">
        <v>16802905</v>
      </c>
      <c r="D178">
        <v>15249073</v>
      </c>
      <c r="E178">
        <v>1</v>
      </c>
      <c r="F178">
        <v>1</v>
      </c>
      <c r="G178">
        <v>1</v>
      </c>
      <c r="H178">
        <v>2</v>
      </c>
      <c r="I178" t="s">
        <v>684</v>
      </c>
      <c r="J178" t="s">
        <v>685</v>
      </c>
      <c r="K178" t="s">
        <v>686</v>
      </c>
      <c r="L178">
        <v>1368</v>
      </c>
      <c r="N178">
        <v>1011</v>
      </c>
      <c r="O178" t="s">
        <v>666</v>
      </c>
      <c r="P178" t="s">
        <v>666</v>
      </c>
      <c r="Q178">
        <v>1</v>
      </c>
      <c r="W178">
        <v>0</v>
      </c>
      <c r="X178">
        <v>1372534845</v>
      </c>
      <c r="Y178">
        <v>0.01</v>
      </c>
      <c r="AA178">
        <v>0</v>
      </c>
      <c r="AB178">
        <v>440.91</v>
      </c>
      <c r="AC178">
        <v>11.6</v>
      </c>
      <c r="AD178">
        <v>0</v>
      </c>
      <c r="AE178">
        <v>0</v>
      </c>
      <c r="AF178">
        <v>65.709999999999994</v>
      </c>
      <c r="AG178">
        <v>11.6</v>
      </c>
      <c r="AH178">
        <v>0</v>
      </c>
      <c r="AI178">
        <v>1</v>
      </c>
      <c r="AJ178">
        <v>6.71</v>
      </c>
      <c r="AK178">
        <v>1</v>
      </c>
      <c r="AL178">
        <v>1</v>
      </c>
      <c r="AN178">
        <v>0</v>
      </c>
      <c r="AO178">
        <v>1</v>
      </c>
      <c r="AP178">
        <v>0</v>
      </c>
      <c r="AQ178">
        <v>0</v>
      </c>
      <c r="AR178">
        <v>0</v>
      </c>
      <c r="AS178" t="s">
        <v>6</v>
      </c>
      <c r="AT178">
        <v>0.01</v>
      </c>
      <c r="AU178" t="s">
        <v>6</v>
      </c>
      <c r="AV178">
        <v>0</v>
      </c>
      <c r="AW178">
        <v>2</v>
      </c>
      <c r="AX178">
        <v>16802916</v>
      </c>
      <c r="AY178">
        <v>1</v>
      </c>
      <c r="AZ178">
        <v>0</v>
      </c>
      <c r="BA178">
        <v>176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Y178*Source!I129</f>
        <v>0.32</v>
      </c>
      <c r="CY178">
        <f>AB178</f>
        <v>440.91</v>
      </c>
      <c r="CZ178">
        <f>AF178</f>
        <v>65.709999999999994</v>
      </c>
      <c r="DA178">
        <f>AJ178</f>
        <v>6.71</v>
      </c>
      <c r="DB178">
        <f t="shared" si="14"/>
        <v>0.66</v>
      </c>
      <c r="DC178">
        <f t="shared" si="15"/>
        <v>0.12</v>
      </c>
    </row>
    <row r="179" spans="1:107" x14ac:dyDescent="0.2">
      <c r="A179">
        <f>ROW(Source!A129)</f>
        <v>129</v>
      </c>
      <c r="B179">
        <v>16802145</v>
      </c>
      <c r="C179">
        <v>16802905</v>
      </c>
      <c r="D179">
        <v>15249377</v>
      </c>
      <c r="E179">
        <v>1</v>
      </c>
      <c r="F179">
        <v>1</v>
      </c>
      <c r="G179">
        <v>1</v>
      </c>
      <c r="H179">
        <v>2</v>
      </c>
      <c r="I179" t="s">
        <v>804</v>
      </c>
      <c r="J179" t="s">
        <v>805</v>
      </c>
      <c r="K179" t="s">
        <v>806</v>
      </c>
      <c r="L179">
        <v>1368</v>
      </c>
      <c r="N179">
        <v>1011</v>
      </c>
      <c r="O179" t="s">
        <v>666</v>
      </c>
      <c r="P179" t="s">
        <v>666</v>
      </c>
      <c r="Q179">
        <v>1</v>
      </c>
      <c r="W179">
        <v>0</v>
      </c>
      <c r="X179">
        <v>-353815937</v>
      </c>
      <c r="Y179">
        <v>0.35</v>
      </c>
      <c r="AA179">
        <v>0</v>
      </c>
      <c r="AB179">
        <v>54.35</v>
      </c>
      <c r="AC179">
        <v>0</v>
      </c>
      <c r="AD179">
        <v>0</v>
      </c>
      <c r="AE179">
        <v>0</v>
      </c>
      <c r="AF179">
        <v>8.1</v>
      </c>
      <c r="AG179">
        <v>0</v>
      </c>
      <c r="AH179">
        <v>0</v>
      </c>
      <c r="AI179">
        <v>1</v>
      </c>
      <c r="AJ179">
        <v>6.71</v>
      </c>
      <c r="AK179">
        <v>1</v>
      </c>
      <c r="AL179">
        <v>1</v>
      </c>
      <c r="AN179">
        <v>0</v>
      </c>
      <c r="AO179">
        <v>1</v>
      </c>
      <c r="AP179">
        <v>0</v>
      </c>
      <c r="AQ179">
        <v>0</v>
      </c>
      <c r="AR179">
        <v>0</v>
      </c>
      <c r="AS179" t="s">
        <v>6</v>
      </c>
      <c r="AT179">
        <v>0.35</v>
      </c>
      <c r="AU179" t="s">
        <v>6</v>
      </c>
      <c r="AV179">
        <v>0</v>
      </c>
      <c r="AW179">
        <v>2</v>
      </c>
      <c r="AX179">
        <v>16802917</v>
      </c>
      <c r="AY179">
        <v>1</v>
      </c>
      <c r="AZ179">
        <v>0</v>
      </c>
      <c r="BA179">
        <v>177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Y179*Source!I129</f>
        <v>11.2</v>
      </c>
      <c r="CY179">
        <f>AB179</f>
        <v>54.35</v>
      </c>
      <c r="CZ179">
        <f>AF179</f>
        <v>8.1</v>
      </c>
      <c r="DA179">
        <f>AJ179</f>
        <v>6.71</v>
      </c>
      <c r="DB179">
        <f t="shared" si="14"/>
        <v>2.84</v>
      </c>
      <c r="DC179">
        <f t="shared" si="15"/>
        <v>0</v>
      </c>
    </row>
    <row r="180" spans="1:107" x14ac:dyDescent="0.2">
      <c r="A180">
        <f>ROW(Source!A129)</f>
        <v>129</v>
      </c>
      <c r="B180">
        <v>16802145</v>
      </c>
      <c r="C180">
        <v>16802905</v>
      </c>
      <c r="D180">
        <v>15165267</v>
      </c>
      <c r="E180">
        <v>1</v>
      </c>
      <c r="F180">
        <v>1</v>
      </c>
      <c r="G180">
        <v>1</v>
      </c>
      <c r="H180">
        <v>3</v>
      </c>
      <c r="I180" t="s">
        <v>807</v>
      </c>
      <c r="J180" t="s">
        <v>808</v>
      </c>
      <c r="K180" t="s">
        <v>809</v>
      </c>
      <c r="L180">
        <v>1356</v>
      </c>
      <c r="N180">
        <v>1010</v>
      </c>
      <c r="O180" t="s">
        <v>709</v>
      </c>
      <c r="P180" t="s">
        <v>709</v>
      </c>
      <c r="Q180">
        <v>1000</v>
      </c>
      <c r="W180">
        <v>0</v>
      </c>
      <c r="X180">
        <v>-1705143825</v>
      </c>
      <c r="Y180">
        <v>2E-3</v>
      </c>
      <c r="AA180">
        <v>23149.5</v>
      </c>
      <c r="AB180">
        <v>0</v>
      </c>
      <c r="AC180">
        <v>0</v>
      </c>
      <c r="AD180">
        <v>0</v>
      </c>
      <c r="AE180">
        <v>3450</v>
      </c>
      <c r="AF180">
        <v>0</v>
      </c>
      <c r="AG180">
        <v>0</v>
      </c>
      <c r="AH180">
        <v>0</v>
      </c>
      <c r="AI180">
        <v>6.71</v>
      </c>
      <c r="AJ180">
        <v>1</v>
      </c>
      <c r="AK180">
        <v>1</v>
      </c>
      <c r="AL180">
        <v>1</v>
      </c>
      <c r="AN180">
        <v>0</v>
      </c>
      <c r="AO180">
        <v>1</v>
      </c>
      <c r="AP180">
        <v>0</v>
      </c>
      <c r="AQ180">
        <v>0</v>
      </c>
      <c r="AR180">
        <v>0</v>
      </c>
      <c r="AS180" t="s">
        <v>6</v>
      </c>
      <c r="AT180">
        <v>2E-3</v>
      </c>
      <c r="AU180" t="s">
        <v>6</v>
      </c>
      <c r="AV180">
        <v>0</v>
      </c>
      <c r="AW180">
        <v>2</v>
      </c>
      <c r="AX180">
        <v>16802918</v>
      </c>
      <c r="AY180">
        <v>1</v>
      </c>
      <c r="AZ180">
        <v>0</v>
      </c>
      <c r="BA180">
        <v>178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Y180*Source!I129</f>
        <v>6.4000000000000001E-2</v>
      </c>
      <c r="CY180">
        <f>AA180</f>
        <v>23149.5</v>
      </c>
      <c r="CZ180">
        <f>AE180</f>
        <v>3450</v>
      </c>
      <c r="DA180">
        <f>AI180</f>
        <v>6.71</v>
      </c>
      <c r="DB180">
        <f t="shared" si="14"/>
        <v>6.9</v>
      </c>
      <c r="DC180">
        <f t="shared" si="15"/>
        <v>0</v>
      </c>
    </row>
    <row r="181" spans="1:107" x14ac:dyDescent="0.2">
      <c r="A181">
        <f>ROW(Source!A129)</f>
        <v>129</v>
      </c>
      <c r="B181">
        <v>16802145</v>
      </c>
      <c r="C181">
        <v>16802905</v>
      </c>
      <c r="D181">
        <v>15168763</v>
      </c>
      <c r="E181">
        <v>1</v>
      </c>
      <c r="F181">
        <v>1</v>
      </c>
      <c r="G181">
        <v>1</v>
      </c>
      <c r="H181">
        <v>3</v>
      </c>
      <c r="I181" t="s">
        <v>810</v>
      </c>
      <c r="J181" t="s">
        <v>811</v>
      </c>
      <c r="K181" t="s">
        <v>812</v>
      </c>
      <c r="L181">
        <v>1348</v>
      </c>
      <c r="N181">
        <v>1009</v>
      </c>
      <c r="O181" t="s">
        <v>65</v>
      </c>
      <c r="P181" t="s">
        <v>65</v>
      </c>
      <c r="Q181">
        <v>1000</v>
      </c>
      <c r="W181">
        <v>0</v>
      </c>
      <c r="X181">
        <v>-1068056325</v>
      </c>
      <c r="Y181">
        <v>1.3999999999999999E-4</v>
      </c>
      <c r="AA181">
        <v>69529.02</v>
      </c>
      <c r="AB181">
        <v>0</v>
      </c>
      <c r="AC181">
        <v>0</v>
      </c>
      <c r="AD181">
        <v>0</v>
      </c>
      <c r="AE181">
        <v>10362</v>
      </c>
      <c r="AF181">
        <v>0</v>
      </c>
      <c r="AG181">
        <v>0</v>
      </c>
      <c r="AH181">
        <v>0</v>
      </c>
      <c r="AI181">
        <v>6.71</v>
      </c>
      <c r="AJ181">
        <v>1</v>
      </c>
      <c r="AK181">
        <v>1</v>
      </c>
      <c r="AL181">
        <v>1</v>
      </c>
      <c r="AN181">
        <v>0</v>
      </c>
      <c r="AO181">
        <v>1</v>
      </c>
      <c r="AP181">
        <v>0</v>
      </c>
      <c r="AQ181">
        <v>0</v>
      </c>
      <c r="AR181">
        <v>0</v>
      </c>
      <c r="AS181" t="s">
        <v>6</v>
      </c>
      <c r="AT181">
        <v>1.3999999999999999E-4</v>
      </c>
      <c r="AU181" t="s">
        <v>6</v>
      </c>
      <c r="AV181">
        <v>0</v>
      </c>
      <c r="AW181">
        <v>2</v>
      </c>
      <c r="AX181">
        <v>16802919</v>
      </c>
      <c r="AY181">
        <v>1</v>
      </c>
      <c r="AZ181">
        <v>0</v>
      </c>
      <c r="BA181">
        <v>179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Y181*Source!I129</f>
        <v>4.4799999999999996E-3</v>
      </c>
      <c r="CY181">
        <f>AA181</f>
        <v>69529.02</v>
      </c>
      <c r="CZ181">
        <f>AE181</f>
        <v>10362</v>
      </c>
      <c r="DA181">
        <f>AI181</f>
        <v>6.71</v>
      </c>
      <c r="DB181">
        <f t="shared" si="14"/>
        <v>1.45</v>
      </c>
      <c r="DC181">
        <f t="shared" si="15"/>
        <v>0</v>
      </c>
    </row>
    <row r="182" spans="1:107" x14ac:dyDescent="0.2">
      <c r="A182">
        <f>ROW(Source!A129)</f>
        <v>129</v>
      </c>
      <c r="B182">
        <v>16802145</v>
      </c>
      <c r="C182">
        <v>16802905</v>
      </c>
      <c r="D182">
        <v>15169923</v>
      </c>
      <c r="E182">
        <v>1</v>
      </c>
      <c r="F182">
        <v>1</v>
      </c>
      <c r="G182">
        <v>1</v>
      </c>
      <c r="H182">
        <v>3</v>
      </c>
      <c r="I182" t="s">
        <v>813</v>
      </c>
      <c r="J182" t="s">
        <v>814</v>
      </c>
      <c r="K182" t="s">
        <v>815</v>
      </c>
      <c r="L182">
        <v>1348</v>
      </c>
      <c r="N182">
        <v>1009</v>
      </c>
      <c r="O182" t="s">
        <v>65</v>
      </c>
      <c r="P182" t="s">
        <v>65</v>
      </c>
      <c r="Q182">
        <v>1000</v>
      </c>
      <c r="W182">
        <v>0</v>
      </c>
      <c r="X182">
        <v>56621460</v>
      </c>
      <c r="Y182">
        <v>1.1000000000000001E-3</v>
      </c>
      <c r="AA182">
        <v>102817.33</v>
      </c>
      <c r="AB182">
        <v>0</v>
      </c>
      <c r="AC182">
        <v>0</v>
      </c>
      <c r="AD182">
        <v>0</v>
      </c>
      <c r="AE182">
        <v>15323</v>
      </c>
      <c r="AF182">
        <v>0</v>
      </c>
      <c r="AG182">
        <v>0</v>
      </c>
      <c r="AH182">
        <v>0</v>
      </c>
      <c r="AI182">
        <v>6.71</v>
      </c>
      <c r="AJ182">
        <v>1</v>
      </c>
      <c r="AK182">
        <v>1</v>
      </c>
      <c r="AL182">
        <v>1</v>
      </c>
      <c r="AN182">
        <v>0</v>
      </c>
      <c r="AO182">
        <v>1</v>
      </c>
      <c r="AP182">
        <v>0</v>
      </c>
      <c r="AQ182">
        <v>0</v>
      </c>
      <c r="AR182">
        <v>0</v>
      </c>
      <c r="AS182" t="s">
        <v>6</v>
      </c>
      <c r="AT182">
        <v>1.1000000000000001E-3</v>
      </c>
      <c r="AU182" t="s">
        <v>6</v>
      </c>
      <c r="AV182">
        <v>0</v>
      </c>
      <c r="AW182">
        <v>2</v>
      </c>
      <c r="AX182">
        <v>16802920</v>
      </c>
      <c r="AY182">
        <v>1</v>
      </c>
      <c r="AZ182">
        <v>0</v>
      </c>
      <c r="BA182">
        <v>180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Y182*Source!I129</f>
        <v>3.5200000000000002E-2</v>
      </c>
      <c r="CY182">
        <f>AA182</f>
        <v>102817.33</v>
      </c>
      <c r="CZ182">
        <f>AE182</f>
        <v>15323</v>
      </c>
      <c r="DA182">
        <f>AI182</f>
        <v>6.71</v>
      </c>
      <c r="DB182">
        <f t="shared" si="14"/>
        <v>16.86</v>
      </c>
      <c r="DC182">
        <f t="shared" si="15"/>
        <v>0</v>
      </c>
    </row>
    <row r="183" spans="1:107" x14ac:dyDescent="0.2">
      <c r="A183">
        <f>ROW(Source!A129)</f>
        <v>129</v>
      </c>
      <c r="B183">
        <v>16802145</v>
      </c>
      <c r="C183">
        <v>16802905</v>
      </c>
      <c r="D183">
        <v>15210567</v>
      </c>
      <c r="E183">
        <v>1</v>
      </c>
      <c r="F183">
        <v>1</v>
      </c>
      <c r="G183">
        <v>1</v>
      </c>
      <c r="H183">
        <v>3</v>
      </c>
      <c r="I183" t="s">
        <v>371</v>
      </c>
      <c r="J183" t="s">
        <v>373</v>
      </c>
      <c r="K183" t="s">
        <v>372</v>
      </c>
      <c r="L183">
        <v>1354</v>
      </c>
      <c r="N183">
        <v>1010</v>
      </c>
      <c r="O183" t="s">
        <v>42</v>
      </c>
      <c r="P183" t="s">
        <v>42</v>
      </c>
      <c r="Q183">
        <v>1</v>
      </c>
      <c r="W183">
        <v>0</v>
      </c>
      <c r="X183">
        <v>898688576</v>
      </c>
      <c r="Y183">
        <v>1</v>
      </c>
      <c r="AA183">
        <v>367.24</v>
      </c>
      <c r="AB183">
        <v>0</v>
      </c>
      <c r="AC183">
        <v>0</v>
      </c>
      <c r="AD183">
        <v>0</v>
      </c>
      <c r="AE183">
        <v>54.73</v>
      </c>
      <c r="AF183">
        <v>0</v>
      </c>
      <c r="AG183">
        <v>0</v>
      </c>
      <c r="AH183">
        <v>0</v>
      </c>
      <c r="AI183">
        <v>6.71</v>
      </c>
      <c r="AJ183">
        <v>1</v>
      </c>
      <c r="AK183">
        <v>1</v>
      </c>
      <c r="AL183">
        <v>1</v>
      </c>
      <c r="AN183">
        <v>0</v>
      </c>
      <c r="AO183">
        <v>0</v>
      </c>
      <c r="AP183">
        <v>0</v>
      </c>
      <c r="AQ183">
        <v>0</v>
      </c>
      <c r="AR183">
        <v>0</v>
      </c>
      <c r="AS183" t="s">
        <v>6</v>
      </c>
      <c r="AT183">
        <v>1</v>
      </c>
      <c r="AU183" t="s">
        <v>6</v>
      </c>
      <c r="AV183">
        <v>0</v>
      </c>
      <c r="AW183">
        <v>1</v>
      </c>
      <c r="AX183">
        <v>-1</v>
      </c>
      <c r="AY183">
        <v>0</v>
      </c>
      <c r="AZ183">
        <v>0</v>
      </c>
      <c r="BA183" t="s">
        <v>6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Y183*Source!I129</f>
        <v>32</v>
      </c>
      <c r="CY183">
        <f>AA183</f>
        <v>367.24</v>
      </c>
      <c r="CZ183">
        <f>AE183</f>
        <v>54.73</v>
      </c>
      <c r="DA183">
        <f>AI183</f>
        <v>6.71</v>
      </c>
      <c r="DB183">
        <f t="shared" si="14"/>
        <v>54.73</v>
      </c>
      <c r="DC183">
        <f t="shared" si="15"/>
        <v>0</v>
      </c>
    </row>
    <row r="184" spans="1:107" x14ac:dyDescent="0.2">
      <c r="A184">
        <f>ROW(Source!A131)</f>
        <v>131</v>
      </c>
      <c r="B184">
        <v>16802145</v>
      </c>
      <c r="C184">
        <v>16802924</v>
      </c>
      <c r="D184">
        <v>15430767</v>
      </c>
      <c r="E184">
        <v>1</v>
      </c>
      <c r="F184">
        <v>1</v>
      </c>
      <c r="G184">
        <v>1</v>
      </c>
      <c r="H184">
        <v>1</v>
      </c>
      <c r="I184" t="s">
        <v>667</v>
      </c>
      <c r="J184" t="s">
        <v>6</v>
      </c>
      <c r="K184" t="s">
        <v>668</v>
      </c>
      <c r="L184">
        <v>1191</v>
      </c>
      <c r="N184">
        <v>1013</v>
      </c>
      <c r="O184" t="s">
        <v>660</v>
      </c>
      <c r="P184" t="s">
        <v>660</v>
      </c>
      <c r="Q184">
        <v>1</v>
      </c>
      <c r="W184">
        <v>0</v>
      </c>
      <c r="X184">
        <v>-400197608</v>
      </c>
      <c r="Y184">
        <v>15.73</v>
      </c>
      <c r="AA184">
        <v>0</v>
      </c>
      <c r="AB184">
        <v>0</v>
      </c>
      <c r="AC184">
        <v>0</v>
      </c>
      <c r="AD184">
        <v>57.24</v>
      </c>
      <c r="AE184">
        <v>0</v>
      </c>
      <c r="AF184">
        <v>0</v>
      </c>
      <c r="AG184">
        <v>0</v>
      </c>
      <c r="AH184">
        <v>8.5299999999999994</v>
      </c>
      <c r="AI184">
        <v>1</v>
      </c>
      <c r="AJ184">
        <v>1</v>
      </c>
      <c r="AK184">
        <v>1</v>
      </c>
      <c r="AL184">
        <v>6.71</v>
      </c>
      <c r="AN184">
        <v>0</v>
      </c>
      <c r="AO184">
        <v>1</v>
      </c>
      <c r="AP184">
        <v>0</v>
      </c>
      <c r="AQ184">
        <v>0</v>
      </c>
      <c r="AR184">
        <v>0</v>
      </c>
      <c r="AS184" t="s">
        <v>6</v>
      </c>
      <c r="AT184">
        <v>15.73</v>
      </c>
      <c r="AU184" t="s">
        <v>6</v>
      </c>
      <c r="AV184">
        <v>1</v>
      </c>
      <c r="AW184">
        <v>2</v>
      </c>
      <c r="AX184">
        <v>16802926</v>
      </c>
      <c r="AY184">
        <v>1</v>
      </c>
      <c r="AZ184">
        <v>0</v>
      </c>
      <c r="BA184">
        <v>183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Y184*Source!I131</f>
        <v>2.5167999999999999</v>
      </c>
      <c r="CY184">
        <f>AD184</f>
        <v>57.24</v>
      </c>
      <c r="CZ184">
        <f>AH184</f>
        <v>8.5299999999999994</v>
      </c>
      <c r="DA184">
        <f>AL184</f>
        <v>6.71</v>
      </c>
      <c r="DB184">
        <f t="shared" si="14"/>
        <v>134.18</v>
      </c>
      <c r="DC184">
        <f t="shared" si="15"/>
        <v>0</v>
      </c>
    </row>
    <row r="185" spans="1:107" x14ac:dyDescent="0.2">
      <c r="A185">
        <f>ROW(Source!A168)</f>
        <v>168</v>
      </c>
      <c r="B185">
        <v>16802145</v>
      </c>
      <c r="C185">
        <v>16802929</v>
      </c>
      <c r="D185">
        <v>15446300</v>
      </c>
      <c r="E185">
        <v>1</v>
      </c>
      <c r="F185">
        <v>1</v>
      </c>
      <c r="G185">
        <v>1</v>
      </c>
      <c r="H185">
        <v>1</v>
      </c>
      <c r="I185" t="s">
        <v>816</v>
      </c>
      <c r="J185" t="s">
        <v>6</v>
      </c>
      <c r="K185" t="s">
        <v>817</v>
      </c>
      <c r="L185">
        <v>1191</v>
      </c>
      <c r="N185">
        <v>1013</v>
      </c>
      <c r="O185" t="s">
        <v>660</v>
      </c>
      <c r="P185" t="s">
        <v>660</v>
      </c>
      <c r="Q185">
        <v>1</v>
      </c>
      <c r="W185">
        <v>0</v>
      </c>
      <c r="X185">
        <v>912892513</v>
      </c>
      <c r="Y185">
        <v>103.6</v>
      </c>
      <c r="AA185">
        <v>0</v>
      </c>
      <c r="AB185">
        <v>0</v>
      </c>
      <c r="AC185">
        <v>0</v>
      </c>
      <c r="AD185">
        <v>66.56</v>
      </c>
      <c r="AE185">
        <v>0</v>
      </c>
      <c r="AF185">
        <v>0</v>
      </c>
      <c r="AG185">
        <v>0</v>
      </c>
      <c r="AH185">
        <v>9.92</v>
      </c>
      <c r="AI185">
        <v>1</v>
      </c>
      <c r="AJ185">
        <v>1</v>
      </c>
      <c r="AK185">
        <v>1</v>
      </c>
      <c r="AL185">
        <v>6.71</v>
      </c>
      <c r="AN185">
        <v>0</v>
      </c>
      <c r="AO185">
        <v>1</v>
      </c>
      <c r="AP185">
        <v>1</v>
      </c>
      <c r="AQ185">
        <v>0</v>
      </c>
      <c r="AR185">
        <v>0</v>
      </c>
      <c r="AS185" t="s">
        <v>6</v>
      </c>
      <c r="AT185">
        <v>148</v>
      </c>
      <c r="AU185" t="s">
        <v>398</v>
      </c>
      <c r="AV185">
        <v>1</v>
      </c>
      <c r="AW185">
        <v>2</v>
      </c>
      <c r="AX185">
        <v>16802937</v>
      </c>
      <c r="AY185">
        <v>1</v>
      </c>
      <c r="AZ185">
        <v>0</v>
      </c>
      <c r="BA185">
        <v>184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Y185*Source!I168</f>
        <v>78.73599999999999</v>
      </c>
      <c r="CY185">
        <f>AD185</f>
        <v>66.56</v>
      </c>
      <c r="CZ185">
        <f>AH185</f>
        <v>9.92</v>
      </c>
      <c r="DA185">
        <f>AL185</f>
        <v>6.71</v>
      </c>
      <c r="DB185">
        <f>ROUND((ROUND(AT185*CZ185,2)*0.7),2)</f>
        <v>1027.71</v>
      </c>
      <c r="DC185">
        <f>ROUND((ROUND(AT185*AG185,2)*0.7),2)</f>
        <v>0</v>
      </c>
    </row>
    <row r="186" spans="1:107" x14ac:dyDescent="0.2">
      <c r="A186">
        <f>ROW(Source!A168)</f>
        <v>168</v>
      </c>
      <c r="B186">
        <v>16802145</v>
      </c>
      <c r="C186">
        <v>16802929</v>
      </c>
      <c r="D186">
        <v>15430395</v>
      </c>
      <c r="E186">
        <v>1</v>
      </c>
      <c r="F186">
        <v>1</v>
      </c>
      <c r="G186">
        <v>1</v>
      </c>
      <c r="H186">
        <v>1</v>
      </c>
      <c r="I186" t="s">
        <v>661</v>
      </c>
      <c r="J186" t="s">
        <v>6</v>
      </c>
      <c r="K186" t="s">
        <v>662</v>
      </c>
      <c r="L186">
        <v>1191</v>
      </c>
      <c r="N186">
        <v>1013</v>
      </c>
      <c r="O186" t="s">
        <v>660</v>
      </c>
      <c r="P186" t="s">
        <v>660</v>
      </c>
      <c r="Q186">
        <v>1</v>
      </c>
      <c r="W186">
        <v>0</v>
      </c>
      <c r="X186">
        <v>-1417349443</v>
      </c>
      <c r="Y186">
        <v>0.6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1</v>
      </c>
      <c r="AJ186">
        <v>1</v>
      </c>
      <c r="AK186">
        <v>6.71</v>
      </c>
      <c r="AL186">
        <v>1</v>
      </c>
      <c r="AN186">
        <v>0</v>
      </c>
      <c r="AO186">
        <v>1</v>
      </c>
      <c r="AP186">
        <v>0</v>
      </c>
      <c r="AQ186">
        <v>0</v>
      </c>
      <c r="AR186">
        <v>0</v>
      </c>
      <c r="AS186" t="s">
        <v>6</v>
      </c>
      <c r="AT186">
        <v>0.6</v>
      </c>
      <c r="AU186" t="s">
        <v>6</v>
      </c>
      <c r="AV186">
        <v>2</v>
      </c>
      <c r="AW186">
        <v>2</v>
      </c>
      <c r="AX186">
        <v>16802938</v>
      </c>
      <c r="AY186">
        <v>1</v>
      </c>
      <c r="AZ186">
        <v>2048</v>
      </c>
      <c r="BA186">
        <v>185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Y186*Source!I168</f>
        <v>0.45599999999999996</v>
      </c>
      <c r="CY186">
        <f>AD186</f>
        <v>0</v>
      </c>
      <c r="CZ186">
        <f>AH186</f>
        <v>0</v>
      </c>
      <c r="DA186">
        <f>AL186</f>
        <v>1</v>
      </c>
      <c r="DB186">
        <f>ROUND(ROUND(AT186*CZ186,2),2)</f>
        <v>0</v>
      </c>
      <c r="DC186">
        <f>ROUND(ROUND(AT186*AG186,2),2)</f>
        <v>0</v>
      </c>
    </row>
    <row r="187" spans="1:107" x14ac:dyDescent="0.2">
      <c r="A187">
        <f>ROW(Source!A168)</f>
        <v>168</v>
      </c>
      <c r="B187">
        <v>16802145</v>
      </c>
      <c r="C187">
        <v>16802929</v>
      </c>
      <c r="D187">
        <v>15247680</v>
      </c>
      <c r="E187">
        <v>1</v>
      </c>
      <c r="F187">
        <v>1</v>
      </c>
      <c r="G187">
        <v>1</v>
      </c>
      <c r="H187">
        <v>2</v>
      </c>
      <c r="I187" t="s">
        <v>786</v>
      </c>
      <c r="J187" t="s">
        <v>787</v>
      </c>
      <c r="K187" t="s">
        <v>788</v>
      </c>
      <c r="L187">
        <v>1368</v>
      </c>
      <c r="N187">
        <v>1011</v>
      </c>
      <c r="O187" t="s">
        <v>666</v>
      </c>
      <c r="P187" t="s">
        <v>666</v>
      </c>
      <c r="Q187">
        <v>1</v>
      </c>
      <c r="W187">
        <v>0</v>
      </c>
      <c r="X187">
        <v>-1718674368</v>
      </c>
      <c r="Y187">
        <v>0.21</v>
      </c>
      <c r="AA187">
        <v>0</v>
      </c>
      <c r="AB187">
        <v>751.45</v>
      </c>
      <c r="AC187">
        <v>13.5</v>
      </c>
      <c r="AD187">
        <v>0</v>
      </c>
      <c r="AE187">
        <v>0</v>
      </c>
      <c r="AF187">
        <v>111.99</v>
      </c>
      <c r="AG187">
        <v>13.5</v>
      </c>
      <c r="AH187">
        <v>0</v>
      </c>
      <c r="AI187">
        <v>1</v>
      </c>
      <c r="AJ187">
        <v>6.71</v>
      </c>
      <c r="AK187">
        <v>1</v>
      </c>
      <c r="AL187">
        <v>1</v>
      </c>
      <c r="AN187">
        <v>0</v>
      </c>
      <c r="AO187">
        <v>1</v>
      </c>
      <c r="AP187">
        <v>1</v>
      </c>
      <c r="AQ187">
        <v>0</v>
      </c>
      <c r="AR187">
        <v>0</v>
      </c>
      <c r="AS187" t="s">
        <v>6</v>
      </c>
      <c r="AT187">
        <v>0.3</v>
      </c>
      <c r="AU187" t="s">
        <v>398</v>
      </c>
      <c r="AV187">
        <v>0</v>
      </c>
      <c r="AW187">
        <v>2</v>
      </c>
      <c r="AX187">
        <v>16802939</v>
      </c>
      <c r="AY187">
        <v>1</v>
      </c>
      <c r="AZ187">
        <v>0</v>
      </c>
      <c r="BA187">
        <v>186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Y187*Source!I168</f>
        <v>0.15959999999999999</v>
      </c>
      <c r="CY187">
        <f>AB187</f>
        <v>751.45</v>
      </c>
      <c r="CZ187">
        <f>AF187</f>
        <v>111.99</v>
      </c>
      <c r="DA187">
        <f>AJ187</f>
        <v>6.71</v>
      </c>
      <c r="DB187">
        <f>ROUND((ROUND(AT187*CZ187,2)*0.7),2)</f>
        <v>23.52</v>
      </c>
      <c r="DC187">
        <f>ROUND((ROUND(AT187*AG187,2)*0.7),2)</f>
        <v>2.84</v>
      </c>
    </row>
    <row r="188" spans="1:107" x14ac:dyDescent="0.2">
      <c r="A188">
        <f>ROW(Source!A168)</f>
        <v>168</v>
      </c>
      <c r="B188">
        <v>16802145</v>
      </c>
      <c r="C188">
        <v>16802929</v>
      </c>
      <c r="D188">
        <v>15249073</v>
      </c>
      <c r="E188">
        <v>1</v>
      </c>
      <c r="F188">
        <v>1</v>
      </c>
      <c r="G188">
        <v>1</v>
      </c>
      <c r="H188">
        <v>2</v>
      </c>
      <c r="I188" t="s">
        <v>684</v>
      </c>
      <c r="J188" t="s">
        <v>685</v>
      </c>
      <c r="K188" t="s">
        <v>686</v>
      </c>
      <c r="L188">
        <v>1368</v>
      </c>
      <c r="N188">
        <v>1011</v>
      </c>
      <c r="O188" t="s">
        <v>666</v>
      </c>
      <c r="P188" t="s">
        <v>666</v>
      </c>
      <c r="Q188">
        <v>1</v>
      </c>
      <c r="W188">
        <v>0</v>
      </c>
      <c r="X188">
        <v>1372534845</v>
      </c>
      <c r="Y188">
        <v>0.21</v>
      </c>
      <c r="AA188">
        <v>0</v>
      </c>
      <c r="AB188">
        <v>440.91</v>
      </c>
      <c r="AC188">
        <v>11.6</v>
      </c>
      <c r="AD188">
        <v>0</v>
      </c>
      <c r="AE188">
        <v>0</v>
      </c>
      <c r="AF188">
        <v>65.709999999999994</v>
      </c>
      <c r="AG188">
        <v>11.6</v>
      </c>
      <c r="AH188">
        <v>0</v>
      </c>
      <c r="AI188">
        <v>1</v>
      </c>
      <c r="AJ188">
        <v>6.71</v>
      </c>
      <c r="AK188">
        <v>1</v>
      </c>
      <c r="AL188">
        <v>1</v>
      </c>
      <c r="AN188">
        <v>0</v>
      </c>
      <c r="AO188">
        <v>1</v>
      </c>
      <c r="AP188">
        <v>1</v>
      </c>
      <c r="AQ188">
        <v>0</v>
      </c>
      <c r="AR188">
        <v>0</v>
      </c>
      <c r="AS188" t="s">
        <v>6</v>
      </c>
      <c r="AT188">
        <v>0.3</v>
      </c>
      <c r="AU188" t="s">
        <v>398</v>
      </c>
      <c r="AV188">
        <v>0</v>
      </c>
      <c r="AW188">
        <v>2</v>
      </c>
      <c r="AX188">
        <v>16802940</v>
      </c>
      <c r="AY188">
        <v>1</v>
      </c>
      <c r="AZ188">
        <v>0</v>
      </c>
      <c r="BA188">
        <v>187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Y188*Source!I168</f>
        <v>0.15959999999999999</v>
      </c>
      <c r="CY188">
        <f>AB188</f>
        <v>440.91</v>
      </c>
      <c r="CZ188">
        <f>AF188</f>
        <v>65.709999999999994</v>
      </c>
      <c r="DA188">
        <f>AJ188</f>
        <v>6.71</v>
      </c>
      <c r="DB188">
        <f>ROUND((ROUND(AT188*CZ188,2)*0.7),2)</f>
        <v>13.8</v>
      </c>
      <c r="DC188">
        <f>ROUND((ROUND(AT188*AG188,2)*0.7),2)</f>
        <v>2.44</v>
      </c>
    </row>
    <row r="189" spans="1:107" x14ac:dyDescent="0.2">
      <c r="A189">
        <f>ROW(Source!A168)</f>
        <v>168</v>
      </c>
      <c r="B189">
        <v>16802145</v>
      </c>
      <c r="C189">
        <v>16802929</v>
      </c>
      <c r="D189">
        <v>15171982</v>
      </c>
      <c r="E189">
        <v>1</v>
      </c>
      <c r="F189">
        <v>1</v>
      </c>
      <c r="G189">
        <v>1</v>
      </c>
      <c r="H189">
        <v>3</v>
      </c>
      <c r="I189" t="s">
        <v>672</v>
      </c>
      <c r="J189" t="s">
        <v>673</v>
      </c>
      <c r="K189" t="s">
        <v>674</v>
      </c>
      <c r="L189">
        <v>1348</v>
      </c>
      <c r="N189">
        <v>1009</v>
      </c>
      <c r="O189" t="s">
        <v>65</v>
      </c>
      <c r="P189" t="s">
        <v>65</v>
      </c>
      <c r="Q189">
        <v>1000</v>
      </c>
      <c r="W189">
        <v>0</v>
      </c>
      <c r="X189">
        <v>-1421715385</v>
      </c>
      <c r="Y189">
        <v>0</v>
      </c>
      <c r="AA189">
        <v>4898.17</v>
      </c>
      <c r="AB189">
        <v>0</v>
      </c>
      <c r="AC189">
        <v>0</v>
      </c>
      <c r="AD189">
        <v>0</v>
      </c>
      <c r="AE189">
        <v>729.98</v>
      </c>
      <c r="AF189">
        <v>0</v>
      </c>
      <c r="AG189">
        <v>0</v>
      </c>
      <c r="AH189">
        <v>0</v>
      </c>
      <c r="AI189">
        <v>6.71</v>
      </c>
      <c r="AJ189">
        <v>1</v>
      </c>
      <c r="AK189">
        <v>1</v>
      </c>
      <c r="AL189">
        <v>1</v>
      </c>
      <c r="AN189">
        <v>0</v>
      </c>
      <c r="AO189">
        <v>1</v>
      </c>
      <c r="AP189">
        <v>1</v>
      </c>
      <c r="AQ189">
        <v>0</v>
      </c>
      <c r="AR189">
        <v>0</v>
      </c>
      <c r="AS189" t="s">
        <v>6</v>
      </c>
      <c r="AT189">
        <v>3.15E-3</v>
      </c>
      <c r="AU189" t="s">
        <v>227</v>
      </c>
      <c r="AV189">
        <v>0</v>
      </c>
      <c r="AW189">
        <v>2</v>
      </c>
      <c r="AX189">
        <v>16802941</v>
      </c>
      <c r="AY189">
        <v>1</v>
      </c>
      <c r="AZ189">
        <v>0</v>
      </c>
      <c r="BA189">
        <v>188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Y189*Source!I168</f>
        <v>0</v>
      </c>
      <c r="CY189">
        <f>AA189</f>
        <v>4898.17</v>
      </c>
      <c r="CZ189">
        <f>AE189</f>
        <v>729.98</v>
      </c>
      <c r="DA189">
        <f>AI189</f>
        <v>6.71</v>
      </c>
      <c r="DB189">
        <f>ROUND((ROUND(AT189*CZ189,2)*0),2)</f>
        <v>0</v>
      </c>
      <c r="DC189">
        <f>ROUND((ROUND(AT189*AG189,2)*0),2)</f>
        <v>0</v>
      </c>
    </row>
    <row r="190" spans="1:107" x14ac:dyDescent="0.2">
      <c r="A190">
        <f>ROW(Source!A168)</f>
        <v>168</v>
      </c>
      <c r="B190">
        <v>16802145</v>
      </c>
      <c r="C190">
        <v>16802929</v>
      </c>
      <c r="D190">
        <v>15233312</v>
      </c>
      <c r="E190">
        <v>1</v>
      </c>
      <c r="F190">
        <v>1</v>
      </c>
      <c r="G190">
        <v>1</v>
      </c>
      <c r="H190">
        <v>3</v>
      </c>
      <c r="I190" t="s">
        <v>818</v>
      </c>
      <c r="J190" t="s">
        <v>819</v>
      </c>
      <c r="K190" t="s">
        <v>820</v>
      </c>
      <c r="L190">
        <v>1346</v>
      </c>
      <c r="N190">
        <v>1009</v>
      </c>
      <c r="O190" t="s">
        <v>103</v>
      </c>
      <c r="P190" t="s">
        <v>103</v>
      </c>
      <c r="Q190">
        <v>1</v>
      </c>
      <c r="W190">
        <v>0</v>
      </c>
      <c r="X190">
        <v>1584075688</v>
      </c>
      <c r="Y190">
        <v>0</v>
      </c>
      <c r="AA190">
        <v>239.55</v>
      </c>
      <c r="AB190">
        <v>0</v>
      </c>
      <c r="AC190">
        <v>0</v>
      </c>
      <c r="AD190">
        <v>0</v>
      </c>
      <c r="AE190">
        <v>35.700000000000003</v>
      </c>
      <c r="AF190">
        <v>0</v>
      </c>
      <c r="AG190">
        <v>0</v>
      </c>
      <c r="AH190">
        <v>0</v>
      </c>
      <c r="AI190">
        <v>6.71</v>
      </c>
      <c r="AJ190">
        <v>1</v>
      </c>
      <c r="AK190">
        <v>1</v>
      </c>
      <c r="AL190">
        <v>1</v>
      </c>
      <c r="AN190">
        <v>0</v>
      </c>
      <c r="AO190">
        <v>1</v>
      </c>
      <c r="AP190">
        <v>1</v>
      </c>
      <c r="AQ190">
        <v>0</v>
      </c>
      <c r="AR190">
        <v>0</v>
      </c>
      <c r="AS190" t="s">
        <v>6</v>
      </c>
      <c r="AT190">
        <v>3.09</v>
      </c>
      <c r="AU190" t="s">
        <v>227</v>
      </c>
      <c r="AV190">
        <v>0</v>
      </c>
      <c r="AW190">
        <v>2</v>
      </c>
      <c r="AX190">
        <v>16802942</v>
      </c>
      <c r="AY190">
        <v>1</v>
      </c>
      <c r="AZ190">
        <v>0</v>
      </c>
      <c r="BA190">
        <v>189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Y190*Source!I168</f>
        <v>0</v>
      </c>
      <c r="CY190">
        <f>AA190</f>
        <v>239.55</v>
      </c>
      <c r="CZ190">
        <f>AE190</f>
        <v>35.700000000000003</v>
      </c>
      <c r="DA190">
        <f>AI190</f>
        <v>6.71</v>
      </c>
      <c r="DB190">
        <f>ROUND((ROUND(AT190*CZ190,2)*0),2)</f>
        <v>0</v>
      </c>
      <c r="DC190">
        <f>ROUND((ROUND(AT190*AG190,2)*0),2)</f>
        <v>0</v>
      </c>
    </row>
    <row r="191" spans="1:107" x14ac:dyDescent="0.2">
      <c r="A191">
        <f>ROW(Source!A168)</f>
        <v>168</v>
      </c>
      <c r="B191">
        <v>16802145</v>
      </c>
      <c r="C191">
        <v>16802929</v>
      </c>
      <c r="D191">
        <v>15164559</v>
      </c>
      <c r="E191">
        <v>17</v>
      </c>
      <c r="F191">
        <v>1</v>
      </c>
      <c r="G191">
        <v>1</v>
      </c>
      <c r="H191">
        <v>3</v>
      </c>
      <c r="I191" t="s">
        <v>821</v>
      </c>
      <c r="J191" t="s">
        <v>6</v>
      </c>
      <c r="K191" t="s">
        <v>822</v>
      </c>
      <c r="L191">
        <v>1374</v>
      </c>
      <c r="N191">
        <v>1013</v>
      </c>
      <c r="O191" t="s">
        <v>823</v>
      </c>
      <c r="P191" t="s">
        <v>823</v>
      </c>
      <c r="Q191">
        <v>1</v>
      </c>
      <c r="W191">
        <v>0</v>
      </c>
      <c r="X191">
        <v>-1731369543</v>
      </c>
      <c r="Y191">
        <v>0</v>
      </c>
      <c r="AA191">
        <v>1</v>
      </c>
      <c r="AB191">
        <v>0</v>
      </c>
      <c r="AC191">
        <v>0</v>
      </c>
      <c r="AD191">
        <v>0</v>
      </c>
      <c r="AE191">
        <v>1</v>
      </c>
      <c r="AF191">
        <v>0</v>
      </c>
      <c r="AG191">
        <v>0</v>
      </c>
      <c r="AH191">
        <v>0</v>
      </c>
      <c r="AI191">
        <v>1</v>
      </c>
      <c r="AJ191">
        <v>1</v>
      </c>
      <c r="AK191">
        <v>1</v>
      </c>
      <c r="AL191">
        <v>1</v>
      </c>
      <c r="AN191">
        <v>0</v>
      </c>
      <c r="AO191">
        <v>1</v>
      </c>
      <c r="AP191">
        <v>1</v>
      </c>
      <c r="AQ191">
        <v>0</v>
      </c>
      <c r="AR191">
        <v>0</v>
      </c>
      <c r="AS191" t="s">
        <v>6</v>
      </c>
      <c r="AT191">
        <v>29.36</v>
      </c>
      <c r="AU191" t="s">
        <v>227</v>
      </c>
      <c r="AV191">
        <v>0</v>
      </c>
      <c r="AW191">
        <v>2</v>
      </c>
      <c r="AX191">
        <v>16802943</v>
      </c>
      <c r="AY191">
        <v>1</v>
      </c>
      <c r="AZ191">
        <v>0</v>
      </c>
      <c r="BA191">
        <v>190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Y191*Source!I168</f>
        <v>0</v>
      </c>
      <c r="CY191">
        <f>AA191</f>
        <v>1</v>
      </c>
      <c r="CZ191">
        <f>AE191</f>
        <v>1</v>
      </c>
      <c r="DA191">
        <f>AI191</f>
        <v>1</v>
      </c>
      <c r="DB191">
        <f>ROUND((ROUND(AT191*CZ191,2)*0),2)</f>
        <v>0</v>
      </c>
      <c r="DC191">
        <f>ROUND((ROUND(AT191*AG191,2)*0),2)</f>
        <v>0</v>
      </c>
    </row>
    <row r="192" spans="1:107" x14ac:dyDescent="0.2">
      <c r="A192">
        <f>ROW(Source!A169)</f>
        <v>169</v>
      </c>
      <c r="B192">
        <v>16802145</v>
      </c>
      <c r="C192">
        <v>16802945</v>
      </c>
      <c r="D192">
        <v>15435763</v>
      </c>
      <c r="E192">
        <v>1</v>
      </c>
      <c r="F192">
        <v>1</v>
      </c>
      <c r="G192">
        <v>1</v>
      </c>
      <c r="H192">
        <v>1</v>
      </c>
      <c r="I192" t="s">
        <v>824</v>
      </c>
      <c r="J192" t="s">
        <v>6</v>
      </c>
      <c r="K192" t="s">
        <v>825</v>
      </c>
      <c r="L192">
        <v>1191</v>
      </c>
      <c r="N192">
        <v>1013</v>
      </c>
      <c r="O192" t="s">
        <v>660</v>
      </c>
      <c r="P192" t="s">
        <v>660</v>
      </c>
      <c r="Q192">
        <v>1</v>
      </c>
      <c r="W192">
        <v>0</v>
      </c>
      <c r="X192">
        <v>1627947075</v>
      </c>
      <c r="Y192">
        <v>1.2539999999999998</v>
      </c>
      <c r="AA192">
        <v>0</v>
      </c>
      <c r="AB192">
        <v>0</v>
      </c>
      <c r="AC192">
        <v>0</v>
      </c>
      <c r="AD192">
        <v>69.45</v>
      </c>
      <c r="AE192">
        <v>0</v>
      </c>
      <c r="AF192">
        <v>0</v>
      </c>
      <c r="AG192">
        <v>0</v>
      </c>
      <c r="AH192">
        <v>10.35</v>
      </c>
      <c r="AI192">
        <v>1</v>
      </c>
      <c r="AJ192">
        <v>1</v>
      </c>
      <c r="AK192">
        <v>1</v>
      </c>
      <c r="AL192">
        <v>6.71</v>
      </c>
      <c r="AN192">
        <v>0</v>
      </c>
      <c r="AO192">
        <v>1</v>
      </c>
      <c r="AP192">
        <v>1</v>
      </c>
      <c r="AQ192">
        <v>0</v>
      </c>
      <c r="AR192">
        <v>0</v>
      </c>
      <c r="AS192" t="s">
        <v>6</v>
      </c>
      <c r="AT192">
        <v>2.09</v>
      </c>
      <c r="AU192" t="s">
        <v>405</v>
      </c>
      <c r="AV192">
        <v>1</v>
      </c>
      <c r="AW192">
        <v>2</v>
      </c>
      <c r="AX192">
        <v>16802961</v>
      </c>
      <c r="AY192">
        <v>1</v>
      </c>
      <c r="AZ192">
        <v>0</v>
      </c>
      <c r="BA192">
        <v>191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Y192*Source!I169</f>
        <v>1.2539999999999998</v>
      </c>
      <c r="CY192">
        <f>AD192</f>
        <v>69.45</v>
      </c>
      <c r="CZ192">
        <f>AH192</f>
        <v>10.35</v>
      </c>
      <c r="DA192">
        <f>AL192</f>
        <v>6.71</v>
      </c>
      <c r="DB192">
        <f>ROUND((ROUND(AT192*CZ192,2)*0.6),2)</f>
        <v>12.98</v>
      </c>
      <c r="DC192">
        <f>ROUND((ROUND(AT192*AG192,2)*0.6),2)</f>
        <v>0</v>
      </c>
    </row>
    <row r="193" spans="1:107" x14ac:dyDescent="0.2">
      <c r="A193">
        <f>ROW(Source!A169)</f>
        <v>169</v>
      </c>
      <c r="B193">
        <v>16802145</v>
      </c>
      <c r="C193">
        <v>16802945</v>
      </c>
      <c r="D193">
        <v>15249377</v>
      </c>
      <c r="E193">
        <v>1</v>
      </c>
      <c r="F193">
        <v>1</v>
      </c>
      <c r="G193">
        <v>1</v>
      </c>
      <c r="H193">
        <v>2</v>
      </c>
      <c r="I193" t="s">
        <v>804</v>
      </c>
      <c r="J193" t="s">
        <v>805</v>
      </c>
      <c r="K193" t="s">
        <v>806</v>
      </c>
      <c r="L193">
        <v>1368</v>
      </c>
      <c r="N193">
        <v>1011</v>
      </c>
      <c r="O193" t="s">
        <v>666</v>
      </c>
      <c r="P193" t="s">
        <v>666</v>
      </c>
      <c r="Q193">
        <v>1</v>
      </c>
      <c r="W193">
        <v>0</v>
      </c>
      <c r="X193">
        <v>-353815937</v>
      </c>
      <c r="Y193">
        <v>3.5999999999999997E-2</v>
      </c>
      <c r="AA193">
        <v>0</v>
      </c>
      <c r="AB193">
        <v>54.35</v>
      </c>
      <c r="AC193">
        <v>0</v>
      </c>
      <c r="AD193">
        <v>0</v>
      </c>
      <c r="AE193">
        <v>0</v>
      </c>
      <c r="AF193">
        <v>8.1</v>
      </c>
      <c r="AG193">
        <v>0</v>
      </c>
      <c r="AH193">
        <v>0</v>
      </c>
      <c r="AI193">
        <v>1</v>
      </c>
      <c r="AJ193">
        <v>6.71</v>
      </c>
      <c r="AK193">
        <v>1</v>
      </c>
      <c r="AL193">
        <v>1</v>
      </c>
      <c r="AN193">
        <v>0</v>
      </c>
      <c r="AO193">
        <v>1</v>
      </c>
      <c r="AP193">
        <v>1</v>
      </c>
      <c r="AQ193">
        <v>0</v>
      </c>
      <c r="AR193">
        <v>0</v>
      </c>
      <c r="AS193" t="s">
        <v>6</v>
      </c>
      <c r="AT193">
        <v>0.06</v>
      </c>
      <c r="AU193" t="s">
        <v>405</v>
      </c>
      <c r="AV193">
        <v>0</v>
      </c>
      <c r="AW193">
        <v>2</v>
      </c>
      <c r="AX193">
        <v>16802962</v>
      </c>
      <c r="AY193">
        <v>1</v>
      </c>
      <c r="AZ193">
        <v>0</v>
      </c>
      <c r="BA193">
        <v>192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Y193*Source!I169</f>
        <v>3.5999999999999997E-2</v>
      </c>
      <c r="CY193">
        <f>AB193</f>
        <v>54.35</v>
      </c>
      <c r="CZ193">
        <f>AF193</f>
        <v>8.1</v>
      </c>
      <c r="DA193">
        <f>AJ193</f>
        <v>6.71</v>
      </c>
      <c r="DB193">
        <f>ROUND((ROUND(AT193*CZ193,2)*0.6),2)</f>
        <v>0.28999999999999998</v>
      </c>
      <c r="DC193">
        <f>ROUND((ROUND(AT193*AG193,2)*0.6),2)</f>
        <v>0</v>
      </c>
    </row>
    <row r="194" spans="1:107" x14ac:dyDescent="0.2">
      <c r="A194">
        <f>ROW(Source!A169)</f>
        <v>169</v>
      </c>
      <c r="B194">
        <v>16802145</v>
      </c>
      <c r="C194">
        <v>16802945</v>
      </c>
      <c r="D194">
        <v>15250043</v>
      </c>
      <c r="E194">
        <v>1</v>
      </c>
      <c r="F194">
        <v>1</v>
      </c>
      <c r="G194">
        <v>1</v>
      </c>
      <c r="H194">
        <v>2</v>
      </c>
      <c r="I194" t="s">
        <v>826</v>
      </c>
      <c r="J194" t="s">
        <v>827</v>
      </c>
      <c r="K194" t="s">
        <v>828</v>
      </c>
      <c r="L194">
        <v>1368</v>
      </c>
      <c r="N194">
        <v>1011</v>
      </c>
      <c r="O194" t="s">
        <v>666</v>
      </c>
      <c r="P194" t="s">
        <v>666</v>
      </c>
      <c r="Q194">
        <v>1</v>
      </c>
      <c r="W194">
        <v>0</v>
      </c>
      <c r="X194">
        <v>-995250510</v>
      </c>
      <c r="Y194">
        <v>5.3999999999999999E-2</v>
      </c>
      <c r="AA194">
        <v>0</v>
      </c>
      <c r="AB194">
        <v>7.45</v>
      </c>
      <c r="AC194">
        <v>0</v>
      </c>
      <c r="AD194">
        <v>0</v>
      </c>
      <c r="AE194">
        <v>0</v>
      </c>
      <c r="AF194">
        <v>1.1100000000000001</v>
      </c>
      <c r="AG194">
        <v>0</v>
      </c>
      <c r="AH194">
        <v>0</v>
      </c>
      <c r="AI194">
        <v>1</v>
      </c>
      <c r="AJ194">
        <v>6.71</v>
      </c>
      <c r="AK194">
        <v>1</v>
      </c>
      <c r="AL194">
        <v>1</v>
      </c>
      <c r="AN194">
        <v>0</v>
      </c>
      <c r="AO194">
        <v>1</v>
      </c>
      <c r="AP194">
        <v>1</v>
      </c>
      <c r="AQ194">
        <v>0</v>
      </c>
      <c r="AR194">
        <v>0</v>
      </c>
      <c r="AS194" t="s">
        <v>6</v>
      </c>
      <c r="AT194">
        <v>0.09</v>
      </c>
      <c r="AU194" t="s">
        <v>405</v>
      </c>
      <c r="AV194">
        <v>0</v>
      </c>
      <c r="AW194">
        <v>2</v>
      </c>
      <c r="AX194">
        <v>16802963</v>
      </c>
      <c r="AY194">
        <v>1</v>
      </c>
      <c r="AZ194">
        <v>0</v>
      </c>
      <c r="BA194">
        <v>193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Y194*Source!I169</f>
        <v>5.3999999999999999E-2</v>
      </c>
      <c r="CY194">
        <f>AB194</f>
        <v>7.45</v>
      </c>
      <c r="CZ194">
        <f>AF194</f>
        <v>1.1100000000000001</v>
      </c>
      <c r="DA194">
        <f>AJ194</f>
        <v>6.71</v>
      </c>
      <c r="DB194">
        <f>ROUND((ROUND(AT194*CZ194,2)*0.6),2)</f>
        <v>0.06</v>
      </c>
      <c r="DC194">
        <f>ROUND((ROUND(AT194*AG194,2)*0.6),2)</f>
        <v>0</v>
      </c>
    </row>
    <row r="195" spans="1:107" x14ac:dyDescent="0.2">
      <c r="A195">
        <f>ROW(Source!A169)</f>
        <v>169</v>
      </c>
      <c r="B195">
        <v>16802145</v>
      </c>
      <c r="C195">
        <v>16802945</v>
      </c>
      <c r="D195">
        <v>15165537</v>
      </c>
      <c r="E195">
        <v>1</v>
      </c>
      <c r="F195">
        <v>1</v>
      </c>
      <c r="G195">
        <v>1</v>
      </c>
      <c r="H195">
        <v>3</v>
      </c>
      <c r="I195" t="s">
        <v>829</v>
      </c>
      <c r="J195" t="s">
        <v>830</v>
      </c>
      <c r="K195" t="s">
        <v>831</v>
      </c>
      <c r="L195">
        <v>1346</v>
      </c>
      <c r="N195">
        <v>1009</v>
      </c>
      <c r="O195" t="s">
        <v>103</v>
      </c>
      <c r="P195" t="s">
        <v>103</v>
      </c>
      <c r="Q195">
        <v>1</v>
      </c>
      <c r="W195">
        <v>0</v>
      </c>
      <c r="X195">
        <v>618806536</v>
      </c>
      <c r="Y195">
        <v>0</v>
      </c>
      <c r="AA195">
        <v>301.75</v>
      </c>
      <c r="AB195">
        <v>0</v>
      </c>
      <c r="AC195">
        <v>0</v>
      </c>
      <c r="AD195">
        <v>0</v>
      </c>
      <c r="AE195">
        <v>44.97</v>
      </c>
      <c r="AF195">
        <v>0</v>
      </c>
      <c r="AG195">
        <v>0</v>
      </c>
      <c r="AH195">
        <v>0</v>
      </c>
      <c r="AI195">
        <v>6.71</v>
      </c>
      <c r="AJ195">
        <v>1</v>
      </c>
      <c r="AK195">
        <v>1</v>
      </c>
      <c r="AL195">
        <v>1</v>
      </c>
      <c r="AN195">
        <v>0</v>
      </c>
      <c r="AO195">
        <v>1</v>
      </c>
      <c r="AP195">
        <v>1</v>
      </c>
      <c r="AQ195">
        <v>0</v>
      </c>
      <c r="AR195">
        <v>0</v>
      </c>
      <c r="AS195" t="s">
        <v>6</v>
      </c>
      <c r="AT195">
        <v>6.0000000000000001E-3</v>
      </c>
      <c r="AU195" t="s">
        <v>227</v>
      </c>
      <c r="AV195">
        <v>0</v>
      </c>
      <c r="AW195">
        <v>2</v>
      </c>
      <c r="AX195">
        <v>16802964</v>
      </c>
      <c r="AY195">
        <v>1</v>
      </c>
      <c r="AZ195">
        <v>0</v>
      </c>
      <c r="BA195">
        <v>194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Y195*Source!I169</f>
        <v>0</v>
      </c>
      <c r="CY195">
        <f t="shared" ref="CY195:CY206" si="16">AA195</f>
        <v>301.75</v>
      </c>
      <c r="CZ195">
        <f t="shared" ref="CZ195:CZ206" si="17">AE195</f>
        <v>44.97</v>
      </c>
      <c r="DA195">
        <f t="shared" ref="DA195:DA206" si="18">AI195</f>
        <v>6.71</v>
      </c>
      <c r="DB195">
        <f t="shared" ref="DB195:DB206" si="19">ROUND((ROUND(AT195*CZ195,2)*0),2)</f>
        <v>0</v>
      </c>
      <c r="DC195">
        <f t="shared" ref="DC195:DC206" si="20">ROUND((ROUND(AT195*AG195,2)*0),2)</f>
        <v>0</v>
      </c>
    </row>
    <row r="196" spans="1:107" x14ac:dyDescent="0.2">
      <c r="A196">
        <f>ROW(Source!A169)</f>
        <v>169</v>
      </c>
      <c r="B196">
        <v>16802145</v>
      </c>
      <c r="C196">
        <v>16802945</v>
      </c>
      <c r="D196">
        <v>15167269</v>
      </c>
      <c r="E196">
        <v>1</v>
      </c>
      <c r="F196">
        <v>1</v>
      </c>
      <c r="G196">
        <v>1</v>
      </c>
      <c r="H196">
        <v>3</v>
      </c>
      <c r="I196" t="s">
        <v>832</v>
      </c>
      <c r="J196" t="s">
        <v>833</v>
      </c>
      <c r="K196" t="s">
        <v>834</v>
      </c>
      <c r="L196">
        <v>1346</v>
      </c>
      <c r="N196">
        <v>1009</v>
      </c>
      <c r="O196" t="s">
        <v>103</v>
      </c>
      <c r="P196" t="s">
        <v>103</v>
      </c>
      <c r="Q196">
        <v>1</v>
      </c>
      <c r="W196">
        <v>0</v>
      </c>
      <c r="X196">
        <v>56922527</v>
      </c>
      <c r="Y196">
        <v>0</v>
      </c>
      <c r="AA196">
        <v>77.17</v>
      </c>
      <c r="AB196">
        <v>0</v>
      </c>
      <c r="AC196">
        <v>0</v>
      </c>
      <c r="AD196">
        <v>0</v>
      </c>
      <c r="AE196">
        <v>11.5</v>
      </c>
      <c r="AF196">
        <v>0</v>
      </c>
      <c r="AG196">
        <v>0</v>
      </c>
      <c r="AH196">
        <v>0</v>
      </c>
      <c r="AI196">
        <v>6.71</v>
      </c>
      <c r="AJ196">
        <v>1</v>
      </c>
      <c r="AK196">
        <v>1</v>
      </c>
      <c r="AL196">
        <v>1</v>
      </c>
      <c r="AN196">
        <v>0</v>
      </c>
      <c r="AO196">
        <v>1</v>
      </c>
      <c r="AP196">
        <v>1</v>
      </c>
      <c r="AQ196">
        <v>0</v>
      </c>
      <c r="AR196">
        <v>0</v>
      </c>
      <c r="AS196" t="s">
        <v>6</v>
      </c>
      <c r="AT196">
        <v>2E-3</v>
      </c>
      <c r="AU196" t="s">
        <v>227</v>
      </c>
      <c r="AV196">
        <v>0</v>
      </c>
      <c r="AW196">
        <v>2</v>
      </c>
      <c r="AX196">
        <v>16802965</v>
      </c>
      <c r="AY196">
        <v>1</v>
      </c>
      <c r="AZ196">
        <v>0</v>
      </c>
      <c r="BA196">
        <v>195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Y196*Source!I169</f>
        <v>0</v>
      </c>
      <c r="CY196">
        <f t="shared" si="16"/>
        <v>77.17</v>
      </c>
      <c r="CZ196">
        <f t="shared" si="17"/>
        <v>11.5</v>
      </c>
      <c r="DA196">
        <f t="shared" si="18"/>
        <v>6.71</v>
      </c>
      <c r="DB196">
        <f t="shared" si="19"/>
        <v>0</v>
      </c>
      <c r="DC196">
        <f t="shared" si="20"/>
        <v>0</v>
      </c>
    </row>
    <row r="197" spans="1:107" x14ac:dyDescent="0.2">
      <c r="A197">
        <f>ROW(Source!A169)</f>
        <v>169</v>
      </c>
      <c r="B197">
        <v>16802145</v>
      </c>
      <c r="C197">
        <v>16802945</v>
      </c>
      <c r="D197">
        <v>15167588</v>
      </c>
      <c r="E197">
        <v>1</v>
      </c>
      <c r="F197">
        <v>1</v>
      </c>
      <c r="G197">
        <v>1</v>
      </c>
      <c r="H197">
        <v>3</v>
      </c>
      <c r="I197" t="s">
        <v>835</v>
      </c>
      <c r="J197" t="s">
        <v>836</v>
      </c>
      <c r="K197" t="s">
        <v>837</v>
      </c>
      <c r="L197">
        <v>1346</v>
      </c>
      <c r="N197">
        <v>1009</v>
      </c>
      <c r="O197" t="s">
        <v>103</v>
      </c>
      <c r="P197" t="s">
        <v>103</v>
      </c>
      <c r="Q197">
        <v>1</v>
      </c>
      <c r="W197">
        <v>0</v>
      </c>
      <c r="X197">
        <v>-1088866022</v>
      </c>
      <c r="Y197">
        <v>0</v>
      </c>
      <c r="AA197">
        <v>203.98</v>
      </c>
      <c r="AB197">
        <v>0</v>
      </c>
      <c r="AC197">
        <v>0</v>
      </c>
      <c r="AD197">
        <v>0</v>
      </c>
      <c r="AE197">
        <v>30.4</v>
      </c>
      <c r="AF197">
        <v>0</v>
      </c>
      <c r="AG197">
        <v>0</v>
      </c>
      <c r="AH197">
        <v>0</v>
      </c>
      <c r="AI197">
        <v>6.71</v>
      </c>
      <c r="AJ197">
        <v>1</v>
      </c>
      <c r="AK197">
        <v>1</v>
      </c>
      <c r="AL197">
        <v>1</v>
      </c>
      <c r="AN197">
        <v>0</v>
      </c>
      <c r="AO197">
        <v>1</v>
      </c>
      <c r="AP197">
        <v>1</v>
      </c>
      <c r="AQ197">
        <v>0</v>
      </c>
      <c r="AR197">
        <v>0</v>
      </c>
      <c r="AS197" t="s">
        <v>6</v>
      </c>
      <c r="AT197">
        <v>2.4E-2</v>
      </c>
      <c r="AU197" t="s">
        <v>227</v>
      </c>
      <c r="AV197">
        <v>0</v>
      </c>
      <c r="AW197">
        <v>2</v>
      </c>
      <c r="AX197">
        <v>16802966</v>
      </c>
      <c r="AY197">
        <v>1</v>
      </c>
      <c r="AZ197">
        <v>0</v>
      </c>
      <c r="BA197">
        <v>196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Y197*Source!I169</f>
        <v>0</v>
      </c>
      <c r="CY197">
        <f t="shared" si="16"/>
        <v>203.98</v>
      </c>
      <c r="CZ197">
        <f t="shared" si="17"/>
        <v>30.4</v>
      </c>
      <c r="DA197">
        <f t="shared" si="18"/>
        <v>6.71</v>
      </c>
      <c r="DB197">
        <f t="shared" si="19"/>
        <v>0</v>
      </c>
      <c r="DC197">
        <f t="shared" si="20"/>
        <v>0</v>
      </c>
    </row>
    <row r="198" spans="1:107" x14ac:dyDescent="0.2">
      <c r="A198">
        <f>ROW(Source!A169)</f>
        <v>169</v>
      </c>
      <c r="B198">
        <v>16802145</v>
      </c>
      <c r="C198">
        <v>16802945</v>
      </c>
      <c r="D198">
        <v>15168752</v>
      </c>
      <c r="E198">
        <v>1</v>
      </c>
      <c r="F198">
        <v>1</v>
      </c>
      <c r="G198">
        <v>1</v>
      </c>
      <c r="H198">
        <v>3</v>
      </c>
      <c r="I198" t="s">
        <v>838</v>
      </c>
      <c r="J198" t="s">
        <v>839</v>
      </c>
      <c r="K198" t="s">
        <v>840</v>
      </c>
      <c r="L198">
        <v>1346</v>
      </c>
      <c r="N198">
        <v>1009</v>
      </c>
      <c r="O198" t="s">
        <v>103</v>
      </c>
      <c r="P198" t="s">
        <v>103</v>
      </c>
      <c r="Q198">
        <v>1</v>
      </c>
      <c r="W198">
        <v>0</v>
      </c>
      <c r="X198">
        <v>586013393</v>
      </c>
      <c r="Y198">
        <v>0</v>
      </c>
      <c r="AA198">
        <v>70.92</v>
      </c>
      <c r="AB198">
        <v>0</v>
      </c>
      <c r="AC198">
        <v>0</v>
      </c>
      <c r="AD198">
        <v>0</v>
      </c>
      <c r="AE198">
        <v>10.57</v>
      </c>
      <c r="AF198">
        <v>0</v>
      </c>
      <c r="AG198">
        <v>0</v>
      </c>
      <c r="AH198">
        <v>0</v>
      </c>
      <c r="AI198">
        <v>6.71</v>
      </c>
      <c r="AJ198">
        <v>1</v>
      </c>
      <c r="AK198">
        <v>1</v>
      </c>
      <c r="AL198">
        <v>1</v>
      </c>
      <c r="AN198">
        <v>0</v>
      </c>
      <c r="AO198">
        <v>1</v>
      </c>
      <c r="AP198">
        <v>1</v>
      </c>
      <c r="AQ198">
        <v>0</v>
      </c>
      <c r="AR198">
        <v>0</v>
      </c>
      <c r="AS198" t="s">
        <v>6</v>
      </c>
      <c r="AT198">
        <v>7.0000000000000007E-2</v>
      </c>
      <c r="AU198" t="s">
        <v>227</v>
      </c>
      <c r="AV198">
        <v>0</v>
      </c>
      <c r="AW198">
        <v>2</v>
      </c>
      <c r="AX198">
        <v>16802967</v>
      </c>
      <c r="AY198">
        <v>1</v>
      </c>
      <c r="AZ198">
        <v>0</v>
      </c>
      <c r="BA198">
        <v>197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Y198*Source!I169</f>
        <v>0</v>
      </c>
      <c r="CY198">
        <f t="shared" si="16"/>
        <v>70.92</v>
      </c>
      <c r="CZ198">
        <f t="shared" si="17"/>
        <v>10.57</v>
      </c>
      <c r="DA198">
        <f t="shared" si="18"/>
        <v>6.71</v>
      </c>
      <c r="DB198">
        <f t="shared" si="19"/>
        <v>0</v>
      </c>
      <c r="DC198">
        <f t="shared" si="20"/>
        <v>0</v>
      </c>
    </row>
    <row r="199" spans="1:107" x14ac:dyDescent="0.2">
      <c r="A199">
        <f>ROW(Source!A169)</f>
        <v>169</v>
      </c>
      <c r="B199">
        <v>16802145</v>
      </c>
      <c r="C199">
        <v>16802945</v>
      </c>
      <c r="D199">
        <v>15169942</v>
      </c>
      <c r="E199">
        <v>1</v>
      </c>
      <c r="F199">
        <v>1</v>
      </c>
      <c r="G199">
        <v>1</v>
      </c>
      <c r="H199">
        <v>3</v>
      </c>
      <c r="I199" t="s">
        <v>841</v>
      </c>
      <c r="J199" t="s">
        <v>842</v>
      </c>
      <c r="K199" t="s">
        <v>843</v>
      </c>
      <c r="L199">
        <v>1346</v>
      </c>
      <c r="N199">
        <v>1009</v>
      </c>
      <c r="O199" t="s">
        <v>103</v>
      </c>
      <c r="P199" t="s">
        <v>103</v>
      </c>
      <c r="Q199">
        <v>1</v>
      </c>
      <c r="W199">
        <v>0</v>
      </c>
      <c r="X199">
        <v>103900845</v>
      </c>
      <c r="Y199">
        <v>0</v>
      </c>
      <c r="AA199">
        <v>60.66</v>
      </c>
      <c r="AB199">
        <v>0</v>
      </c>
      <c r="AC199">
        <v>0</v>
      </c>
      <c r="AD199">
        <v>0</v>
      </c>
      <c r="AE199">
        <v>9.0399999999999991</v>
      </c>
      <c r="AF199">
        <v>0</v>
      </c>
      <c r="AG199">
        <v>0</v>
      </c>
      <c r="AH199">
        <v>0</v>
      </c>
      <c r="AI199">
        <v>6.71</v>
      </c>
      <c r="AJ199">
        <v>1</v>
      </c>
      <c r="AK199">
        <v>1</v>
      </c>
      <c r="AL199">
        <v>1</v>
      </c>
      <c r="AN199">
        <v>0</v>
      </c>
      <c r="AO199">
        <v>1</v>
      </c>
      <c r="AP199">
        <v>1</v>
      </c>
      <c r="AQ199">
        <v>0</v>
      </c>
      <c r="AR199">
        <v>0</v>
      </c>
      <c r="AS199" t="s">
        <v>6</v>
      </c>
      <c r="AT199">
        <v>0.14000000000000001</v>
      </c>
      <c r="AU199" t="s">
        <v>227</v>
      </c>
      <c r="AV199">
        <v>0</v>
      </c>
      <c r="AW199">
        <v>2</v>
      </c>
      <c r="AX199">
        <v>16802968</v>
      </c>
      <c r="AY199">
        <v>1</v>
      </c>
      <c r="AZ199">
        <v>0</v>
      </c>
      <c r="BA199">
        <v>198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Y199*Source!I169</f>
        <v>0</v>
      </c>
      <c r="CY199">
        <f t="shared" si="16"/>
        <v>60.66</v>
      </c>
      <c r="CZ199">
        <f t="shared" si="17"/>
        <v>9.0399999999999991</v>
      </c>
      <c r="DA199">
        <f t="shared" si="18"/>
        <v>6.71</v>
      </c>
      <c r="DB199">
        <f t="shared" si="19"/>
        <v>0</v>
      </c>
      <c r="DC199">
        <f t="shared" si="20"/>
        <v>0</v>
      </c>
    </row>
    <row r="200" spans="1:107" x14ac:dyDescent="0.2">
      <c r="A200">
        <f>ROW(Source!A169)</f>
        <v>169</v>
      </c>
      <c r="B200">
        <v>16802145</v>
      </c>
      <c r="C200">
        <v>16802945</v>
      </c>
      <c r="D200">
        <v>15170074</v>
      </c>
      <c r="E200">
        <v>1</v>
      </c>
      <c r="F200">
        <v>1</v>
      </c>
      <c r="G200">
        <v>1</v>
      </c>
      <c r="H200">
        <v>3</v>
      </c>
      <c r="I200" t="s">
        <v>844</v>
      </c>
      <c r="J200" t="s">
        <v>845</v>
      </c>
      <c r="K200" t="s">
        <v>846</v>
      </c>
      <c r="L200">
        <v>1355</v>
      </c>
      <c r="N200">
        <v>1010</v>
      </c>
      <c r="O200" t="s">
        <v>126</v>
      </c>
      <c r="P200" t="s">
        <v>126</v>
      </c>
      <c r="Q200">
        <v>100</v>
      </c>
      <c r="W200">
        <v>0</v>
      </c>
      <c r="X200">
        <v>1794244060</v>
      </c>
      <c r="Y200">
        <v>0</v>
      </c>
      <c r="AA200">
        <v>577.05999999999995</v>
      </c>
      <c r="AB200">
        <v>0</v>
      </c>
      <c r="AC200">
        <v>0</v>
      </c>
      <c r="AD200">
        <v>0</v>
      </c>
      <c r="AE200">
        <v>86</v>
      </c>
      <c r="AF200">
        <v>0</v>
      </c>
      <c r="AG200">
        <v>0</v>
      </c>
      <c r="AH200">
        <v>0</v>
      </c>
      <c r="AI200">
        <v>6.71</v>
      </c>
      <c r="AJ200">
        <v>1</v>
      </c>
      <c r="AK200">
        <v>1</v>
      </c>
      <c r="AL200">
        <v>1</v>
      </c>
      <c r="AN200">
        <v>0</v>
      </c>
      <c r="AO200">
        <v>1</v>
      </c>
      <c r="AP200">
        <v>1</v>
      </c>
      <c r="AQ200">
        <v>0</v>
      </c>
      <c r="AR200">
        <v>0</v>
      </c>
      <c r="AS200" t="s">
        <v>6</v>
      </c>
      <c r="AT200">
        <v>7.0000000000000001E-3</v>
      </c>
      <c r="AU200" t="s">
        <v>227</v>
      </c>
      <c r="AV200">
        <v>0</v>
      </c>
      <c r="AW200">
        <v>2</v>
      </c>
      <c r="AX200">
        <v>16802969</v>
      </c>
      <c r="AY200">
        <v>1</v>
      </c>
      <c r="AZ200">
        <v>0</v>
      </c>
      <c r="BA200">
        <v>199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Y200*Source!I169</f>
        <v>0</v>
      </c>
      <c r="CY200">
        <f t="shared" si="16"/>
        <v>577.05999999999995</v>
      </c>
      <c r="CZ200">
        <f t="shared" si="17"/>
        <v>86</v>
      </c>
      <c r="DA200">
        <f t="shared" si="18"/>
        <v>6.71</v>
      </c>
      <c r="DB200">
        <f t="shared" si="19"/>
        <v>0</v>
      </c>
      <c r="DC200">
        <f t="shared" si="20"/>
        <v>0</v>
      </c>
    </row>
    <row r="201" spans="1:107" x14ac:dyDescent="0.2">
      <c r="A201">
        <f>ROW(Source!A169)</f>
        <v>169</v>
      </c>
      <c r="B201">
        <v>16802145</v>
      </c>
      <c r="C201">
        <v>16802945</v>
      </c>
      <c r="D201">
        <v>15170994</v>
      </c>
      <c r="E201">
        <v>1</v>
      </c>
      <c r="F201">
        <v>1</v>
      </c>
      <c r="G201">
        <v>1</v>
      </c>
      <c r="H201">
        <v>3</v>
      </c>
      <c r="I201" t="s">
        <v>847</v>
      </c>
      <c r="J201" t="s">
        <v>848</v>
      </c>
      <c r="K201" t="s">
        <v>849</v>
      </c>
      <c r="L201">
        <v>1346</v>
      </c>
      <c r="N201">
        <v>1009</v>
      </c>
      <c r="O201" t="s">
        <v>103</v>
      </c>
      <c r="P201" t="s">
        <v>103</v>
      </c>
      <c r="Q201">
        <v>1</v>
      </c>
      <c r="W201">
        <v>0</v>
      </c>
      <c r="X201">
        <v>-856710481</v>
      </c>
      <c r="Y201">
        <v>0</v>
      </c>
      <c r="AA201">
        <v>892.77</v>
      </c>
      <c r="AB201">
        <v>0</v>
      </c>
      <c r="AC201">
        <v>0</v>
      </c>
      <c r="AD201">
        <v>0</v>
      </c>
      <c r="AE201">
        <v>133.05000000000001</v>
      </c>
      <c r="AF201">
        <v>0</v>
      </c>
      <c r="AG201">
        <v>0</v>
      </c>
      <c r="AH201">
        <v>0</v>
      </c>
      <c r="AI201">
        <v>6.71</v>
      </c>
      <c r="AJ201">
        <v>1</v>
      </c>
      <c r="AK201">
        <v>1</v>
      </c>
      <c r="AL201">
        <v>1</v>
      </c>
      <c r="AN201">
        <v>0</v>
      </c>
      <c r="AO201">
        <v>1</v>
      </c>
      <c r="AP201">
        <v>1</v>
      </c>
      <c r="AQ201">
        <v>0</v>
      </c>
      <c r="AR201">
        <v>0</v>
      </c>
      <c r="AS201" t="s">
        <v>6</v>
      </c>
      <c r="AT201">
        <v>2E-3</v>
      </c>
      <c r="AU201" t="s">
        <v>227</v>
      </c>
      <c r="AV201">
        <v>0</v>
      </c>
      <c r="AW201">
        <v>2</v>
      </c>
      <c r="AX201">
        <v>16802970</v>
      </c>
      <c r="AY201">
        <v>1</v>
      </c>
      <c r="AZ201">
        <v>0</v>
      </c>
      <c r="BA201">
        <v>200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Y201*Source!I169</f>
        <v>0</v>
      </c>
      <c r="CY201">
        <f t="shared" si="16"/>
        <v>892.77</v>
      </c>
      <c r="CZ201">
        <f t="shared" si="17"/>
        <v>133.05000000000001</v>
      </c>
      <c r="DA201">
        <f t="shared" si="18"/>
        <v>6.71</v>
      </c>
      <c r="DB201">
        <f t="shared" si="19"/>
        <v>0</v>
      </c>
      <c r="DC201">
        <f t="shared" si="20"/>
        <v>0</v>
      </c>
    </row>
    <row r="202" spans="1:107" x14ac:dyDescent="0.2">
      <c r="A202">
        <f>ROW(Source!A169)</f>
        <v>169</v>
      </c>
      <c r="B202">
        <v>16802145</v>
      </c>
      <c r="C202">
        <v>16802945</v>
      </c>
      <c r="D202">
        <v>15188647</v>
      </c>
      <c r="E202">
        <v>1</v>
      </c>
      <c r="F202">
        <v>1</v>
      </c>
      <c r="G202">
        <v>1</v>
      </c>
      <c r="H202">
        <v>3</v>
      </c>
      <c r="I202" t="s">
        <v>850</v>
      </c>
      <c r="J202" t="s">
        <v>851</v>
      </c>
      <c r="K202" t="s">
        <v>852</v>
      </c>
      <c r="L202">
        <v>1348</v>
      </c>
      <c r="N202">
        <v>1009</v>
      </c>
      <c r="O202" t="s">
        <v>65</v>
      </c>
      <c r="P202" t="s">
        <v>65</v>
      </c>
      <c r="Q202">
        <v>1000</v>
      </c>
      <c r="W202">
        <v>0</v>
      </c>
      <c r="X202">
        <v>426000481</v>
      </c>
      <c r="Y202">
        <v>0</v>
      </c>
      <c r="AA202">
        <v>77165</v>
      </c>
      <c r="AB202">
        <v>0</v>
      </c>
      <c r="AC202">
        <v>0</v>
      </c>
      <c r="AD202">
        <v>0</v>
      </c>
      <c r="AE202">
        <v>11500</v>
      </c>
      <c r="AF202">
        <v>0</v>
      </c>
      <c r="AG202">
        <v>0</v>
      </c>
      <c r="AH202">
        <v>0</v>
      </c>
      <c r="AI202">
        <v>6.71</v>
      </c>
      <c r="AJ202">
        <v>1</v>
      </c>
      <c r="AK202">
        <v>1</v>
      </c>
      <c r="AL202">
        <v>1</v>
      </c>
      <c r="AN202">
        <v>0</v>
      </c>
      <c r="AO202">
        <v>1</v>
      </c>
      <c r="AP202">
        <v>1</v>
      </c>
      <c r="AQ202">
        <v>0</v>
      </c>
      <c r="AR202">
        <v>0</v>
      </c>
      <c r="AS202" t="s">
        <v>6</v>
      </c>
      <c r="AT202">
        <v>3.0000000000000001E-3</v>
      </c>
      <c r="AU202" t="s">
        <v>227</v>
      </c>
      <c r="AV202">
        <v>0</v>
      </c>
      <c r="AW202">
        <v>2</v>
      </c>
      <c r="AX202">
        <v>16802971</v>
      </c>
      <c r="AY202">
        <v>1</v>
      </c>
      <c r="AZ202">
        <v>0</v>
      </c>
      <c r="BA202">
        <v>201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Y202*Source!I169</f>
        <v>0</v>
      </c>
      <c r="CY202">
        <f t="shared" si="16"/>
        <v>77165</v>
      </c>
      <c r="CZ202">
        <f t="shared" si="17"/>
        <v>11500</v>
      </c>
      <c r="DA202">
        <f t="shared" si="18"/>
        <v>6.71</v>
      </c>
      <c r="DB202">
        <f t="shared" si="19"/>
        <v>0</v>
      </c>
      <c r="DC202">
        <f t="shared" si="20"/>
        <v>0</v>
      </c>
    </row>
    <row r="203" spans="1:107" x14ac:dyDescent="0.2">
      <c r="A203">
        <f>ROW(Source!A169)</f>
        <v>169</v>
      </c>
      <c r="B203">
        <v>16802145</v>
      </c>
      <c r="C203">
        <v>16802945</v>
      </c>
      <c r="D203">
        <v>15203834</v>
      </c>
      <c r="E203">
        <v>1</v>
      </c>
      <c r="F203">
        <v>1</v>
      </c>
      <c r="G203">
        <v>1</v>
      </c>
      <c r="H203">
        <v>3</v>
      </c>
      <c r="I203" t="s">
        <v>853</v>
      </c>
      <c r="J203" t="s">
        <v>854</v>
      </c>
      <c r="K203" t="s">
        <v>855</v>
      </c>
      <c r="L203">
        <v>1346</v>
      </c>
      <c r="N203">
        <v>1009</v>
      </c>
      <c r="O203" t="s">
        <v>103</v>
      </c>
      <c r="P203" t="s">
        <v>103</v>
      </c>
      <c r="Q203">
        <v>1</v>
      </c>
      <c r="W203">
        <v>0</v>
      </c>
      <c r="X203">
        <v>210558753</v>
      </c>
      <c r="Y203">
        <v>0</v>
      </c>
      <c r="AA203">
        <v>191.91</v>
      </c>
      <c r="AB203">
        <v>0</v>
      </c>
      <c r="AC203">
        <v>0</v>
      </c>
      <c r="AD203">
        <v>0</v>
      </c>
      <c r="AE203">
        <v>28.6</v>
      </c>
      <c r="AF203">
        <v>0</v>
      </c>
      <c r="AG203">
        <v>0</v>
      </c>
      <c r="AH203">
        <v>0</v>
      </c>
      <c r="AI203">
        <v>6.71</v>
      </c>
      <c r="AJ203">
        <v>1</v>
      </c>
      <c r="AK203">
        <v>1</v>
      </c>
      <c r="AL203">
        <v>1</v>
      </c>
      <c r="AN203">
        <v>0</v>
      </c>
      <c r="AO203">
        <v>1</v>
      </c>
      <c r="AP203">
        <v>1</v>
      </c>
      <c r="AQ203">
        <v>0</v>
      </c>
      <c r="AR203">
        <v>0</v>
      </c>
      <c r="AS203" t="s">
        <v>6</v>
      </c>
      <c r="AT203">
        <v>1.7999999999999999E-2</v>
      </c>
      <c r="AU203" t="s">
        <v>227</v>
      </c>
      <c r="AV203">
        <v>0</v>
      </c>
      <c r="AW203">
        <v>2</v>
      </c>
      <c r="AX203">
        <v>16802972</v>
      </c>
      <c r="AY203">
        <v>1</v>
      </c>
      <c r="AZ203">
        <v>0</v>
      </c>
      <c r="BA203">
        <v>202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Y203*Source!I169</f>
        <v>0</v>
      </c>
      <c r="CY203">
        <f t="shared" si="16"/>
        <v>191.91</v>
      </c>
      <c r="CZ203">
        <f t="shared" si="17"/>
        <v>28.6</v>
      </c>
      <c r="DA203">
        <f t="shared" si="18"/>
        <v>6.71</v>
      </c>
      <c r="DB203">
        <f t="shared" si="19"/>
        <v>0</v>
      </c>
      <c r="DC203">
        <f t="shared" si="20"/>
        <v>0</v>
      </c>
    </row>
    <row r="204" spans="1:107" x14ac:dyDescent="0.2">
      <c r="A204">
        <f>ROW(Source!A169)</f>
        <v>169</v>
      </c>
      <c r="B204">
        <v>16802145</v>
      </c>
      <c r="C204">
        <v>16802945</v>
      </c>
      <c r="D204">
        <v>15203987</v>
      </c>
      <c r="E204">
        <v>1</v>
      </c>
      <c r="F204">
        <v>1</v>
      </c>
      <c r="G204">
        <v>1</v>
      </c>
      <c r="H204">
        <v>3</v>
      </c>
      <c r="I204" t="s">
        <v>856</v>
      </c>
      <c r="J204" t="s">
        <v>857</v>
      </c>
      <c r="K204" t="s">
        <v>858</v>
      </c>
      <c r="L204">
        <v>1346</v>
      </c>
      <c r="N204">
        <v>1009</v>
      </c>
      <c r="O204" t="s">
        <v>103</v>
      </c>
      <c r="P204" t="s">
        <v>103</v>
      </c>
      <c r="Q204">
        <v>1</v>
      </c>
      <c r="W204">
        <v>0</v>
      </c>
      <c r="X204">
        <v>-1274984028</v>
      </c>
      <c r="Y204">
        <v>0</v>
      </c>
      <c r="AA204">
        <v>239.08</v>
      </c>
      <c r="AB204">
        <v>0</v>
      </c>
      <c r="AC204">
        <v>0</v>
      </c>
      <c r="AD204">
        <v>0</v>
      </c>
      <c r="AE204">
        <v>35.630000000000003</v>
      </c>
      <c r="AF204">
        <v>0</v>
      </c>
      <c r="AG204">
        <v>0</v>
      </c>
      <c r="AH204">
        <v>0</v>
      </c>
      <c r="AI204">
        <v>6.71</v>
      </c>
      <c r="AJ204">
        <v>1</v>
      </c>
      <c r="AK204">
        <v>1</v>
      </c>
      <c r="AL204">
        <v>1</v>
      </c>
      <c r="AN204">
        <v>0</v>
      </c>
      <c r="AO204">
        <v>1</v>
      </c>
      <c r="AP204">
        <v>1</v>
      </c>
      <c r="AQ204">
        <v>0</v>
      </c>
      <c r="AR204">
        <v>0</v>
      </c>
      <c r="AS204" t="s">
        <v>6</v>
      </c>
      <c r="AT204">
        <v>8.9999999999999993E-3</v>
      </c>
      <c r="AU204" t="s">
        <v>227</v>
      </c>
      <c r="AV204">
        <v>0</v>
      </c>
      <c r="AW204">
        <v>2</v>
      </c>
      <c r="AX204">
        <v>16802973</v>
      </c>
      <c r="AY204">
        <v>1</v>
      </c>
      <c r="AZ204">
        <v>0</v>
      </c>
      <c r="BA204">
        <v>203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Y204*Source!I169</f>
        <v>0</v>
      </c>
      <c r="CY204">
        <f t="shared" si="16"/>
        <v>239.08</v>
      </c>
      <c r="CZ204">
        <f t="shared" si="17"/>
        <v>35.630000000000003</v>
      </c>
      <c r="DA204">
        <f t="shared" si="18"/>
        <v>6.71</v>
      </c>
      <c r="DB204">
        <f t="shared" si="19"/>
        <v>0</v>
      </c>
      <c r="DC204">
        <f t="shared" si="20"/>
        <v>0</v>
      </c>
    </row>
    <row r="205" spans="1:107" x14ac:dyDescent="0.2">
      <c r="A205">
        <f>ROW(Source!A169)</f>
        <v>169</v>
      </c>
      <c r="B205">
        <v>16802145</v>
      </c>
      <c r="C205">
        <v>16802945</v>
      </c>
      <c r="D205">
        <v>15217463</v>
      </c>
      <c r="E205">
        <v>1</v>
      </c>
      <c r="F205">
        <v>1</v>
      </c>
      <c r="G205">
        <v>1</v>
      </c>
      <c r="H205">
        <v>3</v>
      </c>
      <c r="I205" t="s">
        <v>859</v>
      </c>
      <c r="J205" t="s">
        <v>860</v>
      </c>
      <c r="K205" t="s">
        <v>861</v>
      </c>
      <c r="L205">
        <v>1358</v>
      </c>
      <c r="N205">
        <v>1010</v>
      </c>
      <c r="O205" t="s">
        <v>435</v>
      </c>
      <c r="P205" t="s">
        <v>435</v>
      </c>
      <c r="Q205">
        <v>10</v>
      </c>
      <c r="W205">
        <v>0</v>
      </c>
      <c r="X205">
        <v>1386890308</v>
      </c>
      <c r="Y205">
        <v>0</v>
      </c>
      <c r="AA205">
        <v>261.69</v>
      </c>
      <c r="AB205">
        <v>0</v>
      </c>
      <c r="AC205">
        <v>0</v>
      </c>
      <c r="AD205">
        <v>0</v>
      </c>
      <c r="AE205">
        <v>39</v>
      </c>
      <c r="AF205">
        <v>0</v>
      </c>
      <c r="AG205">
        <v>0</v>
      </c>
      <c r="AH205">
        <v>0</v>
      </c>
      <c r="AI205">
        <v>6.71</v>
      </c>
      <c r="AJ205">
        <v>1</v>
      </c>
      <c r="AK205">
        <v>1</v>
      </c>
      <c r="AL205">
        <v>1</v>
      </c>
      <c r="AN205">
        <v>0</v>
      </c>
      <c r="AO205">
        <v>1</v>
      </c>
      <c r="AP205">
        <v>1</v>
      </c>
      <c r="AQ205">
        <v>0</v>
      </c>
      <c r="AR205">
        <v>0</v>
      </c>
      <c r="AS205" t="s">
        <v>6</v>
      </c>
      <c r="AT205">
        <v>0.1</v>
      </c>
      <c r="AU205" t="s">
        <v>227</v>
      </c>
      <c r="AV205">
        <v>0</v>
      </c>
      <c r="AW205">
        <v>2</v>
      </c>
      <c r="AX205">
        <v>16802974</v>
      </c>
      <c r="AY205">
        <v>1</v>
      </c>
      <c r="AZ205">
        <v>0</v>
      </c>
      <c r="BA205">
        <v>204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Y205*Source!I169</f>
        <v>0</v>
      </c>
      <c r="CY205">
        <f t="shared" si="16"/>
        <v>261.69</v>
      </c>
      <c r="CZ205">
        <f t="shared" si="17"/>
        <v>39</v>
      </c>
      <c r="DA205">
        <f t="shared" si="18"/>
        <v>6.71</v>
      </c>
      <c r="DB205">
        <f t="shared" si="19"/>
        <v>0</v>
      </c>
      <c r="DC205">
        <f t="shared" si="20"/>
        <v>0</v>
      </c>
    </row>
    <row r="206" spans="1:107" x14ac:dyDescent="0.2">
      <c r="A206">
        <f>ROW(Source!A169)</f>
        <v>169</v>
      </c>
      <c r="B206">
        <v>16802145</v>
      </c>
      <c r="C206">
        <v>16802945</v>
      </c>
      <c r="D206">
        <v>15164559</v>
      </c>
      <c r="E206">
        <v>17</v>
      </c>
      <c r="F206">
        <v>1</v>
      </c>
      <c r="G206">
        <v>1</v>
      </c>
      <c r="H206">
        <v>3</v>
      </c>
      <c r="I206" t="s">
        <v>821</v>
      </c>
      <c r="J206" t="s">
        <v>6</v>
      </c>
      <c r="K206" t="s">
        <v>822</v>
      </c>
      <c r="L206">
        <v>1374</v>
      </c>
      <c r="N206">
        <v>1013</v>
      </c>
      <c r="O206" t="s">
        <v>823</v>
      </c>
      <c r="P206" t="s">
        <v>823</v>
      </c>
      <c r="Q206">
        <v>1</v>
      </c>
      <c r="W206">
        <v>0</v>
      </c>
      <c r="X206">
        <v>-1731369543</v>
      </c>
      <c r="Y206">
        <v>0</v>
      </c>
      <c r="AA206">
        <v>1</v>
      </c>
      <c r="AB206">
        <v>0</v>
      </c>
      <c r="AC206">
        <v>0</v>
      </c>
      <c r="AD206">
        <v>0</v>
      </c>
      <c r="AE206">
        <v>1</v>
      </c>
      <c r="AF206">
        <v>0</v>
      </c>
      <c r="AG206">
        <v>0</v>
      </c>
      <c r="AH206">
        <v>0</v>
      </c>
      <c r="AI206">
        <v>1</v>
      </c>
      <c r="AJ206">
        <v>1</v>
      </c>
      <c r="AK206">
        <v>1</v>
      </c>
      <c r="AL206">
        <v>1</v>
      </c>
      <c r="AN206">
        <v>0</v>
      </c>
      <c r="AO206">
        <v>1</v>
      </c>
      <c r="AP206">
        <v>1</v>
      </c>
      <c r="AQ206">
        <v>0</v>
      </c>
      <c r="AR206">
        <v>0</v>
      </c>
      <c r="AS206" t="s">
        <v>6</v>
      </c>
      <c r="AT206">
        <v>0.43</v>
      </c>
      <c r="AU206" t="s">
        <v>227</v>
      </c>
      <c r="AV206">
        <v>0</v>
      </c>
      <c r="AW206">
        <v>2</v>
      </c>
      <c r="AX206">
        <v>16802975</v>
      </c>
      <c r="AY206">
        <v>1</v>
      </c>
      <c r="AZ206">
        <v>0</v>
      </c>
      <c r="BA206">
        <v>205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Y206*Source!I169</f>
        <v>0</v>
      </c>
      <c r="CY206">
        <f t="shared" si="16"/>
        <v>1</v>
      </c>
      <c r="CZ206">
        <f t="shared" si="17"/>
        <v>1</v>
      </c>
      <c r="DA206">
        <f t="shared" si="18"/>
        <v>1</v>
      </c>
      <c r="DB206">
        <f t="shared" si="19"/>
        <v>0</v>
      </c>
      <c r="DC206">
        <f t="shared" si="20"/>
        <v>0</v>
      </c>
    </row>
    <row r="207" spans="1:107" x14ac:dyDescent="0.2">
      <c r="A207">
        <f>ROW(Source!A170)</f>
        <v>170</v>
      </c>
      <c r="B207">
        <v>16802145</v>
      </c>
      <c r="C207">
        <v>16802977</v>
      </c>
      <c r="D207">
        <v>15435763</v>
      </c>
      <c r="E207">
        <v>1</v>
      </c>
      <c r="F207">
        <v>1</v>
      </c>
      <c r="G207">
        <v>1</v>
      </c>
      <c r="H207">
        <v>1</v>
      </c>
      <c r="I207" t="s">
        <v>824</v>
      </c>
      <c r="J207" t="s">
        <v>6</v>
      </c>
      <c r="K207" t="s">
        <v>825</v>
      </c>
      <c r="L207">
        <v>1191</v>
      </c>
      <c r="N207">
        <v>1013</v>
      </c>
      <c r="O207" t="s">
        <v>660</v>
      </c>
      <c r="P207" t="s">
        <v>660</v>
      </c>
      <c r="Q207">
        <v>1</v>
      </c>
      <c r="W207">
        <v>0</v>
      </c>
      <c r="X207">
        <v>1627947075</v>
      </c>
      <c r="Y207">
        <v>2.09</v>
      </c>
      <c r="AA207">
        <v>0</v>
      </c>
      <c r="AB207">
        <v>0</v>
      </c>
      <c r="AC207">
        <v>0</v>
      </c>
      <c r="AD207">
        <v>69.45</v>
      </c>
      <c r="AE207">
        <v>0</v>
      </c>
      <c r="AF207">
        <v>0</v>
      </c>
      <c r="AG207">
        <v>0</v>
      </c>
      <c r="AH207">
        <v>10.35</v>
      </c>
      <c r="AI207">
        <v>1</v>
      </c>
      <c r="AJ207">
        <v>1</v>
      </c>
      <c r="AK207">
        <v>1</v>
      </c>
      <c r="AL207">
        <v>6.71</v>
      </c>
      <c r="AN207">
        <v>0</v>
      </c>
      <c r="AO207">
        <v>1</v>
      </c>
      <c r="AP207">
        <v>0</v>
      </c>
      <c r="AQ207">
        <v>0</v>
      </c>
      <c r="AR207">
        <v>0</v>
      </c>
      <c r="AS207" t="s">
        <v>6</v>
      </c>
      <c r="AT207">
        <v>2.09</v>
      </c>
      <c r="AU207" t="s">
        <v>6</v>
      </c>
      <c r="AV207">
        <v>1</v>
      </c>
      <c r="AW207">
        <v>2</v>
      </c>
      <c r="AX207">
        <v>16802993</v>
      </c>
      <c r="AY207">
        <v>1</v>
      </c>
      <c r="AZ207">
        <v>0</v>
      </c>
      <c r="BA207">
        <v>206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Y207*Source!I170</f>
        <v>2.09</v>
      </c>
      <c r="CY207">
        <f>AD207</f>
        <v>69.45</v>
      </c>
      <c r="CZ207">
        <f>AH207</f>
        <v>10.35</v>
      </c>
      <c r="DA207">
        <f>AL207</f>
        <v>6.71</v>
      </c>
      <c r="DB207">
        <f t="shared" ref="DB207:DB238" si="21">ROUND(ROUND(AT207*CZ207,2),2)</f>
        <v>21.63</v>
      </c>
      <c r="DC207">
        <f t="shared" ref="DC207:DC238" si="22">ROUND(ROUND(AT207*AG207,2),2)</f>
        <v>0</v>
      </c>
    </row>
    <row r="208" spans="1:107" x14ac:dyDescent="0.2">
      <c r="A208">
        <f>ROW(Source!A170)</f>
        <v>170</v>
      </c>
      <c r="B208">
        <v>16802145</v>
      </c>
      <c r="C208">
        <v>16802977</v>
      </c>
      <c r="D208">
        <v>15249377</v>
      </c>
      <c r="E208">
        <v>1</v>
      </c>
      <c r="F208">
        <v>1</v>
      </c>
      <c r="G208">
        <v>1</v>
      </c>
      <c r="H208">
        <v>2</v>
      </c>
      <c r="I208" t="s">
        <v>804</v>
      </c>
      <c r="J208" t="s">
        <v>805</v>
      </c>
      <c r="K208" t="s">
        <v>806</v>
      </c>
      <c r="L208">
        <v>1368</v>
      </c>
      <c r="N208">
        <v>1011</v>
      </c>
      <c r="O208" t="s">
        <v>666</v>
      </c>
      <c r="P208" t="s">
        <v>666</v>
      </c>
      <c r="Q208">
        <v>1</v>
      </c>
      <c r="W208">
        <v>0</v>
      </c>
      <c r="X208">
        <v>-353815937</v>
      </c>
      <c r="Y208">
        <v>0.06</v>
      </c>
      <c r="AA208">
        <v>0</v>
      </c>
      <c r="AB208">
        <v>54.35</v>
      </c>
      <c r="AC208">
        <v>0</v>
      </c>
      <c r="AD208">
        <v>0</v>
      </c>
      <c r="AE208">
        <v>0</v>
      </c>
      <c r="AF208">
        <v>8.1</v>
      </c>
      <c r="AG208">
        <v>0</v>
      </c>
      <c r="AH208">
        <v>0</v>
      </c>
      <c r="AI208">
        <v>1</v>
      </c>
      <c r="AJ208">
        <v>6.71</v>
      </c>
      <c r="AK208">
        <v>1</v>
      </c>
      <c r="AL208">
        <v>1</v>
      </c>
      <c r="AN208">
        <v>0</v>
      </c>
      <c r="AO208">
        <v>1</v>
      </c>
      <c r="AP208">
        <v>0</v>
      </c>
      <c r="AQ208">
        <v>0</v>
      </c>
      <c r="AR208">
        <v>0</v>
      </c>
      <c r="AS208" t="s">
        <v>6</v>
      </c>
      <c r="AT208">
        <v>0.06</v>
      </c>
      <c r="AU208" t="s">
        <v>6</v>
      </c>
      <c r="AV208">
        <v>0</v>
      </c>
      <c r="AW208">
        <v>2</v>
      </c>
      <c r="AX208">
        <v>16802994</v>
      </c>
      <c r="AY208">
        <v>1</v>
      </c>
      <c r="AZ208">
        <v>0</v>
      </c>
      <c r="BA208">
        <v>207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Y208*Source!I170</f>
        <v>0.06</v>
      </c>
      <c r="CY208">
        <f>AB208</f>
        <v>54.35</v>
      </c>
      <c r="CZ208">
        <f>AF208</f>
        <v>8.1</v>
      </c>
      <c r="DA208">
        <f>AJ208</f>
        <v>6.71</v>
      </c>
      <c r="DB208">
        <f t="shared" si="21"/>
        <v>0.49</v>
      </c>
      <c r="DC208">
        <f t="shared" si="22"/>
        <v>0</v>
      </c>
    </row>
    <row r="209" spans="1:107" x14ac:dyDescent="0.2">
      <c r="A209">
        <f>ROW(Source!A170)</f>
        <v>170</v>
      </c>
      <c r="B209">
        <v>16802145</v>
      </c>
      <c r="C209">
        <v>16802977</v>
      </c>
      <c r="D209">
        <v>15250043</v>
      </c>
      <c r="E209">
        <v>1</v>
      </c>
      <c r="F209">
        <v>1</v>
      </c>
      <c r="G209">
        <v>1</v>
      </c>
      <c r="H209">
        <v>2</v>
      </c>
      <c r="I209" t="s">
        <v>826</v>
      </c>
      <c r="J209" t="s">
        <v>827</v>
      </c>
      <c r="K209" t="s">
        <v>828</v>
      </c>
      <c r="L209">
        <v>1368</v>
      </c>
      <c r="N209">
        <v>1011</v>
      </c>
      <c r="O209" t="s">
        <v>666</v>
      </c>
      <c r="P209" t="s">
        <v>666</v>
      </c>
      <c r="Q209">
        <v>1</v>
      </c>
      <c r="W209">
        <v>0</v>
      </c>
      <c r="X209">
        <v>-995250510</v>
      </c>
      <c r="Y209">
        <v>0.09</v>
      </c>
      <c r="AA209">
        <v>0</v>
      </c>
      <c r="AB209">
        <v>7.45</v>
      </c>
      <c r="AC209">
        <v>0</v>
      </c>
      <c r="AD209">
        <v>0</v>
      </c>
      <c r="AE209">
        <v>0</v>
      </c>
      <c r="AF209">
        <v>1.1100000000000001</v>
      </c>
      <c r="AG209">
        <v>0</v>
      </c>
      <c r="AH209">
        <v>0</v>
      </c>
      <c r="AI209">
        <v>1</v>
      </c>
      <c r="AJ209">
        <v>6.71</v>
      </c>
      <c r="AK209">
        <v>1</v>
      </c>
      <c r="AL209">
        <v>1</v>
      </c>
      <c r="AN209">
        <v>0</v>
      </c>
      <c r="AO209">
        <v>1</v>
      </c>
      <c r="AP209">
        <v>0</v>
      </c>
      <c r="AQ209">
        <v>0</v>
      </c>
      <c r="AR209">
        <v>0</v>
      </c>
      <c r="AS209" t="s">
        <v>6</v>
      </c>
      <c r="AT209">
        <v>0.09</v>
      </c>
      <c r="AU209" t="s">
        <v>6</v>
      </c>
      <c r="AV209">
        <v>0</v>
      </c>
      <c r="AW209">
        <v>2</v>
      </c>
      <c r="AX209">
        <v>16802995</v>
      </c>
      <c r="AY209">
        <v>1</v>
      </c>
      <c r="AZ209">
        <v>0</v>
      </c>
      <c r="BA209">
        <v>208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Y209*Source!I170</f>
        <v>0.09</v>
      </c>
      <c r="CY209">
        <f>AB209</f>
        <v>7.45</v>
      </c>
      <c r="CZ209">
        <f>AF209</f>
        <v>1.1100000000000001</v>
      </c>
      <c r="DA209">
        <f>AJ209</f>
        <v>6.71</v>
      </c>
      <c r="DB209">
        <f t="shared" si="21"/>
        <v>0.1</v>
      </c>
      <c r="DC209">
        <f t="shared" si="22"/>
        <v>0</v>
      </c>
    </row>
    <row r="210" spans="1:107" x14ac:dyDescent="0.2">
      <c r="A210">
        <f>ROW(Source!A170)</f>
        <v>170</v>
      </c>
      <c r="B210">
        <v>16802145</v>
      </c>
      <c r="C210">
        <v>16802977</v>
      </c>
      <c r="D210">
        <v>15165537</v>
      </c>
      <c r="E210">
        <v>1</v>
      </c>
      <c r="F210">
        <v>1</v>
      </c>
      <c r="G210">
        <v>1</v>
      </c>
      <c r="H210">
        <v>3</v>
      </c>
      <c r="I210" t="s">
        <v>829</v>
      </c>
      <c r="J210" t="s">
        <v>830</v>
      </c>
      <c r="K210" t="s">
        <v>831</v>
      </c>
      <c r="L210">
        <v>1346</v>
      </c>
      <c r="N210">
        <v>1009</v>
      </c>
      <c r="O210" t="s">
        <v>103</v>
      </c>
      <c r="P210" t="s">
        <v>103</v>
      </c>
      <c r="Q210">
        <v>1</v>
      </c>
      <c r="W210">
        <v>0</v>
      </c>
      <c r="X210">
        <v>618806536</v>
      </c>
      <c r="Y210">
        <v>6.0000000000000001E-3</v>
      </c>
      <c r="AA210">
        <v>301.75</v>
      </c>
      <c r="AB210">
        <v>0</v>
      </c>
      <c r="AC210">
        <v>0</v>
      </c>
      <c r="AD210">
        <v>0</v>
      </c>
      <c r="AE210">
        <v>44.97</v>
      </c>
      <c r="AF210">
        <v>0</v>
      </c>
      <c r="AG210">
        <v>0</v>
      </c>
      <c r="AH210">
        <v>0</v>
      </c>
      <c r="AI210">
        <v>6.71</v>
      </c>
      <c r="AJ210">
        <v>1</v>
      </c>
      <c r="AK210">
        <v>1</v>
      </c>
      <c r="AL210">
        <v>1</v>
      </c>
      <c r="AN210">
        <v>0</v>
      </c>
      <c r="AO210">
        <v>1</v>
      </c>
      <c r="AP210">
        <v>0</v>
      </c>
      <c r="AQ210">
        <v>0</v>
      </c>
      <c r="AR210">
        <v>0</v>
      </c>
      <c r="AS210" t="s">
        <v>6</v>
      </c>
      <c r="AT210">
        <v>6.0000000000000001E-3</v>
      </c>
      <c r="AU210" t="s">
        <v>6</v>
      </c>
      <c r="AV210">
        <v>0</v>
      </c>
      <c r="AW210">
        <v>2</v>
      </c>
      <c r="AX210">
        <v>16802996</v>
      </c>
      <c r="AY210">
        <v>1</v>
      </c>
      <c r="AZ210">
        <v>0</v>
      </c>
      <c r="BA210">
        <v>209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Y210*Source!I170</f>
        <v>6.0000000000000001E-3</v>
      </c>
      <c r="CY210">
        <f t="shared" ref="CY210:CY221" si="23">AA210</f>
        <v>301.75</v>
      </c>
      <c r="CZ210">
        <f t="shared" ref="CZ210:CZ221" si="24">AE210</f>
        <v>44.97</v>
      </c>
      <c r="DA210">
        <f t="shared" ref="DA210:DA221" si="25">AI210</f>
        <v>6.71</v>
      </c>
      <c r="DB210">
        <f t="shared" si="21"/>
        <v>0.27</v>
      </c>
      <c r="DC210">
        <f t="shared" si="22"/>
        <v>0</v>
      </c>
    </row>
    <row r="211" spans="1:107" x14ac:dyDescent="0.2">
      <c r="A211">
        <f>ROW(Source!A170)</f>
        <v>170</v>
      </c>
      <c r="B211">
        <v>16802145</v>
      </c>
      <c r="C211">
        <v>16802977</v>
      </c>
      <c r="D211">
        <v>15167269</v>
      </c>
      <c r="E211">
        <v>1</v>
      </c>
      <c r="F211">
        <v>1</v>
      </c>
      <c r="G211">
        <v>1</v>
      </c>
      <c r="H211">
        <v>3</v>
      </c>
      <c r="I211" t="s">
        <v>832</v>
      </c>
      <c r="J211" t="s">
        <v>833</v>
      </c>
      <c r="K211" t="s">
        <v>834</v>
      </c>
      <c r="L211">
        <v>1346</v>
      </c>
      <c r="N211">
        <v>1009</v>
      </c>
      <c r="O211" t="s">
        <v>103</v>
      </c>
      <c r="P211" t="s">
        <v>103</v>
      </c>
      <c r="Q211">
        <v>1</v>
      </c>
      <c r="W211">
        <v>0</v>
      </c>
      <c r="X211">
        <v>56922527</v>
      </c>
      <c r="Y211">
        <v>2E-3</v>
      </c>
      <c r="AA211">
        <v>77.17</v>
      </c>
      <c r="AB211">
        <v>0</v>
      </c>
      <c r="AC211">
        <v>0</v>
      </c>
      <c r="AD211">
        <v>0</v>
      </c>
      <c r="AE211">
        <v>11.5</v>
      </c>
      <c r="AF211">
        <v>0</v>
      </c>
      <c r="AG211">
        <v>0</v>
      </c>
      <c r="AH211">
        <v>0</v>
      </c>
      <c r="AI211">
        <v>6.71</v>
      </c>
      <c r="AJ211">
        <v>1</v>
      </c>
      <c r="AK211">
        <v>1</v>
      </c>
      <c r="AL211">
        <v>1</v>
      </c>
      <c r="AN211">
        <v>0</v>
      </c>
      <c r="AO211">
        <v>1</v>
      </c>
      <c r="AP211">
        <v>0</v>
      </c>
      <c r="AQ211">
        <v>0</v>
      </c>
      <c r="AR211">
        <v>0</v>
      </c>
      <c r="AS211" t="s">
        <v>6</v>
      </c>
      <c r="AT211">
        <v>2E-3</v>
      </c>
      <c r="AU211" t="s">
        <v>6</v>
      </c>
      <c r="AV211">
        <v>0</v>
      </c>
      <c r="AW211">
        <v>2</v>
      </c>
      <c r="AX211">
        <v>16802997</v>
      </c>
      <c r="AY211">
        <v>1</v>
      </c>
      <c r="AZ211">
        <v>0</v>
      </c>
      <c r="BA211">
        <v>210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Y211*Source!I170</f>
        <v>2E-3</v>
      </c>
      <c r="CY211">
        <f t="shared" si="23"/>
        <v>77.17</v>
      </c>
      <c r="CZ211">
        <f t="shared" si="24"/>
        <v>11.5</v>
      </c>
      <c r="DA211">
        <f t="shared" si="25"/>
        <v>6.71</v>
      </c>
      <c r="DB211">
        <f t="shared" si="21"/>
        <v>0.02</v>
      </c>
      <c r="DC211">
        <f t="shared" si="22"/>
        <v>0</v>
      </c>
    </row>
    <row r="212" spans="1:107" x14ac:dyDescent="0.2">
      <c r="A212">
        <f>ROW(Source!A170)</f>
        <v>170</v>
      </c>
      <c r="B212">
        <v>16802145</v>
      </c>
      <c r="C212">
        <v>16802977</v>
      </c>
      <c r="D212">
        <v>15167588</v>
      </c>
      <c r="E212">
        <v>1</v>
      </c>
      <c r="F212">
        <v>1</v>
      </c>
      <c r="G212">
        <v>1</v>
      </c>
      <c r="H212">
        <v>3</v>
      </c>
      <c r="I212" t="s">
        <v>835</v>
      </c>
      <c r="J212" t="s">
        <v>836</v>
      </c>
      <c r="K212" t="s">
        <v>837</v>
      </c>
      <c r="L212">
        <v>1346</v>
      </c>
      <c r="N212">
        <v>1009</v>
      </c>
      <c r="O212" t="s">
        <v>103</v>
      </c>
      <c r="P212" t="s">
        <v>103</v>
      </c>
      <c r="Q212">
        <v>1</v>
      </c>
      <c r="W212">
        <v>0</v>
      </c>
      <c r="X212">
        <v>-1088866022</v>
      </c>
      <c r="Y212">
        <v>2.4E-2</v>
      </c>
      <c r="AA212">
        <v>203.98</v>
      </c>
      <c r="AB212">
        <v>0</v>
      </c>
      <c r="AC212">
        <v>0</v>
      </c>
      <c r="AD212">
        <v>0</v>
      </c>
      <c r="AE212">
        <v>30.4</v>
      </c>
      <c r="AF212">
        <v>0</v>
      </c>
      <c r="AG212">
        <v>0</v>
      </c>
      <c r="AH212">
        <v>0</v>
      </c>
      <c r="AI212">
        <v>6.71</v>
      </c>
      <c r="AJ212">
        <v>1</v>
      </c>
      <c r="AK212">
        <v>1</v>
      </c>
      <c r="AL212">
        <v>1</v>
      </c>
      <c r="AN212">
        <v>0</v>
      </c>
      <c r="AO212">
        <v>1</v>
      </c>
      <c r="AP212">
        <v>0</v>
      </c>
      <c r="AQ212">
        <v>0</v>
      </c>
      <c r="AR212">
        <v>0</v>
      </c>
      <c r="AS212" t="s">
        <v>6</v>
      </c>
      <c r="AT212">
        <v>2.4E-2</v>
      </c>
      <c r="AU212" t="s">
        <v>6</v>
      </c>
      <c r="AV212">
        <v>0</v>
      </c>
      <c r="AW212">
        <v>2</v>
      </c>
      <c r="AX212">
        <v>16802998</v>
      </c>
      <c r="AY212">
        <v>1</v>
      </c>
      <c r="AZ212">
        <v>0</v>
      </c>
      <c r="BA212">
        <v>211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Y212*Source!I170</f>
        <v>2.4E-2</v>
      </c>
      <c r="CY212">
        <f t="shared" si="23"/>
        <v>203.98</v>
      </c>
      <c r="CZ212">
        <f t="shared" si="24"/>
        <v>30.4</v>
      </c>
      <c r="DA212">
        <f t="shared" si="25"/>
        <v>6.71</v>
      </c>
      <c r="DB212">
        <f t="shared" si="21"/>
        <v>0.73</v>
      </c>
      <c r="DC212">
        <f t="shared" si="22"/>
        <v>0</v>
      </c>
    </row>
    <row r="213" spans="1:107" x14ac:dyDescent="0.2">
      <c r="A213">
        <f>ROW(Source!A170)</f>
        <v>170</v>
      </c>
      <c r="B213">
        <v>16802145</v>
      </c>
      <c r="C213">
        <v>16802977</v>
      </c>
      <c r="D213">
        <v>15168752</v>
      </c>
      <c r="E213">
        <v>1</v>
      </c>
      <c r="F213">
        <v>1</v>
      </c>
      <c r="G213">
        <v>1</v>
      </c>
      <c r="H213">
        <v>3</v>
      </c>
      <c r="I213" t="s">
        <v>838</v>
      </c>
      <c r="J213" t="s">
        <v>839</v>
      </c>
      <c r="K213" t="s">
        <v>840</v>
      </c>
      <c r="L213">
        <v>1346</v>
      </c>
      <c r="N213">
        <v>1009</v>
      </c>
      <c r="O213" t="s">
        <v>103</v>
      </c>
      <c r="P213" t="s">
        <v>103</v>
      </c>
      <c r="Q213">
        <v>1</v>
      </c>
      <c r="W213">
        <v>0</v>
      </c>
      <c r="X213">
        <v>586013393</v>
      </c>
      <c r="Y213">
        <v>7.0000000000000007E-2</v>
      </c>
      <c r="AA213">
        <v>70.92</v>
      </c>
      <c r="AB213">
        <v>0</v>
      </c>
      <c r="AC213">
        <v>0</v>
      </c>
      <c r="AD213">
        <v>0</v>
      </c>
      <c r="AE213">
        <v>10.57</v>
      </c>
      <c r="AF213">
        <v>0</v>
      </c>
      <c r="AG213">
        <v>0</v>
      </c>
      <c r="AH213">
        <v>0</v>
      </c>
      <c r="AI213">
        <v>6.71</v>
      </c>
      <c r="AJ213">
        <v>1</v>
      </c>
      <c r="AK213">
        <v>1</v>
      </c>
      <c r="AL213">
        <v>1</v>
      </c>
      <c r="AN213">
        <v>0</v>
      </c>
      <c r="AO213">
        <v>1</v>
      </c>
      <c r="AP213">
        <v>0</v>
      </c>
      <c r="AQ213">
        <v>0</v>
      </c>
      <c r="AR213">
        <v>0</v>
      </c>
      <c r="AS213" t="s">
        <v>6</v>
      </c>
      <c r="AT213">
        <v>7.0000000000000007E-2</v>
      </c>
      <c r="AU213" t="s">
        <v>6</v>
      </c>
      <c r="AV213">
        <v>0</v>
      </c>
      <c r="AW213">
        <v>2</v>
      </c>
      <c r="AX213">
        <v>16802999</v>
      </c>
      <c r="AY213">
        <v>1</v>
      </c>
      <c r="AZ213">
        <v>0</v>
      </c>
      <c r="BA213">
        <v>212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Y213*Source!I170</f>
        <v>7.0000000000000007E-2</v>
      </c>
      <c r="CY213">
        <f t="shared" si="23"/>
        <v>70.92</v>
      </c>
      <c r="CZ213">
        <f t="shared" si="24"/>
        <v>10.57</v>
      </c>
      <c r="DA213">
        <f t="shared" si="25"/>
        <v>6.71</v>
      </c>
      <c r="DB213">
        <f t="shared" si="21"/>
        <v>0.74</v>
      </c>
      <c r="DC213">
        <f t="shared" si="22"/>
        <v>0</v>
      </c>
    </row>
    <row r="214" spans="1:107" x14ac:dyDescent="0.2">
      <c r="A214">
        <f>ROW(Source!A170)</f>
        <v>170</v>
      </c>
      <c r="B214">
        <v>16802145</v>
      </c>
      <c r="C214">
        <v>16802977</v>
      </c>
      <c r="D214">
        <v>15169942</v>
      </c>
      <c r="E214">
        <v>1</v>
      </c>
      <c r="F214">
        <v>1</v>
      </c>
      <c r="G214">
        <v>1</v>
      </c>
      <c r="H214">
        <v>3</v>
      </c>
      <c r="I214" t="s">
        <v>841</v>
      </c>
      <c r="J214" t="s">
        <v>842</v>
      </c>
      <c r="K214" t="s">
        <v>843</v>
      </c>
      <c r="L214">
        <v>1346</v>
      </c>
      <c r="N214">
        <v>1009</v>
      </c>
      <c r="O214" t="s">
        <v>103</v>
      </c>
      <c r="P214" t="s">
        <v>103</v>
      </c>
      <c r="Q214">
        <v>1</v>
      </c>
      <c r="W214">
        <v>0</v>
      </c>
      <c r="X214">
        <v>103900845</v>
      </c>
      <c r="Y214">
        <v>0.14000000000000001</v>
      </c>
      <c r="AA214">
        <v>60.66</v>
      </c>
      <c r="AB214">
        <v>0</v>
      </c>
      <c r="AC214">
        <v>0</v>
      </c>
      <c r="AD214">
        <v>0</v>
      </c>
      <c r="AE214">
        <v>9.0399999999999991</v>
      </c>
      <c r="AF214">
        <v>0</v>
      </c>
      <c r="AG214">
        <v>0</v>
      </c>
      <c r="AH214">
        <v>0</v>
      </c>
      <c r="AI214">
        <v>6.71</v>
      </c>
      <c r="AJ214">
        <v>1</v>
      </c>
      <c r="AK214">
        <v>1</v>
      </c>
      <c r="AL214">
        <v>1</v>
      </c>
      <c r="AN214">
        <v>0</v>
      </c>
      <c r="AO214">
        <v>1</v>
      </c>
      <c r="AP214">
        <v>0</v>
      </c>
      <c r="AQ214">
        <v>0</v>
      </c>
      <c r="AR214">
        <v>0</v>
      </c>
      <c r="AS214" t="s">
        <v>6</v>
      </c>
      <c r="AT214">
        <v>0.14000000000000001</v>
      </c>
      <c r="AU214" t="s">
        <v>6</v>
      </c>
      <c r="AV214">
        <v>0</v>
      </c>
      <c r="AW214">
        <v>2</v>
      </c>
      <c r="AX214">
        <v>16803000</v>
      </c>
      <c r="AY214">
        <v>1</v>
      </c>
      <c r="AZ214">
        <v>0</v>
      </c>
      <c r="BA214">
        <v>213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Y214*Source!I170</f>
        <v>0.14000000000000001</v>
      </c>
      <c r="CY214">
        <f t="shared" si="23"/>
        <v>60.66</v>
      </c>
      <c r="CZ214">
        <f t="shared" si="24"/>
        <v>9.0399999999999991</v>
      </c>
      <c r="DA214">
        <f t="shared" si="25"/>
        <v>6.71</v>
      </c>
      <c r="DB214">
        <f t="shared" si="21"/>
        <v>1.27</v>
      </c>
      <c r="DC214">
        <f t="shared" si="22"/>
        <v>0</v>
      </c>
    </row>
    <row r="215" spans="1:107" x14ac:dyDescent="0.2">
      <c r="A215">
        <f>ROW(Source!A170)</f>
        <v>170</v>
      </c>
      <c r="B215">
        <v>16802145</v>
      </c>
      <c r="C215">
        <v>16802977</v>
      </c>
      <c r="D215">
        <v>15170074</v>
      </c>
      <c r="E215">
        <v>1</v>
      </c>
      <c r="F215">
        <v>1</v>
      </c>
      <c r="G215">
        <v>1</v>
      </c>
      <c r="H215">
        <v>3</v>
      </c>
      <c r="I215" t="s">
        <v>844</v>
      </c>
      <c r="J215" t="s">
        <v>845</v>
      </c>
      <c r="K215" t="s">
        <v>846</v>
      </c>
      <c r="L215">
        <v>1355</v>
      </c>
      <c r="N215">
        <v>1010</v>
      </c>
      <c r="O215" t="s">
        <v>126</v>
      </c>
      <c r="P215" t="s">
        <v>126</v>
      </c>
      <c r="Q215">
        <v>100</v>
      </c>
      <c r="W215">
        <v>0</v>
      </c>
      <c r="X215">
        <v>1794244060</v>
      </c>
      <c r="Y215">
        <v>7.0000000000000001E-3</v>
      </c>
      <c r="AA215">
        <v>577.05999999999995</v>
      </c>
      <c r="AB215">
        <v>0</v>
      </c>
      <c r="AC215">
        <v>0</v>
      </c>
      <c r="AD215">
        <v>0</v>
      </c>
      <c r="AE215">
        <v>86</v>
      </c>
      <c r="AF215">
        <v>0</v>
      </c>
      <c r="AG215">
        <v>0</v>
      </c>
      <c r="AH215">
        <v>0</v>
      </c>
      <c r="AI215">
        <v>6.71</v>
      </c>
      <c r="AJ215">
        <v>1</v>
      </c>
      <c r="AK215">
        <v>1</v>
      </c>
      <c r="AL215">
        <v>1</v>
      </c>
      <c r="AN215">
        <v>0</v>
      </c>
      <c r="AO215">
        <v>1</v>
      </c>
      <c r="AP215">
        <v>0</v>
      </c>
      <c r="AQ215">
        <v>0</v>
      </c>
      <c r="AR215">
        <v>0</v>
      </c>
      <c r="AS215" t="s">
        <v>6</v>
      </c>
      <c r="AT215">
        <v>7.0000000000000001E-3</v>
      </c>
      <c r="AU215" t="s">
        <v>6</v>
      </c>
      <c r="AV215">
        <v>0</v>
      </c>
      <c r="AW215">
        <v>2</v>
      </c>
      <c r="AX215">
        <v>16803001</v>
      </c>
      <c r="AY215">
        <v>1</v>
      </c>
      <c r="AZ215">
        <v>0</v>
      </c>
      <c r="BA215">
        <v>214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Y215*Source!I170</f>
        <v>7.0000000000000001E-3</v>
      </c>
      <c r="CY215">
        <f t="shared" si="23"/>
        <v>577.05999999999995</v>
      </c>
      <c r="CZ215">
        <f t="shared" si="24"/>
        <v>86</v>
      </c>
      <c r="DA215">
        <f t="shared" si="25"/>
        <v>6.71</v>
      </c>
      <c r="DB215">
        <f t="shared" si="21"/>
        <v>0.6</v>
      </c>
      <c r="DC215">
        <f t="shared" si="22"/>
        <v>0</v>
      </c>
    </row>
    <row r="216" spans="1:107" x14ac:dyDescent="0.2">
      <c r="A216">
        <f>ROW(Source!A170)</f>
        <v>170</v>
      </c>
      <c r="B216">
        <v>16802145</v>
      </c>
      <c r="C216">
        <v>16802977</v>
      </c>
      <c r="D216">
        <v>15170994</v>
      </c>
      <c r="E216">
        <v>1</v>
      </c>
      <c r="F216">
        <v>1</v>
      </c>
      <c r="G216">
        <v>1</v>
      </c>
      <c r="H216">
        <v>3</v>
      </c>
      <c r="I216" t="s">
        <v>847</v>
      </c>
      <c r="J216" t="s">
        <v>848</v>
      </c>
      <c r="K216" t="s">
        <v>849</v>
      </c>
      <c r="L216">
        <v>1346</v>
      </c>
      <c r="N216">
        <v>1009</v>
      </c>
      <c r="O216" t="s">
        <v>103</v>
      </c>
      <c r="P216" t="s">
        <v>103</v>
      </c>
      <c r="Q216">
        <v>1</v>
      </c>
      <c r="W216">
        <v>0</v>
      </c>
      <c r="X216">
        <v>-856710481</v>
      </c>
      <c r="Y216">
        <v>2E-3</v>
      </c>
      <c r="AA216">
        <v>892.77</v>
      </c>
      <c r="AB216">
        <v>0</v>
      </c>
      <c r="AC216">
        <v>0</v>
      </c>
      <c r="AD216">
        <v>0</v>
      </c>
      <c r="AE216">
        <v>133.05000000000001</v>
      </c>
      <c r="AF216">
        <v>0</v>
      </c>
      <c r="AG216">
        <v>0</v>
      </c>
      <c r="AH216">
        <v>0</v>
      </c>
      <c r="AI216">
        <v>6.71</v>
      </c>
      <c r="AJ216">
        <v>1</v>
      </c>
      <c r="AK216">
        <v>1</v>
      </c>
      <c r="AL216">
        <v>1</v>
      </c>
      <c r="AN216">
        <v>0</v>
      </c>
      <c r="AO216">
        <v>1</v>
      </c>
      <c r="AP216">
        <v>0</v>
      </c>
      <c r="AQ216">
        <v>0</v>
      </c>
      <c r="AR216">
        <v>0</v>
      </c>
      <c r="AS216" t="s">
        <v>6</v>
      </c>
      <c r="AT216">
        <v>2E-3</v>
      </c>
      <c r="AU216" t="s">
        <v>6</v>
      </c>
      <c r="AV216">
        <v>0</v>
      </c>
      <c r="AW216">
        <v>2</v>
      </c>
      <c r="AX216">
        <v>16803002</v>
      </c>
      <c r="AY216">
        <v>1</v>
      </c>
      <c r="AZ216">
        <v>0</v>
      </c>
      <c r="BA216">
        <v>215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Y216*Source!I170</f>
        <v>2E-3</v>
      </c>
      <c r="CY216">
        <f t="shared" si="23"/>
        <v>892.77</v>
      </c>
      <c r="CZ216">
        <f t="shared" si="24"/>
        <v>133.05000000000001</v>
      </c>
      <c r="DA216">
        <f t="shared" si="25"/>
        <v>6.71</v>
      </c>
      <c r="DB216">
        <f t="shared" si="21"/>
        <v>0.27</v>
      </c>
      <c r="DC216">
        <f t="shared" si="22"/>
        <v>0</v>
      </c>
    </row>
    <row r="217" spans="1:107" x14ac:dyDescent="0.2">
      <c r="A217">
        <f>ROW(Source!A170)</f>
        <v>170</v>
      </c>
      <c r="B217">
        <v>16802145</v>
      </c>
      <c r="C217">
        <v>16802977</v>
      </c>
      <c r="D217">
        <v>15188647</v>
      </c>
      <c r="E217">
        <v>1</v>
      </c>
      <c r="F217">
        <v>1</v>
      </c>
      <c r="G217">
        <v>1</v>
      </c>
      <c r="H217">
        <v>3</v>
      </c>
      <c r="I217" t="s">
        <v>850</v>
      </c>
      <c r="J217" t="s">
        <v>851</v>
      </c>
      <c r="K217" t="s">
        <v>852</v>
      </c>
      <c r="L217">
        <v>1348</v>
      </c>
      <c r="N217">
        <v>1009</v>
      </c>
      <c r="O217" t="s">
        <v>65</v>
      </c>
      <c r="P217" t="s">
        <v>65</v>
      </c>
      <c r="Q217">
        <v>1000</v>
      </c>
      <c r="W217">
        <v>0</v>
      </c>
      <c r="X217">
        <v>426000481</v>
      </c>
      <c r="Y217">
        <v>3.0000000000000001E-3</v>
      </c>
      <c r="AA217">
        <v>77165</v>
      </c>
      <c r="AB217">
        <v>0</v>
      </c>
      <c r="AC217">
        <v>0</v>
      </c>
      <c r="AD217">
        <v>0</v>
      </c>
      <c r="AE217">
        <v>11500</v>
      </c>
      <c r="AF217">
        <v>0</v>
      </c>
      <c r="AG217">
        <v>0</v>
      </c>
      <c r="AH217">
        <v>0</v>
      </c>
      <c r="AI217">
        <v>6.71</v>
      </c>
      <c r="AJ217">
        <v>1</v>
      </c>
      <c r="AK217">
        <v>1</v>
      </c>
      <c r="AL217">
        <v>1</v>
      </c>
      <c r="AN217">
        <v>0</v>
      </c>
      <c r="AO217">
        <v>1</v>
      </c>
      <c r="AP217">
        <v>0</v>
      </c>
      <c r="AQ217">
        <v>0</v>
      </c>
      <c r="AR217">
        <v>0</v>
      </c>
      <c r="AS217" t="s">
        <v>6</v>
      </c>
      <c r="AT217">
        <v>3.0000000000000001E-3</v>
      </c>
      <c r="AU217" t="s">
        <v>6</v>
      </c>
      <c r="AV217">
        <v>0</v>
      </c>
      <c r="AW217">
        <v>2</v>
      </c>
      <c r="AX217">
        <v>16803003</v>
      </c>
      <c r="AY217">
        <v>1</v>
      </c>
      <c r="AZ217">
        <v>0</v>
      </c>
      <c r="BA217">
        <v>216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Y217*Source!I170</f>
        <v>3.0000000000000001E-3</v>
      </c>
      <c r="CY217">
        <f t="shared" si="23"/>
        <v>77165</v>
      </c>
      <c r="CZ217">
        <f t="shared" si="24"/>
        <v>11500</v>
      </c>
      <c r="DA217">
        <f t="shared" si="25"/>
        <v>6.71</v>
      </c>
      <c r="DB217">
        <f t="shared" si="21"/>
        <v>34.5</v>
      </c>
      <c r="DC217">
        <f t="shared" si="22"/>
        <v>0</v>
      </c>
    </row>
    <row r="218" spans="1:107" x14ac:dyDescent="0.2">
      <c r="A218">
        <f>ROW(Source!A170)</f>
        <v>170</v>
      </c>
      <c r="B218">
        <v>16802145</v>
      </c>
      <c r="C218">
        <v>16802977</v>
      </c>
      <c r="D218">
        <v>15203834</v>
      </c>
      <c r="E218">
        <v>1</v>
      </c>
      <c r="F218">
        <v>1</v>
      </c>
      <c r="G218">
        <v>1</v>
      </c>
      <c r="H218">
        <v>3</v>
      </c>
      <c r="I218" t="s">
        <v>853</v>
      </c>
      <c r="J218" t="s">
        <v>854</v>
      </c>
      <c r="K218" t="s">
        <v>855</v>
      </c>
      <c r="L218">
        <v>1346</v>
      </c>
      <c r="N218">
        <v>1009</v>
      </c>
      <c r="O218" t="s">
        <v>103</v>
      </c>
      <c r="P218" t="s">
        <v>103</v>
      </c>
      <c r="Q218">
        <v>1</v>
      </c>
      <c r="W218">
        <v>0</v>
      </c>
      <c r="X218">
        <v>210558753</v>
      </c>
      <c r="Y218">
        <v>1.7999999999999999E-2</v>
      </c>
      <c r="AA218">
        <v>191.91</v>
      </c>
      <c r="AB218">
        <v>0</v>
      </c>
      <c r="AC218">
        <v>0</v>
      </c>
      <c r="AD218">
        <v>0</v>
      </c>
      <c r="AE218">
        <v>28.6</v>
      </c>
      <c r="AF218">
        <v>0</v>
      </c>
      <c r="AG218">
        <v>0</v>
      </c>
      <c r="AH218">
        <v>0</v>
      </c>
      <c r="AI218">
        <v>6.71</v>
      </c>
      <c r="AJ218">
        <v>1</v>
      </c>
      <c r="AK218">
        <v>1</v>
      </c>
      <c r="AL218">
        <v>1</v>
      </c>
      <c r="AN218">
        <v>0</v>
      </c>
      <c r="AO218">
        <v>1</v>
      </c>
      <c r="AP218">
        <v>0</v>
      </c>
      <c r="AQ218">
        <v>0</v>
      </c>
      <c r="AR218">
        <v>0</v>
      </c>
      <c r="AS218" t="s">
        <v>6</v>
      </c>
      <c r="AT218">
        <v>1.7999999999999999E-2</v>
      </c>
      <c r="AU218" t="s">
        <v>6</v>
      </c>
      <c r="AV218">
        <v>0</v>
      </c>
      <c r="AW218">
        <v>2</v>
      </c>
      <c r="AX218">
        <v>16803004</v>
      </c>
      <c r="AY218">
        <v>1</v>
      </c>
      <c r="AZ218">
        <v>0</v>
      </c>
      <c r="BA218">
        <v>217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Y218*Source!I170</f>
        <v>1.7999999999999999E-2</v>
      </c>
      <c r="CY218">
        <f t="shared" si="23"/>
        <v>191.91</v>
      </c>
      <c r="CZ218">
        <f t="shared" si="24"/>
        <v>28.6</v>
      </c>
      <c r="DA218">
        <f t="shared" si="25"/>
        <v>6.71</v>
      </c>
      <c r="DB218">
        <f t="shared" si="21"/>
        <v>0.51</v>
      </c>
      <c r="DC218">
        <f t="shared" si="22"/>
        <v>0</v>
      </c>
    </row>
    <row r="219" spans="1:107" x14ac:dyDescent="0.2">
      <c r="A219">
        <f>ROW(Source!A170)</f>
        <v>170</v>
      </c>
      <c r="B219">
        <v>16802145</v>
      </c>
      <c r="C219">
        <v>16802977</v>
      </c>
      <c r="D219">
        <v>15203987</v>
      </c>
      <c r="E219">
        <v>1</v>
      </c>
      <c r="F219">
        <v>1</v>
      </c>
      <c r="G219">
        <v>1</v>
      </c>
      <c r="H219">
        <v>3</v>
      </c>
      <c r="I219" t="s">
        <v>856</v>
      </c>
      <c r="J219" t="s">
        <v>857</v>
      </c>
      <c r="K219" t="s">
        <v>858</v>
      </c>
      <c r="L219">
        <v>1346</v>
      </c>
      <c r="N219">
        <v>1009</v>
      </c>
      <c r="O219" t="s">
        <v>103</v>
      </c>
      <c r="P219" t="s">
        <v>103</v>
      </c>
      <c r="Q219">
        <v>1</v>
      </c>
      <c r="W219">
        <v>0</v>
      </c>
      <c r="X219">
        <v>-1274984028</v>
      </c>
      <c r="Y219">
        <v>8.9999999999999993E-3</v>
      </c>
      <c r="AA219">
        <v>239.08</v>
      </c>
      <c r="AB219">
        <v>0</v>
      </c>
      <c r="AC219">
        <v>0</v>
      </c>
      <c r="AD219">
        <v>0</v>
      </c>
      <c r="AE219">
        <v>35.630000000000003</v>
      </c>
      <c r="AF219">
        <v>0</v>
      </c>
      <c r="AG219">
        <v>0</v>
      </c>
      <c r="AH219">
        <v>0</v>
      </c>
      <c r="AI219">
        <v>6.71</v>
      </c>
      <c r="AJ219">
        <v>1</v>
      </c>
      <c r="AK219">
        <v>1</v>
      </c>
      <c r="AL219">
        <v>1</v>
      </c>
      <c r="AN219">
        <v>0</v>
      </c>
      <c r="AO219">
        <v>1</v>
      </c>
      <c r="AP219">
        <v>0</v>
      </c>
      <c r="AQ219">
        <v>0</v>
      </c>
      <c r="AR219">
        <v>0</v>
      </c>
      <c r="AS219" t="s">
        <v>6</v>
      </c>
      <c r="AT219">
        <v>8.9999999999999993E-3</v>
      </c>
      <c r="AU219" t="s">
        <v>6</v>
      </c>
      <c r="AV219">
        <v>0</v>
      </c>
      <c r="AW219">
        <v>2</v>
      </c>
      <c r="AX219">
        <v>16803005</v>
      </c>
      <c r="AY219">
        <v>1</v>
      </c>
      <c r="AZ219">
        <v>0</v>
      </c>
      <c r="BA219">
        <v>218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Y219*Source!I170</f>
        <v>8.9999999999999993E-3</v>
      </c>
      <c r="CY219">
        <f t="shared" si="23"/>
        <v>239.08</v>
      </c>
      <c r="CZ219">
        <f t="shared" si="24"/>
        <v>35.630000000000003</v>
      </c>
      <c r="DA219">
        <f t="shared" si="25"/>
        <v>6.71</v>
      </c>
      <c r="DB219">
        <f t="shared" si="21"/>
        <v>0.32</v>
      </c>
      <c r="DC219">
        <f t="shared" si="22"/>
        <v>0</v>
      </c>
    </row>
    <row r="220" spans="1:107" x14ac:dyDescent="0.2">
      <c r="A220">
        <f>ROW(Source!A170)</f>
        <v>170</v>
      </c>
      <c r="B220">
        <v>16802145</v>
      </c>
      <c r="C220">
        <v>16802977</v>
      </c>
      <c r="D220">
        <v>15217463</v>
      </c>
      <c r="E220">
        <v>1</v>
      </c>
      <c r="F220">
        <v>1</v>
      </c>
      <c r="G220">
        <v>1</v>
      </c>
      <c r="H220">
        <v>3</v>
      </c>
      <c r="I220" t="s">
        <v>859</v>
      </c>
      <c r="J220" t="s">
        <v>860</v>
      </c>
      <c r="K220" t="s">
        <v>861</v>
      </c>
      <c r="L220">
        <v>1358</v>
      </c>
      <c r="N220">
        <v>1010</v>
      </c>
      <c r="O220" t="s">
        <v>435</v>
      </c>
      <c r="P220" t="s">
        <v>435</v>
      </c>
      <c r="Q220">
        <v>10</v>
      </c>
      <c r="W220">
        <v>0</v>
      </c>
      <c r="X220">
        <v>1386890308</v>
      </c>
      <c r="Y220">
        <v>0.1</v>
      </c>
      <c r="AA220">
        <v>261.69</v>
      </c>
      <c r="AB220">
        <v>0</v>
      </c>
      <c r="AC220">
        <v>0</v>
      </c>
      <c r="AD220">
        <v>0</v>
      </c>
      <c r="AE220">
        <v>39</v>
      </c>
      <c r="AF220">
        <v>0</v>
      </c>
      <c r="AG220">
        <v>0</v>
      </c>
      <c r="AH220">
        <v>0</v>
      </c>
      <c r="AI220">
        <v>6.71</v>
      </c>
      <c r="AJ220">
        <v>1</v>
      </c>
      <c r="AK220">
        <v>1</v>
      </c>
      <c r="AL220">
        <v>1</v>
      </c>
      <c r="AN220">
        <v>0</v>
      </c>
      <c r="AO220">
        <v>1</v>
      </c>
      <c r="AP220">
        <v>0</v>
      </c>
      <c r="AQ220">
        <v>0</v>
      </c>
      <c r="AR220">
        <v>0</v>
      </c>
      <c r="AS220" t="s">
        <v>6</v>
      </c>
      <c r="AT220">
        <v>0.1</v>
      </c>
      <c r="AU220" t="s">
        <v>6</v>
      </c>
      <c r="AV220">
        <v>0</v>
      </c>
      <c r="AW220">
        <v>2</v>
      </c>
      <c r="AX220">
        <v>16803006</v>
      </c>
      <c r="AY220">
        <v>1</v>
      </c>
      <c r="AZ220">
        <v>0</v>
      </c>
      <c r="BA220">
        <v>219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Y220*Source!I170</f>
        <v>0.1</v>
      </c>
      <c r="CY220">
        <f t="shared" si="23"/>
        <v>261.69</v>
      </c>
      <c r="CZ220">
        <f t="shared" si="24"/>
        <v>39</v>
      </c>
      <c r="DA220">
        <f t="shared" si="25"/>
        <v>6.71</v>
      </c>
      <c r="DB220">
        <f t="shared" si="21"/>
        <v>3.9</v>
      </c>
      <c r="DC220">
        <f t="shared" si="22"/>
        <v>0</v>
      </c>
    </row>
    <row r="221" spans="1:107" x14ac:dyDescent="0.2">
      <c r="A221">
        <f>ROW(Source!A170)</f>
        <v>170</v>
      </c>
      <c r="B221">
        <v>16802145</v>
      </c>
      <c r="C221">
        <v>16802977</v>
      </c>
      <c r="D221">
        <v>15164559</v>
      </c>
      <c r="E221">
        <v>17</v>
      </c>
      <c r="F221">
        <v>1</v>
      </c>
      <c r="G221">
        <v>1</v>
      </c>
      <c r="H221">
        <v>3</v>
      </c>
      <c r="I221" t="s">
        <v>821</v>
      </c>
      <c r="J221" t="s">
        <v>6</v>
      </c>
      <c r="K221" t="s">
        <v>822</v>
      </c>
      <c r="L221">
        <v>1374</v>
      </c>
      <c r="N221">
        <v>1013</v>
      </c>
      <c r="O221" t="s">
        <v>823</v>
      </c>
      <c r="P221" t="s">
        <v>823</v>
      </c>
      <c r="Q221">
        <v>1</v>
      </c>
      <c r="W221">
        <v>0</v>
      </c>
      <c r="X221">
        <v>-1731369543</v>
      </c>
      <c r="Y221">
        <v>0.43</v>
      </c>
      <c r="AA221">
        <v>1</v>
      </c>
      <c r="AB221">
        <v>0</v>
      </c>
      <c r="AC221">
        <v>0</v>
      </c>
      <c r="AD221">
        <v>0</v>
      </c>
      <c r="AE221">
        <v>1</v>
      </c>
      <c r="AF221">
        <v>0</v>
      </c>
      <c r="AG221">
        <v>0</v>
      </c>
      <c r="AH221">
        <v>0</v>
      </c>
      <c r="AI221">
        <v>1</v>
      </c>
      <c r="AJ221">
        <v>1</v>
      </c>
      <c r="AK221">
        <v>1</v>
      </c>
      <c r="AL221">
        <v>1</v>
      </c>
      <c r="AN221">
        <v>0</v>
      </c>
      <c r="AO221">
        <v>1</v>
      </c>
      <c r="AP221">
        <v>0</v>
      </c>
      <c r="AQ221">
        <v>0</v>
      </c>
      <c r="AR221">
        <v>0</v>
      </c>
      <c r="AS221" t="s">
        <v>6</v>
      </c>
      <c r="AT221">
        <v>0.43</v>
      </c>
      <c r="AU221" t="s">
        <v>6</v>
      </c>
      <c r="AV221">
        <v>0</v>
      </c>
      <c r="AW221">
        <v>2</v>
      </c>
      <c r="AX221">
        <v>16803007</v>
      </c>
      <c r="AY221">
        <v>1</v>
      </c>
      <c r="AZ221">
        <v>0</v>
      </c>
      <c r="BA221">
        <v>220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Y221*Source!I170</f>
        <v>0.43</v>
      </c>
      <c r="CY221">
        <f t="shared" si="23"/>
        <v>1</v>
      </c>
      <c r="CZ221">
        <f t="shared" si="24"/>
        <v>1</v>
      </c>
      <c r="DA221">
        <f t="shared" si="25"/>
        <v>1</v>
      </c>
      <c r="DB221">
        <f t="shared" si="21"/>
        <v>0.43</v>
      </c>
      <c r="DC221">
        <f t="shared" si="22"/>
        <v>0</v>
      </c>
    </row>
    <row r="222" spans="1:107" x14ac:dyDescent="0.2">
      <c r="A222">
        <f>ROW(Source!A172)</f>
        <v>172</v>
      </c>
      <c r="B222">
        <v>16802145</v>
      </c>
      <c r="C222">
        <v>16803009</v>
      </c>
      <c r="D222">
        <v>15430517</v>
      </c>
      <c r="E222">
        <v>1</v>
      </c>
      <c r="F222">
        <v>1</v>
      </c>
      <c r="G222">
        <v>1</v>
      </c>
      <c r="H222">
        <v>1</v>
      </c>
      <c r="I222" t="s">
        <v>658</v>
      </c>
      <c r="J222" t="s">
        <v>6</v>
      </c>
      <c r="K222" t="s">
        <v>659</v>
      </c>
      <c r="L222">
        <v>1191</v>
      </c>
      <c r="N222">
        <v>1013</v>
      </c>
      <c r="O222" t="s">
        <v>660</v>
      </c>
      <c r="P222" t="s">
        <v>660</v>
      </c>
      <c r="Q222">
        <v>1</v>
      </c>
      <c r="W222">
        <v>0</v>
      </c>
      <c r="X222">
        <v>735429535</v>
      </c>
      <c r="Y222">
        <v>85.5</v>
      </c>
      <c r="AA222">
        <v>0</v>
      </c>
      <c r="AB222">
        <v>0</v>
      </c>
      <c r="AC222">
        <v>0</v>
      </c>
      <c r="AD222">
        <v>52.34</v>
      </c>
      <c r="AE222">
        <v>0</v>
      </c>
      <c r="AF222">
        <v>0</v>
      </c>
      <c r="AG222">
        <v>0</v>
      </c>
      <c r="AH222">
        <v>7.8</v>
      </c>
      <c r="AI222">
        <v>1</v>
      </c>
      <c r="AJ222">
        <v>1</v>
      </c>
      <c r="AK222">
        <v>1</v>
      </c>
      <c r="AL222">
        <v>6.71</v>
      </c>
      <c r="AN222">
        <v>0</v>
      </c>
      <c r="AO222">
        <v>1</v>
      </c>
      <c r="AP222">
        <v>0</v>
      </c>
      <c r="AQ222">
        <v>0</v>
      </c>
      <c r="AR222">
        <v>0</v>
      </c>
      <c r="AS222" t="s">
        <v>6</v>
      </c>
      <c r="AT222">
        <v>85.5</v>
      </c>
      <c r="AU222" t="s">
        <v>6</v>
      </c>
      <c r="AV222">
        <v>1</v>
      </c>
      <c r="AW222">
        <v>2</v>
      </c>
      <c r="AX222">
        <v>16803011</v>
      </c>
      <c r="AY222">
        <v>1</v>
      </c>
      <c r="AZ222">
        <v>0</v>
      </c>
      <c r="BA222">
        <v>221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Y222*Source!I172</f>
        <v>8.5500000000000007</v>
      </c>
      <c r="CY222">
        <f>AD222</f>
        <v>52.34</v>
      </c>
      <c r="CZ222">
        <f>AH222</f>
        <v>7.8</v>
      </c>
      <c r="DA222">
        <f>AL222</f>
        <v>6.71</v>
      </c>
      <c r="DB222">
        <f t="shared" si="21"/>
        <v>666.9</v>
      </c>
      <c r="DC222">
        <f t="shared" si="22"/>
        <v>0</v>
      </c>
    </row>
    <row r="223" spans="1:107" x14ac:dyDescent="0.2">
      <c r="A223">
        <f>ROW(Source!A173)</f>
        <v>173</v>
      </c>
      <c r="B223">
        <v>16802145</v>
      </c>
      <c r="C223">
        <v>16803014</v>
      </c>
      <c r="D223">
        <v>15430397</v>
      </c>
      <c r="E223">
        <v>1</v>
      </c>
      <c r="F223">
        <v>1</v>
      </c>
      <c r="G223">
        <v>1</v>
      </c>
      <c r="H223">
        <v>1</v>
      </c>
      <c r="I223" t="s">
        <v>718</v>
      </c>
      <c r="J223" t="s">
        <v>6</v>
      </c>
      <c r="K223" t="s">
        <v>719</v>
      </c>
      <c r="L223">
        <v>1191</v>
      </c>
      <c r="N223">
        <v>1013</v>
      </c>
      <c r="O223" t="s">
        <v>660</v>
      </c>
      <c r="P223" t="s">
        <v>660</v>
      </c>
      <c r="Q223">
        <v>1</v>
      </c>
      <c r="W223">
        <v>0</v>
      </c>
      <c r="X223">
        <v>-1081351934</v>
      </c>
      <c r="Y223">
        <v>15.28</v>
      </c>
      <c r="AA223">
        <v>0</v>
      </c>
      <c r="AB223">
        <v>0</v>
      </c>
      <c r="AC223">
        <v>0</v>
      </c>
      <c r="AD223">
        <v>63.07</v>
      </c>
      <c r="AE223">
        <v>0</v>
      </c>
      <c r="AF223">
        <v>0</v>
      </c>
      <c r="AG223">
        <v>0</v>
      </c>
      <c r="AH223">
        <v>9.4</v>
      </c>
      <c r="AI223">
        <v>1</v>
      </c>
      <c r="AJ223">
        <v>1</v>
      </c>
      <c r="AK223">
        <v>1</v>
      </c>
      <c r="AL223">
        <v>6.71</v>
      </c>
      <c r="AN223">
        <v>0</v>
      </c>
      <c r="AO223">
        <v>1</v>
      </c>
      <c r="AP223">
        <v>0</v>
      </c>
      <c r="AQ223">
        <v>0</v>
      </c>
      <c r="AR223">
        <v>0</v>
      </c>
      <c r="AS223" t="s">
        <v>6</v>
      </c>
      <c r="AT223">
        <v>15.28</v>
      </c>
      <c r="AU223" t="s">
        <v>6</v>
      </c>
      <c r="AV223">
        <v>1</v>
      </c>
      <c r="AW223">
        <v>2</v>
      </c>
      <c r="AX223">
        <v>16803026</v>
      </c>
      <c r="AY223">
        <v>1</v>
      </c>
      <c r="AZ223">
        <v>0</v>
      </c>
      <c r="BA223">
        <v>223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Y223*Source!I173</f>
        <v>1.0696000000000001</v>
      </c>
      <c r="CY223">
        <f>AD223</f>
        <v>63.07</v>
      </c>
      <c r="CZ223">
        <f>AH223</f>
        <v>9.4</v>
      </c>
      <c r="DA223">
        <f>AL223</f>
        <v>6.71</v>
      </c>
      <c r="DB223">
        <f t="shared" si="21"/>
        <v>143.63</v>
      </c>
      <c r="DC223">
        <f t="shared" si="22"/>
        <v>0</v>
      </c>
    </row>
    <row r="224" spans="1:107" x14ac:dyDescent="0.2">
      <c r="A224">
        <f>ROW(Source!A173)</f>
        <v>173</v>
      </c>
      <c r="B224">
        <v>16802145</v>
      </c>
      <c r="C224">
        <v>16803014</v>
      </c>
      <c r="D224">
        <v>15430395</v>
      </c>
      <c r="E224">
        <v>1</v>
      </c>
      <c r="F224">
        <v>1</v>
      </c>
      <c r="G224">
        <v>1</v>
      </c>
      <c r="H224">
        <v>1</v>
      </c>
      <c r="I224" t="s">
        <v>661</v>
      </c>
      <c r="J224" t="s">
        <v>6</v>
      </c>
      <c r="K224" t="s">
        <v>662</v>
      </c>
      <c r="L224">
        <v>1191</v>
      </c>
      <c r="N224">
        <v>1013</v>
      </c>
      <c r="O224" t="s">
        <v>660</v>
      </c>
      <c r="P224" t="s">
        <v>660</v>
      </c>
      <c r="Q224">
        <v>1</v>
      </c>
      <c r="W224">
        <v>0</v>
      </c>
      <c r="X224">
        <v>-1417349443</v>
      </c>
      <c r="Y224">
        <v>0.22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1</v>
      </c>
      <c r="AJ224">
        <v>1</v>
      </c>
      <c r="AK224">
        <v>6.71</v>
      </c>
      <c r="AL224">
        <v>1</v>
      </c>
      <c r="AN224">
        <v>0</v>
      </c>
      <c r="AO224">
        <v>1</v>
      </c>
      <c r="AP224">
        <v>0</v>
      </c>
      <c r="AQ224">
        <v>0</v>
      </c>
      <c r="AR224">
        <v>0</v>
      </c>
      <c r="AS224" t="s">
        <v>6</v>
      </c>
      <c r="AT224">
        <v>0.22</v>
      </c>
      <c r="AU224" t="s">
        <v>6</v>
      </c>
      <c r="AV224">
        <v>2</v>
      </c>
      <c r="AW224">
        <v>2</v>
      </c>
      <c r="AX224">
        <v>16803027</v>
      </c>
      <c r="AY224">
        <v>1</v>
      </c>
      <c r="AZ224">
        <v>0</v>
      </c>
      <c r="BA224">
        <v>224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Y224*Source!I173</f>
        <v>1.5400000000000002E-2</v>
      </c>
      <c r="CY224">
        <f>AD224</f>
        <v>0</v>
      </c>
      <c r="CZ224">
        <f>AH224</f>
        <v>0</v>
      </c>
      <c r="DA224">
        <f>AL224</f>
        <v>1</v>
      </c>
      <c r="DB224">
        <f t="shared" si="21"/>
        <v>0</v>
      </c>
      <c r="DC224">
        <f t="shared" si="22"/>
        <v>0</v>
      </c>
    </row>
    <row r="225" spans="1:107" x14ac:dyDescent="0.2">
      <c r="A225">
        <f>ROW(Source!A173)</f>
        <v>173</v>
      </c>
      <c r="B225">
        <v>16802145</v>
      </c>
      <c r="C225">
        <v>16803014</v>
      </c>
      <c r="D225">
        <v>15247680</v>
      </c>
      <c r="E225">
        <v>1</v>
      </c>
      <c r="F225">
        <v>1</v>
      </c>
      <c r="G225">
        <v>1</v>
      </c>
      <c r="H225">
        <v>2</v>
      </c>
      <c r="I225" t="s">
        <v>786</v>
      </c>
      <c r="J225" t="s">
        <v>787</v>
      </c>
      <c r="K225" t="s">
        <v>788</v>
      </c>
      <c r="L225">
        <v>1368</v>
      </c>
      <c r="N225">
        <v>1011</v>
      </c>
      <c r="O225" t="s">
        <v>666</v>
      </c>
      <c r="P225" t="s">
        <v>666</v>
      </c>
      <c r="Q225">
        <v>1</v>
      </c>
      <c r="W225">
        <v>0</v>
      </c>
      <c r="X225">
        <v>-1718674368</v>
      </c>
      <c r="Y225">
        <v>0.11</v>
      </c>
      <c r="AA225">
        <v>0</v>
      </c>
      <c r="AB225">
        <v>751.45</v>
      </c>
      <c r="AC225">
        <v>13.5</v>
      </c>
      <c r="AD225">
        <v>0</v>
      </c>
      <c r="AE225">
        <v>0</v>
      </c>
      <c r="AF225">
        <v>111.99</v>
      </c>
      <c r="AG225">
        <v>13.5</v>
      </c>
      <c r="AH225">
        <v>0</v>
      </c>
      <c r="AI225">
        <v>1</v>
      </c>
      <c r="AJ225">
        <v>6.71</v>
      </c>
      <c r="AK225">
        <v>1</v>
      </c>
      <c r="AL225">
        <v>1</v>
      </c>
      <c r="AN225">
        <v>0</v>
      </c>
      <c r="AO225">
        <v>1</v>
      </c>
      <c r="AP225">
        <v>0</v>
      </c>
      <c r="AQ225">
        <v>0</v>
      </c>
      <c r="AR225">
        <v>0</v>
      </c>
      <c r="AS225" t="s">
        <v>6</v>
      </c>
      <c r="AT225">
        <v>0.11</v>
      </c>
      <c r="AU225" t="s">
        <v>6</v>
      </c>
      <c r="AV225">
        <v>0</v>
      </c>
      <c r="AW225">
        <v>2</v>
      </c>
      <c r="AX225">
        <v>16803028</v>
      </c>
      <c r="AY225">
        <v>1</v>
      </c>
      <c r="AZ225">
        <v>0</v>
      </c>
      <c r="BA225">
        <v>225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Y225*Source!I173</f>
        <v>7.7000000000000011E-3</v>
      </c>
      <c r="CY225">
        <f>AB225</f>
        <v>751.45</v>
      </c>
      <c r="CZ225">
        <f>AF225</f>
        <v>111.99</v>
      </c>
      <c r="DA225">
        <f>AJ225</f>
        <v>6.71</v>
      </c>
      <c r="DB225">
        <f t="shared" si="21"/>
        <v>12.32</v>
      </c>
      <c r="DC225">
        <f t="shared" si="22"/>
        <v>1.49</v>
      </c>
    </row>
    <row r="226" spans="1:107" x14ac:dyDescent="0.2">
      <c r="A226">
        <f>ROW(Source!A173)</f>
        <v>173</v>
      </c>
      <c r="B226">
        <v>16802145</v>
      </c>
      <c r="C226">
        <v>16803014</v>
      </c>
      <c r="D226">
        <v>15249073</v>
      </c>
      <c r="E226">
        <v>1</v>
      </c>
      <c r="F226">
        <v>1</v>
      </c>
      <c r="G226">
        <v>1</v>
      </c>
      <c r="H226">
        <v>2</v>
      </c>
      <c r="I226" t="s">
        <v>684</v>
      </c>
      <c r="J226" t="s">
        <v>685</v>
      </c>
      <c r="K226" t="s">
        <v>686</v>
      </c>
      <c r="L226">
        <v>1368</v>
      </c>
      <c r="N226">
        <v>1011</v>
      </c>
      <c r="O226" t="s">
        <v>666</v>
      </c>
      <c r="P226" t="s">
        <v>666</v>
      </c>
      <c r="Q226">
        <v>1</v>
      </c>
      <c r="W226">
        <v>0</v>
      </c>
      <c r="X226">
        <v>1372534845</v>
      </c>
      <c r="Y226">
        <v>0.11</v>
      </c>
      <c r="AA226">
        <v>0</v>
      </c>
      <c r="AB226">
        <v>440.91</v>
      </c>
      <c r="AC226">
        <v>11.6</v>
      </c>
      <c r="AD226">
        <v>0</v>
      </c>
      <c r="AE226">
        <v>0</v>
      </c>
      <c r="AF226">
        <v>65.709999999999994</v>
      </c>
      <c r="AG226">
        <v>11.6</v>
      </c>
      <c r="AH226">
        <v>0</v>
      </c>
      <c r="AI226">
        <v>1</v>
      </c>
      <c r="AJ226">
        <v>6.71</v>
      </c>
      <c r="AK226">
        <v>1</v>
      </c>
      <c r="AL226">
        <v>1</v>
      </c>
      <c r="AN226">
        <v>0</v>
      </c>
      <c r="AO226">
        <v>1</v>
      </c>
      <c r="AP226">
        <v>0</v>
      </c>
      <c r="AQ226">
        <v>0</v>
      </c>
      <c r="AR226">
        <v>0</v>
      </c>
      <c r="AS226" t="s">
        <v>6</v>
      </c>
      <c r="AT226">
        <v>0.11</v>
      </c>
      <c r="AU226" t="s">
        <v>6</v>
      </c>
      <c r="AV226">
        <v>0</v>
      </c>
      <c r="AW226">
        <v>2</v>
      </c>
      <c r="AX226">
        <v>16803029</v>
      </c>
      <c r="AY226">
        <v>1</v>
      </c>
      <c r="AZ226">
        <v>0</v>
      </c>
      <c r="BA226">
        <v>226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Y226*Source!I173</f>
        <v>7.7000000000000011E-3</v>
      </c>
      <c r="CY226">
        <f>AB226</f>
        <v>440.91</v>
      </c>
      <c r="CZ226">
        <f>AF226</f>
        <v>65.709999999999994</v>
      </c>
      <c r="DA226">
        <f>AJ226</f>
        <v>6.71</v>
      </c>
      <c r="DB226">
        <f t="shared" si="21"/>
        <v>7.23</v>
      </c>
      <c r="DC226">
        <f t="shared" si="22"/>
        <v>1.28</v>
      </c>
    </row>
    <row r="227" spans="1:107" x14ac:dyDescent="0.2">
      <c r="A227">
        <f>ROW(Source!A173)</f>
        <v>173</v>
      </c>
      <c r="B227">
        <v>16802145</v>
      </c>
      <c r="C227">
        <v>16803014</v>
      </c>
      <c r="D227">
        <v>15172838</v>
      </c>
      <c r="E227">
        <v>1</v>
      </c>
      <c r="F227">
        <v>1</v>
      </c>
      <c r="G227">
        <v>1</v>
      </c>
      <c r="H227">
        <v>3</v>
      </c>
      <c r="I227" t="s">
        <v>862</v>
      </c>
      <c r="J227" t="s">
        <v>863</v>
      </c>
      <c r="K227" t="s">
        <v>864</v>
      </c>
      <c r="L227">
        <v>1339</v>
      </c>
      <c r="N227">
        <v>1007</v>
      </c>
      <c r="O227" t="s">
        <v>61</v>
      </c>
      <c r="P227" t="s">
        <v>61</v>
      </c>
      <c r="Q227">
        <v>1</v>
      </c>
      <c r="W227">
        <v>0</v>
      </c>
      <c r="X227">
        <v>536744769</v>
      </c>
      <c r="Y227">
        <v>2.1000000000000001E-2</v>
      </c>
      <c r="AA227">
        <v>4026</v>
      </c>
      <c r="AB227">
        <v>0</v>
      </c>
      <c r="AC227">
        <v>0</v>
      </c>
      <c r="AD227">
        <v>0</v>
      </c>
      <c r="AE227">
        <v>600</v>
      </c>
      <c r="AF227">
        <v>0</v>
      </c>
      <c r="AG227">
        <v>0</v>
      </c>
      <c r="AH227">
        <v>0</v>
      </c>
      <c r="AI227">
        <v>6.71</v>
      </c>
      <c r="AJ227">
        <v>1</v>
      </c>
      <c r="AK227">
        <v>1</v>
      </c>
      <c r="AL227">
        <v>1</v>
      </c>
      <c r="AN227">
        <v>0</v>
      </c>
      <c r="AO227">
        <v>1</v>
      </c>
      <c r="AP227">
        <v>0</v>
      </c>
      <c r="AQ227">
        <v>0</v>
      </c>
      <c r="AR227">
        <v>0</v>
      </c>
      <c r="AS227" t="s">
        <v>6</v>
      </c>
      <c r="AT227">
        <v>2.1000000000000001E-2</v>
      </c>
      <c r="AU227" t="s">
        <v>6</v>
      </c>
      <c r="AV227">
        <v>0</v>
      </c>
      <c r="AW227">
        <v>2</v>
      </c>
      <c r="AX227">
        <v>16803030</v>
      </c>
      <c r="AY227">
        <v>1</v>
      </c>
      <c r="AZ227">
        <v>0</v>
      </c>
      <c r="BA227">
        <v>227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Y227*Source!I173</f>
        <v>1.4700000000000002E-3</v>
      </c>
      <c r="CY227">
        <f t="shared" ref="CY227:CY233" si="26">AA227</f>
        <v>4026</v>
      </c>
      <c r="CZ227">
        <f t="shared" ref="CZ227:CZ233" si="27">AE227</f>
        <v>600</v>
      </c>
      <c r="DA227">
        <f t="shared" ref="DA227:DA233" si="28">AI227</f>
        <v>6.71</v>
      </c>
      <c r="DB227">
        <f t="shared" si="21"/>
        <v>12.6</v>
      </c>
      <c r="DC227">
        <f t="shared" si="22"/>
        <v>0</v>
      </c>
    </row>
    <row r="228" spans="1:107" x14ac:dyDescent="0.2">
      <c r="A228">
        <f>ROW(Source!A173)</f>
        <v>173</v>
      </c>
      <c r="B228">
        <v>16802145</v>
      </c>
      <c r="C228">
        <v>16803014</v>
      </c>
      <c r="D228">
        <v>15202442</v>
      </c>
      <c r="E228">
        <v>1</v>
      </c>
      <c r="F228">
        <v>1</v>
      </c>
      <c r="G228">
        <v>1</v>
      </c>
      <c r="H228">
        <v>3</v>
      </c>
      <c r="I228" t="s">
        <v>865</v>
      </c>
      <c r="J228" t="s">
        <v>866</v>
      </c>
      <c r="K228" t="s">
        <v>867</v>
      </c>
      <c r="L228">
        <v>1346</v>
      </c>
      <c r="N228">
        <v>1009</v>
      </c>
      <c r="O228" t="s">
        <v>103</v>
      </c>
      <c r="P228" t="s">
        <v>103</v>
      </c>
      <c r="Q228">
        <v>1</v>
      </c>
      <c r="W228">
        <v>0</v>
      </c>
      <c r="X228">
        <v>505519491</v>
      </c>
      <c r="Y228">
        <v>0.4</v>
      </c>
      <c r="AA228">
        <v>173.12</v>
      </c>
      <c r="AB228">
        <v>0</v>
      </c>
      <c r="AC228">
        <v>0</v>
      </c>
      <c r="AD228">
        <v>0</v>
      </c>
      <c r="AE228">
        <v>25.8</v>
      </c>
      <c r="AF228">
        <v>0</v>
      </c>
      <c r="AG228">
        <v>0</v>
      </c>
      <c r="AH228">
        <v>0</v>
      </c>
      <c r="AI228">
        <v>6.71</v>
      </c>
      <c r="AJ228">
        <v>1</v>
      </c>
      <c r="AK228">
        <v>1</v>
      </c>
      <c r="AL228">
        <v>1</v>
      </c>
      <c r="AN228">
        <v>0</v>
      </c>
      <c r="AO228">
        <v>1</v>
      </c>
      <c r="AP228">
        <v>0</v>
      </c>
      <c r="AQ228">
        <v>0</v>
      </c>
      <c r="AR228">
        <v>0</v>
      </c>
      <c r="AS228" t="s">
        <v>6</v>
      </c>
      <c r="AT228">
        <v>0.4</v>
      </c>
      <c r="AU228" t="s">
        <v>6</v>
      </c>
      <c r="AV228">
        <v>0</v>
      </c>
      <c r="AW228">
        <v>2</v>
      </c>
      <c r="AX228">
        <v>16803031</v>
      </c>
      <c r="AY228">
        <v>1</v>
      </c>
      <c r="AZ228">
        <v>0</v>
      </c>
      <c r="BA228">
        <v>228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Y228*Source!I173</f>
        <v>2.8000000000000004E-2</v>
      </c>
      <c r="CY228">
        <f t="shared" si="26"/>
        <v>173.12</v>
      </c>
      <c r="CZ228">
        <f t="shared" si="27"/>
        <v>25.8</v>
      </c>
      <c r="DA228">
        <f t="shared" si="28"/>
        <v>6.71</v>
      </c>
      <c r="DB228">
        <f t="shared" si="21"/>
        <v>10.32</v>
      </c>
      <c r="DC228">
        <f t="shared" si="22"/>
        <v>0</v>
      </c>
    </row>
    <row r="229" spans="1:107" x14ac:dyDescent="0.2">
      <c r="A229">
        <f>ROW(Source!A173)</f>
        <v>173</v>
      </c>
      <c r="B229">
        <v>16802145</v>
      </c>
      <c r="C229">
        <v>16803014</v>
      </c>
      <c r="D229">
        <v>15217585</v>
      </c>
      <c r="E229">
        <v>1</v>
      </c>
      <c r="F229">
        <v>1</v>
      </c>
      <c r="G229">
        <v>1</v>
      </c>
      <c r="H229">
        <v>3</v>
      </c>
      <c r="I229" t="s">
        <v>868</v>
      </c>
      <c r="J229" t="s">
        <v>869</v>
      </c>
      <c r="K229" t="s">
        <v>870</v>
      </c>
      <c r="L229">
        <v>1356</v>
      </c>
      <c r="N229">
        <v>1010</v>
      </c>
      <c r="O229" t="s">
        <v>709</v>
      </c>
      <c r="P229" t="s">
        <v>709</v>
      </c>
      <c r="Q229">
        <v>1000</v>
      </c>
      <c r="W229">
        <v>0</v>
      </c>
      <c r="X229">
        <v>40709342</v>
      </c>
      <c r="Y229">
        <v>3.2000000000000001E-2</v>
      </c>
      <c r="AA229">
        <v>1811.7</v>
      </c>
      <c r="AB229">
        <v>0</v>
      </c>
      <c r="AC229">
        <v>0</v>
      </c>
      <c r="AD229">
        <v>0</v>
      </c>
      <c r="AE229">
        <v>270</v>
      </c>
      <c r="AF229">
        <v>0</v>
      </c>
      <c r="AG229">
        <v>0</v>
      </c>
      <c r="AH229">
        <v>0</v>
      </c>
      <c r="AI229">
        <v>6.71</v>
      </c>
      <c r="AJ229">
        <v>1</v>
      </c>
      <c r="AK229">
        <v>1</v>
      </c>
      <c r="AL229">
        <v>1</v>
      </c>
      <c r="AN229">
        <v>0</v>
      </c>
      <c r="AO229">
        <v>1</v>
      </c>
      <c r="AP229">
        <v>0</v>
      </c>
      <c r="AQ229">
        <v>0</v>
      </c>
      <c r="AR229">
        <v>0</v>
      </c>
      <c r="AS229" t="s">
        <v>6</v>
      </c>
      <c r="AT229">
        <v>3.2000000000000001E-2</v>
      </c>
      <c r="AU229" t="s">
        <v>6</v>
      </c>
      <c r="AV229">
        <v>0</v>
      </c>
      <c r="AW229">
        <v>2</v>
      </c>
      <c r="AX229">
        <v>16803032</v>
      </c>
      <c r="AY229">
        <v>1</v>
      </c>
      <c r="AZ229">
        <v>0</v>
      </c>
      <c r="BA229">
        <v>229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Y229*Source!I173</f>
        <v>2.2400000000000002E-3</v>
      </c>
      <c r="CY229">
        <f t="shared" si="26"/>
        <v>1811.7</v>
      </c>
      <c r="CZ229">
        <f t="shared" si="27"/>
        <v>270</v>
      </c>
      <c r="DA229">
        <f t="shared" si="28"/>
        <v>6.71</v>
      </c>
      <c r="DB229">
        <f t="shared" si="21"/>
        <v>8.64</v>
      </c>
      <c r="DC229">
        <f t="shared" si="22"/>
        <v>0</v>
      </c>
    </row>
    <row r="230" spans="1:107" x14ac:dyDescent="0.2">
      <c r="A230">
        <f>ROW(Source!A173)</f>
        <v>173</v>
      </c>
      <c r="B230">
        <v>16802145</v>
      </c>
      <c r="C230">
        <v>16803014</v>
      </c>
      <c r="D230">
        <v>15217593</v>
      </c>
      <c r="E230">
        <v>1</v>
      </c>
      <c r="F230">
        <v>1</v>
      </c>
      <c r="G230">
        <v>1</v>
      </c>
      <c r="H230">
        <v>3</v>
      </c>
      <c r="I230" t="s">
        <v>871</v>
      </c>
      <c r="J230" t="s">
        <v>872</v>
      </c>
      <c r="K230" t="s">
        <v>873</v>
      </c>
      <c r="L230">
        <v>1358</v>
      </c>
      <c r="N230">
        <v>1010</v>
      </c>
      <c r="O230" t="s">
        <v>435</v>
      </c>
      <c r="P230" t="s">
        <v>435</v>
      </c>
      <c r="Q230">
        <v>10</v>
      </c>
      <c r="W230">
        <v>0</v>
      </c>
      <c r="X230">
        <v>-1110089157</v>
      </c>
      <c r="Y230">
        <v>1</v>
      </c>
      <c r="AA230">
        <v>133.53</v>
      </c>
      <c r="AB230">
        <v>0</v>
      </c>
      <c r="AC230">
        <v>0</v>
      </c>
      <c r="AD230">
        <v>0</v>
      </c>
      <c r="AE230">
        <v>19.899999999999999</v>
      </c>
      <c r="AF230">
        <v>0</v>
      </c>
      <c r="AG230">
        <v>0</v>
      </c>
      <c r="AH230">
        <v>0</v>
      </c>
      <c r="AI230">
        <v>6.71</v>
      </c>
      <c r="AJ230">
        <v>1</v>
      </c>
      <c r="AK230">
        <v>1</v>
      </c>
      <c r="AL230">
        <v>1</v>
      </c>
      <c r="AN230">
        <v>0</v>
      </c>
      <c r="AO230">
        <v>1</v>
      </c>
      <c r="AP230">
        <v>0</v>
      </c>
      <c r="AQ230">
        <v>0</v>
      </c>
      <c r="AR230">
        <v>0</v>
      </c>
      <c r="AS230" t="s">
        <v>6</v>
      </c>
      <c r="AT230">
        <v>1</v>
      </c>
      <c r="AU230" t="s">
        <v>6</v>
      </c>
      <c r="AV230">
        <v>0</v>
      </c>
      <c r="AW230">
        <v>2</v>
      </c>
      <c r="AX230">
        <v>16803033</v>
      </c>
      <c r="AY230">
        <v>1</v>
      </c>
      <c r="AZ230">
        <v>0</v>
      </c>
      <c r="BA230">
        <v>230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Y230*Source!I173</f>
        <v>7.0000000000000007E-2</v>
      </c>
      <c r="CY230">
        <f t="shared" si="26"/>
        <v>133.53</v>
      </c>
      <c r="CZ230">
        <f t="shared" si="27"/>
        <v>19.899999999999999</v>
      </c>
      <c r="DA230">
        <f t="shared" si="28"/>
        <v>6.71</v>
      </c>
      <c r="DB230">
        <f t="shared" si="21"/>
        <v>19.899999999999999</v>
      </c>
      <c r="DC230">
        <f t="shared" si="22"/>
        <v>0</v>
      </c>
    </row>
    <row r="231" spans="1:107" x14ac:dyDescent="0.2">
      <c r="A231">
        <f>ROW(Source!A173)</f>
        <v>173</v>
      </c>
      <c r="B231">
        <v>16802145</v>
      </c>
      <c r="C231">
        <v>16803014</v>
      </c>
      <c r="D231">
        <v>15218939</v>
      </c>
      <c r="E231">
        <v>1</v>
      </c>
      <c r="F231">
        <v>1</v>
      </c>
      <c r="G231">
        <v>1</v>
      </c>
      <c r="H231">
        <v>3</v>
      </c>
      <c r="I231" t="s">
        <v>874</v>
      </c>
      <c r="J231" t="s">
        <v>875</v>
      </c>
      <c r="K231" t="s">
        <v>876</v>
      </c>
      <c r="L231">
        <v>1354</v>
      </c>
      <c r="N231">
        <v>1010</v>
      </c>
      <c r="O231" t="s">
        <v>42</v>
      </c>
      <c r="P231" t="s">
        <v>42</v>
      </c>
      <c r="Q231">
        <v>1</v>
      </c>
      <c r="W231">
        <v>0</v>
      </c>
      <c r="X231">
        <v>-1308137011</v>
      </c>
      <c r="Y231">
        <v>0.5</v>
      </c>
      <c r="AA231">
        <v>448.36</v>
      </c>
      <c r="AB231">
        <v>0</v>
      </c>
      <c r="AC231">
        <v>0</v>
      </c>
      <c r="AD231">
        <v>0</v>
      </c>
      <c r="AE231">
        <v>66.819999999999993</v>
      </c>
      <c r="AF231">
        <v>0</v>
      </c>
      <c r="AG231">
        <v>0</v>
      </c>
      <c r="AH231">
        <v>0</v>
      </c>
      <c r="AI231">
        <v>6.71</v>
      </c>
      <c r="AJ231">
        <v>1</v>
      </c>
      <c r="AK231">
        <v>1</v>
      </c>
      <c r="AL231">
        <v>1</v>
      </c>
      <c r="AN231">
        <v>0</v>
      </c>
      <c r="AO231">
        <v>1</v>
      </c>
      <c r="AP231">
        <v>0</v>
      </c>
      <c r="AQ231">
        <v>0</v>
      </c>
      <c r="AR231">
        <v>0</v>
      </c>
      <c r="AS231" t="s">
        <v>6</v>
      </c>
      <c r="AT231">
        <v>0.5</v>
      </c>
      <c r="AU231" t="s">
        <v>6</v>
      </c>
      <c r="AV231">
        <v>0</v>
      </c>
      <c r="AW231">
        <v>2</v>
      </c>
      <c r="AX231">
        <v>16803034</v>
      </c>
      <c r="AY231">
        <v>1</v>
      </c>
      <c r="AZ231">
        <v>0</v>
      </c>
      <c r="BA231">
        <v>231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Y231*Source!I173</f>
        <v>3.5000000000000003E-2</v>
      </c>
      <c r="CY231">
        <f t="shared" si="26"/>
        <v>448.36</v>
      </c>
      <c r="CZ231">
        <f t="shared" si="27"/>
        <v>66.819999999999993</v>
      </c>
      <c r="DA231">
        <f t="shared" si="28"/>
        <v>6.71</v>
      </c>
      <c r="DB231">
        <f t="shared" si="21"/>
        <v>33.409999999999997</v>
      </c>
      <c r="DC231">
        <f t="shared" si="22"/>
        <v>0</v>
      </c>
    </row>
    <row r="232" spans="1:107" x14ac:dyDescent="0.2">
      <c r="A232">
        <f>ROW(Source!A173)</f>
        <v>173</v>
      </c>
      <c r="B232">
        <v>16802145</v>
      </c>
      <c r="C232">
        <v>16803014</v>
      </c>
      <c r="D232">
        <v>15234267</v>
      </c>
      <c r="E232">
        <v>1</v>
      </c>
      <c r="F232">
        <v>1</v>
      </c>
      <c r="G232">
        <v>1</v>
      </c>
      <c r="H232">
        <v>3</v>
      </c>
      <c r="I232" t="s">
        <v>422</v>
      </c>
      <c r="J232" t="s">
        <v>425</v>
      </c>
      <c r="K232" t="s">
        <v>423</v>
      </c>
      <c r="L232">
        <v>1302</v>
      </c>
      <c r="N232">
        <v>1003</v>
      </c>
      <c r="O232" t="s">
        <v>424</v>
      </c>
      <c r="P232" t="s">
        <v>424</v>
      </c>
      <c r="Q232">
        <v>10</v>
      </c>
      <c r="W232">
        <v>0</v>
      </c>
      <c r="X232">
        <v>-835976676</v>
      </c>
      <c r="Y232">
        <v>10</v>
      </c>
      <c r="AA232">
        <v>667.11</v>
      </c>
      <c r="AB232">
        <v>0</v>
      </c>
      <c r="AC232">
        <v>0</v>
      </c>
      <c r="AD232">
        <v>0</v>
      </c>
      <c r="AE232">
        <v>99.42</v>
      </c>
      <c r="AF232">
        <v>0</v>
      </c>
      <c r="AG232">
        <v>0</v>
      </c>
      <c r="AH232">
        <v>0</v>
      </c>
      <c r="AI232">
        <v>6.71</v>
      </c>
      <c r="AJ232">
        <v>1</v>
      </c>
      <c r="AK232">
        <v>1</v>
      </c>
      <c r="AL232">
        <v>1</v>
      </c>
      <c r="AN232">
        <v>0</v>
      </c>
      <c r="AO232">
        <v>0</v>
      </c>
      <c r="AP232">
        <v>0</v>
      </c>
      <c r="AQ232">
        <v>0</v>
      </c>
      <c r="AR232">
        <v>0</v>
      </c>
      <c r="AS232" t="s">
        <v>6</v>
      </c>
      <c r="AT232">
        <v>10</v>
      </c>
      <c r="AU232" t="s">
        <v>6</v>
      </c>
      <c r="AV232">
        <v>0</v>
      </c>
      <c r="AW232">
        <v>1</v>
      </c>
      <c r="AX232">
        <v>-1</v>
      </c>
      <c r="AY232">
        <v>0</v>
      </c>
      <c r="AZ232">
        <v>0</v>
      </c>
      <c r="BA232" t="s">
        <v>6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Y232*Source!I173</f>
        <v>0.70000000000000007</v>
      </c>
      <c r="CY232">
        <f t="shared" si="26"/>
        <v>667.11</v>
      </c>
      <c r="CZ232">
        <f t="shared" si="27"/>
        <v>99.42</v>
      </c>
      <c r="DA232">
        <f t="shared" si="28"/>
        <v>6.71</v>
      </c>
      <c r="DB232">
        <f t="shared" si="21"/>
        <v>994.2</v>
      </c>
      <c r="DC232">
        <f t="shared" si="22"/>
        <v>0</v>
      </c>
    </row>
    <row r="233" spans="1:107" x14ac:dyDescent="0.2">
      <c r="A233">
        <f>ROW(Source!A173)</f>
        <v>173</v>
      </c>
      <c r="B233">
        <v>16802145</v>
      </c>
      <c r="C233">
        <v>16803014</v>
      </c>
      <c r="D233">
        <v>15164559</v>
      </c>
      <c r="E233">
        <v>17</v>
      </c>
      <c r="F233">
        <v>1</v>
      </c>
      <c r="G233">
        <v>1</v>
      </c>
      <c r="H233">
        <v>3</v>
      </c>
      <c r="I233" t="s">
        <v>821</v>
      </c>
      <c r="J233" t="s">
        <v>6</v>
      </c>
      <c r="K233" t="s">
        <v>822</v>
      </c>
      <c r="L233">
        <v>1374</v>
      </c>
      <c r="N233">
        <v>1013</v>
      </c>
      <c r="O233" t="s">
        <v>823</v>
      </c>
      <c r="P233" t="s">
        <v>823</v>
      </c>
      <c r="Q233">
        <v>1</v>
      </c>
      <c r="W233">
        <v>0</v>
      </c>
      <c r="X233">
        <v>-1731369543</v>
      </c>
      <c r="Y233">
        <v>2.87</v>
      </c>
      <c r="AA233">
        <v>1</v>
      </c>
      <c r="AB233">
        <v>0</v>
      </c>
      <c r="AC233">
        <v>0</v>
      </c>
      <c r="AD233">
        <v>0</v>
      </c>
      <c r="AE233">
        <v>1</v>
      </c>
      <c r="AF233">
        <v>0</v>
      </c>
      <c r="AG233">
        <v>0</v>
      </c>
      <c r="AH233">
        <v>0</v>
      </c>
      <c r="AI233">
        <v>1</v>
      </c>
      <c r="AJ233">
        <v>1</v>
      </c>
      <c r="AK233">
        <v>1</v>
      </c>
      <c r="AL233">
        <v>1</v>
      </c>
      <c r="AN233">
        <v>0</v>
      </c>
      <c r="AO233">
        <v>1</v>
      </c>
      <c r="AP233">
        <v>0</v>
      </c>
      <c r="AQ233">
        <v>0</v>
      </c>
      <c r="AR233">
        <v>0</v>
      </c>
      <c r="AS233" t="s">
        <v>6</v>
      </c>
      <c r="AT233">
        <v>2.87</v>
      </c>
      <c r="AU233" t="s">
        <v>6</v>
      </c>
      <c r="AV233">
        <v>0</v>
      </c>
      <c r="AW233">
        <v>2</v>
      </c>
      <c r="AX233">
        <v>16803035</v>
      </c>
      <c r="AY233">
        <v>1</v>
      </c>
      <c r="AZ233">
        <v>0</v>
      </c>
      <c r="BA233">
        <v>232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Y233*Source!I173</f>
        <v>0.20090000000000002</v>
      </c>
      <c r="CY233">
        <f t="shared" si="26"/>
        <v>1</v>
      </c>
      <c r="CZ233">
        <f t="shared" si="27"/>
        <v>1</v>
      </c>
      <c r="DA233">
        <f t="shared" si="28"/>
        <v>1</v>
      </c>
      <c r="DB233">
        <f t="shared" si="21"/>
        <v>2.87</v>
      </c>
      <c r="DC233">
        <f t="shared" si="22"/>
        <v>0</v>
      </c>
    </row>
    <row r="234" spans="1:107" x14ac:dyDescent="0.2">
      <c r="A234">
        <f>ROW(Source!A175)</f>
        <v>175</v>
      </c>
      <c r="B234">
        <v>16802145</v>
      </c>
      <c r="C234">
        <v>16803037</v>
      </c>
      <c r="D234">
        <v>15447742</v>
      </c>
      <c r="E234">
        <v>1</v>
      </c>
      <c r="F234">
        <v>1</v>
      </c>
      <c r="G234">
        <v>1</v>
      </c>
      <c r="H234">
        <v>1</v>
      </c>
      <c r="I234" t="s">
        <v>877</v>
      </c>
      <c r="J234" t="s">
        <v>6</v>
      </c>
      <c r="K234" t="s">
        <v>878</v>
      </c>
      <c r="L234">
        <v>1191</v>
      </c>
      <c r="N234">
        <v>1013</v>
      </c>
      <c r="O234" t="s">
        <v>660</v>
      </c>
      <c r="P234" t="s">
        <v>660</v>
      </c>
      <c r="Q234">
        <v>1</v>
      </c>
      <c r="W234">
        <v>0</v>
      </c>
      <c r="X234">
        <v>-2143564933</v>
      </c>
      <c r="Y234">
        <v>0.5</v>
      </c>
      <c r="AA234">
        <v>0</v>
      </c>
      <c r="AB234">
        <v>0</v>
      </c>
      <c r="AC234">
        <v>0</v>
      </c>
      <c r="AD234">
        <v>65.489999999999995</v>
      </c>
      <c r="AE234">
        <v>0</v>
      </c>
      <c r="AF234">
        <v>0</v>
      </c>
      <c r="AG234">
        <v>0</v>
      </c>
      <c r="AH234">
        <v>9.76</v>
      </c>
      <c r="AI234">
        <v>1</v>
      </c>
      <c r="AJ234">
        <v>1</v>
      </c>
      <c r="AK234">
        <v>1</v>
      </c>
      <c r="AL234">
        <v>6.71</v>
      </c>
      <c r="AN234">
        <v>0</v>
      </c>
      <c r="AO234">
        <v>1</v>
      </c>
      <c r="AP234">
        <v>0</v>
      </c>
      <c r="AQ234">
        <v>0</v>
      </c>
      <c r="AR234">
        <v>0</v>
      </c>
      <c r="AS234" t="s">
        <v>6</v>
      </c>
      <c r="AT234">
        <v>0.5</v>
      </c>
      <c r="AU234" t="s">
        <v>6</v>
      </c>
      <c r="AV234">
        <v>1</v>
      </c>
      <c r="AW234">
        <v>2</v>
      </c>
      <c r="AX234">
        <v>16803045</v>
      </c>
      <c r="AY234">
        <v>1</v>
      </c>
      <c r="AZ234">
        <v>0</v>
      </c>
      <c r="BA234">
        <v>233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Y234*Source!I175</f>
        <v>43.5</v>
      </c>
      <c r="CY234">
        <f>AD234</f>
        <v>65.489999999999995</v>
      </c>
      <c r="CZ234">
        <f>AH234</f>
        <v>9.76</v>
      </c>
      <c r="DA234">
        <f>AL234</f>
        <v>6.71</v>
      </c>
      <c r="DB234">
        <f t="shared" si="21"/>
        <v>4.88</v>
      </c>
      <c r="DC234">
        <f t="shared" si="22"/>
        <v>0</v>
      </c>
    </row>
    <row r="235" spans="1:107" x14ac:dyDescent="0.2">
      <c r="A235">
        <f>ROW(Source!A175)</f>
        <v>175</v>
      </c>
      <c r="B235">
        <v>16802145</v>
      </c>
      <c r="C235">
        <v>16803037</v>
      </c>
      <c r="D235">
        <v>15170438</v>
      </c>
      <c r="E235">
        <v>1</v>
      </c>
      <c r="F235">
        <v>1</v>
      </c>
      <c r="G235">
        <v>1</v>
      </c>
      <c r="H235">
        <v>3</v>
      </c>
      <c r="I235" t="s">
        <v>879</v>
      </c>
      <c r="J235" t="s">
        <v>880</v>
      </c>
      <c r="K235" t="s">
        <v>881</v>
      </c>
      <c r="L235">
        <v>1348</v>
      </c>
      <c r="N235">
        <v>1009</v>
      </c>
      <c r="O235" t="s">
        <v>65</v>
      </c>
      <c r="P235" t="s">
        <v>65</v>
      </c>
      <c r="Q235">
        <v>1000</v>
      </c>
      <c r="W235">
        <v>0</v>
      </c>
      <c r="X235">
        <v>-1755229539</v>
      </c>
      <c r="Y235">
        <v>1.0000000000000001E-5</v>
      </c>
      <c r="AA235">
        <v>83405.3</v>
      </c>
      <c r="AB235">
        <v>0</v>
      </c>
      <c r="AC235">
        <v>0</v>
      </c>
      <c r="AD235">
        <v>0</v>
      </c>
      <c r="AE235">
        <v>12430</v>
      </c>
      <c r="AF235">
        <v>0</v>
      </c>
      <c r="AG235">
        <v>0</v>
      </c>
      <c r="AH235">
        <v>0</v>
      </c>
      <c r="AI235">
        <v>6.71</v>
      </c>
      <c r="AJ235">
        <v>1</v>
      </c>
      <c r="AK235">
        <v>1</v>
      </c>
      <c r="AL235">
        <v>1</v>
      </c>
      <c r="AN235">
        <v>0</v>
      </c>
      <c r="AO235">
        <v>1</v>
      </c>
      <c r="AP235">
        <v>0</v>
      </c>
      <c r="AQ235">
        <v>0</v>
      </c>
      <c r="AR235">
        <v>0</v>
      </c>
      <c r="AS235" t="s">
        <v>6</v>
      </c>
      <c r="AT235">
        <v>1.0000000000000001E-5</v>
      </c>
      <c r="AU235" t="s">
        <v>6</v>
      </c>
      <c r="AV235">
        <v>0</v>
      </c>
      <c r="AW235">
        <v>2</v>
      </c>
      <c r="AX235">
        <v>16803046</v>
      </c>
      <c r="AY235">
        <v>1</v>
      </c>
      <c r="AZ235">
        <v>0</v>
      </c>
      <c r="BA235">
        <v>234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Y235*Source!I175</f>
        <v>8.7000000000000011E-4</v>
      </c>
      <c r="CY235">
        <f>AA235</f>
        <v>83405.3</v>
      </c>
      <c r="CZ235">
        <f>AE235</f>
        <v>12430</v>
      </c>
      <c r="DA235">
        <f>AI235</f>
        <v>6.71</v>
      </c>
      <c r="DB235">
        <f t="shared" si="21"/>
        <v>0.12</v>
      </c>
      <c r="DC235">
        <f t="shared" si="22"/>
        <v>0</v>
      </c>
    </row>
    <row r="236" spans="1:107" x14ac:dyDescent="0.2">
      <c r="A236">
        <f>ROW(Source!A175)</f>
        <v>175</v>
      </c>
      <c r="B236">
        <v>16802145</v>
      </c>
      <c r="C236">
        <v>16803037</v>
      </c>
      <c r="D236">
        <v>15171982</v>
      </c>
      <c r="E236">
        <v>1</v>
      </c>
      <c r="F236">
        <v>1</v>
      </c>
      <c r="G236">
        <v>1</v>
      </c>
      <c r="H236">
        <v>3</v>
      </c>
      <c r="I236" t="s">
        <v>672</v>
      </c>
      <c r="J236" t="s">
        <v>673</v>
      </c>
      <c r="K236" t="s">
        <v>674</v>
      </c>
      <c r="L236">
        <v>1348</v>
      </c>
      <c r="N236">
        <v>1009</v>
      </c>
      <c r="O236" t="s">
        <v>65</v>
      </c>
      <c r="P236" t="s">
        <v>65</v>
      </c>
      <c r="Q236">
        <v>1000</v>
      </c>
      <c r="W236">
        <v>0</v>
      </c>
      <c r="X236">
        <v>-1421715385</v>
      </c>
      <c r="Y236">
        <v>5.0000000000000002E-5</v>
      </c>
      <c r="AA236">
        <v>4898.17</v>
      </c>
      <c r="AB236">
        <v>0</v>
      </c>
      <c r="AC236">
        <v>0</v>
      </c>
      <c r="AD236">
        <v>0</v>
      </c>
      <c r="AE236">
        <v>729.98</v>
      </c>
      <c r="AF236">
        <v>0</v>
      </c>
      <c r="AG236">
        <v>0</v>
      </c>
      <c r="AH236">
        <v>0</v>
      </c>
      <c r="AI236">
        <v>6.71</v>
      </c>
      <c r="AJ236">
        <v>1</v>
      </c>
      <c r="AK236">
        <v>1</v>
      </c>
      <c r="AL236">
        <v>1</v>
      </c>
      <c r="AN236">
        <v>0</v>
      </c>
      <c r="AO236">
        <v>1</v>
      </c>
      <c r="AP236">
        <v>0</v>
      </c>
      <c r="AQ236">
        <v>0</v>
      </c>
      <c r="AR236">
        <v>0</v>
      </c>
      <c r="AS236" t="s">
        <v>6</v>
      </c>
      <c r="AT236">
        <v>5.0000000000000002E-5</v>
      </c>
      <c r="AU236" t="s">
        <v>6</v>
      </c>
      <c r="AV236">
        <v>0</v>
      </c>
      <c r="AW236">
        <v>2</v>
      </c>
      <c r="AX236">
        <v>16803047</v>
      </c>
      <c r="AY236">
        <v>1</v>
      </c>
      <c r="AZ236">
        <v>0</v>
      </c>
      <c r="BA236">
        <v>235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Y236*Source!I175</f>
        <v>4.3500000000000006E-3</v>
      </c>
      <c r="CY236">
        <f>AA236</f>
        <v>4898.17</v>
      </c>
      <c r="CZ236">
        <f>AE236</f>
        <v>729.98</v>
      </c>
      <c r="DA236">
        <f>AI236</f>
        <v>6.71</v>
      </c>
      <c r="DB236">
        <f t="shared" si="21"/>
        <v>0.04</v>
      </c>
      <c r="DC236">
        <f t="shared" si="22"/>
        <v>0</v>
      </c>
    </row>
    <row r="237" spans="1:107" x14ac:dyDescent="0.2">
      <c r="A237">
        <f>ROW(Source!A175)</f>
        <v>175</v>
      </c>
      <c r="B237">
        <v>16802145</v>
      </c>
      <c r="C237">
        <v>16803037</v>
      </c>
      <c r="D237">
        <v>15191144</v>
      </c>
      <c r="E237">
        <v>1</v>
      </c>
      <c r="F237">
        <v>1</v>
      </c>
      <c r="G237">
        <v>1</v>
      </c>
      <c r="H237">
        <v>3</v>
      </c>
      <c r="I237" t="s">
        <v>882</v>
      </c>
      <c r="J237" t="s">
        <v>883</v>
      </c>
      <c r="K237" t="s">
        <v>884</v>
      </c>
      <c r="L237">
        <v>1348</v>
      </c>
      <c r="N237">
        <v>1009</v>
      </c>
      <c r="O237" t="s">
        <v>65</v>
      </c>
      <c r="P237" t="s">
        <v>65</v>
      </c>
      <c r="Q237">
        <v>1000</v>
      </c>
      <c r="W237">
        <v>0</v>
      </c>
      <c r="X237">
        <v>-1328921133</v>
      </c>
      <c r="Y237">
        <v>1.0000000000000001E-5</v>
      </c>
      <c r="AA237">
        <v>98569.9</v>
      </c>
      <c r="AB237">
        <v>0</v>
      </c>
      <c r="AC237">
        <v>0</v>
      </c>
      <c r="AD237">
        <v>0</v>
      </c>
      <c r="AE237">
        <v>14690</v>
      </c>
      <c r="AF237">
        <v>0</v>
      </c>
      <c r="AG237">
        <v>0</v>
      </c>
      <c r="AH237">
        <v>0</v>
      </c>
      <c r="AI237">
        <v>6.71</v>
      </c>
      <c r="AJ237">
        <v>1</v>
      </c>
      <c r="AK237">
        <v>1</v>
      </c>
      <c r="AL237">
        <v>1</v>
      </c>
      <c r="AN237">
        <v>0</v>
      </c>
      <c r="AO237">
        <v>1</v>
      </c>
      <c r="AP237">
        <v>0</v>
      </c>
      <c r="AQ237">
        <v>0</v>
      </c>
      <c r="AR237">
        <v>0</v>
      </c>
      <c r="AS237" t="s">
        <v>6</v>
      </c>
      <c r="AT237">
        <v>1.0000000000000001E-5</v>
      </c>
      <c r="AU237" t="s">
        <v>6</v>
      </c>
      <c r="AV237">
        <v>0</v>
      </c>
      <c r="AW237">
        <v>2</v>
      </c>
      <c r="AX237">
        <v>16803048</v>
      </c>
      <c r="AY237">
        <v>1</v>
      </c>
      <c r="AZ237">
        <v>0</v>
      </c>
      <c r="BA237">
        <v>236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Y237*Source!I175</f>
        <v>8.7000000000000011E-4</v>
      </c>
      <c r="CY237">
        <f>AA237</f>
        <v>98569.9</v>
      </c>
      <c r="CZ237">
        <f>AE237</f>
        <v>14690</v>
      </c>
      <c r="DA237">
        <f>AI237</f>
        <v>6.71</v>
      </c>
      <c r="DB237">
        <f t="shared" si="21"/>
        <v>0.15</v>
      </c>
      <c r="DC237">
        <f t="shared" si="22"/>
        <v>0</v>
      </c>
    </row>
    <row r="238" spans="1:107" x14ac:dyDescent="0.2">
      <c r="A238">
        <f>ROW(Source!A175)</f>
        <v>175</v>
      </c>
      <c r="B238">
        <v>16802145</v>
      </c>
      <c r="C238">
        <v>16803037</v>
      </c>
      <c r="D238">
        <v>15220965</v>
      </c>
      <c r="E238">
        <v>1</v>
      </c>
      <c r="F238">
        <v>1</v>
      </c>
      <c r="G238">
        <v>1</v>
      </c>
      <c r="H238">
        <v>3</v>
      </c>
      <c r="I238" t="s">
        <v>433</v>
      </c>
      <c r="J238" t="s">
        <v>436</v>
      </c>
      <c r="K238" t="s">
        <v>434</v>
      </c>
      <c r="L238">
        <v>1358</v>
      </c>
      <c r="N238">
        <v>1010</v>
      </c>
      <c r="O238" t="s">
        <v>435</v>
      </c>
      <c r="P238" t="s">
        <v>435</v>
      </c>
      <c r="Q238">
        <v>10</v>
      </c>
      <c r="W238">
        <v>0</v>
      </c>
      <c r="X238">
        <v>1303598448</v>
      </c>
      <c r="Y238">
        <v>0.1</v>
      </c>
      <c r="AA238">
        <v>418.7</v>
      </c>
      <c r="AB238">
        <v>0</v>
      </c>
      <c r="AC238">
        <v>0</v>
      </c>
      <c r="AD238">
        <v>0</v>
      </c>
      <c r="AE238">
        <v>62.4</v>
      </c>
      <c r="AF238">
        <v>0</v>
      </c>
      <c r="AG238">
        <v>0</v>
      </c>
      <c r="AH238">
        <v>0</v>
      </c>
      <c r="AI238">
        <v>6.71</v>
      </c>
      <c r="AJ238">
        <v>1</v>
      </c>
      <c r="AK238">
        <v>1</v>
      </c>
      <c r="AL238">
        <v>1</v>
      </c>
      <c r="AN238">
        <v>0</v>
      </c>
      <c r="AO238">
        <v>0</v>
      </c>
      <c r="AP238">
        <v>0</v>
      </c>
      <c r="AQ238">
        <v>0</v>
      </c>
      <c r="AR238">
        <v>0</v>
      </c>
      <c r="AS238" t="s">
        <v>6</v>
      </c>
      <c r="AT238">
        <v>0.1</v>
      </c>
      <c r="AU238" t="s">
        <v>6</v>
      </c>
      <c r="AV238">
        <v>0</v>
      </c>
      <c r="AW238">
        <v>1</v>
      </c>
      <c r="AX238">
        <v>-1</v>
      </c>
      <c r="AY238">
        <v>0</v>
      </c>
      <c r="AZ238">
        <v>0</v>
      </c>
      <c r="BA238" t="s">
        <v>6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Y238*Source!I175</f>
        <v>8.7000000000000011</v>
      </c>
      <c r="CY238">
        <f>AA238</f>
        <v>418.7</v>
      </c>
      <c r="CZ238">
        <f>AE238</f>
        <v>62.4</v>
      </c>
      <c r="DA238">
        <f>AI238</f>
        <v>6.71</v>
      </c>
      <c r="DB238">
        <f t="shared" si="21"/>
        <v>6.24</v>
      </c>
      <c r="DC238">
        <f t="shared" si="22"/>
        <v>0</v>
      </c>
    </row>
    <row r="239" spans="1:107" x14ac:dyDescent="0.2">
      <c r="A239">
        <f>ROW(Source!A175)</f>
        <v>175</v>
      </c>
      <c r="B239">
        <v>16802145</v>
      </c>
      <c r="C239">
        <v>16803037</v>
      </c>
      <c r="D239">
        <v>15164559</v>
      </c>
      <c r="E239">
        <v>17</v>
      </c>
      <c r="F239">
        <v>1</v>
      </c>
      <c r="G239">
        <v>1</v>
      </c>
      <c r="H239">
        <v>3</v>
      </c>
      <c r="I239" t="s">
        <v>821</v>
      </c>
      <c r="J239" t="s">
        <v>6</v>
      </c>
      <c r="K239" t="s">
        <v>822</v>
      </c>
      <c r="L239">
        <v>1374</v>
      </c>
      <c r="N239">
        <v>1013</v>
      </c>
      <c r="O239" t="s">
        <v>823</v>
      </c>
      <c r="P239" t="s">
        <v>823</v>
      </c>
      <c r="Q239">
        <v>1</v>
      </c>
      <c r="W239">
        <v>0</v>
      </c>
      <c r="X239">
        <v>-1731369543</v>
      </c>
      <c r="Y239">
        <v>0.1</v>
      </c>
      <c r="AA239">
        <v>1</v>
      </c>
      <c r="AB239">
        <v>0</v>
      </c>
      <c r="AC239">
        <v>0</v>
      </c>
      <c r="AD239">
        <v>0</v>
      </c>
      <c r="AE239">
        <v>1</v>
      </c>
      <c r="AF239">
        <v>0</v>
      </c>
      <c r="AG239">
        <v>0</v>
      </c>
      <c r="AH239">
        <v>0</v>
      </c>
      <c r="AI239">
        <v>1</v>
      </c>
      <c r="AJ239">
        <v>1</v>
      </c>
      <c r="AK239">
        <v>1</v>
      </c>
      <c r="AL239">
        <v>1</v>
      </c>
      <c r="AN239">
        <v>0</v>
      </c>
      <c r="AO239">
        <v>1</v>
      </c>
      <c r="AP239">
        <v>0</v>
      </c>
      <c r="AQ239">
        <v>0</v>
      </c>
      <c r="AR239">
        <v>0</v>
      </c>
      <c r="AS239" t="s">
        <v>6</v>
      </c>
      <c r="AT239">
        <v>0.1</v>
      </c>
      <c r="AU239" t="s">
        <v>6</v>
      </c>
      <c r="AV239">
        <v>0</v>
      </c>
      <c r="AW239">
        <v>2</v>
      </c>
      <c r="AX239">
        <v>16803049</v>
      </c>
      <c r="AY239">
        <v>1</v>
      </c>
      <c r="AZ239">
        <v>0</v>
      </c>
      <c r="BA239">
        <v>237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Y239*Source!I175</f>
        <v>8.7000000000000011</v>
      </c>
      <c r="CY239">
        <f>AA239</f>
        <v>1</v>
      </c>
      <c r="CZ239">
        <f>AE239</f>
        <v>1</v>
      </c>
      <c r="DA239">
        <f>AI239</f>
        <v>1</v>
      </c>
      <c r="DB239">
        <f t="shared" ref="DB239:DB270" si="29">ROUND(ROUND(AT239*CZ239,2),2)</f>
        <v>0.1</v>
      </c>
      <c r="DC239">
        <f t="shared" ref="DC239:DC270" si="30">ROUND(ROUND(AT239*AG239,2),2)</f>
        <v>0</v>
      </c>
    </row>
    <row r="240" spans="1:107" x14ac:dyDescent="0.2">
      <c r="A240">
        <f>ROW(Source!A177)</f>
        <v>177</v>
      </c>
      <c r="B240">
        <v>16802145</v>
      </c>
      <c r="C240">
        <v>16803051</v>
      </c>
      <c r="D240">
        <v>15435721</v>
      </c>
      <c r="E240">
        <v>1</v>
      </c>
      <c r="F240">
        <v>1</v>
      </c>
      <c r="G240">
        <v>1</v>
      </c>
      <c r="H240">
        <v>1</v>
      </c>
      <c r="I240" t="s">
        <v>738</v>
      </c>
      <c r="J240" t="s">
        <v>6</v>
      </c>
      <c r="K240" t="s">
        <v>739</v>
      </c>
      <c r="L240">
        <v>1191</v>
      </c>
      <c r="N240">
        <v>1013</v>
      </c>
      <c r="O240" t="s">
        <v>660</v>
      </c>
      <c r="P240" t="s">
        <v>660</v>
      </c>
      <c r="Q240">
        <v>1</v>
      </c>
      <c r="W240">
        <v>0</v>
      </c>
      <c r="X240">
        <v>1983201532</v>
      </c>
      <c r="Y240">
        <v>20.329999999999998</v>
      </c>
      <c r="AA240">
        <v>0</v>
      </c>
      <c r="AB240">
        <v>0</v>
      </c>
      <c r="AC240">
        <v>0</v>
      </c>
      <c r="AD240">
        <v>63.81</v>
      </c>
      <c r="AE240">
        <v>0</v>
      </c>
      <c r="AF240">
        <v>0</v>
      </c>
      <c r="AG240">
        <v>0</v>
      </c>
      <c r="AH240">
        <v>9.51</v>
      </c>
      <c r="AI240">
        <v>1</v>
      </c>
      <c r="AJ240">
        <v>1</v>
      </c>
      <c r="AK240">
        <v>1</v>
      </c>
      <c r="AL240">
        <v>6.71</v>
      </c>
      <c r="AN240">
        <v>0</v>
      </c>
      <c r="AO240">
        <v>1</v>
      </c>
      <c r="AP240">
        <v>0</v>
      </c>
      <c r="AQ240">
        <v>0</v>
      </c>
      <c r="AR240">
        <v>0</v>
      </c>
      <c r="AS240" t="s">
        <v>6</v>
      </c>
      <c r="AT240">
        <v>20.329999999999998</v>
      </c>
      <c r="AU240" t="s">
        <v>6</v>
      </c>
      <c r="AV240">
        <v>1</v>
      </c>
      <c r="AW240">
        <v>2</v>
      </c>
      <c r="AX240">
        <v>16803059</v>
      </c>
      <c r="AY240">
        <v>1</v>
      </c>
      <c r="AZ240">
        <v>0</v>
      </c>
      <c r="BA240">
        <v>238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Y240*Source!I177</f>
        <v>8.6402499999999982</v>
      </c>
      <c r="CY240">
        <f>AD240</f>
        <v>63.81</v>
      </c>
      <c r="CZ240">
        <f>AH240</f>
        <v>9.51</v>
      </c>
      <c r="DA240">
        <f>AL240</f>
        <v>6.71</v>
      </c>
      <c r="DB240">
        <f t="shared" si="29"/>
        <v>193.34</v>
      </c>
      <c r="DC240">
        <f t="shared" si="30"/>
        <v>0</v>
      </c>
    </row>
    <row r="241" spans="1:107" x14ac:dyDescent="0.2">
      <c r="A241">
        <f>ROW(Source!A177)</f>
        <v>177</v>
      </c>
      <c r="B241">
        <v>16802145</v>
      </c>
      <c r="C241">
        <v>16803051</v>
      </c>
      <c r="D241">
        <v>15430395</v>
      </c>
      <c r="E241">
        <v>1</v>
      </c>
      <c r="F241">
        <v>1</v>
      </c>
      <c r="G241">
        <v>1</v>
      </c>
      <c r="H241">
        <v>1</v>
      </c>
      <c r="I241" t="s">
        <v>661</v>
      </c>
      <c r="J241" t="s">
        <v>6</v>
      </c>
      <c r="K241" t="s">
        <v>662</v>
      </c>
      <c r="L241">
        <v>1191</v>
      </c>
      <c r="N241">
        <v>1013</v>
      </c>
      <c r="O241" t="s">
        <v>660</v>
      </c>
      <c r="P241" t="s">
        <v>660</v>
      </c>
      <c r="Q241">
        <v>1</v>
      </c>
      <c r="W241">
        <v>0</v>
      </c>
      <c r="X241">
        <v>-1417349443</v>
      </c>
      <c r="Y241">
        <v>0.01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1</v>
      </c>
      <c r="AJ241">
        <v>1</v>
      </c>
      <c r="AK241">
        <v>6.71</v>
      </c>
      <c r="AL241">
        <v>1</v>
      </c>
      <c r="AN241">
        <v>0</v>
      </c>
      <c r="AO241">
        <v>1</v>
      </c>
      <c r="AP241">
        <v>0</v>
      </c>
      <c r="AQ241">
        <v>0</v>
      </c>
      <c r="AR241">
        <v>0</v>
      </c>
      <c r="AS241" t="s">
        <v>6</v>
      </c>
      <c r="AT241">
        <v>0.01</v>
      </c>
      <c r="AU241" t="s">
        <v>6</v>
      </c>
      <c r="AV241">
        <v>2</v>
      </c>
      <c r="AW241">
        <v>2</v>
      </c>
      <c r="AX241">
        <v>16803060</v>
      </c>
      <c r="AY241">
        <v>1</v>
      </c>
      <c r="AZ241">
        <v>0</v>
      </c>
      <c r="BA241">
        <v>239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Y241*Source!I177</f>
        <v>4.2500000000000003E-3</v>
      </c>
      <c r="CY241">
        <f>AD241</f>
        <v>0</v>
      </c>
      <c r="CZ241">
        <f>AH241</f>
        <v>0</v>
      </c>
      <c r="DA241">
        <f>AL241</f>
        <v>1</v>
      </c>
      <c r="DB241">
        <f t="shared" si="29"/>
        <v>0</v>
      </c>
      <c r="DC241">
        <f t="shared" si="30"/>
        <v>0</v>
      </c>
    </row>
    <row r="242" spans="1:107" x14ac:dyDescent="0.2">
      <c r="A242">
        <f>ROW(Source!A177)</f>
        <v>177</v>
      </c>
      <c r="B242">
        <v>16802145</v>
      </c>
      <c r="C242">
        <v>16803051</v>
      </c>
      <c r="D242">
        <v>15247974</v>
      </c>
      <c r="E242">
        <v>1</v>
      </c>
      <c r="F242">
        <v>1</v>
      </c>
      <c r="G242">
        <v>1</v>
      </c>
      <c r="H242">
        <v>2</v>
      </c>
      <c r="I242" t="s">
        <v>663</v>
      </c>
      <c r="J242" t="s">
        <v>664</v>
      </c>
      <c r="K242" t="s">
        <v>665</v>
      </c>
      <c r="L242">
        <v>1368</v>
      </c>
      <c r="N242">
        <v>1011</v>
      </c>
      <c r="O242" t="s">
        <v>666</v>
      </c>
      <c r="P242" t="s">
        <v>666</v>
      </c>
      <c r="Q242">
        <v>1</v>
      </c>
      <c r="W242">
        <v>0</v>
      </c>
      <c r="X242">
        <v>1188625873</v>
      </c>
      <c r="Y242">
        <v>0.01</v>
      </c>
      <c r="AA242">
        <v>0</v>
      </c>
      <c r="AB242">
        <v>209.75</v>
      </c>
      <c r="AC242">
        <v>13.5</v>
      </c>
      <c r="AD242">
        <v>0</v>
      </c>
      <c r="AE242">
        <v>0</v>
      </c>
      <c r="AF242">
        <v>31.26</v>
      </c>
      <c r="AG242">
        <v>13.5</v>
      </c>
      <c r="AH242">
        <v>0</v>
      </c>
      <c r="AI242">
        <v>1</v>
      </c>
      <c r="AJ242">
        <v>6.71</v>
      </c>
      <c r="AK242">
        <v>1</v>
      </c>
      <c r="AL242">
        <v>1</v>
      </c>
      <c r="AN242">
        <v>0</v>
      </c>
      <c r="AO242">
        <v>1</v>
      </c>
      <c r="AP242">
        <v>0</v>
      </c>
      <c r="AQ242">
        <v>0</v>
      </c>
      <c r="AR242">
        <v>0</v>
      </c>
      <c r="AS242" t="s">
        <v>6</v>
      </c>
      <c r="AT242">
        <v>0.01</v>
      </c>
      <c r="AU242" t="s">
        <v>6</v>
      </c>
      <c r="AV242">
        <v>0</v>
      </c>
      <c r="AW242">
        <v>2</v>
      </c>
      <c r="AX242">
        <v>16803061</v>
      </c>
      <c r="AY242">
        <v>1</v>
      </c>
      <c r="AZ242">
        <v>0</v>
      </c>
      <c r="BA242">
        <v>240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Y242*Source!I177</f>
        <v>4.2500000000000003E-3</v>
      </c>
      <c r="CY242">
        <f>AB242</f>
        <v>209.75</v>
      </c>
      <c r="CZ242">
        <f>AF242</f>
        <v>31.26</v>
      </c>
      <c r="DA242">
        <f>AJ242</f>
        <v>6.71</v>
      </c>
      <c r="DB242">
        <f t="shared" si="29"/>
        <v>0.31</v>
      </c>
      <c r="DC242">
        <f t="shared" si="30"/>
        <v>0.14000000000000001</v>
      </c>
    </row>
    <row r="243" spans="1:107" x14ac:dyDescent="0.2">
      <c r="A243">
        <f>ROW(Source!A177)</f>
        <v>177</v>
      </c>
      <c r="B243">
        <v>16802145</v>
      </c>
      <c r="C243">
        <v>16803051</v>
      </c>
      <c r="D243">
        <v>15170076</v>
      </c>
      <c r="E243">
        <v>1</v>
      </c>
      <c r="F243">
        <v>1</v>
      </c>
      <c r="G243">
        <v>1</v>
      </c>
      <c r="H243">
        <v>3</v>
      </c>
      <c r="I243" t="s">
        <v>885</v>
      </c>
      <c r="J243" t="s">
        <v>886</v>
      </c>
      <c r="K243" t="s">
        <v>887</v>
      </c>
      <c r="L243">
        <v>1356</v>
      </c>
      <c r="N243">
        <v>1010</v>
      </c>
      <c r="O243" t="s">
        <v>709</v>
      </c>
      <c r="P243" t="s">
        <v>709</v>
      </c>
      <c r="Q243">
        <v>1000</v>
      </c>
      <c r="W243">
        <v>0</v>
      </c>
      <c r="X243">
        <v>1975348994</v>
      </c>
      <c r="Y243">
        <v>0.4</v>
      </c>
      <c r="AA243">
        <v>1207.8</v>
      </c>
      <c r="AB243">
        <v>0</v>
      </c>
      <c r="AC243">
        <v>0</v>
      </c>
      <c r="AD243">
        <v>0</v>
      </c>
      <c r="AE243">
        <v>180</v>
      </c>
      <c r="AF243">
        <v>0</v>
      </c>
      <c r="AG243">
        <v>0</v>
      </c>
      <c r="AH243">
        <v>0</v>
      </c>
      <c r="AI243">
        <v>6.71</v>
      </c>
      <c r="AJ243">
        <v>1</v>
      </c>
      <c r="AK243">
        <v>1</v>
      </c>
      <c r="AL243">
        <v>1</v>
      </c>
      <c r="AN243">
        <v>0</v>
      </c>
      <c r="AO243">
        <v>1</v>
      </c>
      <c r="AP243">
        <v>0</v>
      </c>
      <c r="AQ243">
        <v>0</v>
      </c>
      <c r="AR243">
        <v>0</v>
      </c>
      <c r="AS243" t="s">
        <v>6</v>
      </c>
      <c r="AT243">
        <v>0.4</v>
      </c>
      <c r="AU243" t="s">
        <v>6</v>
      </c>
      <c r="AV243">
        <v>0</v>
      </c>
      <c r="AW243">
        <v>2</v>
      </c>
      <c r="AX243">
        <v>16803062</v>
      </c>
      <c r="AY243">
        <v>1</v>
      </c>
      <c r="AZ243">
        <v>0</v>
      </c>
      <c r="BA243">
        <v>241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Y243*Source!I177</f>
        <v>0.17</v>
      </c>
      <c r="CY243">
        <f>AA243</f>
        <v>1207.8</v>
      </c>
      <c r="CZ243">
        <f>AE243</f>
        <v>180</v>
      </c>
      <c r="DA243">
        <f>AI243</f>
        <v>6.71</v>
      </c>
      <c r="DB243">
        <f t="shared" si="29"/>
        <v>72</v>
      </c>
      <c r="DC243">
        <f t="shared" si="30"/>
        <v>0</v>
      </c>
    </row>
    <row r="244" spans="1:107" x14ac:dyDescent="0.2">
      <c r="A244">
        <f>ROW(Source!A177)</f>
        <v>177</v>
      </c>
      <c r="B244">
        <v>16802145</v>
      </c>
      <c r="C244">
        <v>16803051</v>
      </c>
      <c r="D244">
        <v>15170438</v>
      </c>
      <c r="E244">
        <v>1</v>
      </c>
      <c r="F244">
        <v>1</v>
      </c>
      <c r="G244">
        <v>1</v>
      </c>
      <c r="H244">
        <v>3</v>
      </c>
      <c r="I244" t="s">
        <v>879</v>
      </c>
      <c r="J244" t="s">
        <v>880</v>
      </c>
      <c r="K244" t="s">
        <v>881</v>
      </c>
      <c r="L244">
        <v>1348</v>
      </c>
      <c r="N244">
        <v>1009</v>
      </c>
      <c r="O244" t="s">
        <v>65</v>
      </c>
      <c r="P244" t="s">
        <v>65</v>
      </c>
      <c r="Q244">
        <v>1000</v>
      </c>
      <c r="W244">
        <v>0</v>
      </c>
      <c r="X244">
        <v>-1755229539</v>
      </c>
      <c r="Y244">
        <v>1.4E-3</v>
      </c>
      <c r="AA244">
        <v>83405.3</v>
      </c>
      <c r="AB244">
        <v>0</v>
      </c>
      <c r="AC244">
        <v>0</v>
      </c>
      <c r="AD244">
        <v>0</v>
      </c>
      <c r="AE244">
        <v>12430</v>
      </c>
      <c r="AF244">
        <v>0</v>
      </c>
      <c r="AG244">
        <v>0</v>
      </c>
      <c r="AH244">
        <v>0</v>
      </c>
      <c r="AI244">
        <v>6.71</v>
      </c>
      <c r="AJ244">
        <v>1</v>
      </c>
      <c r="AK244">
        <v>1</v>
      </c>
      <c r="AL244">
        <v>1</v>
      </c>
      <c r="AN244">
        <v>0</v>
      </c>
      <c r="AO244">
        <v>1</v>
      </c>
      <c r="AP244">
        <v>0</v>
      </c>
      <c r="AQ244">
        <v>0</v>
      </c>
      <c r="AR244">
        <v>0</v>
      </c>
      <c r="AS244" t="s">
        <v>6</v>
      </c>
      <c r="AT244">
        <v>1.4E-3</v>
      </c>
      <c r="AU244" t="s">
        <v>6</v>
      </c>
      <c r="AV244">
        <v>0</v>
      </c>
      <c r="AW244">
        <v>2</v>
      </c>
      <c r="AX244">
        <v>16803063</v>
      </c>
      <c r="AY244">
        <v>1</v>
      </c>
      <c r="AZ244">
        <v>0</v>
      </c>
      <c r="BA244">
        <v>242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Y244*Source!I177</f>
        <v>5.9499999999999993E-4</v>
      </c>
      <c r="CY244">
        <f>AA244</f>
        <v>83405.3</v>
      </c>
      <c r="CZ244">
        <f>AE244</f>
        <v>12430</v>
      </c>
      <c r="DA244">
        <f>AI244</f>
        <v>6.71</v>
      </c>
      <c r="DB244">
        <f t="shared" si="29"/>
        <v>17.399999999999999</v>
      </c>
      <c r="DC244">
        <f t="shared" si="30"/>
        <v>0</v>
      </c>
    </row>
    <row r="245" spans="1:107" x14ac:dyDescent="0.2">
      <c r="A245">
        <f>ROW(Source!A177)</f>
        <v>177</v>
      </c>
      <c r="B245">
        <v>16802145</v>
      </c>
      <c r="C245">
        <v>16803051</v>
      </c>
      <c r="D245">
        <v>15218462</v>
      </c>
      <c r="E245">
        <v>1</v>
      </c>
      <c r="F245">
        <v>1</v>
      </c>
      <c r="G245">
        <v>1</v>
      </c>
      <c r="H245">
        <v>3</v>
      </c>
      <c r="I245" t="s">
        <v>442</v>
      </c>
      <c r="J245" t="s">
        <v>444</v>
      </c>
      <c r="K245" t="s">
        <v>443</v>
      </c>
      <c r="L245">
        <v>1308</v>
      </c>
      <c r="N245">
        <v>1003</v>
      </c>
      <c r="O245" t="s">
        <v>18</v>
      </c>
      <c r="P245" t="s">
        <v>18</v>
      </c>
      <c r="Q245">
        <v>100</v>
      </c>
      <c r="W245">
        <v>0</v>
      </c>
      <c r="X245">
        <v>-2044184701</v>
      </c>
      <c r="Y245">
        <v>1</v>
      </c>
      <c r="AA245">
        <v>9125.6</v>
      </c>
      <c r="AB245">
        <v>0</v>
      </c>
      <c r="AC245">
        <v>0</v>
      </c>
      <c r="AD245">
        <v>0</v>
      </c>
      <c r="AE245">
        <v>1360</v>
      </c>
      <c r="AF245">
        <v>0</v>
      </c>
      <c r="AG245">
        <v>0</v>
      </c>
      <c r="AH245">
        <v>0</v>
      </c>
      <c r="AI245">
        <v>6.71</v>
      </c>
      <c r="AJ245">
        <v>1</v>
      </c>
      <c r="AK245">
        <v>1</v>
      </c>
      <c r="AL245">
        <v>1</v>
      </c>
      <c r="AN245">
        <v>0</v>
      </c>
      <c r="AO245">
        <v>0</v>
      </c>
      <c r="AP245">
        <v>0</v>
      </c>
      <c r="AQ245">
        <v>0</v>
      </c>
      <c r="AR245">
        <v>0</v>
      </c>
      <c r="AS245" t="s">
        <v>6</v>
      </c>
      <c r="AT245">
        <v>1</v>
      </c>
      <c r="AU245" t="s">
        <v>6</v>
      </c>
      <c r="AV245">
        <v>0</v>
      </c>
      <c r="AW245">
        <v>1</v>
      </c>
      <c r="AX245">
        <v>-1</v>
      </c>
      <c r="AY245">
        <v>0</v>
      </c>
      <c r="AZ245">
        <v>0</v>
      </c>
      <c r="BA245" t="s">
        <v>6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Y245*Source!I177</f>
        <v>0.42499999999999999</v>
      </c>
      <c r="CY245">
        <f>AA245</f>
        <v>9125.6</v>
      </c>
      <c r="CZ245">
        <f>AE245</f>
        <v>1360</v>
      </c>
      <c r="DA245">
        <f>AI245</f>
        <v>6.71</v>
      </c>
      <c r="DB245">
        <f t="shared" si="29"/>
        <v>1360</v>
      </c>
      <c r="DC245">
        <f t="shared" si="30"/>
        <v>0</v>
      </c>
    </row>
    <row r="246" spans="1:107" x14ac:dyDescent="0.2">
      <c r="A246">
        <f>ROW(Source!A177)</f>
        <v>177</v>
      </c>
      <c r="B246">
        <v>16802145</v>
      </c>
      <c r="C246">
        <v>16803051</v>
      </c>
      <c r="D246">
        <v>15164559</v>
      </c>
      <c r="E246">
        <v>17</v>
      </c>
      <c r="F246">
        <v>1</v>
      </c>
      <c r="G246">
        <v>1</v>
      </c>
      <c r="H246">
        <v>3</v>
      </c>
      <c r="I246" t="s">
        <v>821</v>
      </c>
      <c r="J246" t="s">
        <v>6</v>
      </c>
      <c r="K246" t="s">
        <v>822</v>
      </c>
      <c r="L246">
        <v>1374</v>
      </c>
      <c r="N246">
        <v>1013</v>
      </c>
      <c r="O246" t="s">
        <v>823</v>
      </c>
      <c r="P246" t="s">
        <v>823</v>
      </c>
      <c r="Q246">
        <v>1</v>
      </c>
      <c r="W246">
        <v>0</v>
      </c>
      <c r="X246">
        <v>-1731369543</v>
      </c>
      <c r="Y246">
        <v>3.87</v>
      </c>
      <c r="AA246">
        <v>1</v>
      </c>
      <c r="AB246">
        <v>0</v>
      </c>
      <c r="AC246">
        <v>0</v>
      </c>
      <c r="AD246">
        <v>0</v>
      </c>
      <c r="AE246">
        <v>1</v>
      </c>
      <c r="AF246">
        <v>0</v>
      </c>
      <c r="AG246">
        <v>0</v>
      </c>
      <c r="AH246">
        <v>0</v>
      </c>
      <c r="AI246">
        <v>1</v>
      </c>
      <c r="AJ246">
        <v>1</v>
      </c>
      <c r="AK246">
        <v>1</v>
      </c>
      <c r="AL246">
        <v>1</v>
      </c>
      <c r="AN246">
        <v>0</v>
      </c>
      <c r="AO246">
        <v>1</v>
      </c>
      <c r="AP246">
        <v>0</v>
      </c>
      <c r="AQ246">
        <v>0</v>
      </c>
      <c r="AR246">
        <v>0</v>
      </c>
      <c r="AS246" t="s">
        <v>6</v>
      </c>
      <c r="AT246">
        <v>3.87</v>
      </c>
      <c r="AU246" t="s">
        <v>6</v>
      </c>
      <c r="AV246">
        <v>0</v>
      </c>
      <c r="AW246">
        <v>2</v>
      </c>
      <c r="AX246">
        <v>16803064</v>
      </c>
      <c r="AY246">
        <v>1</v>
      </c>
      <c r="AZ246">
        <v>0</v>
      </c>
      <c r="BA246">
        <v>243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Y246*Source!I177</f>
        <v>1.6447499999999999</v>
      </c>
      <c r="CY246">
        <f>AA246</f>
        <v>1</v>
      </c>
      <c r="CZ246">
        <f>AE246</f>
        <v>1</v>
      </c>
      <c r="DA246">
        <f>AI246</f>
        <v>1</v>
      </c>
      <c r="DB246">
        <f t="shared" si="29"/>
        <v>3.87</v>
      </c>
      <c r="DC246">
        <f t="shared" si="30"/>
        <v>0</v>
      </c>
    </row>
    <row r="247" spans="1:107" x14ac:dyDescent="0.2">
      <c r="A247">
        <f>ROW(Source!A179)</f>
        <v>179</v>
      </c>
      <c r="B247">
        <v>16802145</v>
      </c>
      <c r="C247">
        <v>16803066</v>
      </c>
      <c r="D247">
        <v>15438286</v>
      </c>
      <c r="E247">
        <v>1</v>
      </c>
      <c r="F247">
        <v>1</v>
      </c>
      <c r="G247">
        <v>1</v>
      </c>
      <c r="H247">
        <v>1</v>
      </c>
      <c r="I247" t="s">
        <v>693</v>
      </c>
      <c r="J247" t="s">
        <v>6</v>
      </c>
      <c r="K247" t="s">
        <v>694</v>
      </c>
      <c r="L247">
        <v>1191</v>
      </c>
      <c r="N247">
        <v>1013</v>
      </c>
      <c r="O247" t="s">
        <v>660</v>
      </c>
      <c r="P247" t="s">
        <v>660</v>
      </c>
      <c r="Q247">
        <v>1</v>
      </c>
      <c r="W247">
        <v>0</v>
      </c>
      <c r="X247">
        <v>-1027537862</v>
      </c>
      <c r="Y247">
        <v>15.2</v>
      </c>
      <c r="AA247">
        <v>0</v>
      </c>
      <c r="AB247">
        <v>0</v>
      </c>
      <c r="AC247">
        <v>0</v>
      </c>
      <c r="AD247">
        <v>61.6</v>
      </c>
      <c r="AE247">
        <v>0</v>
      </c>
      <c r="AF247">
        <v>0</v>
      </c>
      <c r="AG247">
        <v>0</v>
      </c>
      <c r="AH247">
        <v>9.18</v>
      </c>
      <c r="AI247">
        <v>1</v>
      </c>
      <c r="AJ247">
        <v>1</v>
      </c>
      <c r="AK247">
        <v>1</v>
      </c>
      <c r="AL247">
        <v>6.71</v>
      </c>
      <c r="AN247">
        <v>0</v>
      </c>
      <c r="AO247">
        <v>1</v>
      </c>
      <c r="AP247">
        <v>0</v>
      </c>
      <c r="AQ247">
        <v>0</v>
      </c>
      <c r="AR247">
        <v>0</v>
      </c>
      <c r="AS247" t="s">
        <v>6</v>
      </c>
      <c r="AT247">
        <v>15.2</v>
      </c>
      <c r="AU247" t="s">
        <v>6</v>
      </c>
      <c r="AV247">
        <v>1</v>
      </c>
      <c r="AW247">
        <v>2</v>
      </c>
      <c r="AX247">
        <v>16803071</v>
      </c>
      <c r="AY247">
        <v>1</v>
      </c>
      <c r="AZ247">
        <v>0</v>
      </c>
      <c r="BA247">
        <v>244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Y247*Source!I179</f>
        <v>41.344000000000001</v>
      </c>
      <c r="CY247">
        <f>AD247</f>
        <v>61.6</v>
      </c>
      <c r="CZ247">
        <f>AH247</f>
        <v>9.18</v>
      </c>
      <c r="DA247">
        <f>AL247</f>
        <v>6.71</v>
      </c>
      <c r="DB247">
        <f t="shared" si="29"/>
        <v>139.54</v>
      </c>
      <c r="DC247">
        <f t="shared" si="30"/>
        <v>0</v>
      </c>
    </row>
    <row r="248" spans="1:107" x14ac:dyDescent="0.2">
      <c r="A248">
        <f>ROW(Source!A179)</f>
        <v>179</v>
      </c>
      <c r="B248">
        <v>16802145</v>
      </c>
      <c r="C248">
        <v>16803066</v>
      </c>
      <c r="D248">
        <v>15170155</v>
      </c>
      <c r="E248">
        <v>1</v>
      </c>
      <c r="F248">
        <v>1</v>
      </c>
      <c r="G248">
        <v>1</v>
      </c>
      <c r="H248">
        <v>3</v>
      </c>
      <c r="I248" t="s">
        <v>888</v>
      </c>
      <c r="J248" t="s">
        <v>889</v>
      </c>
      <c r="K248" t="s">
        <v>890</v>
      </c>
      <c r="L248">
        <v>1355</v>
      </c>
      <c r="N248">
        <v>1010</v>
      </c>
      <c r="O248" t="s">
        <v>126</v>
      </c>
      <c r="P248" t="s">
        <v>126</v>
      </c>
      <c r="Q248">
        <v>100</v>
      </c>
      <c r="W248">
        <v>0</v>
      </c>
      <c r="X248">
        <v>1135215184</v>
      </c>
      <c r="Y248">
        <v>1.75</v>
      </c>
      <c r="AA248">
        <v>53.68</v>
      </c>
      <c r="AB248">
        <v>0</v>
      </c>
      <c r="AC248">
        <v>0</v>
      </c>
      <c r="AD248">
        <v>0</v>
      </c>
      <c r="AE248">
        <v>8</v>
      </c>
      <c r="AF248">
        <v>0</v>
      </c>
      <c r="AG248">
        <v>0</v>
      </c>
      <c r="AH248">
        <v>0</v>
      </c>
      <c r="AI248">
        <v>6.71</v>
      </c>
      <c r="AJ248">
        <v>1</v>
      </c>
      <c r="AK248">
        <v>1</v>
      </c>
      <c r="AL248">
        <v>1</v>
      </c>
      <c r="AN248">
        <v>0</v>
      </c>
      <c r="AO248">
        <v>1</v>
      </c>
      <c r="AP248">
        <v>0</v>
      </c>
      <c r="AQ248">
        <v>0</v>
      </c>
      <c r="AR248">
        <v>0</v>
      </c>
      <c r="AS248" t="s">
        <v>6</v>
      </c>
      <c r="AT248">
        <v>1.75</v>
      </c>
      <c r="AU248" t="s">
        <v>6</v>
      </c>
      <c r="AV248">
        <v>0</v>
      </c>
      <c r="AW248">
        <v>2</v>
      </c>
      <c r="AX248">
        <v>16803072</v>
      </c>
      <c r="AY248">
        <v>1</v>
      </c>
      <c r="AZ248">
        <v>0</v>
      </c>
      <c r="BA248">
        <v>245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Y248*Source!I179</f>
        <v>4.7600000000000007</v>
      </c>
      <c r="CY248">
        <f>AA248</f>
        <v>53.68</v>
      </c>
      <c r="CZ248">
        <f>AE248</f>
        <v>8</v>
      </c>
      <c r="DA248">
        <f>AI248</f>
        <v>6.71</v>
      </c>
      <c r="DB248">
        <f t="shared" si="29"/>
        <v>14</v>
      </c>
      <c r="DC248">
        <f t="shared" si="30"/>
        <v>0</v>
      </c>
    </row>
    <row r="249" spans="1:107" x14ac:dyDescent="0.2">
      <c r="A249">
        <f>ROW(Source!A179)</f>
        <v>179</v>
      </c>
      <c r="B249">
        <v>16802145</v>
      </c>
      <c r="C249">
        <v>16803066</v>
      </c>
      <c r="D249">
        <v>15233696</v>
      </c>
      <c r="E249">
        <v>1</v>
      </c>
      <c r="F249">
        <v>1</v>
      </c>
      <c r="G249">
        <v>1</v>
      </c>
      <c r="H249">
        <v>3</v>
      </c>
      <c r="I249" t="s">
        <v>450</v>
      </c>
      <c r="J249" t="s">
        <v>452</v>
      </c>
      <c r="K249" t="s">
        <v>451</v>
      </c>
      <c r="L249">
        <v>1302</v>
      </c>
      <c r="N249">
        <v>1003</v>
      </c>
      <c r="O249" t="s">
        <v>424</v>
      </c>
      <c r="P249" t="s">
        <v>424</v>
      </c>
      <c r="Q249">
        <v>10</v>
      </c>
      <c r="W249">
        <v>0</v>
      </c>
      <c r="X249">
        <v>1745554190</v>
      </c>
      <c r="Y249">
        <v>10</v>
      </c>
      <c r="AA249">
        <v>212.04</v>
      </c>
      <c r="AB249">
        <v>0</v>
      </c>
      <c r="AC249">
        <v>0</v>
      </c>
      <c r="AD249">
        <v>0</v>
      </c>
      <c r="AE249">
        <v>31.6</v>
      </c>
      <c r="AF249">
        <v>0</v>
      </c>
      <c r="AG249">
        <v>0</v>
      </c>
      <c r="AH249">
        <v>0</v>
      </c>
      <c r="AI249">
        <v>6.71</v>
      </c>
      <c r="AJ249">
        <v>1</v>
      </c>
      <c r="AK249">
        <v>1</v>
      </c>
      <c r="AL249">
        <v>1</v>
      </c>
      <c r="AN249">
        <v>0</v>
      </c>
      <c r="AO249">
        <v>0</v>
      </c>
      <c r="AP249">
        <v>0</v>
      </c>
      <c r="AQ249">
        <v>0</v>
      </c>
      <c r="AR249">
        <v>0</v>
      </c>
      <c r="AS249" t="s">
        <v>6</v>
      </c>
      <c r="AT249">
        <v>10</v>
      </c>
      <c r="AU249" t="s">
        <v>6</v>
      </c>
      <c r="AV249">
        <v>0</v>
      </c>
      <c r="AW249">
        <v>1</v>
      </c>
      <c r="AX249">
        <v>-1</v>
      </c>
      <c r="AY249">
        <v>0</v>
      </c>
      <c r="AZ249">
        <v>0</v>
      </c>
      <c r="BA249" t="s">
        <v>6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Y249*Source!I179</f>
        <v>27.200000000000003</v>
      </c>
      <c r="CY249">
        <f>AA249</f>
        <v>212.04</v>
      </c>
      <c r="CZ249">
        <f>AE249</f>
        <v>31.6</v>
      </c>
      <c r="DA249">
        <f>AI249</f>
        <v>6.71</v>
      </c>
      <c r="DB249">
        <f t="shared" si="29"/>
        <v>316</v>
      </c>
      <c r="DC249">
        <f t="shared" si="30"/>
        <v>0</v>
      </c>
    </row>
    <row r="250" spans="1:107" x14ac:dyDescent="0.2">
      <c r="A250">
        <f>ROW(Source!A179)</f>
        <v>179</v>
      </c>
      <c r="B250">
        <v>16802145</v>
      </c>
      <c r="C250">
        <v>16803066</v>
      </c>
      <c r="D250">
        <v>15164559</v>
      </c>
      <c r="E250">
        <v>17</v>
      </c>
      <c r="F250">
        <v>1</v>
      </c>
      <c r="G250">
        <v>1</v>
      </c>
      <c r="H250">
        <v>3</v>
      </c>
      <c r="I250" t="s">
        <v>821</v>
      </c>
      <c r="J250" t="s">
        <v>6</v>
      </c>
      <c r="K250" t="s">
        <v>822</v>
      </c>
      <c r="L250">
        <v>1374</v>
      </c>
      <c r="N250">
        <v>1013</v>
      </c>
      <c r="O250" t="s">
        <v>823</v>
      </c>
      <c r="P250" t="s">
        <v>823</v>
      </c>
      <c r="Q250">
        <v>1</v>
      </c>
      <c r="W250">
        <v>0</v>
      </c>
      <c r="X250">
        <v>-1731369543</v>
      </c>
      <c r="Y250">
        <v>2.79</v>
      </c>
      <c r="AA250">
        <v>1</v>
      </c>
      <c r="AB250">
        <v>0</v>
      </c>
      <c r="AC250">
        <v>0</v>
      </c>
      <c r="AD250">
        <v>0</v>
      </c>
      <c r="AE250">
        <v>1</v>
      </c>
      <c r="AF250">
        <v>0</v>
      </c>
      <c r="AG250">
        <v>0</v>
      </c>
      <c r="AH250">
        <v>0</v>
      </c>
      <c r="AI250">
        <v>1</v>
      </c>
      <c r="AJ250">
        <v>1</v>
      </c>
      <c r="AK250">
        <v>1</v>
      </c>
      <c r="AL250">
        <v>1</v>
      </c>
      <c r="AN250">
        <v>0</v>
      </c>
      <c r="AO250">
        <v>1</v>
      </c>
      <c r="AP250">
        <v>0</v>
      </c>
      <c r="AQ250">
        <v>0</v>
      </c>
      <c r="AR250">
        <v>0</v>
      </c>
      <c r="AS250" t="s">
        <v>6</v>
      </c>
      <c r="AT250">
        <v>2.79</v>
      </c>
      <c r="AU250" t="s">
        <v>6</v>
      </c>
      <c r="AV250">
        <v>0</v>
      </c>
      <c r="AW250">
        <v>2</v>
      </c>
      <c r="AX250">
        <v>16803073</v>
      </c>
      <c r="AY250">
        <v>1</v>
      </c>
      <c r="AZ250">
        <v>0</v>
      </c>
      <c r="BA250">
        <v>246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Y250*Source!I179</f>
        <v>7.5888000000000009</v>
      </c>
      <c r="CY250">
        <f>AA250</f>
        <v>1</v>
      </c>
      <c r="CZ250">
        <f>AE250</f>
        <v>1</v>
      </c>
      <c r="DA250">
        <f>AI250</f>
        <v>1</v>
      </c>
      <c r="DB250">
        <f t="shared" si="29"/>
        <v>2.79</v>
      </c>
      <c r="DC250">
        <f t="shared" si="30"/>
        <v>0</v>
      </c>
    </row>
    <row r="251" spans="1:107" x14ac:dyDescent="0.2">
      <c r="A251">
        <f>ROW(Source!A181)</f>
        <v>181</v>
      </c>
      <c r="B251">
        <v>16802145</v>
      </c>
      <c r="C251">
        <v>16803075</v>
      </c>
      <c r="D251">
        <v>15430397</v>
      </c>
      <c r="E251">
        <v>1</v>
      </c>
      <c r="F251">
        <v>1</v>
      </c>
      <c r="G251">
        <v>1</v>
      </c>
      <c r="H251">
        <v>1</v>
      </c>
      <c r="I251" t="s">
        <v>718</v>
      </c>
      <c r="J251" t="s">
        <v>6</v>
      </c>
      <c r="K251" t="s">
        <v>719</v>
      </c>
      <c r="L251">
        <v>1191</v>
      </c>
      <c r="N251">
        <v>1013</v>
      </c>
      <c r="O251" t="s">
        <v>660</v>
      </c>
      <c r="P251" t="s">
        <v>660</v>
      </c>
      <c r="Q251">
        <v>1</v>
      </c>
      <c r="W251">
        <v>0</v>
      </c>
      <c r="X251">
        <v>-1081351934</v>
      </c>
      <c r="Y251">
        <v>3.76</v>
      </c>
      <c r="AA251">
        <v>0</v>
      </c>
      <c r="AB251">
        <v>0</v>
      </c>
      <c r="AC251">
        <v>0</v>
      </c>
      <c r="AD251">
        <v>63.07</v>
      </c>
      <c r="AE251">
        <v>0</v>
      </c>
      <c r="AF251">
        <v>0</v>
      </c>
      <c r="AG251">
        <v>0</v>
      </c>
      <c r="AH251">
        <v>9.4</v>
      </c>
      <c r="AI251">
        <v>1</v>
      </c>
      <c r="AJ251">
        <v>1</v>
      </c>
      <c r="AK251">
        <v>1</v>
      </c>
      <c r="AL251">
        <v>6.71</v>
      </c>
      <c r="AN251">
        <v>0</v>
      </c>
      <c r="AO251">
        <v>1</v>
      </c>
      <c r="AP251">
        <v>0</v>
      </c>
      <c r="AQ251">
        <v>0</v>
      </c>
      <c r="AR251">
        <v>0</v>
      </c>
      <c r="AS251" t="s">
        <v>6</v>
      </c>
      <c r="AT251">
        <v>3.76</v>
      </c>
      <c r="AU251" t="s">
        <v>6</v>
      </c>
      <c r="AV251">
        <v>1</v>
      </c>
      <c r="AW251">
        <v>2</v>
      </c>
      <c r="AX251">
        <v>16803085</v>
      </c>
      <c r="AY251">
        <v>1</v>
      </c>
      <c r="AZ251">
        <v>0</v>
      </c>
      <c r="BA251">
        <v>247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Y251*Source!I181</f>
        <v>2.2559999999999998</v>
      </c>
      <c r="CY251">
        <f>AD251</f>
        <v>63.07</v>
      </c>
      <c r="CZ251">
        <f>AH251</f>
        <v>9.4</v>
      </c>
      <c r="DA251">
        <f>AL251</f>
        <v>6.71</v>
      </c>
      <c r="DB251">
        <f t="shared" si="29"/>
        <v>35.340000000000003</v>
      </c>
      <c r="DC251">
        <f t="shared" si="30"/>
        <v>0</v>
      </c>
    </row>
    <row r="252" spans="1:107" x14ac:dyDescent="0.2">
      <c r="A252">
        <f>ROW(Source!A181)</f>
        <v>181</v>
      </c>
      <c r="B252">
        <v>16802145</v>
      </c>
      <c r="C252">
        <v>16803075</v>
      </c>
      <c r="D252">
        <v>15430395</v>
      </c>
      <c r="E252">
        <v>1</v>
      </c>
      <c r="F252">
        <v>1</v>
      </c>
      <c r="G252">
        <v>1</v>
      </c>
      <c r="H252">
        <v>1</v>
      </c>
      <c r="I252" t="s">
        <v>661</v>
      </c>
      <c r="J252" t="s">
        <v>6</v>
      </c>
      <c r="K252" t="s">
        <v>662</v>
      </c>
      <c r="L252">
        <v>1191</v>
      </c>
      <c r="N252">
        <v>1013</v>
      </c>
      <c r="O252" t="s">
        <v>660</v>
      </c>
      <c r="P252" t="s">
        <v>660</v>
      </c>
      <c r="Q252">
        <v>1</v>
      </c>
      <c r="W252">
        <v>0</v>
      </c>
      <c r="X252">
        <v>-1417349443</v>
      </c>
      <c r="Y252">
        <v>0.02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1</v>
      </c>
      <c r="AJ252">
        <v>1</v>
      </c>
      <c r="AK252">
        <v>6.71</v>
      </c>
      <c r="AL252">
        <v>1</v>
      </c>
      <c r="AN252">
        <v>0</v>
      </c>
      <c r="AO252">
        <v>1</v>
      </c>
      <c r="AP252">
        <v>0</v>
      </c>
      <c r="AQ252">
        <v>0</v>
      </c>
      <c r="AR252">
        <v>0</v>
      </c>
      <c r="AS252" t="s">
        <v>6</v>
      </c>
      <c r="AT252">
        <v>0.02</v>
      </c>
      <c r="AU252" t="s">
        <v>6</v>
      </c>
      <c r="AV252">
        <v>2</v>
      </c>
      <c r="AW252">
        <v>2</v>
      </c>
      <c r="AX252">
        <v>16803086</v>
      </c>
      <c r="AY252">
        <v>1</v>
      </c>
      <c r="AZ252">
        <v>0</v>
      </c>
      <c r="BA252">
        <v>248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Y252*Source!I181</f>
        <v>1.2E-2</v>
      </c>
      <c r="CY252">
        <f>AD252</f>
        <v>0</v>
      </c>
      <c r="CZ252">
        <f>AH252</f>
        <v>0</v>
      </c>
      <c r="DA252">
        <f>AL252</f>
        <v>1</v>
      </c>
      <c r="DB252">
        <f t="shared" si="29"/>
        <v>0</v>
      </c>
      <c r="DC252">
        <f t="shared" si="30"/>
        <v>0</v>
      </c>
    </row>
    <row r="253" spans="1:107" x14ac:dyDescent="0.2">
      <c r="A253">
        <f>ROW(Source!A181)</f>
        <v>181</v>
      </c>
      <c r="B253">
        <v>16802145</v>
      </c>
      <c r="C253">
        <v>16803075</v>
      </c>
      <c r="D253">
        <v>15247680</v>
      </c>
      <c r="E253">
        <v>1</v>
      </c>
      <c r="F253">
        <v>1</v>
      </c>
      <c r="G253">
        <v>1</v>
      </c>
      <c r="H253">
        <v>2</v>
      </c>
      <c r="I253" t="s">
        <v>786</v>
      </c>
      <c r="J253" t="s">
        <v>787</v>
      </c>
      <c r="K253" t="s">
        <v>788</v>
      </c>
      <c r="L253">
        <v>1368</v>
      </c>
      <c r="N253">
        <v>1011</v>
      </c>
      <c r="O253" t="s">
        <v>666</v>
      </c>
      <c r="P253" t="s">
        <v>666</v>
      </c>
      <c r="Q253">
        <v>1</v>
      </c>
      <c r="W253">
        <v>0</v>
      </c>
      <c r="X253">
        <v>-1718674368</v>
      </c>
      <c r="Y253">
        <v>0.01</v>
      </c>
      <c r="AA253">
        <v>0</v>
      </c>
      <c r="AB253">
        <v>751.45</v>
      </c>
      <c r="AC253">
        <v>13.5</v>
      </c>
      <c r="AD253">
        <v>0</v>
      </c>
      <c r="AE253">
        <v>0</v>
      </c>
      <c r="AF253">
        <v>111.99</v>
      </c>
      <c r="AG253">
        <v>13.5</v>
      </c>
      <c r="AH253">
        <v>0</v>
      </c>
      <c r="AI253">
        <v>1</v>
      </c>
      <c r="AJ253">
        <v>6.71</v>
      </c>
      <c r="AK253">
        <v>1</v>
      </c>
      <c r="AL253">
        <v>1</v>
      </c>
      <c r="AN253">
        <v>0</v>
      </c>
      <c r="AO253">
        <v>1</v>
      </c>
      <c r="AP253">
        <v>0</v>
      </c>
      <c r="AQ253">
        <v>0</v>
      </c>
      <c r="AR253">
        <v>0</v>
      </c>
      <c r="AS253" t="s">
        <v>6</v>
      </c>
      <c r="AT253">
        <v>0.01</v>
      </c>
      <c r="AU253" t="s">
        <v>6</v>
      </c>
      <c r="AV253">
        <v>0</v>
      </c>
      <c r="AW253">
        <v>2</v>
      </c>
      <c r="AX253">
        <v>16803087</v>
      </c>
      <c r="AY253">
        <v>1</v>
      </c>
      <c r="AZ253">
        <v>0</v>
      </c>
      <c r="BA253">
        <v>249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Y253*Source!I181</f>
        <v>6.0000000000000001E-3</v>
      </c>
      <c r="CY253">
        <f>AB253</f>
        <v>751.45</v>
      </c>
      <c r="CZ253">
        <f>AF253</f>
        <v>111.99</v>
      </c>
      <c r="DA253">
        <f>AJ253</f>
        <v>6.71</v>
      </c>
      <c r="DB253">
        <f t="shared" si="29"/>
        <v>1.1200000000000001</v>
      </c>
      <c r="DC253">
        <f t="shared" si="30"/>
        <v>0.14000000000000001</v>
      </c>
    </row>
    <row r="254" spans="1:107" x14ac:dyDescent="0.2">
      <c r="A254">
        <f>ROW(Source!A181)</f>
        <v>181</v>
      </c>
      <c r="B254">
        <v>16802145</v>
      </c>
      <c r="C254">
        <v>16803075</v>
      </c>
      <c r="D254">
        <v>15249073</v>
      </c>
      <c r="E254">
        <v>1</v>
      </c>
      <c r="F254">
        <v>1</v>
      </c>
      <c r="G254">
        <v>1</v>
      </c>
      <c r="H254">
        <v>2</v>
      </c>
      <c r="I254" t="s">
        <v>684</v>
      </c>
      <c r="J254" t="s">
        <v>685</v>
      </c>
      <c r="K254" t="s">
        <v>686</v>
      </c>
      <c r="L254">
        <v>1368</v>
      </c>
      <c r="N254">
        <v>1011</v>
      </c>
      <c r="O254" t="s">
        <v>666</v>
      </c>
      <c r="P254" t="s">
        <v>666</v>
      </c>
      <c r="Q254">
        <v>1</v>
      </c>
      <c r="W254">
        <v>0</v>
      </c>
      <c r="X254">
        <v>1372534845</v>
      </c>
      <c r="Y254">
        <v>0.01</v>
      </c>
      <c r="AA254">
        <v>0</v>
      </c>
      <c r="AB254">
        <v>440.91</v>
      </c>
      <c r="AC254">
        <v>11.6</v>
      </c>
      <c r="AD254">
        <v>0</v>
      </c>
      <c r="AE254">
        <v>0</v>
      </c>
      <c r="AF254">
        <v>65.709999999999994</v>
      </c>
      <c r="AG254">
        <v>11.6</v>
      </c>
      <c r="AH254">
        <v>0</v>
      </c>
      <c r="AI254">
        <v>1</v>
      </c>
      <c r="AJ254">
        <v>6.71</v>
      </c>
      <c r="AK254">
        <v>1</v>
      </c>
      <c r="AL254">
        <v>1</v>
      </c>
      <c r="AN254">
        <v>0</v>
      </c>
      <c r="AO254">
        <v>1</v>
      </c>
      <c r="AP254">
        <v>0</v>
      </c>
      <c r="AQ254">
        <v>0</v>
      </c>
      <c r="AR254">
        <v>0</v>
      </c>
      <c r="AS254" t="s">
        <v>6</v>
      </c>
      <c r="AT254">
        <v>0.01</v>
      </c>
      <c r="AU254" t="s">
        <v>6</v>
      </c>
      <c r="AV254">
        <v>0</v>
      </c>
      <c r="AW254">
        <v>2</v>
      </c>
      <c r="AX254">
        <v>16803088</v>
      </c>
      <c r="AY254">
        <v>1</v>
      </c>
      <c r="AZ254">
        <v>0</v>
      </c>
      <c r="BA254">
        <v>250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Y254*Source!I181</f>
        <v>6.0000000000000001E-3</v>
      </c>
      <c r="CY254">
        <f>AB254</f>
        <v>440.91</v>
      </c>
      <c r="CZ254">
        <f>AF254</f>
        <v>65.709999999999994</v>
      </c>
      <c r="DA254">
        <f>AJ254</f>
        <v>6.71</v>
      </c>
      <c r="DB254">
        <f t="shared" si="29"/>
        <v>0.66</v>
      </c>
      <c r="DC254">
        <f t="shared" si="30"/>
        <v>0.12</v>
      </c>
    </row>
    <row r="255" spans="1:107" x14ac:dyDescent="0.2">
      <c r="A255">
        <f>ROW(Source!A181)</f>
        <v>181</v>
      </c>
      <c r="B255">
        <v>16802145</v>
      </c>
      <c r="C255">
        <v>16803075</v>
      </c>
      <c r="D255">
        <v>15167588</v>
      </c>
      <c r="E255">
        <v>1</v>
      </c>
      <c r="F255">
        <v>1</v>
      </c>
      <c r="G255">
        <v>1</v>
      </c>
      <c r="H255">
        <v>3</v>
      </c>
      <c r="I255" t="s">
        <v>835</v>
      </c>
      <c r="J255" t="s">
        <v>836</v>
      </c>
      <c r="K255" t="s">
        <v>837</v>
      </c>
      <c r="L255">
        <v>1346</v>
      </c>
      <c r="N255">
        <v>1009</v>
      </c>
      <c r="O255" t="s">
        <v>103</v>
      </c>
      <c r="P255" t="s">
        <v>103</v>
      </c>
      <c r="Q255">
        <v>1</v>
      </c>
      <c r="W255">
        <v>0</v>
      </c>
      <c r="X255">
        <v>-1088866022</v>
      </c>
      <c r="Y255">
        <v>0.16</v>
      </c>
      <c r="AA255">
        <v>203.98</v>
      </c>
      <c r="AB255">
        <v>0</v>
      </c>
      <c r="AC255">
        <v>0</v>
      </c>
      <c r="AD255">
        <v>0</v>
      </c>
      <c r="AE255">
        <v>30.4</v>
      </c>
      <c r="AF255">
        <v>0</v>
      </c>
      <c r="AG255">
        <v>0</v>
      </c>
      <c r="AH255">
        <v>0</v>
      </c>
      <c r="AI255">
        <v>6.71</v>
      </c>
      <c r="AJ255">
        <v>1</v>
      </c>
      <c r="AK255">
        <v>1</v>
      </c>
      <c r="AL255">
        <v>1</v>
      </c>
      <c r="AN255">
        <v>0</v>
      </c>
      <c r="AO255">
        <v>1</v>
      </c>
      <c r="AP255">
        <v>0</v>
      </c>
      <c r="AQ255">
        <v>0</v>
      </c>
      <c r="AR255">
        <v>0</v>
      </c>
      <c r="AS255" t="s">
        <v>6</v>
      </c>
      <c r="AT255">
        <v>0.16</v>
      </c>
      <c r="AU255" t="s">
        <v>6</v>
      </c>
      <c r="AV255">
        <v>0</v>
      </c>
      <c r="AW255">
        <v>2</v>
      </c>
      <c r="AX255">
        <v>16803089</v>
      </c>
      <c r="AY255">
        <v>1</v>
      </c>
      <c r="AZ255">
        <v>0</v>
      </c>
      <c r="BA255">
        <v>251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Y255*Source!I181</f>
        <v>9.6000000000000002E-2</v>
      </c>
      <c r="CY255">
        <f>AA255</f>
        <v>203.98</v>
      </c>
      <c r="CZ255">
        <f>AE255</f>
        <v>30.4</v>
      </c>
      <c r="DA255">
        <f>AI255</f>
        <v>6.71</v>
      </c>
      <c r="DB255">
        <f t="shared" si="29"/>
        <v>4.8600000000000003</v>
      </c>
      <c r="DC255">
        <f t="shared" si="30"/>
        <v>0</v>
      </c>
    </row>
    <row r="256" spans="1:107" x14ac:dyDescent="0.2">
      <c r="A256">
        <f>ROW(Source!A181)</f>
        <v>181</v>
      </c>
      <c r="B256">
        <v>16802145</v>
      </c>
      <c r="C256">
        <v>16803075</v>
      </c>
      <c r="D256">
        <v>15167600</v>
      </c>
      <c r="E256">
        <v>1</v>
      </c>
      <c r="F256">
        <v>1</v>
      </c>
      <c r="G256">
        <v>1</v>
      </c>
      <c r="H256">
        <v>3</v>
      </c>
      <c r="I256" t="s">
        <v>891</v>
      </c>
      <c r="J256" t="s">
        <v>892</v>
      </c>
      <c r="K256" t="s">
        <v>893</v>
      </c>
      <c r="L256">
        <v>1308</v>
      </c>
      <c r="N256">
        <v>1003</v>
      </c>
      <c r="O256" t="s">
        <v>18</v>
      </c>
      <c r="P256" t="s">
        <v>18</v>
      </c>
      <c r="Q256">
        <v>100</v>
      </c>
      <c r="W256">
        <v>0</v>
      </c>
      <c r="X256">
        <v>568244124</v>
      </c>
      <c r="Y256">
        <v>5.5E-2</v>
      </c>
      <c r="AA256">
        <v>805.2</v>
      </c>
      <c r="AB256">
        <v>0</v>
      </c>
      <c r="AC256">
        <v>0</v>
      </c>
      <c r="AD256">
        <v>0</v>
      </c>
      <c r="AE256">
        <v>120</v>
      </c>
      <c r="AF256">
        <v>0</v>
      </c>
      <c r="AG256">
        <v>0</v>
      </c>
      <c r="AH256">
        <v>0</v>
      </c>
      <c r="AI256">
        <v>6.71</v>
      </c>
      <c r="AJ256">
        <v>1</v>
      </c>
      <c r="AK256">
        <v>1</v>
      </c>
      <c r="AL256">
        <v>1</v>
      </c>
      <c r="AN256">
        <v>0</v>
      </c>
      <c r="AO256">
        <v>1</v>
      </c>
      <c r="AP256">
        <v>0</v>
      </c>
      <c r="AQ256">
        <v>0</v>
      </c>
      <c r="AR256">
        <v>0</v>
      </c>
      <c r="AS256" t="s">
        <v>6</v>
      </c>
      <c r="AT256">
        <v>5.5E-2</v>
      </c>
      <c r="AU256" t="s">
        <v>6</v>
      </c>
      <c r="AV256">
        <v>0</v>
      </c>
      <c r="AW256">
        <v>2</v>
      </c>
      <c r="AX256">
        <v>16803090</v>
      </c>
      <c r="AY256">
        <v>1</v>
      </c>
      <c r="AZ256">
        <v>0</v>
      </c>
      <c r="BA256">
        <v>252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Y256*Source!I181</f>
        <v>3.3000000000000002E-2</v>
      </c>
      <c r="CY256">
        <f>AA256</f>
        <v>805.2</v>
      </c>
      <c r="CZ256">
        <f>AE256</f>
        <v>120</v>
      </c>
      <c r="DA256">
        <f>AI256</f>
        <v>6.71</v>
      </c>
      <c r="DB256">
        <f t="shared" si="29"/>
        <v>6.6</v>
      </c>
      <c r="DC256">
        <f t="shared" si="30"/>
        <v>0</v>
      </c>
    </row>
    <row r="257" spans="1:107" x14ac:dyDescent="0.2">
      <c r="A257">
        <f>ROW(Source!A181)</f>
        <v>181</v>
      </c>
      <c r="B257">
        <v>16802145</v>
      </c>
      <c r="C257">
        <v>16803075</v>
      </c>
      <c r="D257">
        <v>15203834</v>
      </c>
      <c r="E257">
        <v>1</v>
      </c>
      <c r="F257">
        <v>1</v>
      </c>
      <c r="G257">
        <v>1</v>
      </c>
      <c r="H257">
        <v>3</v>
      </c>
      <c r="I257" t="s">
        <v>853</v>
      </c>
      <c r="J257" t="s">
        <v>854</v>
      </c>
      <c r="K257" t="s">
        <v>855</v>
      </c>
      <c r="L257">
        <v>1346</v>
      </c>
      <c r="N257">
        <v>1009</v>
      </c>
      <c r="O257" t="s">
        <v>103</v>
      </c>
      <c r="P257" t="s">
        <v>103</v>
      </c>
      <c r="Q257">
        <v>1</v>
      </c>
      <c r="W257">
        <v>0</v>
      </c>
      <c r="X257">
        <v>210558753</v>
      </c>
      <c r="Y257">
        <v>0.05</v>
      </c>
      <c r="AA257">
        <v>191.91</v>
      </c>
      <c r="AB257">
        <v>0</v>
      </c>
      <c r="AC257">
        <v>0</v>
      </c>
      <c r="AD257">
        <v>0</v>
      </c>
      <c r="AE257">
        <v>28.6</v>
      </c>
      <c r="AF257">
        <v>0</v>
      </c>
      <c r="AG257">
        <v>0</v>
      </c>
      <c r="AH257">
        <v>0</v>
      </c>
      <c r="AI257">
        <v>6.71</v>
      </c>
      <c r="AJ257">
        <v>1</v>
      </c>
      <c r="AK257">
        <v>1</v>
      </c>
      <c r="AL257">
        <v>1</v>
      </c>
      <c r="AN257">
        <v>0</v>
      </c>
      <c r="AO257">
        <v>1</v>
      </c>
      <c r="AP257">
        <v>0</v>
      </c>
      <c r="AQ257">
        <v>0</v>
      </c>
      <c r="AR257">
        <v>0</v>
      </c>
      <c r="AS257" t="s">
        <v>6</v>
      </c>
      <c r="AT257">
        <v>0.05</v>
      </c>
      <c r="AU257" t="s">
        <v>6</v>
      </c>
      <c r="AV257">
        <v>0</v>
      </c>
      <c r="AW257">
        <v>2</v>
      </c>
      <c r="AX257">
        <v>16803091</v>
      </c>
      <c r="AY257">
        <v>1</v>
      </c>
      <c r="AZ257">
        <v>0</v>
      </c>
      <c r="BA257">
        <v>253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Y257*Source!I181</f>
        <v>0.03</v>
      </c>
      <c r="CY257">
        <f>AA257</f>
        <v>191.91</v>
      </c>
      <c r="CZ257">
        <f>AE257</f>
        <v>28.6</v>
      </c>
      <c r="DA257">
        <f>AI257</f>
        <v>6.71</v>
      </c>
      <c r="DB257">
        <f t="shared" si="29"/>
        <v>1.43</v>
      </c>
      <c r="DC257">
        <f t="shared" si="30"/>
        <v>0</v>
      </c>
    </row>
    <row r="258" spans="1:107" x14ac:dyDescent="0.2">
      <c r="A258">
        <f>ROW(Source!A181)</f>
        <v>181</v>
      </c>
      <c r="B258">
        <v>16802145</v>
      </c>
      <c r="C258">
        <v>16803075</v>
      </c>
      <c r="D258">
        <v>15223029</v>
      </c>
      <c r="E258">
        <v>1</v>
      </c>
      <c r="F258">
        <v>1</v>
      </c>
      <c r="G258">
        <v>1</v>
      </c>
      <c r="H258">
        <v>3</v>
      </c>
      <c r="I258" t="s">
        <v>458</v>
      </c>
      <c r="J258" t="s">
        <v>461</v>
      </c>
      <c r="K258" t="s">
        <v>459</v>
      </c>
      <c r="L258">
        <v>1477</v>
      </c>
      <c r="N258">
        <v>1013</v>
      </c>
      <c r="O258" t="s">
        <v>460</v>
      </c>
      <c r="P258" t="s">
        <v>462</v>
      </c>
      <c r="Q258">
        <v>1</v>
      </c>
      <c r="W258">
        <v>0</v>
      </c>
      <c r="X258">
        <v>559331636</v>
      </c>
      <c r="Y258">
        <v>0.1</v>
      </c>
      <c r="AA258">
        <v>46435.95</v>
      </c>
      <c r="AB258">
        <v>0</v>
      </c>
      <c r="AC258">
        <v>0</v>
      </c>
      <c r="AD258">
        <v>0</v>
      </c>
      <c r="AE258">
        <v>6920.41</v>
      </c>
      <c r="AF258">
        <v>0</v>
      </c>
      <c r="AG258">
        <v>0</v>
      </c>
      <c r="AH258">
        <v>0</v>
      </c>
      <c r="AI258">
        <v>6.71</v>
      </c>
      <c r="AJ258">
        <v>1</v>
      </c>
      <c r="AK258">
        <v>1</v>
      </c>
      <c r="AL258">
        <v>1</v>
      </c>
      <c r="AN258">
        <v>0</v>
      </c>
      <c r="AO258">
        <v>0</v>
      </c>
      <c r="AP258">
        <v>0</v>
      </c>
      <c r="AQ258">
        <v>0</v>
      </c>
      <c r="AR258">
        <v>0</v>
      </c>
      <c r="AS258" t="s">
        <v>6</v>
      </c>
      <c r="AT258">
        <v>0.1</v>
      </c>
      <c r="AU258" t="s">
        <v>6</v>
      </c>
      <c r="AV258">
        <v>0</v>
      </c>
      <c r="AW258">
        <v>1</v>
      </c>
      <c r="AX258">
        <v>-1</v>
      </c>
      <c r="AY258">
        <v>0</v>
      </c>
      <c r="AZ258">
        <v>0</v>
      </c>
      <c r="BA258" t="s">
        <v>6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Y258*Source!I181</f>
        <v>0.06</v>
      </c>
      <c r="CY258">
        <f>AA258</f>
        <v>46435.95</v>
      </c>
      <c r="CZ258">
        <f>AE258</f>
        <v>6920.41</v>
      </c>
      <c r="DA258">
        <f>AI258</f>
        <v>6.71</v>
      </c>
      <c r="DB258">
        <f t="shared" si="29"/>
        <v>692.04</v>
      </c>
      <c r="DC258">
        <f t="shared" si="30"/>
        <v>0</v>
      </c>
    </row>
    <row r="259" spans="1:107" x14ac:dyDescent="0.2">
      <c r="A259">
        <f>ROW(Source!A181)</f>
        <v>181</v>
      </c>
      <c r="B259">
        <v>16802145</v>
      </c>
      <c r="C259">
        <v>16803075</v>
      </c>
      <c r="D259">
        <v>15164559</v>
      </c>
      <c r="E259">
        <v>17</v>
      </c>
      <c r="F259">
        <v>1</v>
      </c>
      <c r="G259">
        <v>1</v>
      </c>
      <c r="H259">
        <v>3</v>
      </c>
      <c r="I259" t="s">
        <v>821</v>
      </c>
      <c r="J259" t="s">
        <v>6</v>
      </c>
      <c r="K259" t="s">
        <v>822</v>
      </c>
      <c r="L259">
        <v>1374</v>
      </c>
      <c r="N259">
        <v>1013</v>
      </c>
      <c r="O259" t="s">
        <v>823</v>
      </c>
      <c r="P259" t="s">
        <v>823</v>
      </c>
      <c r="Q259">
        <v>1</v>
      </c>
      <c r="W259">
        <v>0</v>
      </c>
      <c r="X259">
        <v>-1731369543</v>
      </c>
      <c r="Y259">
        <v>0.71</v>
      </c>
      <c r="AA259">
        <v>1</v>
      </c>
      <c r="AB259">
        <v>0</v>
      </c>
      <c r="AC259">
        <v>0</v>
      </c>
      <c r="AD259">
        <v>0</v>
      </c>
      <c r="AE259">
        <v>1</v>
      </c>
      <c r="AF259">
        <v>0</v>
      </c>
      <c r="AG259">
        <v>0</v>
      </c>
      <c r="AH259">
        <v>0</v>
      </c>
      <c r="AI259">
        <v>1</v>
      </c>
      <c r="AJ259">
        <v>1</v>
      </c>
      <c r="AK259">
        <v>1</v>
      </c>
      <c r="AL259">
        <v>1</v>
      </c>
      <c r="AN259">
        <v>0</v>
      </c>
      <c r="AO259">
        <v>1</v>
      </c>
      <c r="AP259">
        <v>0</v>
      </c>
      <c r="AQ259">
        <v>0</v>
      </c>
      <c r="AR259">
        <v>0</v>
      </c>
      <c r="AS259" t="s">
        <v>6</v>
      </c>
      <c r="AT259">
        <v>0.71</v>
      </c>
      <c r="AU259" t="s">
        <v>6</v>
      </c>
      <c r="AV259">
        <v>0</v>
      </c>
      <c r="AW259">
        <v>2</v>
      </c>
      <c r="AX259">
        <v>16803092</v>
      </c>
      <c r="AY259">
        <v>1</v>
      </c>
      <c r="AZ259">
        <v>0</v>
      </c>
      <c r="BA259">
        <v>254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Y259*Source!I181</f>
        <v>0.42599999999999999</v>
      </c>
      <c r="CY259">
        <f>AA259</f>
        <v>1</v>
      </c>
      <c r="CZ259">
        <f>AE259</f>
        <v>1</v>
      </c>
      <c r="DA259">
        <f>AI259</f>
        <v>1</v>
      </c>
      <c r="DB259">
        <f t="shared" si="29"/>
        <v>0.71</v>
      </c>
      <c r="DC259">
        <f t="shared" si="30"/>
        <v>0</v>
      </c>
    </row>
    <row r="260" spans="1:107" x14ac:dyDescent="0.2">
      <c r="A260">
        <f>ROW(Source!A183)</f>
        <v>183</v>
      </c>
      <c r="B260">
        <v>16802145</v>
      </c>
      <c r="C260">
        <v>16803094</v>
      </c>
      <c r="D260">
        <v>15430397</v>
      </c>
      <c r="E260">
        <v>1</v>
      </c>
      <c r="F260">
        <v>1</v>
      </c>
      <c r="G260">
        <v>1</v>
      </c>
      <c r="H260">
        <v>1</v>
      </c>
      <c r="I260" t="s">
        <v>718</v>
      </c>
      <c r="J260" t="s">
        <v>6</v>
      </c>
      <c r="K260" t="s">
        <v>719</v>
      </c>
      <c r="L260">
        <v>1191</v>
      </c>
      <c r="N260">
        <v>1013</v>
      </c>
      <c r="O260" t="s">
        <v>660</v>
      </c>
      <c r="P260" t="s">
        <v>660</v>
      </c>
      <c r="Q260">
        <v>1</v>
      </c>
      <c r="W260">
        <v>0</v>
      </c>
      <c r="X260">
        <v>-1081351934</v>
      </c>
      <c r="Y260">
        <v>6.29</v>
      </c>
      <c r="AA260">
        <v>0</v>
      </c>
      <c r="AB260">
        <v>0</v>
      </c>
      <c r="AC260">
        <v>0</v>
      </c>
      <c r="AD260">
        <v>63.07</v>
      </c>
      <c r="AE260">
        <v>0</v>
      </c>
      <c r="AF260">
        <v>0</v>
      </c>
      <c r="AG260">
        <v>0</v>
      </c>
      <c r="AH260">
        <v>9.4</v>
      </c>
      <c r="AI260">
        <v>1</v>
      </c>
      <c r="AJ260">
        <v>1</v>
      </c>
      <c r="AK260">
        <v>1</v>
      </c>
      <c r="AL260">
        <v>6.71</v>
      </c>
      <c r="AN260">
        <v>0</v>
      </c>
      <c r="AO260">
        <v>1</v>
      </c>
      <c r="AP260">
        <v>0</v>
      </c>
      <c r="AQ260">
        <v>0</v>
      </c>
      <c r="AR260">
        <v>0</v>
      </c>
      <c r="AS260" t="s">
        <v>6</v>
      </c>
      <c r="AT260">
        <v>6.29</v>
      </c>
      <c r="AU260" t="s">
        <v>6</v>
      </c>
      <c r="AV260">
        <v>1</v>
      </c>
      <c r="AW260">
        <v>2</v>
      </c>
      <c r="AX260">
        <v>16803106</v>
      </c>
      <c r="AY260">
        <v>1</v>
      </c>
      <c r="AZ260">
        <v>0</v>
      </c>
      <c r="BA260">
        <v>255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Y260*Source!I183</f>
        <v>33.462800000000001</v>
      </c>
      <c r="CY260">
        <f>AD260</f>
        <v>63.07</v>
      </c>
      <c r="CZ260">
        <f>AH260</f>
        <v>9.4</v>
      </c>
      <c r="DA260">
        <f>AL260</f>
        <v>6.71</v>
      </c>
      <c r="DB260">
        <f t="shared" si="29"/>
        <v>59.13</v>
      </c>
      <c r="DC260">
        <f t="shared" si="30"/>
        <v>0</v>
      </c>
    </row>
    <row r="261" spans="1:107" x14ac:dyDescent="0.2">
      <c r="A261">
        <f>ROW(Source!A183)</f>
        <v>183</v>
      </c>
      <c r="B261">
        <v>16802145</v>
      </c>
      <c r="C261">
        <v>16803094</v>
      </c>
      <c r="D261">
        <v>15430395</v>
      </c>
      <c r="E261">
        <v>1</v>
      </c>
      <c r="F261">
        <v>1</v>
      </c>
      <c r="G261">
        <v>1</v>
      </c>
      <c r="H261">
        <v>1</v>
      </c>
      <c r="I261" t="s">
        <v>661</v>
      </c>
      <c r="J261" t="s">
        <v>6</v>
      </c>
      <c r="K261" t="s">
        <v>662</v>
      </c>
      <c r="L261">
        <v>1191</v>
      </c>
      <c r="N261">
        <v>1013</v>
      </c>
      <c r="O261" t="s">
        <v>660</v>
      </c>
      <c r="P261" t="s">
        <v>660</v>
      </c>
      <c r="Q261">
        <v>1</v>
      </c>
      <c r="W261">
        <v>0</v>
      </c>
      <c r="X261">
        <v>-1417349443</v>
      </c>
      <c r="Y261">
        <v>0.06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1</v>
      </c>
      <c r="AJ261">
        <v>1</v>
      </c>
      <c r="AK261">
        <v>6.71</v>
      </c>
      <c r="AL261">
        <v>1</v>
      </c>
      <c r="AN261">
        <v>0</v>
      </c>
      <c r="AO261">
        <v>1</v>
      </c>
      <c r="AP261">
        <v>0</v>
      </c>
      <c r="AQ261">
        <v>0</v>
      </c>
      <c r="AR261">
        <v>0</v>
      </c>
      <c r="AS261" t="s">
        <v>6</v>
      </c>
      <c r="AT261">
        <v>0.06</v>
      </c>
      <c r="AU261" t="s">
        <v>6</v>
      </c>
      <c r="AV261">
        <v>2</v>
      </c>
      <c r="AW261">
        <v>2</v>
      </c>
      <c r="AX261">
        <v>16803107</v>
      </c>
      <c r="AY261">
        <v>1</v>
      </c>
      <c r="AZ261">
        <v>0</v>
      </c>
      <c r="BA261">
        <v>256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Y261*Source!I183</f>
        <v>0.31919999999999998</v>
      </c>
      <c r="CY261">
        <f>AD261</f>
        <v>0</v>
      </c>
      <c r="CZ261">
        <f>AH261</f>
        <v>0</v>
      </c>
      <c r="DA261">
        <f>AL261</f>
        <v>1</v>
      </c>
      <c r="DB261">
        <f t="shared" si="29"/>
        <v>0</v>
      </c>
      <c r="DC261">
        <f t="shared" si="30"/>
        <v>0</v>
      </c>
    </row>
    <row r="262" spans="1:107" x14ac:dyDescent="0.2">
      <c r="A262">
        <f>ROW(Source!A183)</f>
        <v>183</v>
      </c>
      <c r="B262">
        <v>16802145</v>
      </c>
      <c r="C262">
        <v>16803094</v>
      </c>
      <c r="D262">
        <v>15247680</v>
      </c>
      <c r="E262">
        <v>1</v>
      </c>
      <c r="F262">
        <v>1</v>
      </c>
      <c r="G262">
        <v>1</v>
      </c>
      <c r="H262">
        <v>2</v>
      </c>
      <c r="I262" t="s">
        <v>786</v>
      </c>
      <c r="J262" t="s">
        <v>787</v>
      </c>
      <c r="K262" t="s">
        <v>788</v>
      </c>
      <c r="L262">
        <v>1368</v>
      </c>
      <c r="N262">
        <v>1011</v>
      </c>
      <c r="O262" t="s">
        <v>666</v>
      </c>
      <c r="P262" t="s">
        <v>666</v>
      </c>
      <c r="Q262">
        <v>1</v>
      </c>
      <c r="W262">
        <v>0</v>
      </c>
      <c r="X262">
        <v>-1718674368</v>
      </c>
      <c r="Y262">
        <v>0.03</v>
      </c>
      <c r="AA262">
        <v>0</v>
      </c>
      <c r="AB262">
        <v>751.45</v>
      </c>
      <c r="AC262">
        <v>13.5</v>
      </c>
      <c r="AD262">
        <v>0</v>
      </c>
      <c r="AE262">
        <v>0</v>
      </c>
      <c r="AF262">
        <v>111.99</v>
      </c>
      <c r="AG262">
        <v>13.5</v>
      </c>
      <c r="AH262">
        <v>0</v>
      </c>
      <c r="AI262">
        <v>1</v>
      </c>
      <c r="AJ262">
        <v>6.71</v>
      </c>
      <c r="AK262">
        <v>1</v>
      </c>
      <c r="AL262">
        <v>1</v>
      </c>
      <c r="AN262">
        <v>0</v>
      </c>
      <c r="AO262">
        <v>1</v>
      </c>
      <c r="AP262">
        <v>0</v>
      </c>
      <c r="AQ262">
        <v>0</v>
      </c>
      <c r="AR262">
        <v>0</v>
      </c>
      <c r="AS262" t="s">
        <v>6</v>
      </c>
      <c r="AT262">
        <v>0.03</v>
      </c>
      <c r="AU262" t="s">
        <v>6</v>
      </c>
      <c r="AV262">
        <v>0</v>
      </c>
      <c r="AW262">
        <v>2</v>
      </c>
      <c r="AX262">
        <v>16803108</v>
      </c>
      <c r="AY262">
        <v>1</v>
      </c>
      <c r="AZ262">
        <v>0</v>
      </c>
      <c r="BA262">
        <v>257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Y262*Source!I183</f>
        <v>0.15959999999999999</v>
      </c>
      <c r="CY262">
        <f>AB262</f>
        <v>751.45</v>
      </c>
      <c r="CZ262">
        <f>AF262</f>
        <v>111.99</v>
      </c>
      <c r="DA262">
        <f>AJ262</f>
        <v>6.71</v>
      </c>
      <c r="DB262">
        <f t="shared" si="29"/>
        <v>3.36</v>
      </c>
      <c r="DC262">
        <f t="shared" si="30"/>
        <v>0.41</v>
      </c>
    </row>
    <row r="263" spans="1:107" x14ac:dyDescent="0.2">
      <c r="A263">
        <f>ROW(Source!A183)</f>
        <v>183</v>
      </c>
      <c r="B263">
        <v>16802145</v>
      </c>
      <c r="C263">
        <v>16803094</v>
      </c>
      <c r="D263">
        <v>15249073</v>
      </c>
      <c r="E263">
        <v>1</v>
      </c>
      <c r="F263">
        <v>1</v>
      </c>
      <c r="G263">
        <v>1</v>
      </c>
      <c r="H263">
        <v>2</v>
      </c>
      <c r="I263" t="s">
        <v>684</v>
      </c>
      <c r="J263" t="s">
        <v>685</v>
      </c>
      <c r="K263" t="s">
        <v>686</v>
      </c>
      <c r="L263">
        <v>1368</v>
      </c>
      <c r="N263">
        <v>1011</v>
      </c>
      <c r="O263" t="s">
        <v>666</v>
      </c>
      <c r="P263" t="s">
        <v>666</v>
      </c>
      <c r="Q263">
        <v>1</v>
      </c>
      <c r="W263">
        <v>0</v>
      </c>
      <c r="X263">
        <v>1372534845</v>
      </c>
      <c r="Y263">
        <v>0.03</v>
      </c>
      <c r="AA263">
        <v>0</v>
      </c>
      <c r="AB263">
        <v>440.91</v>
      </c>
      <c r="AC263">
        <v>11.6</v>
      </c>
      <c r="AD263">
        <v>0</v>
      </c>
      <c r="AE263">
        <v>0</v>
      </c>
      <c r="AF263">
        <v>65.709999999999994</v>
      </c>
      <c r="AG263">
        <v>11.6</v>
      </c>
      <c r="AH263">
        <v>0</v>
      </c>
      <c r="AI263">
        <v>1</v>
      </c>
      <c r="AJ263">
        <v>6.71</v>
      </c>
      <c r="AK263">
        <v>1</v>
      </c>
      <c r="AL263">
        <v>1</v>
      </c>
      <c r="AN263">
        <v>0</v>
      </c>
      <c r="AO263">
        <v>1</v>
      </c>
      <c r="AP263">
        <v>0</v>
      </c>
      <c r="AQ263">
        <v>0</v>
      </c>
      <c r="AR263">
        <v>0</v>
      </c>
      <c r="AS263" t="s">
        <v>6</v>
      </c>
      <c r="AT263">
        <v>0.03</v>
      </c>
      <c r="AU263" t="s">
        <v>6</v>
      </c>
      <c r="AV263">
        <v>0</v>
      </c>
      <c r="AW263">
        <v>2</v>
      </c>
      <c r="AX263">
        <v>16803109</v>
      </c>
      <c r="AY263">
        <v>1</v>
      </c>
      <c r="AZ263">
        <v>0</v>
      </c>
      <c r="BA263">
        <v>258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Y263*Source!I183</f>
        <v>0.15959999999999999</v>
      </c>
      <c r="CY263">
        <f>AB263</f>
        <v>440.91</v>
      </c>
      <c r="CZ263">
        <f>AF263</f>
        <v>65.709999999999994</v>
      </c>
      <c r="DA263">
        <f>AJ263</f>
        <v>6.71</v>
      </c>
      <c r="DB263">
        <f t="shared" si="29"/>
        <v>1.97</v>
      </c>
      <c r="DC263">
        <f t="shared" si="30"/>
        <v>0.35</v>
      </c>
    </row>
    <row r="264" spans="1:107" x14ac:dyDescent="0.2">
      <c r="A264">
        <f>ROW(Source!A183)</f>
        <v>183</v>
      </c>
      <c r="B264">
        <v>16802145</v>
      </c>
      <c r="C264">
        <v>16803094</v>
      </c>
      <c r="D264">
        <v>15167588</v>
      </c>
      <c r="E264">
        <v>1</v>
      </c>
      <c r="F264">
        <v>1</v>
      </c>
      <c r="G264">
        <v>1</v>
      </c>
      <c r="H264">
        <v>3</v>
      </c>
      <c r="I264" t="s">
        <v>835</v>
      </c>
      <c r="J264" t="s">
        <v>836</v>
      </c>
      <c r="K264" t="s">
        <v>837</v>
      </c>
      <c r="L264">
        <v>1346</v>
      </c>
      <c r="N264">
        <v>1009</v>
      </c>
      <c r="O264" t="s">
        <v>103</v>
      </c>
      <c r="P264" t="s">
        <v>103</v>
      </c>
      <c r="Q264">
        <v>1</v>
      </c>
      <c r="W264">
        <v>0</v>
      </c>
      <c r="X264">
        <v>-1088866022</v>
      </c>
      <c r="Y264">
        <v>0.32</v>
      </c>
      <c r="AA264">
        <v>203.98</v>
      </c>
      <c r="AB264">
        <v>0</v>
      </c>
      <c r="AC264">
        <v>0</v>
      </c>
      <c r="AD264">
        <v>0</v>
      </c>
      <c r="AE264">
        <v>30.4</v>
      </c>
      <c r="AF264">
        <v>0</v>
      </c>
      <c r="AG264">
        <v>0</v>
      </c>
      <c r="AH264">
        <v>0</v>
      </c>
      <c r="AI264">
        <v>6.71</v>
      </c>
      <c r="AJ264">
        <v>1</v>
      </c>
      <c r="AK264">
        <v>1</v>
      </c>
      <c r="AL264">
        <v>1</v>
      </c>
      <c r="AN264">
        <v>0</v>
      </c>
      <c r="AO264">
        <v>1</v>
      </c>
      <c r="AP264">
        <v>0</v>
      </c>
      <c r="AQ264">
        <v>0</v>
      </c>
      <c r="AR264">
        <v>0</v>
      </c>
      <c r="AS264" t="s">
        <v>6</v>
      </c>
      <c r="AT264">
        <v>0.32</v>
      </c>
      <c r="AU264" t="s">
        <v>6</v>
      </c>
      <c r="AV264">
        <v>0</v>
      </c>
      <c r="AW264">
        <v>2</v>
      </c>
      <c r="AX264">
        <v>16803110</v>
      </c>
      <c r="AY264">
        <v>1</v>
      </c>
      <c r="AZ264">
        <v>0</v>
      </c>
      <c r="BA264">
        <v>259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Y264*Source!I183</f>
        <v>1.7024000000000001</v>
      </c>
      <c r="CY264">
        <f t="shared" ref="CY264:CY270" si="31">AA264</f>
        <v>203.98</v>
      </c>
      <c r="CZ264">
        <f t="shared" ref="CZ264:CZ270" si="32">AE264</f>
        <v>30.4</v>
      </c>
      <c r="DA264">
        <f t="shared" ref="DA264:DA270" si="33">AI264</f>
        <v>6.71</v>
      </c>
      <c r="DB264">
        <f t="shared" si="29"/>
        <v>9.73</v>
      </c>
      <c r="DC264">
        <f t="shared" si="30"/>
        <v>0</v>
      </c>
    </row>
    <row r="265" spans="1:107" x14ac:dyDescent="0.2">
      <c r="A265">
        <f>ROW(Source!A183)</f>
        <v>183</v>
      </c>
      <c r="B265">
        <v>16802145</v>
      </c>
      <c r="C265">
        <v>16803094</v>
      </c>
      <c r="D265">
        <v>15167867</v>
      </c>
      <c r="E265">
        <v>1</v>
      </c>
      <c r="F265">
        <v>1</v>
      </c>
      <c r="G265">
        <v>1</v>
      </c>
      <c r="H265">
        <v>3</v>
      </c>
      <c r="I265" t="s">
        <v>894</v>
      </c>
      <c r="J265" t="s">
        <v>895</v>
      </c>
      <c r="K265" t="s">
        <v>896</v>
      </c>
      <c r="L265">
        <v>1348</v>
      </c>
      <c r="N265">
        <v>1009</v>
      </c>
      <c r="O265" t="s">
        <v>65</v>
      </c>
      <c r="P265" t="s">
        <v>65</v>
      </c>
      <c r="Q265">
        <v>1000</v>
      </c>
      <c r="W265">
        <v>0</v>
      </c>
      <c r="X265">
        <v>1012095217</v>
      </c>
      <c r="Y265">
        <v>1.0499999999999999E-3</v>
      </c>
      <c r="AA265">
        <v>12212.2</v>
      </c>
      <c r="AB265">
        <v>0</v>
      </c>
      <c r="AC265">
        <v>0</v>
      </c>
      <c r="AD265">
        <v>0</v>
      </c>
      <c r="AE265">
        <v>1820</v>
      </c>
      <c r="AF265">
        <v>0</v>
      </c>
      <c r="AG265">
        <v>0</v>
      </c>
      <c r="AH265">
        <v>0</v>
      </c>
      <c r="AI265">
        <v>6.71</v>
      </c>
      <c r="AJ265">
        <v>1</v>
      </c>
      <c r="AK265">
        <v>1</v>
      </c>
      <c r="AL265">
        <v>1</v>
      </c>
      <c r="AN265">
        <v>0</v>
      </c>
      <c r="AO265">
        <v>1</v>
      </c>
      <c r="AP265">
        <v>0</v>
      </c>
      <c r="AQ265">
        <v>0</v>
      </c>
      <c r="AR265">
        <v>0</v>
      </c>
      <c r="AS265" t="s">
        <v>6</v>
      </c>
      <c r="AT265">
        <v>1.0499999999999999E-3</v>
      </c>
      <c r="AU265" t="s">
        <v>6</v>
      </c>
      <c r="AV265">
        <v>0</v>
      </c>
      <c r="AW265">
        <v>2</v>
      </c>
      <c r="AX265">
        <v>16803111</v>
      </c>
      <c r="AY265">
        <v>1</v>
      </c>
      <c r="AZ265">
        <v>0</v>
      </c>
      <c r="BA265">
        <v>260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Y265*Source!I183</f>
        <v>5.5859999999999998E-3</v>
      </c>
      <c r="CY265">
        <f t="shared" si="31"/>
        <v>12212.2</v>
      </c>
      <c r="CZ265">
        <f t="shared" si="32"/>
        <v>1820</v>
      </c>
      <c r="DA265">
        <f t="shared" si="33"/>
        <v>6.71</v>
      </c>
      <c r="DB265">
        <f t="shared" si="29"/>
        <v>1.91</v>
      </c>
      <c r="DC265">
        <f t="shared" si="30"/>
        <v>0</v>
      </c>
    </row>
    <row r="266" spans="1:107" x14ac:dyDescent="0.2">
      <c r="A266">
        <f>ROW(Source!A183)</f>
        <v>183</v>
      </c>
      <c r="B266">
        <v>16802145</v>
      </c>
      <c r="C266">
        <v>16803094</v>
      </c>
      <c r="D266">
        <v>15203834</v>
      </c>
      <c r="E266">
        <v>1</v>
      </c>
      <c r="F266">
        <v>1</v>
      </c>
      <c r="G266">
        <v>1</v>
      </c>
      <c r="H266">
        <v>3</v>
      </c>
      <c r="I266" t="s">
        <v>853</v>
      </c>
      <c r="J266" t="s">
        <v>854</v>
      </c>
      <c r="K266" t="s">
        <v>855</v>
      </c>
      <c r="L266">
        <v>1346</v>
      </c>
      <c r="N266">
        <v>1009</v>
      </c>
      <c r="O266" t="s">
        <v>103</v>
      </c>
      <c r="P266" t="s">
        <v>103</v>
      </c>
      <c r="Q266">
        <v>1</v>
      </c>
      <c r="W266">
        <v>0</v>
      </c>
      <c r="X266">
        <v>210558753</v>
      </c>
      <c r="Y266">
        <v>0.02</v>
      </c>
      <c r="AA266">
        <v>191.91</v>
      </c>
      <c r="AB266">
        <v>0</v>
      </c>
      <c r="AC266">
        <v>0</v>
      </c>
      <c r="AD266">
        <v>0</v>
      </c>
      <c r="AE266">
        <v>28.6</v>
      </c>
      <c r="AF266">
        <v>0</v>
      </c>
      <c r="AG266">
        <v>0</v>
      </c>
      <c r="AH266">
        <v>0</v>
      </c>
      <c r="AI266">
        <v>6.71</v>
      </c>
      <c r="AJ266">
        <v>1</v>
      </c>
      <c r="AK266">
        <v>1</v>
      </c>
      <c r="AL266">
        <v>1</v>
      </c>
      <c r="AN266">
        <v>0</v>
      </c>
      <c r="AO266">
        <v>1</v>
      </c>
      <c r="AP266">
        <v>0</v>
      </c>
      <c r="AQ266">
        <v>0</v>
      </c>
      <c r="AR266">
        <v>0</v>
      </c>
      <c r="AS266" t="s">
        <v>6</v>
      </c>
      <c r="AT266">
        <v>0.02</v>
      </c>
      <c r="AU266" t="s">
        <v>6</v>
      </c>
      <c r="AV266">
        <v>0</v>
      </c>
      <c r="AW266">
        <v>2</v>
      </c>
      <c r="AX266">
        <v>16803112</v>
      </c>
      <c r="AY266">
        <v>1</v>
      </c>
      <c r="AZ266">
        <v>0</v>
      </c>
      <c r="BA266">
        <v>261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Y266*Source!I183</f>
        <v>0.10640000000000001</v>
      </c>
      <c r="CY266">
        <f t="shared" si="31"/>
        <v>191.91</v>
      </c>
      <c r="CZ266">
        <f t="shared" si="32"/>
        <v>28.6</v>
      </c>
      <c r="DA266">
        <f t="shared" si="33"/>
        <v>6.71</v>
      </c>
      <c r="DB266">
        <f t="shared" si="29"/>
        <v>0.56999999999999995</v>
      </c>
      <c r="DC266">
        <f t="shared" si="30"/>
        <v>0</v>
      </c>
    </row>
    <row r="267" spans="1:107" x14ac:dyDescent="0.2">
      <c r="A267">
        <f>ROW(Source!A183)</f>
        <v>183</v>
      </c>
      <c r="B267">
        <v>16802145</v>
      </c>
      <c r="C267">
        <v>16803094</v>
      </c>
      <c r="D267">
        <v>15217529</v>
      </c>
      <c r="E267">
        <v>1</v>
      </c>
      <c r="F267">
        <v>1</v>
      </c>
      <c r="G267">
        <v>1</v>
      </c>
      <c r="H267">
        <v>3</v>
      </c>
      <c r="I267" t="s">
        <v>897</v>
      </c>
      <c r="J267" t="s">
        <v>898</v>
      </c>
      <c r="K267" t="s">
        <v>899</v>
      </c>
      <c r="L267">
        <v>1355</v>
      </c>
      <c r="N267">
        <v>1010</v>
      </c>
      <c r="O267" t="s">
        <v>126</v>
      </c>
      <c r="P267" t="s">
        <v>126</v>
      </c>
      <c r="Q267">
        <v>100</v>
      </c>
      <c r="W267">
        <v>0</v>
      </c>
      <c r="X267">
        <v>-1427219203</v>
      </c>
      <c r="Y267">
        <v>0.05</v>
      </c>
      <c r="AA267">
        <v>959.53</v>
      </c>
      <c r="AB267">
        <v>0</v>
      </c>
      <c r="AC267">
        <v>0</v>
      </c>
      <c r="AD267">
        <v>0</v>
      </c>
      <c r="AE267">
        <v>143</v>
      </c>
      <c r="AF267">
        <v>0</v>
      </c>
      <c r="AG267">
        <v>0</v>
      </c>
      <c r="AH267">
        <v>0</v>
      </c>
      <c r="AI267">
        <v>6.71</v>
      </c>
      <c r="AJ267">
        <v>1</v>
      </c>
      <c r="AK267">
        <v>1</v>
      </c>
      <c r="AL267">
        <v>1</v>
      </c>
      <c r="AN267">
        <v>0</v>
      </c>
      <c r="AO267">
        <v>1</v>
      </c>
      <c r="AP267">
        <v>0</v>
      </c>
      <c r="AQ267">
        <v>0</v>
      </c>
      <c r="AR267">
        <v>0</v>
      </c>
      <c r="AS267" t="s">
        <v>6</v>
      </c>
      <c r="AT267">
        <v>0.05</v>
      </c>
      <c r="AU267" t="s">
        <v>6</v>
      </c>
      <c r="AV267">
        <v>0</v>
      </c>
      <c r="AW267">
        <v>2</v>
      </c>
      <c r="AX267">
        <v>16803113</v>
      </c>
      <c r="AY267">
        <v>1</v>
      </c>
      <c r="AZ267">
        <v>0</v>
      </c>
      <c r="BA267">
        <v>262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>Y267*Source!I183</f>
        <v>0.26600000000000001</v>
      </c>
      <c r="CY267">
        <f t="shared" si="31"/>
        <v>959.53</v>
      </c>
      <c r="CZ267">
        <f t="shared" si="32"/>
        <v>143</v>
      </c>
      <c r="DA267">
        <f t="shared" si="33"/>
        <v>6.71</v>
      </c>
      <c r="DB267">
        <f t="shared" si="29"/>
        <v>7.15</v>
      </c>
      <c r="DC267">
        <f t="shared" si="30"/>
        <v>0</v>
      </c>
    </row>
    <row r="268" spans="1:107" x14ac:dyDescent="0.2">
      <c r="A268">
        <f>ROW(Source!A183)</f>
        <v>183</v>
      </c>
      <c r="B268">
        <v>16802145</v>
      </c>
      <c r="C268">
        <v>16803094</v>
      </c>
      <c r="D268">
        <v>15217579</v>
      </c>
      <c r="E268">
        <v>1</v>
      </c>
      <c r="F268">
        <v>1</v>
      </c>
      <c r="G268">
        <v>1</v>
      </c>
      <c r="H268">
        <v>3</v>
      </c>
      <c r="I268" t="s">
        <v>900</v>
      </c>
      <c r="J268" t="s">
        <v>901</v>
      </c>
      <c r="K268" t="s">
        <v>902</v>
      </c>
      <c r="L268">
        <v>1356</v>
      </c>
      <c r="N268">
        <v>1010</v>
      </c>
      <c r="O268" t="s">
        <v>709</v>
      </c>
      <c r="P268" t="s">
        <v>709</v>
      </c>
      <c r="Q268">
        <v>1000</v>
      </c>
      <c r="W268">
        <v>0</v>
      </c>
      <c r="X268">
        <v>2033598199</v>
      </c>
      <c r="Y268">
        <v>1.2200000000000001E-2</v>
      </c>
      <c r="AA268">
        <v>1182.3699999999999</v>
      </c>
      <c r="AB268">
        <v>0</v>
      </c>
      <c r="AC268">
        <v>0</v>
      </c>
      <c r="AD268">
        <v>0</v>
      </c>
      <c r="AE268">
        <v>176.21</v>
      </c>
      <c r="AF268">
        <v>0</v>
      </c>
      <c r="AG268">
        <v>0</v>
      </c>
      <c r="AH268">
        <v>0</v>
      </c>
      <c r="AI268">
        <v>6.71</v>
      </c>
      <c r="AJ268">
        <v>1</v>
      </c>
      <c r="AK268">
        <v>1</v>
      </c>
      <c r="AL268">
        <v>1</v>
      </c>
      <c r="AN268">
        <v>0</v>
      </c>
      <c r="AO268">
        <v>1</v>
      </c>
      <c r="AP268">
        <v>0</v>
      </c>
      <c r="AQ268">
        <v>0</v>
      </c>
      <c r="AR268">
        <v>0</v>
      </c>
      <c r="AS268" t="s">
        <v>6</v>
      </c>
      <c r="AT268">
        <v>1.2200000000000001E-2</v>
      </c>
      <c r="AU268" t="s">
        <v>6</v>
      </c>
      <c r="AV268">
        <v>0</v>
      </c>
      <c r="AW268">
        <v>2</v>
      </c>
      <c r="AX268">
        <v>16803114</v>
      </c>
      <c r="AY268">
        <v>1</v>
      </c>
      <c r="AZ268">
        <v>0</v>
      </c>
      <c r="BA268">
        <v>263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>Y268*Source!I183</f>
        <v>6.4904000000000003E-2</v>
      </c>
      <c r="CY268">
        <f t="shared" si="31"/>
        <v>1182.3699999999999</v>
      </c>
      <c r="CZ268">
        <f t="shared" si="32"/>
        <v>176.21</v>
      </c>
      <c r="DA268">
        <f t="shared" si="33"/>
        <v>6.71</v>
      </c>
      <c r="DB268">
        <f t="shared" si="29"/>
        <v>2.15</v>
      </c>
      <c r="DC268">
        <f t="shared" si="30"/>
        <v>0</v>
      </c>
    </row>
    <row r="269" spans="1:107" x14ac:dyDescent="0.2">
      <c r="A269">
        <f>ROW(Source!A183)</f>
        <v>183</v>
      </c>
      <c r="B269">
        <v>16802145</v>
      </c>
      <c r="C269">
        <v>16803094</v>
      </c>
      <c r="D269">
        <v>15223029</v>
      </c>
      <c r="E269">
        <v>1</v>
      </c>
      <c r="F269">
        <v>1</v>
      </c>
      <c r="G269">
        <v>1</v>
      </c>
      <c r="H269">
        <v>3</v>
      </c>
      <c r="I269" t="s">
        <v>458</v>
      </c>
      <c r="J269" t="s">
        <v>461</v>
      </c>
      <c r="K269" t="s">
        <v>459</v>
      </c>
      <c r="L269">
        <v>1477</v>
      </c>
      <c r="N269">
        <v>1013</v>
      </c>
      <c r="O269" t="s">
        <v>460</v>
      </c>
      <c r="P269" t="s">
        <v>462</v>
      </c>
      <c r="Q269">
        <v>1</v>
      </c>
      <c r="W269">
        <v>0</v>
      </c>
      <c r="X269">
        <v>559331636</v>
      </c>
      <c r="Y269">
        <v>0.1</v>
      </c>
      <c r="AA269">
        <v>46435.95</v>
      </c>
      <c r="AB269">
        <v>0</v>
      </c>
      <c r="AC269">
        <v>0</v>
      </c>
      <c r="AD269">
        <v>0</v>
      </c>
      <c r="AE269">
        <v>6920.41</v>
      </c>
      <c r="AF269">
        <v>0</v>
      </c>
      <c r="AG269">
        <v>0</v>
      </c>
      <c r="AH269">
        <v>0</v>
      </c>
      <c r="AI269">
        <v>6.71</v>
      </c>
      <c r="AJ269">
        <v>1</v>
      </c>
      <c r="AK269">
        <v>1</v>
      </c>
      <c r="AL269">
        <v>1</v>
      </c>
      <c r="AN269">
        <v>0</v>
      </c>
      <c r="AO269">
        <v>0</v>
      </c>
      <c r="AP269">
        <v>0</v>
      </c>
      <c r="AQ269">
        <v>0</v>
      </c>
      <c r="AR269">
        <v>0</v>
      </c>
      <c r="AS269" t="s">
        <v>6</v>
      </c>
      <c r="AT269">
        <v>0.1</v>
      </c>
      <c r="AU269" t="s">
        <v>6</v>
      </c>
      <c r="AV269">
        <v>0</v>
      </c>
      <c r="AW269">
        <v>1</v>
      </c>
      <c r="AX269">
        <v>-1</v>
      </c>
      <c r="AY269">
        <v>0</v>
      </c>
      <c r="AZ269">
        <v>0</v>
      </c>
      <c r="BA269" t="s">
        <v>6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>Y269*Source!I183</f>
        <v>0.53200000000000003</v>
      </c>
      <c r="CY269">
        <f t="shared" si="31"/>
        <v>46435.95</v>
      </c>
      <c r="CZ269">
        <f t="shared" si="32"/>
        <v>6920.41</v>
      </c>
      <c r="DA269">
        <f t="shared" si="33"/>
        <v>6.71</v>
      </c>
      <c r="DB269">
        <f t="shared" si="29"/>
        <v>692.04</v>
      </c>
      <c r="DC269">
        <f t="shared" si="30"/>
        <v>0</v>
      </c>
    </row>
    <row r="270" spans="1:107" x14ac:dyDescent="0.2">
      <c r="A270">
        <f>ROW(Source!A183)</f>
        <v>183</v>
      </c>
      <c r="B270">
        <v>16802145</v>
      </c>
      <c r="C270">
        <v>16803094</v>
      </c>
      <c r="D270">
        <v>15164559</v>
      </c>
      <c r="E270">
        <v>17</v>
      </c>
      <c r="F270">
        <v>1</v>
      </c>
      <c r="G270">
        <v>1</v>
      </c>
      <c r="H270">
        <v>3</v>
      </c>
      <c r="I270" t="s">
        <v>821</v>
      </c>
      <c r="J270" t="s">
        <v>6</v>
      </c>
      <c r="K270" t="s">
        <v>822</v>
      </c>
      <c r="L270">
        <v>1374</v>
      </c>
      <c r="N270">
        <v>1013</v>
      </c>
      <c r="O270" t="s">
        <v>823</v>
      </c>
      <c r="P270" t="s">
        <v>823</v>
      </c>
      <c r="Q270">
        <v>1</v>
      </c>
      <c r="W270">
        <v>0</v>
      </c>
      <c r="X270">
        <v>-1731369543</v>
      </c>
      <c r="Y270">
        <v>1.18</v>
      </c>
      <c r="AA270">
        <v>1</v>
      </c>
      <c r="AB270">
        <v>0</v>
      </c>
      <c r="AC270">
        <v>0</v>
      </c>
      <c r="AD270">
        <v>0</v>
      </c>
      <c r="AE270">
        <v>1</v>
      </c>
      <c r="AF270">
        <v>0</v>
      </c>
      <c r="AG270">
        <v>0</v>
      </c>
      <c r="AH270">
        <v>0</v>
      </c>
      <c r="AI270">
        <v>1</v>
      </c>
      <c r="AJ270">
        <v>1</v>
      </c>
      <c r="AK270">
        <v>1</v>
      </c>
      <c r="AL270">
        <v>1</v>
      </c>
      <c r="AN270">
        <v>0</v>
      </c>
      <c r="AO270">
        <v>1</v>
      </c>
      <c r="AP270">
        <v>0</v>
      </c>
      <c r="AQ270">
        <v>0</v>
      </c>
      <c r="AR270">
        <v>0</v>
      </c>
      <c r="AS270" t="s">
        <v>6</v>
      </c>
      <c r="AT270">
        <v>1.18</v>
      </c>
      <c r="AU270" t="s">
        <v>6</v>
      </c>
      <c r="AV270">
        <v>0</v>
      </c>
      <c r="AW270">
        <v>2</v>
      </c>
      <c r="AX270">
        <v>16803115</v>
      </c>
      <c r="AY270">
        <v>1</v>
      </c>
      <c r="AZ270">
        <v>0</v>
      </c>
      <c r="BA270">
        <v>264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>Y270*Source!I183</f>
        <v>6.2775999999999996</v>
      </c>
      <c r="CY270">
        <f t="shared" si="31"/>
        <v>1</v>
      </c>
      <c r="CZ270">
        <f t="shared" si="32"/>
        <v>1</v>
      </c>
      <c r="DA270">
        <f t="shared" si="33"/>
        <v>1</v>
      </c>
      <c r="DB270">
        <f t="shared" si="29"/>
        <v>1.18</v>
      </c>
      <c r="DC270">
        <f t="shared" si="30"/>
        <v>0</v>
      </c>
    </row>
    <row r="271" spans="1:107" x14ac:dyDescent="0.2">
      <c r="A271">
        <f>ROW(Source!A185)</f>
        <v>185</v>
      </c>
      <c r="B271">
        <v>16802145</v>
      </c>
      <c r="C271">
        <v>16803117</v>
      </c>
      <c r="D271">
        <v>15446300</v>
      </c>
      <c r="E271">
        <v>1</v>
      </c>
      <c r="F271">
        <v>1</v>
      </c>
      <c r="G271">
        <v>1</v>
      </c>
      <c r="H271">
        <v>1</v>
      </c>
      <c r="I271" t="s">
        <v>816</v>
      </c>
      <c r="J271" t="s">
        <v>6</v>
      </c>
      <c r="K271" t="s">
        <v>817</v>
      </c>
      <c r="L271">
        <v>1191</v>
      </c>
      <c r="N271">
        <v>1013</v>
      </c>
      <c r="O271" t="s">
        <v>660</v>
      </c>
      <c r="P271" t="s">
        <v>660</v>
      </c>
      <c r="Q271">
        <v>1</v>
      </c>
      <c r="W271">
        <v>0</v>
      </c>
      <c r="X271">
        <v>912892513</v>
      </c>
      <c r="Y271">
        <v>35.130000000000003</v>
      </c>
      <c r="AA271">
        <v>0</v>
      </c>
      <c r="AB271">
        <v>0</v>
      </c>
      <c r="AC271">
        <v>0</v>
      </c>
      <c r="AD271">
        <v>66.56</v>
      </c>
      <c r="AE271">
        <v>0</v>
      </c>
      <c r="AF271">
        <v>0</v>
      </c>
      <c r="AG271">
        <v>0</v>
      </c>
      <c r="AH271">
        <v>9.92</v>
      </c>
      <c r="AI271">
        <v>1</v>
      </c>
      <c r="AJ271">
        <v>1</v>
      </c>
      <c r="AK271">
        <v>1</v>
      </c>
      <c r="AL271">
        <v>6.71</v>
      </c>
      <c r="AN271">
        <v>0</v>
      </c>
      <c r="AO271">
        <v>1</v>
      </c>
      <c r="AP271">
        <v>0</v>
      </c>
      <c r="AQ271">
        <v>0</v>
      </c>
      <c r="AR271">
        <v>0</v>
      </c>
      <c r="AS271" t="s">
        <v>6</v>
      </c>
      <c r="AT271">
        <v>35.130000000000003</v>
      </c>
      <c r="AU271" t="s">
        <v>6</v>
      </c>
      <c r="AV271">
        <v>1</v>
      </c>
      <c r="AW271">
        <v>2</v>
      </c>
      <c r="AX271">
        <v>16803128</v>
      </c>
      <c r="AY271">
        <v>1</v>
      </c>
      <c r="AZ271">
        <v>0</v>
      </c>
      <c r="BA271">
        <v>265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>Y271*Source!I185</f>
        <v>1.7565000000000002</v>
      </c>
      <c r="CY271">
        <f>AD271</f>
        <v>66.56</v>
      </c>
      <c r="CZ271">
        <f>AH271</f>
        <v>9.92</v>
      </c>
      <c r="DA271">
        <f>AL271</f>
        <v>6.71</v>
      </c>
      <c r="DB271">
        <f t="shared" ref="DB271:DB302" si="34">ROUND(ROUND(AT271*CZ271,2),2)</f>
        <v>348.49</v>
      </c>
      <c r="DC271">
        <f t="shared" ref="DC271:DC302" si="35">ROUND(ROUND(AT271*AG271,2),2)</f>
        <v>0</v>
      </c>
    </row>
    <row r="272" spans="1:107" x14ac:dyDescent="0.2">
      <c r="A272">
        <f>ROW(Source!A185)</f>
        <v>185</v>
      </c>
      <c r="B272">
        <v>16802145</v>
      </c>
      <c r="C272">
        <v>16803117</v>
      </c>
      <c r="D272">
        <v>15430395</v>
      </c>
      <c r="E272">
        <v>1</v>
      </c>
      <c r="F272">
        <v>1</v>
      </c>
      <c r="G272">
        <v>1</v>
      </c>
      <c r="H272">
        <v>1</v>
      </c>
      <c r="I272" t="s">
        <v>661</v>
      </c>
      <c r="J272" t="s">
        <v>6</v>
      </c>
      <c r="K272" t="s">
        <v>662</v>
      </c>
      <c r="L272">
        <v>1191</v>
      </c>
      <c r="N272">
        <v>1013</v>
      </c>
      <c r="O272" t="s">
        <v>660</v>
      </c>
      <c r="P272" t="s">
        <v>660</v>
      </c>
      <c r="Q272">
        <v>1</v>
      </c>
      <c r="W272">
        <v>0</v>
      </c>
      <c r="X272">
        <v>-1417349443</v>
      </c>
      <c r="Y272">
        <v>0.05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1</v>
      </c>
      <c r="AJ272">
        <v>1</v>
      </c>
      <c r="AK272">
        <v>6.71</v>
      </c>
      <c r="AL272">
        <v>1</v>
      </c>
      <c r="AN272">
        <v>0</v>
      </c>
      <c r="AO272">
        <v>1</v>
      </c>
      <c r="AP272">
        <v>0</v>
      </c>
      <c r="AQ272">
        <v>0</v>
      </c>
      <c r="AR272">
        <v>0</v>
      </c>
      <c r="AS272" t="s">
        <v>6</v>
      </c>
      <c r="AT272">
        <v>0.05</v>
      </c>
      <c r="AU272" t="s">
        <v>6</v>
      </c>
      <c r="AV272">
        <v>2</v>
      </c>
      <c r="AW272">
        <v>2</v>
      </c>
      <c r="AX272">
        <v>16803129</v>
      </c>
      <c r="AY272">
        <v>1</v>
      </c>
      <c r="AZ272">
        <v>0</v>
      </c>
      <c r="BA272">
        <v>266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>Y272*Source!I185</f>
        <v>2.5000000000000005E-3</v>
      </c>
      <c r="CY272">
        <f>AD272</f>
        <v>0</v>
      </c>
      <c r="CZ272">
        <f>AH272</f>
        <v>0</v>
      </c>
      <c r="DA272">
        <f>AL272</f>
        <v>1</v>
      </c>
      <c r="DB272">
        <f t="shared" si="34"/>
        <v>0</v>
      </c>
      <c r="DC272">
        <f t="shared" si="35"/>
        <v>0</v>
      </c>
    </row>
    <row r="273" spans="1:107" x14ac:dyDescent="0.2">
      <c r="A273">
        <f>ROW(Source!A185)</f>
        <v>185</v>
      </c>
      <c r="B273">
        <v>16802145</v>
      </c>
      <c r="C273">
        <v>16803117</v>
      </c>
      <c r="D273">
        <v>15247680</v>
      </c>
      <c r="E273">
        <v>1</v>
      </c>
      <c r="F273">
        <v>1</v>
      </c>
      <c r="G273">
        <v>1</v>
      </c>
      <c r="H273">
        <v>2</v>
      </c>
      <c r="I273" t="s">
        <v>786</v>
      </c>
      <c r="J273" t="s">
        <v>787</v>
      </c>
      <c r="K273" t="s">
        <v>788</v>
      </c>
      <c r="L273">
        <v>1368</v>
      </c>
      <c r="N273">
        <v>1011</v>
      </c>
      <c r="O273" t="s">
        <v>666</v>
      </c>
      <c r="P273" t="s">
        <v>666</v>
      </c>
      <c r="Q273">
        <v>1</v>
      </c>
      <c r="W273">
        <v>0</v>
      </c>
      <c r="X273">
        <v>-1718674368</v>
      </c>
      <c r="Y273">
        <v>0.03</v>
      </c>
      <c r="AA273">
        <v>0</v>
      </c>
      <c r="AB273">
        <v>751.45</v>
      </c>
      <c r="AC273">
        <v>13.5</v>
      </c>
      <c r="AD273">
        <v>0</v>
      </c>
      <c r="AE273">
        <v>0</v>
      </c>
      <c r="AF273">
        <v>111.99</v>
      </c>
      <c r="AG273">
        <v>13.5</v>
      </c>
      <c r="AH273">
        <v>0</v>
      </c>
      <c r="AI273">
        <v>1</v>
      </c>
      <c r="AJ273">
        <v>6.71</v>
      </c>
      <c r="AK273">
        <v>1</v>
      </c>
      <c r="AL273">
        <v>1</v>
      </c>
      <c r="AN273">
        <v>0</v>
      </c>
      <c r="AO273">
        <v>1</v>
      </c>
      <c r="AP273">
        <v>0</v>
      </c>
      <c r="AQ273">
        <v>0</v>
      </c>
      <c r="AR273">
        <v>0</v>
      </c>
      <c r="AS273" t="s">
        <v>6</v>
      </c>
      <c r="AT273">
        <v>0.03</v>
      </c>
      <c r="AU273" t="s">
        <v>6</v>
      </c>
      <c r="AV273">
        <v>0</v>
      </c>
      <c r="AW273">
        <v>2</v>
      </c>
      <c r="AX273">
        <v>16803130</v>
      </c>
      <c r="AY273">
        <v>1</v>
      </c>
      <c r="AZ273">
        <v>0</v>
      </c>
      <c r="BA273">
        <v>267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>Y273*Source!I185</f>
        <v>1.5E-3</v>
      </c>
      <c r="CY273">
        <f>AB273</f>
        <v>751.45</v>
      </c>
      <c r="CZ273">
        <f>AF273</f>
        <v>111.99</v>
      </c>
      <c r="DA273">
        <f>AJ273</f>
        <v>6.71</v>
      </c>
      <c r="DB273">
        <f t="shared" si="34"/>
        <v>3.36</v>
      </c>
      <c r="DC273">
        <f t="shared" si="35"/>
        <v>0.41</v>
      </c>
    </row>
    <row r="274" spans="1:107" x14ac:dyDescent="0.2">
      <c r="A274">
        <f>ROW(Source!A185)</f>
        <v>185</v>
      </c>
      <c r="B274">
        <v>16802145</v>
      </c>
      <c r="C274">
        <v>16803117</v>
      </c>
      <c r="D274">
        <v>15249073</v>
      </c>
      <c r="E274">
        <v>1</v>
      </c>
      <c r="F274">
        <v>1</v>
      </c>
      <c r="G274">
        <v>1</v>
      </c>
      <c r="H274">
        <v>2</v>
      </c>
      <c r="I274" t="s">
        <v>684</v>
      </c>
      <c r="J274" t="s">
        <v>685</v>
      </c>
      <c r="K274" t="s">
        <v>686</v>
      </c>
      <c r="L274">
        <v>1368</v>
      </c>
      <c r="N274">
        <v>1011</v>
      </c>
      <c r="O274" t="s">
        <v>666</v>
      </c>
      <c r="P274" t="s">
        <v>666</v>
      </c>
      <c r="Q274">
        <v>1</v>
      </c>
      <c r="W274">
        <v>0</v>
      </c>
      <c r="X274">
        <v>1372534845</v>
      </c>
      <c r="Y274">
        <v>0.02</v>
      </c>
      <c r="AA274">
        <v>0</v>
      </c>
      <c r="AB274">
        <v>440.91</v>
      </c>
      <c r="AC274">
        <v>11.6</v>
      </c>
      <c r="AD274">
        <v>0</v>
      </c>
      <c r="AE274">
        <v>0</v>
      </c>
      <c r="AF274">
        <v>65.709999999999994</v>
      </c>
      <c r="AG274">
        <v>11.6</v>
      </c>
      <c r="AH274">
        <v>0</v>
      </c>
      <c r="AI274">
        <v>1</v>
      </c>
      <c r="AJ274">
        <v>6.71</v>
      </c>
      <c r="AK274">
        <v>1</v>
      </c>
      <c r="AL274">
        <v>1</v>
      </c>
      <c r="AN274">
        <v>0</v>
      </c>
      <c r="AO274">
        <v>1</v>
      </c>
      <c r="AP274">
        <v>0</v>
      </c>
      <c r="AQ274">
        <v>0</v>
      </c>
      <c r="AR274">
        <v>0</v>
      </c>
      <c r="AS274" t="s">
        <v>6</v>
      </c>
      <c r="AT274">
        <v>0.02</v>
      </c>
      <c r="AU274" t="s">
        <v>6</v>
      </c>
      <c r="AV274">
        <v>0</v>
      </c>
      <c r="AW274">
        <v>2</v>
      </c>
      <c r="AX274">
        <v>16803131</v>
      </c>
      <c r="AY274">
        <v>1</v>
      </c>
      <c r="AZ274">
        <v>0</v>
      </c>
      <c r="BA274">
        <v>268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>Y274*Source!I185</f>
        <v>1E-3</v>
      </c>
      <c r="CY274">
        <f>AB274</f>
        <v>440.91</v>
      </c>
      <c r="CZ274">
        <f>AF274</f>
        <v>65.709999999999994</v>
      </c>
      <c r="DA274">
        <f>AJ274</f>
        <v>6.71</v>
      </c>
      <c r="DB274">
        <f t="shared" si="34"/>
        <v>1.31</v>
      </c>
      <c r="DC274">
        <f t="shared" si="35"/>
        <v>0.23</v>
      </c>
    </row>
    <row r="275" spans="1:107" x14ac:dyDescent="0.2">
      <c r="A275">
        <f>ROW(Source!A185)</f>
        <v>185</v>
      </c>
      <c r="B275">
        <v>16802145</v>
      </c>
      <c r="C275">
        <v>16803117</v>
      </c>
      <c r="D275">
        <v>15170074</v>
      </c>
      <c r="E275">
        <v>1</v>
      </c>
      <c r="F275">
        <v>1</v>
      </c>
      <c r="G275">
        <v>1</v>
      </c>
      <c r="H275">
        <v>3</v>
      </c>
      <c r="I275" t="s">
        <v>844</v>
      </c>
      <c r="J275" t="s">
        <v>845</v>
      </c>
      <c r="K275" t="s">
        <v>846</v>
      </c>
      <c r="L275">
        <v>1355</v>
      </c>
      <c r="N275">
        <v>1010</v>
      </c>
      <c r="O275" t="s">
        <v>126</v>
      </c>
      <c r="P275" t="s">
        <v>126</v>
      </c>
      <c r="Q275">
        <v>100</v>
      </c>
      <c r="W275">
        <v>0</v>
      </c>
      <c r="X275">
        <v>1794244060</v>
      </c>
      <c r="Y275">
        <v>1.02</v>
      </c>
      <c r="AA275">
        <v>577.05999999999995</v>
      </c>
      <c r="AB275">
        <v>0</v>
      </c>
      <c r="AC275">
        <v>0</v>
      </c>
      <c r="AD275">
        <v>0</v>
      </c>
      <c r="AE275">
        <v>86</v>
      </c>
      <c r="AF275">
        <v>0</v>
      </c>
      <c r="AG275">
        <v>0</v>
      </c>
      <c r="AH275">
        <v>0</v>
      </c>
      <c r="AI275">
        <v>6.71</v>
      </c>
      <c r="AJ275">
        <v>1</v>
      </c>
      <c r="AK275">
        <v>1</v>
      </c>
      <c r="AL275">
        <v>1</v>
      </c>
      <c r="AN275">
        <v>0</v>
      </c>
      <c r="AO275">
        <v>1</v>
      </c>
      <c r="AP275">
        <v>0</v>
      </c>
      <c r="AQ275">
        <v>0</v>
      </c>
      <c r="AR275">
        <v>0</v>
      </c>
      <c r="AS275" t="s">
        <v>6</v>
      </c>
      <c r="AT275">
        <v>1.02</v>
      </c>
      <c r="AU275" t="s">
        <v>6</v>
      </c>
      <c r="AV275">
        <v>0</v>
      </c>
      <c r="AW275">
        <v>2</v>
      </c>
      <c r="AX275">
        <v>16803132</v>
      </c>
      <c r="AY275">
        <v>1</v>
      </c>
      <c r="AZ275">
        <v>0</v>
      </c>
      <c r="BA275">
        <v>269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>Y275*Source!I185</f>
        <v>5.1000000000000004E-2</v>
      </c>
      <c r="CY275">
        <f>AA275</f>
        <v>577.05999999999995</v>
      </c>
      <c r="CZ275">
        <f>AE275</f>
        <v>86</v>
      </c>
      <c r="DA275">
        <f>AI275</f>
        <v>6.71</v>
      </c>
      <c r="DB275">
        <f t="shared" si="34"/>
        <v>87.72</v>
      </c>
      <c r="DC275">
        <f t="shared" si="35"/>
        <v>0</v>
      </c>
    </row>
    <row r="276" spans="1:107" x14ac:dyDescent="0.2">
      <c r="A276">
        <f>ROW(Source!A185)</f>
        <v>185</v>
      </c>
      <c r="B276">
        <v>16802145</v>
      </c>
      <c r="C276">
        <v>16803117</v>
      </c>
      <c r="D276">
        <v>15170434</v>
      </c>
      <c r="E276">
        <v>1</v>
      </c>
      <c r="F276">
        <v>1</v>
      </c>
      <c r="G276">
        <v>1</v>
      </c>
      <c r="H276">
        <v>3</v>
      </c>
      <c r="I276" t="s">
        <v>903</v>
      </c>
      <c r="J276" t="s">
        <v>904</v>
      </c>
      <c r="K276" t="s">
        <v>905</v>
      </c>
      <c r="L276">
        <v>1348</v>
      </c>
      <c r="N276">
        <v>1009</v>
      </c>
      <c r="O276" t="s">
        <v>65</v>
      </c>
      <c r="P276" t="s">
        <v>65</v>
      </c>
      <c r="Q276">
        <v>1000</v>
      </c>
      <c r="W276">
        <v>0</v>
      </c>
      <c r="X276">
        <v>797358079</v>
      </c>
      <c r="Y276">
        <v>1.6000000000000001E-4</v>
      </c>
      <c r="AA276">
        <v>199958</v>
      </c>
      <c r="AB276">
        <v>0</v>
      </c>
      <c r="AC276">
        <v>0</v>
      </c>
      <c r="AD276">
        <v>0</v>
      </c>
      <c r="AE276">
        <v>29800</v>
      </c>
      <c r="AF276">
        <v>0</v>
      </c>
      <c r="AG276">
        <v>0</v>
      </c>
      <c r="AH276">
        <v>0</v>
      </c>
      <c r="AI276">
        <v>6.71</v>
      </c>
      <c r="AJ276">
        <v>1</v>
      </c>
      <c r="AK276">
        <v>1</v>
      </c>
      <c r="AL276">
        <v>1</v>
      </c>
      <c r="AN276">
        <v>0</v>
      </c>
      <c r="AO276">
        <v>1</v>
      </c>
      <c r="AP276">
        <v>0</v>
      </c>
      <c r="AQ276">
        <v>0</v>
      </c>
      <c r="AR276">
        <v>0</v>
      </c>
      <c r="AS276" t="s">
        <v>6</v>
      </c>
      <c r="AT276">
        <v>1.6000000000000001E-4</v>
      </c>
      <c r="AU276" t="s">
        <v>6</v>
      </c>
      <c r="AV276">
        <v>0</v>
      </c>
      <c r="AW276">
        <v>2</v>
      </c>
      <c r="AX276">
        <v>16803133</v>
      </c>
      <c r="AY276">
        <v>1</v>
      </c>
      <c r="AZ276">
        <v>0</v>
      </c>
      <c r="BA276">
        <v>270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>Y276*Source!I185</f>
        <v>8.0000000000000013E-6</v>
      </c>
      <c r="CY276">
        <f>AA276</f>
        <v>199958</v>
      </c>
      <c r="CZ276">
        <f>AE276</f>
        <v>29800</v>
      </c>
      <c r="DA276">
        <f>AI276</f>
        <v>6.71</v>
      </c>
      <c r="DB276">
        <f t="shared" si="34"/>
        <v>4.7699999999999996</v>
      </c>
      <c r="DC276">
        <f t="shared" si="35"/>
        <v>0</v>
      </c>
    </row>
    <row r="277" spans="1:107" x14ac:dyDescent="0.2">
      <c r="A277">
        <f>ROW(Source!A185)</f>
        <v>185</v>
      </c>
      <c r="B277">
        <v>16802145</v>
      </c>
      <c r="C277">
        <v>16803117</v>
      </c>
      <c r="D277">
        <v>15170438</v>
      </c>
      <c r="E277">
        <v>1</v>
      </c>
      <c r="F277">
        <v>1</v>
      </c>
      <c r="G277">
        <v>1</v>
      </c>
      <c r="H277">
        <v>3</v>
      </c>
      <c r="I277" t="s">
        <v>879</v>
      </c>
      <c r="J277" t="s">
        <v>880</v>
      </c>
      <c r="K277" t="s">
        <v>881</v>
      </c>
      <c r="L277">
        <v>1348</v>
      </c>
      <c r="N277">
        <v>1009</v>
      </c>
      <c r="O277" t="s">
        <v>65</v>
      </c>
      <c r="P277" t="s">
        <v>65</v>
      </c>
      <c r="Q277">
        <v>1000</v>
      </c>
      <c r="W277">
        <v>0</v>
      </c>
      <c r="X277">
        <v>-1755229539</v>
      </c>
      <c r="Y277">
        <v>2.9999999999999997E-4</v>
      </c>
      <c r="AA277">
        <v>83405.3</v>
      </c>
      <c r="AB277">
        <v>0</v>
      </c>
      <c r="AC277">
        <v>0</v>
      </c>
      <c r="AD277">
        <v>0</v>
      </c>
      <c r="AE277">
        <v>12430</v>
      </c>
      <c r="AF277">
        <v>0</v>
      </c>
      <c r="AG277">
        <v>0</v>
      </c>
      <c r="AH277">
        <v>0</v>
      </c>
      <c r="AI277">
        <v>6.71</v>
      </c>
      <c r="AJ277">
        <v>1</v>
      </c>
      <c r="AK277">
        <v>1</v>
      </c>
      <c r="AL277">
        <v>1</v>
      </c>
      <c r="AN277">
        <v>0</v>
      </c>
      <c r="AO277">
        <v>1</v>
      </c>
      <c r="AP277">
        <v>0</v>
      </c>
      <c r="AQ277">
        <v>0</v>
      </c>
      <c r="AR277">
        <v>0</v>
      </c>
      <c r="AS277" t="s">
        <v>6</v>
      </c>
      <c r="AT277">
        <v>2.9999999999999997E-4</v>
      </c>
      <c r="AU277" t="s">
        <v>6</v>
      </c>
      <c r="AV277">
        <v>0</v>
      </c>
      <c r="AW277">
        <v>2</v>
      </c>
      <c r="AX277">
        <v>16803134</v>
      </c>
      <c r="AY277">
        <v>1</v>
      </c>
      <c r="AZ277">
        <v>0</v>
      </c>
      <c r="BA277">
        <v>271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>Y277*Source!I185</f>
        <v>1.4999999999999999E-5</v>
      </c>
      <c r="CY277">
        <f>AA277</f>
        <v>83405.3</v>
      </c>
      <c r="CZ277">
        <f>AE277</f>
        <v>12430</v>
      </c>
      <c r="DA277">
        <f>AI277</f>
        <v>6.71</v>
      </c>
      <c r="DB277">
        <f t="shared" si="34"/>
        <v>3.73</v>
      </c>
      <c r="DC277">
        <f t="shared" si="35"/>
        <v>0</v>
      </c>
    </row>
    <row r="278" spans="1:107" x14ac:dyDescent="0.2">
      <c r="A278">
        <f>ROW(Source!A185)</f>
        <v>185</v>
      </c>
      <c r="B278">
        <v>16802145</v>
      </c>
      <c r="C278">
        <v>16803117</v>
      </c>
      <c r="D278">
        <v>15220566</v>
      </c>
      <c r="E278">
        <v>1</v>
      </c>
      <c r="F278">
        <v>1</v>
      </c>
      <c r="G278">
        <v>1</v>
      </c>
      <c r="H278">
        <v>3</v>
      </c>
      <c r="I278" t="s">
        <v>473</v>
      </c>
      <c r="J278" t="s">
        <v>475</v>
      </c>
      <c r="K278" t="s">
        <v>474</v>
      </c>
      <c r="L278">
        <v>1358</v>
      </c>
      <c r="N278">
        <v>1010</v>
      </c>
      <c r="O278" t="s">
        <v>435</v>
      </c>
      <c r="P278" t="s">
        <v>435</v>
      </c>
      <c r="Q278">
        <v>10</v>
      </c>
      <c r="W278">
        <v>0</v>
      </c>
      <c r="X278">
        <v>-656475998</v>
      </c>
      <c r="Y278">
        <v>10</v>
      </c>
      <c r="AA278">
        <v>574.38</v>
      </c>
      <c r="AB278">
        <v>0</v>
      </c>
      <c r="AC278">
        <v>0</v>
      </c>
      <c r="AD278">
        <v>0</v>
      </c>
      <c r="AE278">
        <v>85.6</v>
      </c>
      <c r="AF278">
        <v>0</v>
      </c>
      <c r="AG278">
        <v>0</v>
      </c>
      <c r="AH278">
        <v>0</v>
      </c>
      <c r="AI278">
        <v>6.71</v>
      </c>
      <c r="AJ278">
        <v>1</v>
      </c>
      <c r="AK278">
        <v>1</v>
      </c>
      <c r="AL278">
        <v>1</v>
      </c>
      <c r="AN278">
        <v>0</v>
      </c>
      <c r="AO278">
        <v>0</v>
      </c>
      <c r="AP278">
        <v>0</v>
      </c>
      <c r="AQ278">
        <v>0</v>
      </c>
      <c r="AR278">
        <v>0</v>
      </c>
      <c r="AS278" t="s">
        <v>6</v>
      </c>
      <c r="AT278">
        <v>10</v>
      </c>
      <c r="AU278" t="s">
        <v>6</v>
      </c>
      <c r="AV278">
        <v>0</v>
      </c>
      <c r="AW278">
        <v>1</v>
      </c>
      <c r="AX278">
        <v>-1</v>
      </c>
      <c r="AY278">
        <v>0</v>
      </c>
      <c r="AZ278">
        <v>0</v>
      </c>
      <c r="BA278" t="s">
        <v>6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>Y278*Source!I185</f>
        <v>0.5</v>
      </c>
      <c r="CY278">
        <f>AA278</f>
        <v>574.38</v>
      </c>
      <c r="CZ278">
        <f>AE278</f>
        <v>85.6</v>
      </c>
      <c r="DA278">
        <f>AI278</f>
        <v>6.71</v>
      </c>
      <c r="DB278">
        <f t="shared" si="34"/>
        <v>856</v>
      </c>
      <c r="DC278">
        <f t="shared" si="35"/>
        <v>0</v>
      </c>
    </row>
    <row r="279" spans="1:107" x14ac:dyDescent="0.2">
      <c r="A279">
        <f>ROW(Source!A185)</f>
        <v>185</v>
      </c>
      <c r="B279">
        <v>16802145</v>
      </c>
      <c r="C279">
        <v>16803117</v>
      </c>
      <c r="D279">
        <v>15164559</v>
      </c>
      <c r="E279">
        <v>17</v>
      </c>
      <c r="F279">
        <v>1</v>
      </c>
      <c r="G279">
        <v>1</v>
      </c>
      <c r="H279">
        <v>3</v>
      </c>
      <c r="I279" t="s">
        <v>821</v>
      </c>
      <c r="J279" t="s">
        <v>6</v>
      </c>
      <c r="K279" t="s">
        <v>822</v>
      </c>
      <c r="L279">
        <v>1374</v>
      </c>
      <c r="N279">
        <v>1013</v>
      </c>
      <c r="O279" t="s">
        <v>823</v>
      </c>
      <c r="P279" t="s">
        <v>823</v>
      </c>
      <c r="Q279">
        <v>1</v>
      </c>
      <c r="W279">
        <v>0</v>
      </c>
      <c r="X279">
        <v>-1731369543</v>
      </c>
      <c r="Y279">
        <v>6.97</v>
      </c>
      <c r="AA279">
        <v>1</v>
      </c>
      <c r="AB279">
        <v>0</v>
      </c>
      <c r="AC279">
        <v>0</v>
      </c>
      <c r="AD279">
        <v>0</v>
      </c>
      <c r="AE279">
        <v>1</v>
      </c>
      <c r="AF279">
        <v>0</v>
      </c>
      <c r="AG279">
        <v>0</v>
      </c>
      <c r="AH279">
        <v>0</v>
      </c>
      <c r="AI279">
        <v>1</v>
      </c>
      <c r="AJ279">
        <v>1</v>
      </c>
      <c r="AK279">
        <v>1</v>
      </c>
      <c r="AL279">
        <v>1</v>
      </c>
      <c r="AN279">
        <v>0</v>
      </c>
      <c r="AO279">
        <v>1</v>
      </c>
      <c r="AP279">
        <v>0</v>
      </c>
      <c r="AQ279">
        <v>0</v>
      </c>
      <c r="AR279">
        <v>0</v>
      </c>
      <c r="AS279" t="s">
        <v>6</v>
      </c>
      <c r="AT279">
        <v>6.97</v>
      </c>
      <c r="AU279" t="s">
        <v>6</v>
      </c>
      <c r="AV279">
        <v>0</v>
      </c>
      <c r="AW279">
        <v>2</v>
      </c>
      <c r="AX279">
        <v>16803135</v>
      </c>
      <c r="AY279">
        <v>1</v>
      </c>
      <c r="AZ279">
        <v>0</v>
      </c>
      <c r="BA279">
        <v>272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>Y279*Source!I185</f>
        <v>0.34850000000000003</v>
      </c>
      <c r="CY279">
        <f>AA279</f>
        <v>1</v>
      </c>
      <c r="CZ279">
        <f>AE279</f>
        <v>1</v>
      </c>
      <c r="DA279">
        <f>AI279</f>
        <v>1</v>
      </c>
      <c r="DB279">
        <f t="shared" si="34"/>
        <v>6.97</v>
      </c>
      <c r="DC279">
        <f t="shared" si="35"/>
        <v>0</v>
      </c>
    </row>
    <row r="280" spans="1:107" x14ac:dyDescent="0.2">
      <c r="A280">
        <f>ROW(Source!A187)</f>
        <v>187</v>
      </c>
      <c r="B280">
        <v>16802145</v>
      </c>
      <c r="C280">
        <v>16803137</v>
      </c>
      <c r="D280">
        <v>15446300</v>
      </c>
      <c r="E280">
        <v>1</v>
      </c>
      <c r="F280">
        <v>1</v>
      </c>
      <c r="G280">
        <v>1</v>
      </c>
      <c r="H280">
        <v>1</v>
      </c>
      <c r="I280" t="s">
        <v>816</v>
      </c>
      <c r="J280" t="s">
        <v>6</v>
      </c>
      <c r="K280" t="s">
        <v>817</v>
      </c>
      <c r="L280">
        <v>1191</v>
      </c>
      <c r="N280">
        <v>1013</v>
      </c>
      <c r="O280" t="s">
        <v>660</v>
      </c>
      <c r="P280" t="s">
        <v>660</v>
      </c>
      <c r="Q280">
        <v>1</v>
      </c>
      <c r="W280">
        <v>0</v>
      </c>
      <c r="X280">
        <v>912892513</v>
      </c>
      <c r="Y280">
        <v>34.56</v>
      </c>
      <c r="AA280">
        <v>0</v>
      </c>
      <c r="AB280">
        <v>0</v>
      </c>
      <c r="AC280">
        <v>0</v>
      </c>
      <c r="AD280">
        <v>66.56</v>
      </c>
      <c r="AE280">
        <v>0</v>
      </c>
      <c r="AF280">
        <v>0</v>
      </c>
      <c r="AG280">
        <v>0</v>
      </c>
      <c r="AH280">
        <v>9.92</v>
      </c>
      <c r="AI280">
        <v>1</v>
      </c>
      <c r="AJ280">
        <v>1</v>
      </c>
      <c r="AK280">
        <v>1</v>
      </c>
      <c r="AL280">
        <v>6.71</v>
      </c>
      <c r="AN280">
        <v>0</v>
      </c>
      <c r="AO280">
        <v>1</v>
      </c>
      <c r="AP280">
        <v>0</v>
      </c>
      <c r="AQ280">
        <v>0</v>
      </c>
      <c r="AR280">
        <v>0</v>
      </c>
      <c r="AS280" t="s">
        <v>6</v>
      </c>
      <c r="AT280">
        <v>34.56</v>
      </c>
      <c r="AU280" t="s">
        <v>6</v>
      </c>
      <c r="AV280">
        <v>1</v>
      </c>
      <c r="AW280">
        <v>2</v>
      </c>
      <c r="AX280">
        <v>16803151</v>
      </c>
      <c r="AY280">
        <v>1</v>
      </c>
      <c r="AZ280">
        <v>0</v>
      </c>
      <c r="BA280">
        <v>273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>Y280*Source!I187</f>
        <v>10.022399999999999</v>
      </c>
      <c r="CY280">
        <f>AD280</f>
        <v>66.56</v>
      </c>
      <c r="CZ280">
        <f>AH280</f>
        <v>9.92</v>
      </c>
      <c r="DA280">
        <f>AL280</f>
        <v>6.71</v>
      </c>
      <c r="DB280">
        <f t="shared" si="34"/>
        <v>342.84</v>
      </c>
      <c r="DC280">
        <f t="shared" si="35"/>
        <v>0</v>
      </c>
    </row>
    <row r="281" spans="1:107" x14ac:dyDescent="0.2">
      <c r="A281">
        <f>ROW(Source!A187)</f>
        <v>187</v>
      </c>
      <c r="B281">
        <v>16802145</v>
      </c>
      <c r="C281">
        <v>16803137</v>
      </c>
      <c r="D281">
        <v>15430395</v>
      </c>
      <c r="E281">
        <v>1</v>
      </c>
      <c r="F281">
        <v>1</v>
      </c>
      <c r="G281">
        <v>1</v>
      </c>
      <c r="H281">
        <v>1</v>
      </c>
      <c r="I281" t="s">
        <v>661</v>
      </c>
      <c r="J281" t="s">
        <v>6</v>
      </c>
      <c r="K281" t="s">
        <v>662</v>
      </c>
      <c r="L281">
        <v>1191</v>
      </c>
      <c r="N281">
        <v>1013</v>
      </c>
      <c r="O281" t="s">
        <v>660</v>
      </c>
      <c r="P281" t="s">
        <v>660</v>
      </c>
      <c r="Q281">
        <v>1</v>
      </c>
      <c r="W281">
        <v>0</v>
      </c>
      <c r="X281">
        <v>-1417349443</v>
      </c>
      <c r="Y281">
        <v>0.05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1</v>
      </c>
      <c r="AJ281">
        <v>1</v>
      </c>
      <c r="AK281">
        <v>6.71</v>
      </c>
      <c r="AL281">
        <v>1</v>
      </c>
      <c r="AN281">
        <v>0</v>
      </c>
      <c r="AO281">
        <v>1</v>
      </c>
      <c r="AP281">
        <v>0</v>
      </c>
      <c r="AQ281">
        <v>0</v>
      </c>
      <c r="AR281">
        <v>0</v>
      </c>
      <c r="AS281" t="s">
        <v>6</v>
      </c>
      <c r="AT281">
        <v>0.05</v>
      </c>
      <c r="AU281" t="s">
        <v>6</v>
      </c>
      <c r="AV281">
        <v>2</v>
      </c>
      <c r="AW281">
        <v>2</v>
      </c>
      <c r="AX281">
        <v>16803152</v>
      </c>
      <c r="AY281">
        <v>1</v>
      </c>
      <c r="AZ281">
        <v>0</v>
      </c>
      <c r="BA281">
        <v>274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>Y281*Source!I187</f>
        <v>1.4499999999999999E-2</v>
      </c>
      <c r="CY281">
        <f>AD281</f>
        <v>0</v>
      </c>
      <c r="CZ281">
        <f>AH281</f>
        <v>0</v>
      </c>
      <c r="DA281">
        <f>AL281</f>
        <v>1</v>
      </c>
      <c r="DB281">
        <f t="shared" si="34"/>
        <v>0</v>
      </c>
      <c r="DC281">
        <f t="shared" si="35"/>
        <v>0</v>
      </c>
    </row>
    <row r="282" spans="1:107" x14ac:dyDescent="0.2">
      <c r="A282">
        <f>ROW(Source!A187)</f>
        <v>187</v>
      </c>
      <c r="B282">
        <v>16802145</v>
      </c>
      <c r="C282">
        <v>16803137</v>
      </c>
      <c r="D282">
        <v>15247680</v>
      </c>
      <c r="E282">
        <v>1</v>
      </c>
      <c r="F282">
        <v>1</v>
      </c>
      <c r="G282">
        <v>1</v>
      </c>
      <c r="H282">
        <v>2</v>
      </c>
      <c r="I282" t="s">
        <v>786</v>
      </c>
      <c r="J282" t="s">
        <v>787</v>
      </c>
      <c r="K282" t="s">
        <v>788</v>
      </c>
      <c r="L282">
        <v>1368</v>
      </c>
      <c r="N282">
        <v>1011</v>
      </c>
      <c r="O282" t="s">
        <v>666</v>
      </c>
      <c r="P282" t="s">
        <v>666</v>
      </c>
      <c r="Q282">
        <v>1</v>
      </c>
      <c r="W282">
        <v>0</v>
      </c>
      <c r="X282">
        <v>-1718674368</v>
      </c>
      <c r="Y282">
        <v>0.03</v>
      </c>
      <c r="AA282">
        <v>0</v>
      </c>
      <c r="AB282">
        <v>751.45</v>
      </c>
      <c r="AC282">
        <v>13.5</v>
      </c>
      <c r="AD282">
        <v>0</v>
      </c>
      <c r="AE282">
        <v>0</v>
      </c>
      <c r="AF282">
        <v>111.99</v>
      </c>
      <c r="AG282">
        <v>13.5</v>
      </c>
      <c r="AH282">
        <v>0</v>
      </c>
      <c r="AI282">
        <v>1</v>
      </c>
      <c r="AJ282">
        <v>6.71</v>
      </c>
      <c r="AK282">
        <v>1</v>
      </c>
      <c r="AL282">
        <v>1</v>
      </c>
      <c r="AN282">
        <v>0</v>
      </c>
      <c r="AO282">
        <v>1</v>
      </c>
      <c r="AP282">
        <v>0</v>
      </c>
      <c r="AQ282">
        <v>0</v>
      </c>
      <c r="AR282">
        <v>0</v>
      </c>
      <c r="AS282" t="s">
        <v>6</v>
      </c>
      <c r="AT282">
        <v>0.03</v>
      </c>
      <c r="AU282" t="s">
        <v>6</v>
      </c>
      <c r="AV282">
        <v>0</v>
      </c>
      <c r="AW282">
        <v>2</v>
      </c>
      <c r="AX282">
        <v>16803153</v>
      </c>
      <c r="AY282">
        <v>1</v>
      </c>
      <c r="AZ282">
        <v>0</v>
      </c>
      <c r="BA282">
        <v>275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>Y282*Source!I187</f>
        <v>8.6999999999999994E-3</v>
      </c>
      <c r="CY282">
        <f>AB282</f>
        <v>751.45</v>
      </c>
      <c r="CZ282">
        <f>AF282</f>
        <v>111.99</v>
      </c>
      <c r="DA282">
        <f>AJ282</f>
        <v>6.71</v>
      </c>
      <c r="DB282">
        <f t="shared" si="34"/>
        <v>3.36</v>
      </c>
      <c r="DC282">
        <f t="shared" si="35"/>
        <v>0.41</v>
      </c>
    </row>
    <row r="283" spans="1:107" x14ac:dyDescent="0.2">
      <c r="A283">
        <f>ROW(Source!A187)</f>
        <v>187</v>
      </c>
      <c r="B283">
        <v>16802145</v>
      </c>
      <c r="C283">
        <v>16803137</v>
      </c>
      <c r="D283">
        <v>15249073</v>
      </c>
      <c r="E283">
        <v>1</v>
      </c>
      <c r="F283">
        <v>1</v>
      </c>
      <c r="G283">
        <v>1</v>
      </c>
      <c r="H283">
        <v>2</v>
      </c>
      <c r="I283" t="s">
        <v>684</v>
      </c>
      <c r="J283" t="s">
        <v>685</v>
      </c>
      <c r="K283" t="s">
        <v>686</v>
      </c>
      <c r="L283">
        <v>1368</v>
      </c>
      <c r="N283">
        <v>1011</v>
      </c>
      <c r="O283" t="s">
        <v>666</v>
      </c>
      <c r="P283" t="s">
        <v>666</v>
      </c>
      <c r="Q283">
        <v>1</v>
      </c>
      <c r="W283">
        <v>0</v>
      </c>
      <c r="X283">
        <v>1372534845</v>
      </c>
      <c r="Y283">
        <v>0.02</v>
      </c>
      <c r="AA283">
        <v>0</v>
      </c>
      <c r="AB283">
        <v>440.91</v>
      </c>
      <c r="AC283">
        <v>11.6</v>
      </c>
      <c r="AD283">
        <v>0</v>
      </c>
      <c r="AE283">
        <v>0</v>
      </c>
      <c r="AF283">
        <v>65.709999999999994</v>
      </c>
      <c r="AG283">
        <v>11.6</v>
      </c>
      <c r="AH283">
        <v>0</v>
      </c>
      <c r="AI283">
        <v>1</v>
      </c>
      <c r="AJ283">
        <v>6.71</v>
      </c>
      <c r="AK283">
        <v>1</v>
      </c>
      <c r="AL283">
        <v>1</v>
      </c>
      <c r="AN283">
        <v>0</v>
      </c>
      <c r="AO283">
        <v>1</v>
      </c>
      <c r="AP283">
        <v>0</v>
      </c>
      <c r="AQ283">
        <v>0</v>
      </c>
      <c r="AR283">
        <v>0</v>
      </c>
      <c r="AS283" t="s">
        <v>6</v>
      </c>
      <c r="AT283">
        <v>0.02</v>
      </c>
      <c r="AU283" t="s">
        <v>6</v>
      </c>
      <c r="AV283">
        <v>0</v>
      </c>
      <c r="AW283">
        <v>2</v>
      </c>
      <c r="AX283">
        <v>16803154</v>
      </c>
      <c r="AY283">
        <v>1</v>
      </c>
      <c r="AZ283">
        <v>0</v>
      </c>
      <c r="BA283">
        <v>276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>Y283*Source!I187</f>
        <v>5.7999999999999996E-3</v>
      </c>
      <c r="CY283">
        <f>AB283</f>
        <v>440.91</v>
      </c>
      <c r="CZ283">
        <f>AF283</f>
        <v>65.709999999999994</v>
      </c>
      <c r="DA283">
        <f>AJ283</f>
        <v>6.71</v>
      </c>
      <c r="DB283">
        <f t="shared" si="34"/>
        <v>1.31</v>
      </c>
      <c r="DC283">
        <f t="shared" si="35"/>
        <v>0.23</v>
      </c>
    </row>
    <row r="284" spans="1:107" x14ac:dyDescent="0.2">
      <c r="A284">
        <f>ROW(Source!A187)</f>
        <v>187</v>
      </c>
      <c r="B284">
        <v>16802145</v>
      </c>
      <c r="C284">
        <v>16803137</v>
      </c>
      <c r="D284">
        <v>15167588</v>
      </c>
      <c r="E284">
        <v>1</v>
      </c>
      <c r="F284">
        <v>1</v>
      </c>
      <c r="G284">
        <v>1</v>
      </c>
      <c r="H284">
        <v>3</v>
      </c>
      <c r="I284" t="s">
        <v>835</v>
      </c>
      <c r="J284" t="s">
        <v>836</v>
      </c>
      <c r="K284" t="s">
        <v>837</v>
      </c>
      <c r="L284">
        <v>1346</v>
      </c>
      <c r="N284">
        <v>1009</v>
      </c>
      <c r="O284" t="s">
        <v>103</v>
      </c>
      <c r="P284" t="s">
        <v>103</v>
      </c>
      <c r="Q284">
        <v>1</v>
      </c>
      <c r="W284">
        <v>0</v>
      </c>
      <c r="X284">
        <v>-1088866022</v>
      </c>
      <c r="Y284">
        <v>0.11</v>
      </c>
      <c r="AA284">
        <v>203.98</v>
      </c>
      <c r="AB284">
        <v>0</v>
      </c>
      <c r="AC284">
        <v>0</v>
      </c>
      <c r="AD284">
        <v>0</v>
      </c>
      <c r="AE284">
        <v>30.4</v>
      </c>
      <c r="AF284">
        <v>0</v>
      </c>
      <c r="AG284">
        <v>0</v>
      </c>
      <c r="AH284">
        <v>0</v>
      </c>
      <c r="AI284">
        <v>6.71</v>
      </c>
      <c r="AJ284">
        <v>1</v>
      </c>
      <c r="AK284">
        <v>1</v>
      </c>
      <c r="AL284">
        <v>1</v>
      </c>
      <c r="AN284">
        <v>0</v>
      </c>
      <c r="AO284">
        <v>1</v>
      </c>
      <c r="AP284">
        <v>0</v>
      </c>
      <c r="AQ284">
        <v>0</v>
      </c>
      <c r="AR284">
        <v>0</v>
      </c>
      <c r="AS284" t="s">
        <v>6</v>
      </c>
      <c r="AT284">
        <v>0.11</v>
      </c>
      <c r="AU284" t="s">
        <v>6</v>
      </c>
      <c r="AV284">
        <v>0</v>
      </c>
      <c r="AW284">
        <v>2</v>
      </c>
      <c r="AX284">
        <v>16803155</v>
      </c>
      <c r="AY284">
        <v>1</v>
      </c>
      <c r="AZ284">
        <v>0</v>
      </c>
      <c r="BA284">
        <v>277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>Y284*Source!I187</f>
        <v>3.1899999999999998E-2</v>
      </c>
      <c r="CY284">
        <f t="shared" ref="CY284:CY290" si="36">AA284</f>
        <v>203.98</v>
      </c>
      <c r="CZ284">
        <f t="shared" ref="CZ284:CZ290" si="37">AE284</f>
        <v>30.4</v>
      </c>
      <c r="DA284">
        <f t="shared" ref="DA284:DA290" si="38">AI284</f>
        <v>6.71</v>
      </c>
      <c r="DB284">
        <f t="shared" si="34"/>
        <v>3.34</v>
      </c>
      <c r="DC284">
        <f t="shared" si="35"/>
        <v>0</v>
      </c>
    </row>
    <row r="285" spans="1:107" x14ac:dyDescent="0.2">
      <c r="A285">
        <f>ROW(Source!A187)</f>
        <v>187</v>
      </c>
      <c r="B285">
        <v>16802145</v>
      </c>
      <c r="C285">
        <v>16803137</v>
      </c>
      <c r="D285">
        <v>15170074</v>
      </c>
      <c r="E285">
        <v>1</v>
      </c>
      <c r="F285">
        <v>1</v>
      </c>
      <c r="G285">
        <v>1</v>
      </c>
      <c r="H285">
        <v>3</v>
      </c>
      <c r="I285" t="s">
        <v>844</v>
      </c>
      <c r="J285" t="s">
        <v>845</v>
      </c>
      <c r="K285" t="s">
        <v>846</v>
      </c>
      <c r="L285">
        <v>1355</v>
      </c>
      <c r="N285">
        <v>1010</v>
      </c>
      <c r="O285" t="s">
        <v>126</v>
      </c>
      <c r="P285" t="s">
        <v>126</v>
      </c>
      <c r="Q285">
        <v>100</v>
      </c>
      <c r="W285">
        <v>0</v>
      </c>
      <c r="X285">
        <v>1794244060</v>
      </c>
      <c r="Y285">
        <v>1.02</v>
      </c>
      <c r="AA285">
        <v>577.05999999999995</v>
      </c>
      <c r="AB285">
        <v>0</v>
      </c>
      <c r="AC285">
        <v>0</v>
      </c>
      <c r="AD285">
        <v>0</v>
      </c>
      <c r="AE285">
        <v>86</v>
      </c>
      <c r="AF285">
        <v>0</v>
      </c>
      <c r="AG285">
        <v>0</v>
      </c>
      <c r="AH285">
        <v>0</v>
      </c>
      <c r="AI285">
        <v>6.71</v>
      </c>
      <c r="AJ285">
        <v>1</v>
      </c>
      <c r="AK285">
        <v>1</v>
      </c>
      <c r="AL285">
        <v>1</v>
      </c>
      <c r="AN285">
        <v>0</v>
      </c>
      <c r="AO285">
        <v>1</v>
      </c>
      <c r="AP285">
        <v>0</v>
      </c>
      <c r="AQ285">
        <v>0</v>
      </c>
      <c r="AR285">
        <v>0</v>
      </c>
      <c r="AS285" t="s">
        <v>6</v>
      </c>
      <c r="AT285">
        <v>1.02</v>
      </c>
      <c r="AU285" t="s">
        <v>6</v>
      </c>
      <c r="AV285">
        <v>0</v>
      </c>
      <c r="AW285">
        <v>2</v>
      </c>
      <c r="AX285">
        <v>16803156</v>
      </c>
      <c r="AY285">
        <v>1</v>
      </c>
      <c r="AZ285">
        <v>0</v>
      </c>
      <c r="BA285">
        <v>278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>Y285*Source!I187</f>
        <v>0.29580000000000001</v>
      </c>
      <c r="CY285">
        <f t="shared" si="36"/>
        <v>577.05999999999995</v>
      </c>
      <c r="CZ285">
        <f t="shared" si="37"/>
        <v>86</v>
      </c>
      <c r="DA285">
        <f t="shared" si="38"/>
        <v>6.71</v>
      </c>
      <c r="DB285">
        <f t="shared" si="34"/>
        <v>87.72</v>
      </c>
      <c r="DC285">
        <f t="shared" si="35"/>
        <v>0</v>
      </c>
    </row>
    <row r="286" spans="1:107" x14ac:dyDescent="0.2">
      <c r="A286">
        <f>ROW(Source!A187)</f>
        <v>187</v>
      </c>
      <c r="B286">
        <v>16802145</v>
      </c>
      <c r="C286">
        <v>16803137</v>
      </c>
      <c r="D286">
        <v>15170434</v>
      </c>
      <c r="E286">
        <v>1</v>
      </c>
      <c r="F286">
        <v>1</v>
      </c>
      <c r="G286">
        <v>1</v>
      </c>
      <c r="H286">
        <v>3</v>
      </c>
      <c r="I286" t="s">
        <v>903</v>
      </c>
      <c r="J286" t="s">
        <v>904</v>
      </c>
      <c r="K286" t="s">
        <v>905</v>
      </c>
      <c r="L286">
        <v>1348</v>
      </c>
      <c r="N286">
        <v>1009</v>
      </c>
      <c r="O286" t="s">
        <v>65</v>
      </c>
      <c r="P286" t="s">
        <v>65</v>
      </c>
      <c r="Q286">
        <v>1000</v>
      </c>
      <c r="W286">
        <v>0</v>
      </c>
      <c r="X286">
        <v>797358079</v>
      </c>
      <c r="Y286">
        <v>1.6000000000000001E-4</v>
      </c>
      <c r="AA286">
        <v>199958</v>
      </c>
      <c r="AB286">
        <v>0</v>
      </c>
      <c r="AC286">
        <v>0</v>
      </c>
      <c r="AD286">
        <v>0</v>
      </c>
      <c r="AE286">
        <v>29800</v>
      </c>
      <c r="AF286">
        <v>0</v>
      </c>
      <c r="AG286">
        <v>0</v>
      </c>
      <c r="AH286">
        <v>0</v>
      </c>
      <c r="AI286">
        <v>6.71</v>
      </c>
      <c r="AJ286">
        <v>1</v>
      </c>
      <c r="AK286">
        <v>1</v>
      </c>
      <c r="AL286">
        <v>1</v>
      </c>
      <c r="AN286">
        <v>0</v>
      </c>
      <c r="AO286">
        <v>1</v>
      </c>
      <c r="AP286">
        <v>0</v>
      </c>
      <c r="AQ286">
        <v>0</v>
      </c>
      <c r="AR286">
        <v>0</v>
      </c>
      <c r="AS286" t="s">
        <v>6</v>
      </c>
      <c r="AT286">
        <v>1.6000000000000001E-4</v>
      </c>
      <c r="AU286" t="s">
        <v>6</v>
      </c>
      <c r="AV286">
        <v>0</v>
      </c>
      <c r="AW286">
        <v>2</v>
      </c>
      <c r="AX286">
        <v>16803157</v>
      </c>
      <c r="AY286">
        <v>1</v>
      </c>
      <c r="AZ286">
        <v>0</v>
      </c>
      <c r="BA286">
        <v>279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>Y286*Source!I187</f>
        <v>4.6400000000000003E-5</v>
      </c>
      <c r="CY286">
        <f t="shared" si="36"/>
        <v>199958</v>
      </c>
      <c r="CZ286">
        <f t="shared" si="37"/>
        <v>29800</v>
      </c>
      <c r="DA286">
        <f t="shared" si="38"/>
        <v>6.71</v>
      </c>
      <c r="DB286">
        <f t="shared" si="34"/>
        <v>4.7699999999999996</v>
      </c>
      <c r="DC286">
        <f t="shared" si="35"/>
        <v>0</v>
      </c>
    </row>
    <row r="287" spans="1:107" x14ac:dyDescent="0.2">
      <c r="A287">
        <f>ROW(Source!A187)</f>
        <v>187</v>
      </c>
      <c r="B287">
        <v>16802145</v>
      </c>
      <c r="C287">
        <v>16803137</v>
      </c>
      <c r="D287">
        <v>15170438</v>
      </c>
      <c r="E287">
        <v>1</v>
      </c>
      <c r="F287">
        <v>1</v>
      </c>
      <c r="G287">
        <v>1</v>
      </c>
      <c r="H287">
        <v>3</v>
      </c>
      <c r="I287" t="s">
        <v>879</v>
      </c>
      <c r="J287" t="s">
        <v>880</v>
      </c>
      <c r="K287" t="s">
        <v>881</v>
      </c>
      <c r="L287">
        <v>1348</v>
      </c>
      <c r="N287">
        <v>1009</v>
      </c>
      <c r="O287" t="s">
        <v>65</v>
      </c>
      <c r="P287" t="s">
        <v>65</v>
      </c>
      <c r="Q287">
        <v>1000</v>
      </c>
      <c r="W287">
        <v>0</v>
      </c>
      <c r="X287">
        <v>-1755229539</v>
      </c>
      <c r="Y287">
        <v>2.9999999999999997E-4</v>
      </c>
      <c r="AA287">
        <v>83405.3</v>
      </c>
      <c r="AB287">
        <v>0</v>
      </c>
      <c r="AC287">
        <v>0</v>
      </c>
      <c r="AD287">
        <v>0</v>
      </c>
      <c r="AE287">
        <v>12430</v>
      </c>
      <c r="AF287">
        <v>0</v>
      </c>
      <c r="AG287">
        <v>0</v>
      </c>
      <c r="AH287">
        <v>0</v>
      </c>
      <c r="AI287">
        <v>6.71</v>
      </c>
      <c r="AJ287">
        <v>1</v>
      </c>
      <c r="AK287">
        <v>1</v>
      </c>
      <c r="AL287">
        <v>1</v>
      </c>
      <c r="AN287">
        <v>0</v>
      </c>
      <c r="AO287">
        <v>1</v>
      </c>
      <c r="AP287">
        <v>0</v>
      </c>
      <c r="AQ287">
        <v>0</v>
      </c>
      <c r="AR287">
        <v>0</v>
      </c>
      <c r="AS287" t="s">
        <v>6</v>
      </c>
      <c r="AT287">
        <v>2.9999999999999997E-4</v>
      </c>
      <c r="AU287" t="s">
        <v>6</v>
      </c>
      <c r="AV287">
        <v>0</v>
      </c>
      <c r="AW287">
        <v>2</v>
      </c>
      <c r="AX287">
        <v>16803158</v>
      </c>
      <c r="AY287">
        <v>1</v>
      </c>
      <c r="AZ287">
        <v>0</v>
      </c>
      <c r="BA287">
        <v>280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>Y287*Source!I187</f>
        <v>8.6999999999999987E-5</v>
      </c>
      <c r="CY287">
        <f t="shared" si="36"/>
        <v>83405.3</v>
      </c>
      <c r="CZ287">
        <f t="shared" si="37"/>
        <v>12430</v>
      </c>
      <c r="DA287">
        <f t="shared" si="38"/>
        <v>6.71</v>
      </c>
      <c r="DB287">
        <f t="shared" si="34"/>
        <v>3.73</v>
      </c>
      <c r="DC287">
        <f t="shared" si="35"/>
        <v>0</v>
      </c>
    </row>
    <row r="288" spans="1:107" x14ac:dyDescent="0.2">
      <c r="A288">
        <f>ROW(Source!A187)</f>
        <v>187</v>
      </c>
      <c r="B288">
        <v>16802145</v>
      </c>
      <c r="C288">
        <v>16803137</v>
      </c>
      <c r="D288">
        <v>15220792</v>
      </c>
      <c r="E288">
        <v>1</v>
      </c>
      <c r="F288">
        <v>1</v>
      </c>
      <c r="G288">
        <v>1</v>
      </c>
      <c r="H288">
        <v>3</v>
      </c>
      <c r="I288" t="s">
        <v>481</v>
      </c>
      <c r="J288" t="s">
        <v>483</v>
      </c>
      <c r="K288" t="s">
        <v>482</v>
      </c>
      <c r="L288">
        <v>1355</v>
      </c>
      <c r="N288">
        <v>1010</v>
      </c>
      <c r="O288" t="s">
        <v>126</v>
      </c>
      <c r="P288" t="s">
        <v>126</v>
      </c>
      <c r="Q288">
        <v>100</v>
      </c>
      <c r="W288">
        <v>0</v>
      </c>
      <c r="X288">
        <v>-2051776460</v>
      </c>
      <c r="Y288">
        <v>0.82758600000000004</v>
      </c>
      <c r="AA288">
        <v>6032.29</v>
      </c>
      <c r="AB288">
        <v>0</v>
      </c>
      <c r="AC288">
        <v>0</v>
      </c>
      <c r="AD288">
        <v>0</v>
      </c>
      <c r="AE288">
        <v>899</v>
      </c>
      <c r="AF288">
        <v>0</v>
      </c>
      <c r="AG288">
        <v>0</v>
      </c>
      <c r="AH288">
        <v>0</v>
      </c>
      <c r="AI288">
        <v>6.71</v>
      </c>
      <c r="AJ288">
        <v>1</v>
      </c>
      <c r="AK288">
        <v>1</v>
      </c>
      <c r="AL288">
        <v>1</v>
      </c>
      <c r="AN288">
        <v>0</v>
      </c>
      <c r="AO288">
        <v>0</v>
      </c>
      <c r="AP288">
        <v>0</v>
      </c>
      <c r="AQ288">
        <v>0</v>
      </c>
      <c r="AR288">
        <v>0</v>
      </c>
      <c r="AS288" t="s">
        <v>6</v>
      </c>
      <c r="AT288">
        <v>0.82758600000000004</v>
      </c>
      <c r="AU288" t="s">
        <v>6</v>
      </c>
      <c r="AV288">
        <v>0</v>
      </c>
      <c r="AW288">
        <v>1</v>
      </c>
      <c r="AX288">
        <v>-1</v>
      </c>
      <c r="AY288">
        <v>0</v>
      </c>
      <c r="AZ288">
        <v>0</v>
      </c>
      <c r="BA288" t="s">
        <v>6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>Y288*Source!I187</f>
        <v>0.23999993999999999</v>
      </c>
      <c r="CY288">
        <f t="shared" si="36"/>
        <v>6032.29</v>
      </c>
      <c r="CZ288">
        <f t="shared" si="37"/>
        <v>899</v>
      </c>
      <c r="DA288">
        <f t="shared" si="38"/>
        <v>6.71</v>
      </c>
      <c r="DB288">
        <f t="shared" si="34"/>
        <v>744</v>
      </c>
      <c r="DC288">
        <f t="shared" si="35"/>
        <v>0</v>
      </c>
    </row>
    <row r="289" spans="1:107" x14ac:dyDescent="0.2">
      <c r="A289">
        <f>ROW(Source!A187)</f>
        <v>187</v>
      </c>
      <c r="B289">
        <v>16802145</v>
      </c>
      <c r="C289">
        <v>16803137</v>
      </c>
      <c r="D289">
        <v>15220793</v>
      </c>
      <c r="E289">
        <v>1</v>
      </c>
      <c r="F289">
        <v>1</v>
      </c>
      <c r="G289">
        <v>1</v>
      </c>
      <c r="H289">
        <v>3</v>
      </c>
      <c r="I289" t="s">
        <v>485</v>
      </c>
      <c r="J289" t="s">
        <v>487</v>
      </c>
      <c r="K289" t="s">
        <v>486</v>
      </c>
      <c r="L289">
        <v>1355</v>
      </c>
      <c r="N289">
        <v>1010</v>
      </c>
      <c r="O289" t="s">
        <v>126</v>
      </c>
      <c r="P289" t="s">
        <v>126</v>
      </c>
      <c r="Q289">
        <v>100</v>
      </c>
      <c r="W289">
        <v>0</v>
      </c>
      <c r="X289">
        <v>375004976</v>
      </c>
      <c r="Y289">
        <v>0.17241400000000001</v>
      </c>
      <c r="AA289">
        <v>4925.1400000000003</v>
      </c>
      <c r="AB289">
        <v>0</v>
      </c>
      <c r="AC289">
        <v>0</v>
      </c>
      <c r="AD289">
        <v>0</v>
      </c>
      <c r="AE289">
        <v>734</v>
      </c>
      <c r="AF289">
        <v>0</v>
      </c>
      <c r="AG289">
        <v>0</v>
      </c>
      <c r="AH289">
        <v>0</v>
      </c>
      <c r="AI289">
        <v>6.71</v>
      </c>
      <c r="AJ289">
        <v>1</v>
      </c>
      <c r="AK289">
        <v>1</v>
      </c>
      <c r="AL289">
        <v>1</v>
      </c>
      <c r="AN289">
        <v>0</v>
      </c>
      <c r="AO289">
        <v>0</v>
      </c>
      <c r="AP289">
        <v>0</v>
      </c>
      <c r="AQ289">
        <v>0</v>
      </c>
      <c r="AR289">
        <v>0</v>
      </c>
      <c r="AS289" t="s">
        <v>6</v>
      </c>
      <c r="AT289">
        <v>0.17241400000000001</v>
      </c>
      <c r="AU289" t="s">
        <v>6</v>
      </c>
      <c r="AV289">
        <v>0</v>
      </c>
      <c r="AW289">
        <v>1</v>
      </c>
      <c r="AX289">
        <v>-1</v>
      </c>
      <c r="AY289">
        <v>0</v>
      </c>
      <c r="AZ289">
        <v>0</v>
      </c>
      <c r="BA289" t="s">
        <v>6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>Y289*Source!I187</f>
        <v>5.0000059999999999E-2</v>
      </c>
      <c r="CY289">
        <f t="shared" si="36"/>
        <v>4925.1400000000003</v>
      </c>
      <c r="CZ289">
        <f t="shared" si="37"/>
        <v>734</v>
      </c>
      <c r="DA289">
        <f t="shared" si="38"/>
        <v>6.71</v>
      </c>
      <c r="DB289">
        <f t="shared" si="34"/>
        <v>126.55</v>
      </c>
      <c r="DC289">
        <f t="shared" si="35"/>
        <v>0</v>
      </c>
    </row>
    <row r="290" spans="1:107" x14ac:dyDescent="0.2">
      <c r="A290">
        <f>ROW(Source!A187)</f>
        <v>187</v>
      </c>
      <c r="B290">
        <v>16802145</v>
      </c>
      <c r="C290">
        <v>16803137</v>
      </c>
      <c r="D290">
        <v>15164559</v>
      </c>
      <c r="E290">
        <v>17</v>
      </c>
      <c r="F290">
        <v>1</v>
      </c>
      <c r="G290">
        <v>1</v>
      </c>
      <c r="H290">
        <v>3</v>
      </c>
      <c r="I290" t="s">
        <v>821</v>
      </c>
      <c r="J290" t="s">
        <v>6</v>
      </c>
      <c r="K290" t="s">
        <v>822</v>
      </c>
      <c r="L290">
        <v>1374</v>
      </c>
      <c r="N290">
        <v>1013</v>
      </c>
      <c r="O290" t="s">
        <v>823</v>
      </c>
      <c r="P290" t="s">
        <v>823</v>
      </c>
      <c r="Q290">
        <v>1</v>
      </c>
      <c r="W290">
        <v>0</v>
      </c>
      <c r="X290">
        <v>-1731369543</v>
      </c>
      <c r="Y290">
        <v>6.86</v>
      </c>
      <c r="AA290">
        <v>1</v>
      </c>
      <c r="AB290">
        <v>0</v>
      </c>
      <c r="AC290">
        <v>0</v>
      </c>
      <c r="AD290">
        <v>0</v>
      </c>
      <c r="AE290">
        <v>1</v>
      </c>
      <c r="AF290">
        <v>0</v>
      </c>
      <c r="AG290">
        <v>0</v>
      </c>
      <c r="AH290">
        <v>0</v>
      </c>
      <c r="AI290">
        <v>1</v>
      </c>
      <c r="AJ290">
        <v>1</v>
      </c>
      <c r="AK290">
        <v>1</v>
      </c>
      <c r="AL290">
        <v>1</v>
      </c>
      <c r="AN290">
        <v>0</v>
      </c>
      <c r="AO290">
        <v>1</v>
      </c>
      <c r="AP290">
        <v>0</v>
      </c>
      <c r="AQ290">
        <v>0</v>
      </c>
      <c r="AR290">
        <v>0</v>
      </c>
      <c r="AS290" t="s">
        <v>6</v>
      </c>
      <c r="AT290">
        <v>6.86</v>
      </c>
      <c r="AU290" t="s">
        <v>6</v>
      </c>
      <c r="AV290">
        <v>0</v>
      </c>
      <c r="AW290">
        <v>2</v>
      </c>
      <c r="AX290">
        <v>16803159</v>
      </c>
      <c r="AY290">
        <v>1</v>
      </c>
      <c r="AZ290">
        <v>0</v>
      </c>
      <c r="BA290">
        <v>281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>Y290*Source!I187</f>
        <v>1.9894000000000001</v>
      </c>
      <c r="CY290">
        <f t="shared" si="36"/>
        <v>1</v>
      </c>
      <c r="CZ290">
        <f t="shared" si="37"/>
        <v>1</v>
      </c>
      <c r="DA290">
        <f t="shared" si="38"/>
        <v>1</v>
      </c>
      <c r="DB290">
        <f t="shared" si="34"/>
        <v>6.86</v>
      </c>
      <c r="DC290">
        <f t="shared" si="35"/>
        <v>0</v>
      </c>
    </row>
    <row r="291" spans="1:107" x14ac:dyDescent="0.2">
      <c r="A291">
        <f>ROW(Source!A190)</f>
        <v>190</v>
      </c>
      <c r="B291">
        <v>16802145</v>
      </c>
      <c r="C291">
        <v>16803162</v>
      </c>
      <c r="D291">
        <v>15442878</v>
      </c>
      <c r="E291">
        <v>1</v>
      </c>
      <c r="F291">
        <v>1</v>
      </c>
      <c r="G291">
        <v>1</v>
      </c>
      <c r="H291">
        <v>1</v>
      </c>
      <c r="I291" t="s">
        <v>906</v>
      </c>
      <c r="J291" t="s">
        <v>6</v>
      </c>
      <c r="K291" t="s">
        <v>907</v>
      </c>
      <c r="L291">
        <v>1191</v>
      </c>
      <c r="N291">
        <v>1013</v>
      </c>
      <c r="O291" t="s">
        <v>660</v>
      </c>
      <c r="P291" t="s">
        <v>660</v>
      </c>
      <c r="Q291">
        <v>1</v>
      </c>
      <c r="W291">
        <v>0</v>
      </c>
      <c r="X291">
        <v>-362667798</v>
      </c>
      <c r="Y291">
        <v>0.9</v>
      </c>
      <c r="AA291">
        <v>0</v>
      </c>
      <c r="AB291">
        <v>0</v>
      </c>
      <c r="AC291">
        <v>0</v>
      </c>
      <c r="AD291">
        <v>70.459999999999994</v>
      </c>
      <c r="AE291">
        <v>0</v>
      </c>
      <c r="AF291">
        <v>0</v>
      </c>
      <c r="AG291">
        <v>0</v>
      </c>
      <c r="AH291">
        <v>10.5</v>
      </c>
      <c r="AI291">
        <v>1</v>
      </c>
      <c r="AJ291">
        <v>1</v>
      </c>
      <c r="AK291">
        <v>1</v>
      </c>
      <c r="AL291">
        <v>6.71</v>
      </c>
      <c r="AN291">
        <v>0</v>
      </c>
      <c r="AO291">
        <v>1</v>
      </c>
      <c r="AP291">
        <v>0</v>
      </c>
      <c r="AQ291">
        <v>0</v>
      </c>
      <c r="AR291">
        <v>0</v>
      </c>
      <c r="AS291" t="s">
        <v>6</v>
      </c>
      <c r="AT291">
        <v>0.9</v>
      </c>
      <c r="AU291" t="s">
        <v>6</v>
      </c>
      <c r="AV291">
        <v>1</v>
      </c>
      <c r="AW291">
        <v>2</v>
      </c>
      <c r="AX291">
        <v>16803173</v>
      </c>
      <c r="AY291">
        <v>1</v>
      </c>
      <c r="AZ291">
        <v>0</v>
      </c>
      <c r="BA291">
        <v>282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>Y291*Source!I190</f>
        <v>4.5</v>
      </c>
      <c r="CY291">
        <f>AD291</f>
        <v>70.459999999999994</v>
      </c>
      <c r="CZ291">
        <f>AH291</f>
        <v>10.5</v>
      </c>
      <c r="DA291">
        <f>AL291</f>
        <v>6.71</v>
      </c>
      <c r="DB291">
        <f t="shared" si="34"/>
        <v>9.4499999999999993</v>
      </c>
      <c r="DC291">
        <f t="shared" si="35"/>
        <v>0</v>
      </c>
    </row>
    <row r="292" spans="1:107" x14ac:dyDescent="0.2">
      <c r="A292">
        <f>ROW(Source!A190)</f>
        <v>190</v>
      </c>
      <c r="B292">
        <v>16802145</v>
      </c>
      <c r="C292">
        <v>16803162</v>
      </c>
      <c r="D292">
        <v>15430395</v>
      </c>
      <c r="E292">
        <v>1</v>
      </c>
      <c r="F292">
        <v>1</v>
      </c>
      <c r="G292">
        <v>1</v>
      </c>
      <c r="H292">
        <v>1</v>
      </c>
      <c r="I292" t="s">
        <v>661</v>
      </c>
      <c r="J292" t="s">
        <v>6</v>
      </c>
      <c r="K292" t="s">
        <v>662</v>
      </c>
      <c r="L292">
        <v>1191</v>
      </c>
      <c r="N292">
        <v>1013</v>
      </c>
      <c r="O292" t="s">
        <v>660</v>
      </c>
      <c r="P292" t="s">
        <v>660</v>
      </c>
      <c r="Q292">
        <v>1</v>
      </c>
      <c r="W292">
        <v>0</v>
      </c>
      <c r="X292">
        <v>-1417349443</v>
      </c>
      <c r="Y292">
        <v>0.2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1</v>
      </c>
      <c r="AJ292">
        <v>1</v>
      </c>
      <c r="AK292">
        <v>6.71</v>
      </c>
      <c r="AL292">
        <v>1</v>
      </c>
      <c r="AN292">
        <v>0</v>
      </c>
      <c r="AO292">
        <v>1</v>
      </c>
      <c r="AP292">
        <v>0</v>
      </c>
      <c r="AQ292">
        <v>0</v>
      </c>
      <c r="AR292">
        <v>0</v>
      </c>
      <c r="AS292" t="s">
        <v>6</v>
      </c>
      <c r="AT292">
        <v>0.2</v>
      </c>
      <c r="AU292" t="s">
        <v>6</v>
      </c>
      <c r="AV292">
        <v>2</v>
      </c>
      <c r="AW292">
        <v>2</v>
      </c>
      <c r="AX292">
        <v>16803174</v>
      </c>
      <c r="AY292">
        <v>1</v>
      </c>
      <c r="AZ292">
        <v>0</v>
      </c>
      <c r="BA292">
        <v>283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>Y292*Source!I190</f>
        <v>1</v>
      </c>
      <c r="CY292">
        <f>AD292</f>
        <v>0</v>
      </c>
      <c r="CZ292">
        <f>AH292</f>
        <v>0</v>
      </c>
      <c r="DA292">
        <f>AL292</f>
        <v>1</v>
      </c>
      <c r="DB292">
        <f t="shared" si="34"/>
        <v>0</v>
      </c>
      <c r="DC292">
        <f t="shared" si="35"/>
        <v>0</v>
      </c>
    </row>
    <row r="293" spans="1:107" x14ac:dyDescent="0.2">
      <c r="A293">
        <f>ROW(Source!A190)</f>
        <v>190</v>
      </c>
      <c r="B293">
        <v>16802145</v>
      </c>
      <c r="C293">
        <v>16803162</v>
      </c>
      <c r="D293">
        <v>15247680</v>
      </c>
      <c r="E293">
        <v>1</v>
      </c>
      <c r="F293">
        <v>1</v>
      </c>
      <c r="G293">
        <v>1</v>
      </c>
      <c r="H293">
        <v>2</v>
      </c>
      <c r="I293" t="s">
        <v>786</v>
      </c>
      <c r="J293" t="s">
        <v>787</v>
      </c>
      <c r="K293" t="s">
        <v>788</v>
      </c>
      <c r="L293">
        <v>1368</v>
      </c>
      <c r="N293">
        <v>1011</v>
      </c>
      <c r="O293" t="s">
        <v>666</v>
      </c>
      <c r="P293" t="s">
        <v>666</v>
      </c>
      <c r="Q293">
        <v>1</v>
      </c>
      <c r="W293">
        <v>0</v>
      </c>
      <c r="X293">
        <v>-1718674368</v>
      </c>
      <c r="Y293">
        <v>0.1</v>
      </c>
      <c r="AA293">
        <v>0</v>
      </c>
      <c r="AB293">
        <v>751.45</v>
      </c>
      <c r="AC293">
        <v>13.5</v>
      </c>
      <c r="AD293">
        <v>0</v>
      </c>
      <c r="AE293">
        <v>0</v>
      </c>
      <c r="AF293">
        <v>111.99</v>
      </c>
      <c r="AG293">
        <v>13.5</v>
      </c>
      <c r="AH293">
        <v>0</v>
      </c>
      <c r="AI293">
        <v>1</v>
      </c>
      <c r="AJ293">
        <v>6.71</v>
      </c>
      <c r="AK293">
        <v>1</v>
      </c>
      <c r="AL293">
        <v>1</v>
      </c>
      <c r="AN293">
        <v>0</v>
      </c>
      <c r="AO293">
        <v>1</v>
      </c>
      <c r="AP293">
        <v>0</v>
      </c>
      <c r="AQ293">
        <v>0</v>
      </c>
      <c r="AR293">
        <v>0</v>
      </c>
      <c r="AS293" t="s">
        <v>6</v>
      </c>
      <c r="AT293">
        <v>0.1</v>
      </c>
      <c r="AU293" t="s">
        <v>6</v>
      </c>
      <c r="AV293">
        <v>0</v>
      </c>
      <c r="AW293">
        <v>2</v>
      </c>
      <c r="AX293">
        <v>16803175</v>
      </c>
      <c r="AY293">
        <v>1</v>
      </c>
      <c r="AZ293">
        <v>0</v>
      </c>
      <c r="BA293">
        <v>284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>Y293*Source!I190</f>
        <v>0.5</v>
      </c>
      <c r="CY293">
        <f>AB293</f>
        <v>751.45</v>
      </c>
      <c r="CZ293">
        <f>AF293</f>
        <v>111.99</v>
      </c>
      <c r="DA293">
        <f>AJ293</f>
        <v>6.71</v>
      </c>
      <c r="DB293">
        <f t="shared" si="34"/>
        <v>11.2</v>
      </c>
      <c r="DC293">
        <f t="shared" si="35"/>
        <v>1.35</v>
      </c>
    </row>
    <row r="294" spans="1:107" x14ac:dyDescent="0.2">
      <c r="A294">
        <f>ROW(Source!A190)</f>
        <v>190</v>
      </c>
      <c r="B294">
        <v>16802145</v>
      </c>
      <c r="C294">
        <v>16803162</v>
      </c>
      <c r="D294">
        <v>15249073</v>
      </c>
      <c r="E294">
        <v>1</v>
      </c>
      <c r="F294">
        <v>1</v>
      </c>
      <c r="G294">
        <v>1</v>
      </c>
      <c r="H294">
        <v>2</v>
      </c>
      <c r="I294" t="s">
        <v>684</v>
      </c>
      <c r="J294" t="s">
        <v>685</v>
      </c>
      <c r="K294" t="s">
        <v>686</v>
      </c>
      <c r="L294">
        <v>1368</v>
      </c>
      <c r="N294">
        <v>1011</v>
      </c>
      <c r="O294" t="s">
        <v>666</v>
      </c>
      <c r="P294" t="s">
        <v>666</v>
      </c>
      <c r="Q294">
        <v>1</v>
      </c>
      <c r="W294">
        <v>0</v>
      </c>
      <c r="X294">
        <v>1372534845</v>
      </c>
      <c r="Y294">
        <v>0.1</v>
      </c>
      <c r="AA294">
        <v>0</v>
      </c>
      <c r="AB294">
        <v>440.91</v>
      </c>
      <c r="AC294">
        <v>11.6</v>
      </c>
      <c r="AD294">
        <v>0</v>
      </c>
      <c r="AE294">
        <v>0</v>
      </c>
      <c r="AF294">
        <v>65.709999999999994</v>
      </c>
      <c r="AG294">
        <v>11.6</v>
      </c>
      <c r="AH294">
        <v>0</v>
      </c>
      <c r="AI294">
        <v>1</v>
      </c>
      <c r="AJ294">
        <v>6.71</v>
      </c>
      <c r="AK294">
        <v>1</v>
      </c>
      <c r="AL294">
        <v>1</v>
      </c>
      <c r="AN294">
        <v>0</v>
      </c>
      <c r="AO294">
        <v>1</v>
      </c>
      <c r="AP294">
        <v>0</v>
      </c>
      <c r="AQ294">
        <v>0</v>
      </c>
      <c r="AR294">
        <v>0</v>
      </c>
      <c r="AS294" t="s">
        <v>6</v>
      </c>
      <c r="AT294">
        <v>0.1</v>
      </c>
      <c r="AU294" t="s">
        <v>6</v>
      </c>
      <c r="AV294">
        <v>0</v>
      </c>
      <c r="AW294">
        <v>2</v>
      </c>
      <c r="AX294">
        <v>16803176</v>
      </c>
      <c r="AY294">
        <v>1</v>
      </c>
      <c r="AZ294">
        <v>0</v>
      </c>
      <c r="BA294">
        <v>285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X294">
        <f>Y294*Source!I190</f>
        <v>0.5</v>
      </c>
      <c r="CY294">
        <f>AB294</f>
        <v>440.91</v>
      </c>
      <c r="CZ294">
        <f>AF294</f>
        <v>65.709999999999994</v>
      </c>
      <c r="DA294">
        <f>AJ294</f>
        <v>6.71</v>
      </c>
      <c r="DB294">
        <f t="shared" si="34"/>
        <v>6.57</v>
      </c>
      <c r="DC294">
        <f t="shared" si="35"/>
        <v>1.1599999999999999</v>
      </c>
    </row>
    <row r="295" spans="1:107" x14ac:dyDescent="0.2">
      <c r="A295">
        <f>ROW(Source!A190)</f>
        <v>190</v>
      </c>
      <c r="B295">
        <v>16802145</v>
      </c>
      <c r="C295">
        <v>16803162</v>
      </c>
      <c r="D295">
        <v>15167588</v>
      </c>
      <c r="E295">
        <v>1</v>
      </c>
      <c r="F295">
        <v>1</v>
      </c>
      <c r="G295">
        <v>1</v>
      </c>
      <c r="H295">
        <v>3</v>
      </c>
      <c r="I295" t="s">
        <v>835</v>
      </c>
      <c r="J295" t="s">
        <v>836</v>
      </c>
      <c r="K295" t="s">
        <v>837</v>
      </c>
      <c r="L295">
        <v>1346</v>
      </c>
      <c r="N295">
        <v>1009</v>
      </c>
      <c r="O295" t="s">
        <v>103</v>
      </c>
      <c r="P295" t="s">
        <v>103</v>
      </c>
      <c r="Q295">
        <v>1</v>
      </c>
      <c r="W295">
        <v>0</v>
      </c>
      <c r="X295">
        <v>-1088866022</v>
      </c>
      <c r="Y295">
        <v>0.01</v>
      </c>
      <c r="AA295">
        <v>203.98</v>
      </c>
      <c r="AB295">
        <v>0</v>
      </c>
      <c r="AC295">
        <v>0</v>
      </c>
      <c r="AD295">
        <v>0</v>
      </c>
      <c r="AE295">
        <v>30.4</v>
      </c>
      <c r="AF295">
        <v>0</v>
      </c>
      <c r="AG295">
        <v>0</v>
      </c>
      <c r="AH295">
        <v>0</v>
      </c>
      <c r="AI295">
        <v>6.71</v>
      </c>
      <c r="AJ295">
        <v>1</v>
      </c>
      <c r="AK295">
        <v>1</v>
      </c>
      <c r="AL295">
        <v>1</v>
      </c>
      <c r="AN295">
        <v>0</v>
      </c>
      <c r="AO295">
        <v>1</v>
      </c>
      <c r="AP295">
        <v>0</v>
      </c>
      <c r="AQ295">
        <v>0</v>
      </c>
      <c r="AR295">
        <v>0</v>
      </c>
      <c r="AS295" t="s">
        <v>6</v>
      </c>
      <c r="AT295">
        <v>0.01</v>
      </c>
      <c r="AU295" t="s">
        <v>6</v>
      </c>
      <c r="AV295">
        <v>0</v>
      </c>
      <c r="AW295">
        <v>2</v>
      </c>
      <c r="AX295">
        <v>16803177</v>
      </c>
      <c r="AY295">
        <v>1</v>
      </c>
      <c r="AZ295">
        <v>0</v>
      </c>
      <c r="BA295">
        <v>286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X295">
        <f>Y295*Source!I190</f>
        <v>0.05</v>
      </c>
      <c r="CY295">
        <f>AA295</f>
        <v>203.98</v>
      </c>
      <c r="CZ295">
        <f>AE295</f>
        <v>30.4</v>
      </c>
      <c r="DA295">
        <f>AI295</f>
        <v>6.71</v>
      </c>
      <c r="DB295">
        <f t="shared" si="34"/>
        <v>0.3</v>
      </c>
      <c r="DC295">
        <f t="shared" si="35"/>
        <v>0</v>
      </c>
    </row>
    <row r="296" spans="1:107" x14ac:dyDescent="0.2">
      <c r="A296">
        <f>ROW(Source!A190)</f>
        <v>190</v>
      </c>
      <c r="B296">
        <v>16802145</v>
      </c>
      <c r="C296">
        <v>16803162</v>
      </c>
      <c r="D296">
        <v>15169942</v>
      </c>
      <c r="E296">
        <v>1</v>
      </c>
      <c r="F296">
        <v>1</v>
      </c>
      <c r="G296">
        <v>1</v>
      </c>
      <c r="H296">
        <v>3</v>
      </c>
      <c r="I296" t="s">
        <v>841</v>
      </c>
      <c r="J296" t="s">
        <v>842</v>
      </c>
      <c r="K296" t="s">
        <v>843</v>
      </c>
      <c r="L296">
        <v>1346</v>
      </c>
      <c r="N296">
        <v>1009</v>
      </c>
      <c r="O296" t="s">
        <v>103</v>
      </c>
      <c r="P296" t="s">
        <v>103</v>
      </c>
      <c r="Q296">
        <v>1</v>
      </c>
      <c r="W296">
        <v>0</v>
      </c>
      <c r="X296">
        <v>103900845</v>
      </c>
      <c r="Y296">
        <v>0.3</v>
      </c>
      <c r="AA296">
        <v>60.66</v>
      </c>
      <c r="AB296">
        <v>0</v>
      </c>
      <c r="AC296">
        <v>0</v>
      </c>
      <c r="AD296">
        <v>0</v>
      </c>
      <c r="AE296">
        <v>9.0399999999999991</v>
      </c>
      <c r="AF296">
        <v>0</v>
      </c>
      <c r="AG296">
        <v>0</v>
      </c>
      <c r="AH296">
        <v>0</v>
      </c>
      <c r="AI296">
        <v>6.71</v>
      </c>
      <c r="AJ296">
        <v>1</v>
      </c>
      <c r="AK296">
        <v>1</v>
      </c>
      <c r="AL296">
        <v>1</v>
      </c>
      <c r="AN296">
        <v>0</v>
      </c>
      <c r="AO296">
        <v>1</v>
      </c>
      <c r="AP296">
        <v>0</v>
      </c>
      <c r="AQ296">
        <v>0</v>
      </c>
      <c r="AR296">
        <v>0</v>
      </c>
      <c r="AS296" t="s">
        <v>6</v>
      </c>
      <c r="AT296">
        <v>0.3</v>
      </c>
      <c r="AU296" t="s">
        <v>6</v>
      </c>
      <c r="AV296">
        <v>0</v>
      </c>
      <c r="AW296">
        <v>2</v>
      </c>
      <c r="AX296">
        <v>16803178</v>
      </c>
      <c r="AY296">
        <v>1</v>
      </c>
      <c r="AZ296">
        <v>0</v>
      </c>
      <c r="BA296">
        <v>287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X296">
        <f>Y296*Source!I190</f>
        <v>1.5</v>
      </c>
      <c r="CY296">
        <f>AA296</f>
        <v>60.66</v>
      </c>
      <c r="CZ296">
        <f>AE296</f>
        <v>9.0399999999999991</v>
      </c>
      <c r="DA296">
        <f>AI296</f>
        <v>6.71</v>
      </c>
      <c r="DB296">
        <f t="shared" si="34"/>
        <v>2.71</v>
      </c>
      <c r="DC296">
        <f t="shared" si="35"/>
        <v>0</v>
      </c>
    </row>
    <row r="297" spans="1:107" x14ac:dyDescent="0.2">
      <c r="A297">
        <f>ROW(Source!A190)</f>
        <v>190</v>
      </c>
      <c r="B297">
        <v>16802145</v>
      </c>
      <c r="C297">
        <v>16803162</v>
      </c>
      <c r="D297">
        <v>15191488</v>
      </c>
      <c r="E297">
        <v>1</v>
      </c>
      <c r="F297">
        <v>1</v>
      </c>
      <c r="G297">
        <v>1</v>
      </c>
      <c r="H297">
        <v>3</v>
      </c>
      <c r="I297" t="s">
        <v>908</v>
      </c>
      <c r="J297" t="s">
        <v>909</v>
      </c>
      <c r="K297" t="s">
        <v>910</v>
      </c>
      <c r="L297">
        <v>1348</v>
      </c>
      <c r="N297">
        <v>1009</v>
      </c>
      <c r="O297" t="s">
        <v>65</v>
      </c>
      <c r="P297" t="s">
        <v>65</v>
      </c>
      <c r="Q297">
        <v>1000</v>
      </c>
      <c r="W297">
        <v>0</v>
      </c>
      <c r="X297">
        <v>-1598896989</v>
      </c>
      <c r="Y297">
        <v>5.9999999999999995E-4</v>
      </c>
      <c r="AA297">
        <v>33550</v>
      </c>
      <c r="AB297">
        <v>0</v>
      </c>
      <c r="AC297">
        <v>0</v>
      </c>
      <c r="AD297">
        <v>0</v>
      </c>
      <c r="AE297">
        <v>5000</v>
      </c>
      <c r="AF297">
        <v>0</v>
      </c>
      <c r="AG297">
        <v>0</v>
      </c>
      <c r="AH297">
        <v>0</v>
      </c>
      <c r="AI297">
        <v>6.71</v>
      </c>
      <c r="AJ297">
        <v>1</v>
      </c>
      <c r="AK297">
        <v>1</v>
      </c>
      <c r="AL297">
        <v>1</v>
      </c>
      <c r="AN297">
        <v>0</v>
      </c>
      <c r="AO297">
        <v>1</v>
      </c>
      <c r="AP297">
        <v>0</v>
      </c>
      <c r="AQ297">
        <v>0</v>
      </c>
      <c r="AR297">
        <v>0</v>
      </c>
      <c r="AS297" t="s">
        <v>6</v>
      </c>
      <c r="AT297">
        <v>5.9999999999999995E-4</v>
      </c>
      <c r="AU297" t="s">
        <v>6</v>
      </c>
      <c r="AV297">
        <v>0</v>
      </c>
      <c r="AW297">
        <v>2</v>
      </c>
      <c r="AX297">
        <v>16803179</v>
      </c>
      <c r="AY297">
        <v>1</v>
      </c>
      <c r="AZ297">
        <v>0</v>
      </c>
      <c r="BA297">
        <v>288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X297">
        <f>Y297*Source!I190</f>
        <v>2.9999999999999996E-3</v>
      </c>
      <c r="CY297">
        <f>AA297</f>
        <v>33550</v>
      </c>
      <c r="CZ297">
        <f>AE297</f>
        <v>5000</v>
      </c>
      <c r="DA297">
        <f>AI297</f>
        <v>6.71</v>
      </c>
      <c r="DB297">
        <f t="shared" si="34"/>
        <v>3</v>
      </c>
      <c r="DC297">
        <f t="shared" si="35"/>
        <v>0</v>
      </c>
    </row>
    <row r="298" spans="1:107" x14ac:dyDescent="0.2">
      <c r="A298">
        <f>ROW(Source!A190)</f>
        <v>190</v>
      </c>
      <c r="B298">
        <v>16802145</v>
      </c>
      <c r="C298">
        <v>16803162</v>
      </c>
      <c r="D298">
        <v>15239349</v>
      </c>
      <c r="E298">
        <v>1</v>
      </c>
      <c r="F298">
        <v>1</v>
      </c>
      <c r="G298">
        <v>1</v>
      </c>
      <c r="H298">
        <v>3</v>
      </c>
      <c r="I298" t="s">
        <v>493</v>
      </c>
      <c r="J298" t="s">
        <v>495</v>
      </c>
      <c r="K298" t="s">
        <v>494</v>
      </c>
      <c r="L298">
        <v>1358</v>
      </c>
      <c r="N298">
        <v>1010</v>
      </c>
      <c r="O298" t="s">
        <v>435</v>
      </c>
      <c r="P298" t="s">
        <v>435</v>
      </c>
      <c r="Q298">
        <v>10</v>
      </c>
      <c r="W298">
        <v>0</v>
      </c>
      <c r="X298">
        <v>-1428264759</v>
      </c>
      <c r="Y298">
        <v>0.1</v>
      </c>
      <c r="AA298">
        <v>1264.8399999999999</v>
      </c>
      <c r="AB298">
        <v>0</v>
      </c>
      <c r="AC298">
        <v>0</v>
      </c>
      <c r="AD298">
        <v>0</v>
      </c>
      <c r="AE298">
        <v>188.5</v>
      </c>
      <c r="AF298">
        <v>0</v>
      </c>
      <c r="AG298">
        <v>0</v>
      </c>
      <c r="AH298">
        <v>0</v>
      </c>
      <c r="AI298">
        <v>6.71</v>
      </c>
      <c r="AJ298">
        <v>1</v>
      </c>
      <c r="AK298">
        <v>1</v>
      </c>
      <c r="AL298">
        <v>1</v>
      </c>
      <c r="AN298">
        <v>0</v>
      </c>
      <c r="AO298">
        <v>0</v>
      </c>
      <c r="AP298">
        <v>0</v>
      </c>
      <c r="AQ298">
        <v>0</v>
      </c>
      <c r="AR298">
        <v>0</v>
      </c>
      <c r="AS298" t="s">
        <v>6</v>
      </c>
      <c r="AT298">
        <v>0.1</v>
      </c>
      <c r="AU298" t="s">
        <v>6</v>
      </c>
      <c r="AV298">
        <v>0</v>
      </c>
      <c r="AW298">
        <v>1</v>
      </c>
      <c r="AX298">
        <v>-1</v>
      </c>
      <c r="AY298">
        <v>0</v>
      </c>
      <c r="AZ298">
        <v>0</v>
      </c>
      <c r="BA298" t="s">
        <v>6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X298">
        <f>Y298*Source!I190</f>
        <v>0.5</v>
      </c>
      <c r="CY298">
        <f>AA298</f>
        <v>1264.8399999999999</v>
      </c>
      <c r="CZ298">
        <f>AE298</f>
        <v>188.5</v>
      </c>
      <c r="DA298">
        <f>AI298</f>
        <v>6.71</v>
      </c>
      <c r="DB298">
        <f t="shared" si="34"/>
        <v>18.850000000000001</v>
      </c>
      <c r="DC298">
        <f t="shared" si="35"/>
        <v>0</v>
      </c>
    </row>
    <row r="299" spans="1:107" x14ac:dyDescent="0.2">
      <c r="A299">
        <f>ROW(Source!A190)</f>
        <v>190</v>
      </c>
      <c r="B299">
        <v>16802145</v>
      </c>
      <c r="C299">
        <v>16803162</v>
      </c>
      <c r="D299">
        <v>15164559</v>
      </c>
      <c r="E299">
        <v>17</v>
      </c>
      <c r="F299">
        <v>1</v>
      </c>
      <c r="G299">
        <v>1</v>
      </c>
      <c r="H299">
        <v>3</v>
      </c>
      <c r="I299" t="s">
        <v>821</v>
      </c>
      <c r="J299" t="s">
        <v>6</v>
      </c>
      <c r="K299" t="s">
        <v>822</v>
      </c>
      <c r="L299">
        <v>1374</v>
      </c>
      <c r="N299">
        <v>1013</v>
      </c>
      <c r="O299" t="s">
        <v>823</v>
      </c>
      <c r="P299" t="s">
        <v>823</v>
      </c>
      <c r="Q299">
        <v>1</v>
      </c>
      <c r="W299">
        <v>0</v>
      </c>
      <c r="X299">
        <v>-1731369543</v>
      </c>
      <c r="Y299">
        <v>0.19</v>
      </c>
      <c r="AA299">
        <v>1</v>
      </c>
      <c r="AB299">
        <v>0</v>
      </c>
      <c r="AC299">
        <v>0</v>
      </c>
      <c r="AD299">
        <v>0</v>
      </c>
      <c r="AE299">
        <v>1</v>
      </c>
      <c r="AF299">
        <v>0</v>
      </c>
      <c r="AG299">
        <v>0</v>
      </c>
      <c r="AH299">
        <v>0</v>
      </c>
      <c r="AI299">
        <v>1</v>
      </c>
      <c r="AJ299">
        <v>1</v>
      </c>
      <c r="AK299">
        <v>1</v>
      </c>
      <c r="AL299">
        <v>1</v>
      </c>
      <c r="AN299">
        <v>0</v>
      </c>
      <c r="AO299">
        <v>1</v>
      </c>
      <c r="AP299">
        <v>0</v>
      </c>
      <c r="AQ299">
        <v>0</v>
      </c>
      <c r="AR299">
        <v>0</v>
      </c>
      <c r="AS299" t="s">
        <v>6</v>
      </c>
      <c r="AT299">
        <v>0.19</v>
      </c>
      <c r="AU299" t="s">
        <v>6</v>
      </c>
      <c r="AV299">
        <v>0</v>
      </c>
      <c r="AW299">
        <v>2</v>
      </c>
      <c r="AX299">
        <v>16803180</v>
      </c>
      <c r="AY299">
        <v>1</v>
      </c>
      <c r="AZ299">
        <v>0</v>
      </c>
      <c r="BA299">
        <v>289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X299">
        <f>Y299*Source!I190</f>
        <v>0.95</v>
      </c>
      <c r="CY299">
        <f>AA299</f>
        <v>1</v>
      </c>
      <c r="CZ299">
        <f>AE299</f>
        <v>1</v>
      </c>
      <c r="DA299">
        <f>AI299</f>
        <v>1</v>
      </c>
      <c r="DB299">
        <f t="shared" si="34"/>
        <v>0.19</v>
      </c>
      <c r="DC299">
        <f t="shared" si="35"/>
        <v>0</v>
      </c>
    </row>
    <row r="300" spans="1:107" x14ac:dyDescent="0.2">
      <c r="A300">
        <f>ROW(Source!A192)</f>
        <v>192</v>
      </c>
      <c r="B300">
        <v>16802145</v>
      </c>
      <c r="C300">
        <v>16803182</v>
      </c>
      <c r="D300">
        <v>15435721</v>
      </c>
      <c r="E300">
        <v>1</v>
      </c>
      <c r="F300">
        <v>1</v>
      </c>
      <c r="G300">
        <v>1</v>
      </c>
      <c r="H300">
        <v>1</v>
      </c>
      <c r="I300" t="s">
        <v>738</v>
      </c>
      <c r="J300" t="s">
        <v>6</v>
      </c>
      <c r="K300" t="s">
        <v>739</v>
      </c>
      <c r="L300">
        <v>1191</v>
      </c>
      <c r="N300">
        <v>1013</v>
      </c>
      <c r="O300" t="s">
        <v>660</v>
      </c>
      <c r="P300" t="s">
        <v>660</v>
      </c>
      <c r="Q300">
        <v>1</v>
      </c>
      <c r="W300">
        <v>0</v>
      </c>
      <c r="X300">
        <v>1983201532</v>
      </c>
      <c r="Y300">
        <v>1.56</v>
      </c>
      <c r="AA300">
        <v>0</v>
      </c>
      <c r="AB300">
        <v>0</v>
      </c>
      <c r="AC300">
        <v>0</v>
      </c>
      <c r="AD300">
        <v>63.81</v>
      </c>
      <c r="AE300">
        <v>0</v>
      </c>
      <c r="AF300">
        <v>0</v>
      </c>
      <c r="AG300">
        <v>0</v>
      </c>
      <c r="AH300">
        <v>9.51</v>
      </c>
      <c r="AI300">
        <v>1</v>
      </c>
      <c r="AJ300">
        <v>1</v>
      </c>
      <c r="AK300">
        <v>1</v>
      </c>
      <c r="AL300">
        <v>6.71</v>
      </c>
      <c r="AN300">
        <v>0</v>
      </c>
      <c r="AO300">
        <v>1</v>
      </c>
      <c r="AP300">
        <v>0</v>
      </c>
      <c r="AQ300">
        <v>0</v>
      </c>
      <c r="AR300">
        <v>0</v>
      </c>
      <c r="AS300" t="s">
        <v>6</v>
      </c>
      <c r="AT300">
        <v>1.56</v>
      </c>
      <c r="AU300" t="s">
        <v>6</v>
      </c>
      <c r="AV300">
        <v>1</v>
      </c>
      <c r="AW300">
        <v>2</v>
      </c>
      <c r="AX300">
        <v>16803206</v>
      </c>
      <c r="AY300">
        <v>1</v>
      </c>
      <c r="AZ300">
        <v>0</v>
      </c>
      <c r="BA300">
        <v>290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X300">
        <f>Y300*Source!I192</f>
        <v>49.92</v>
      </c>
      <c r="CY300">
        <f>AD300</f>
        <v>63.81</v>
      </c>
      <c r="CZ300">
        <f>AH300</f>
        <v>9.51</v>
      </c>
      <c r="DA300">
        <f>AL300</f>
        <v>6.71</v>
      </c>
      <c r="DB300">
        <f t="shared" si="34"/>
        <v>14.84</v>
      </c>
      <c r="DC300">
        <f t="shared" si="35"/>
        <v>0</v>
      </c>
    </row>
    <row r="301" spans="1:107" x14ac:dyDescent="0.2">
      <c r="A301">
        <f>ROW(Source!A192)</f>
        <v>192</v>
      </c>
      <c r="B301">
        <v>16802145</v>
      </c>
      <c r="C301">
        <v>16803182</v>
      </c>
      <c r="D301">
        <v>15249377</v>
      </c>
      <c r="E301">
        <v>1</v>
      </c>
      <c r="F301">
        <v>1</v>
      </c>
      <c r="G301">
        <v>1</v>
      </c>
      <c r="H301">
        <v>2</v>
      </c>
      <c r="I301" t="s">
        <v>804</v>
      </c>
      <c r="J301" t="s">
        <v>805</v>
      </c>
      <c r="K301" t="s">
        <v>806</v>
      </c>
      <c r="L301">
        <v>1368</v>
      </c>
      <c r="N301">
        <v>1011</v>
      </c>
      <c r="O301" t="s">
        <v>666</v>
      </c>
      <c r="P301" t="s">
        <v>666</v>
      </c>
      <c r="Q301">
        <v>1</v>
      </c>
      <c r="W301">
        <v>0</v>
      </c>
      <c r="X301">
        <v>-353815937</v>
      </c>
      <c r="Y301">
        <v>0.13</v>
      </c>
      <c r="AA301">
        <v>0</v>
      </c>
      <c r="AB301">
        <v>54.35</v>
      </c>
      <c r="AC301">
        <v>0</v>
      </c>
      <c r="AD301">
        <v>0</v>
      </c>
      <c r="AE301">
        <v>0</v>
      </c>
      <c r="AF301">
        <v>8.1</v>
      </c>
      <c r="AG301">
        <v>0</v>
      </c>
      <c r="AH301">
        <v>0</v>
      </c>
      <c r="AI301">
        <v>1</v>
      </c>
      <c r="AJ301">
        <v>6.71</v>
      </c>
      <c r="AK301">
        <v>1</v>
      </c>
      <c r="AL301">
        <v>1</v>
      </c>
      <c r="AN301">
        <v>0</v>
      </c>
      <c r="AO301">
        <v>1</v>
      </c>
      <c r="AP301">
        <v>0</v>
      </c>
      <c r="AQ301">
        <v>0</v>
      </c>
      <c r="AR301">
        <v>0</v>
      </c>
      <c r="AS301" t="s">
        <v>6</v>
      </c>
      <c r="AT301">
        <v>0.13</v>
      </c>
      <c r="AU301" t="s">
        <v>6</v>
      </c>
      <c r="AV301">
        <v>0</v>
      </c>
      <c r="AW301">
        <v>2</v>
      </c>
      <c r="AX301">
        <v>16803207</v>
      </c>
      <c r="AY301">
        <v>1</v>
      </c>
      <c r="AZ301">
        <v>0</v>
      </c>
      <c r="BA301">
        <v>291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X301">
        <f>Y301*Source!I192</f>
        <v>4.16</v>
      </c>
      <c r="CY301">
        <f>AB301</f>
        <v>54.35</v>
      </c>
      <c r="CZ301">
        <f>AF301</f>
        <v>8.1</v>
      </c>
      <c r="DA301">
        <f>AJ301</f>
        <v>6.71</v>
      </c>
      <c r="DB301">
        <f t="shared" si="34"/>
        <v>1.05</v>
      </c>
      <c r="DC301">
        <f t="shared" si="35"/>
        <v>0</v>
      </c>
    </row>
    <row r="302" spans="1:107" x14ac:dyDescent="0.2">
      <c r="A302">
        <f>ROW(Source!A192)</f>
        <v>192</v>
      </c>
      <c r="B302">
        <v>16802145</v>
      </c>
      <c r="C302">
        <v>16803182</v>
      </c>
      <c r="D302">
        <v>15165537</v>
      </c>
      <c r="E302">
        <v>1</v>
      </c>
      <c r="F302">
        <v>1</v>
      </c>
      <c r="G302">
        <v>1</v>
      </c>
      <c r="H302">
        <v>3</v>
      </c>
      <c r="I302" t="s">
        <v>829</v>
      </c>
      <c r="J302" t="s">
        <v>830</v>
      </c>
      <c r="K302" t="s">
        <v>831</v>
      </c>
      <c r="L302">
        <v>1346</v>
      </c>
      <c r="N302">
        <v>1009</v>
      </c>
      <c r="O302" t="s">
        <v>103</v>
      </c>
      <c r="P302" t="s">
        <v>103</v>
      </c>
      <c r="Q302">
        <v>1</v>
      </c>
      <c r="W302">
        <v>0</v>
      </c>
      <c r="X302">
        <v>618806536</v>
      </c>
      <c r="Y302">
        <v>6.0000000000000001E-3</v>
      </c>
      <c r="AA302">
        <v>301.75</v>
      </c>
      <c r="AB302">
        <v>0</v>
      </c>
      <c r="AC302">
        <v>0</v>
      </c>
      <c r="AD302">
        <v>0</v>
      </c>
      <c r="AE302">
        <v>44.97</v>
      </c>
      <c r="AF302">
        <v>0</v>
      </c>
      <c r="AG302">
        <v>0</v>
      </c>
      <c r="AH302">
        <v>0</v>
      </c>
      <c r="AI302">
        <v>6.71</v>
      </c>
      <c r="AJ302">
        <v>1</v>
      </c>
      <c r="AK302">
        <v>1</v>
      </c>
      <c r="AL302">
        <v>1</v>
      </c>
      <c r="AN302">
        <v>0</v>
      </c>
      <c r="AO302">
        <v>1</v>
      </c>
      <c r="AP302">
        <v>0</v>
      </c>
      <c r="AQ302">
        <v>0</v>
      </c>
      <c r="AR302">
        <v>0</v>
      </c>
      <c r="AS302" t="s">
        <v>6</v>
      </c>
      <c r="AT302">
        <v>6.0000000000000001E-3</v>
      </c>
      <c r="AU302" t="s">
        <v>6</v>
      </c>
      <c r="AV302">
        <v>0</v>
      </c>
      <c r="AW302">
        <v>2</v>
      </c>
      <c r="AX302">
        <v>16803208</v>
      </c>
      <c r="AY302">
        <v>1</v>
      </c>
      <c r="AZ302">
        <v>0</v>
      </c>
      <c r="BA302">
        <v>292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X302">
        <f>Y302*Source!I192</f>
        <v>0.192</v>
      </c>
      <c r="CY302">
        <f t="shared" ref="CY302:CY318" si="39">AA302</f>
        <v>301.75</v>
      </c>
      <c r="CZ302">
        <f t="shared" ref="CZ302:CZ318" si="40">AE302</f>
        <v>44.97</v>
      </c>
      <c r="DA302">
        <f t="shared" ref="DA302:DA318" si="41">AI302</f>
        <v>6.71</v>
      </c>
      <c r="DB302">
        <f t="shared" si="34"/>
        <v>0.27</v>
      </c>
      <c r="DC302">
        <f t="shared" si="35"/>
        <v>0</v>
      </c>
    </row>
    <row r="303" spans="1:107" x14ac:dyDescent="0.2">
      <c r="A303">
        <f>ROW(Source!A192)</f>
        <v>192</v>
      </c>
      <c r="B303">
        <v>16802145</v>
      </c>
      <c r="C303">
        <v>16803182</v>
      </c>
      <c r="D303">
        <v>15167269</v>
      </c>
      <c r="E303">
        <v>1</v>
      </c>
      <c r="F303">
        <v>1</v>
      </c>
      <c r="G303">
        <v>1</v>
      </c>
      <c r="H303">
        <v>3</v>
      </c>
      <c r="I303" t="s">
        <v>832</v>
      </c>
      <c r="J303" t="s">
        <v>833</v>
      </c>
      <c r="K303" t="s">
        <v>834</v>
      </c>
      <c r="L303">
        <v>1346</v>
      </c>
      <c r="N303">
        <v>1009</v>
      </c>
      <c r="O303" t="s">
        <v>103</v>
      </c>
      <c r="P303" t="s">
        <v>103</v>
      </c>
      <c r="Q303">
        <v>1</v>
      </c>
      <c r="W303">
        <v>0</v>
      </c>
      <c r="X303">
        <v>56922527</v>
      </c>
      <c r="Y303">
        <v>1E-3</v>
      </c>
      <c r="AA303">
        <v>77.17</v>
      </c>
      <c r="AB303">
        <v>0</v>
      </c>
      <c r="AC303">
        <v>0</v>
      </c>
      <c r="AD303">
        <v>0</v>
      </c>
      <c r="AE303">
        <v>11.5</v>
      </c>
      <c r="AF303">
        <v>0</v>
      </c>
      <c r="AG303">
        <v>0</v>
      </c>
      <c r="AH303">
        <v>0</v>
      </c>
      <c r="AI303">
        <v>6.71</v>
      </c>
      <c r="AJ303">
        <v>1</v>
      </c>
      <c r="AK303">
        <v>1</v>
      </c>
      <c r="AL303">
        <v>1</v>
      </c>
      <c r="AN303">
        <v>0</v>
      </c>
      <c r="AO303">
        <v>1</v>
      </c>
      <c r="AP303">
        <v>0</v>
      </c>
      <c r="AQ303">
        <v>0</v>
      </c>
      <c r="AR303">
        <v>0</v>
      </c>
      <c r="AS303" t="s">
        <v>6</v>
      </c>
      <c r="AT303">
        <v>1E-3</v>
      </c>
      <c r="AU303" t="s">
        <v>6</v>
      </c>
      <c r="AV303">
        <v>0</v>
      </c>
      <c r="AW303">
        <v>2</v>
      </c>
      <c r="AX303">
        <v>16803209</v>
      </c>
      <c r="AY303">
        <v>1</v>
      </c>
      <c r="AZ303">
        <v>0</v>
      </c>
      <c r="BA303">
        <v>293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X303">
        <f>Y303*Source!I192</f>
        <v>3.2000000000000001E-2</v>
      </c>
      <c r="CY303">
        <f t="shared" si="39"/>
        <v>77.17</v>
      </c>
      <c r="CZ303">
        <f t="shared" si="40"/>
        <v>11.5</v>
      </c>
      <c r="DA303">
        <f t="shared" si="41"/>
        <v>6.71</v>
      </c>
      <c r="DB303">
        <f t="shared" ref="DB303:DB331" si="42">ROUND(ROUND(AT303*CZ303,2),2)</f>
        <v>0.01</v>
      </c>
      <c r="DC303">
        <f t="shared" ref="DC303:DC331" si="43">ROUND(ROUND(AT303*AG303,2),2)</f>
        <v>0</v>
      </c>
    </row>
    <row r="304" spans="1:107" x14ac:dyDescent="0.2">
      <c r="A304">
        <f>ROW(Source!A192)</f>
        <v>192</v>
      </c>
      <c r="B304">
        <v>16802145</v>
      </c>
      <c r="C304">
        <v>16803182</v>
      </c>
      <c r="D304">
        <v>15167588</v>
      </c>
      <c r="E304">
        <v>1</v>
      </c>
      <c r="F304">
        <v>1</v>
      </c>
      <c r="G304">
        <v>1</v>
      </c>
      <c r="H304">
        <v>3</v>
      </c>
      <c r="I304" t="s">
        <v>835</v>
      </c>
      <c r="J304" t="s">
        <v>836</v>
      </c>
      <c r="K304" t="s">
        <v>837</v>
      </c>
      <c r="L304">
        <v>1346</v>
      </c>
      <c r="N304">
        <v>1009</v>
      </c>
      <c r="O304" t="s">
        <v>103</v>
      </c>
      <c r="P304" t="s">
        <v>103</v>
      </c>
      <c r="Q304">
        <v>1</v>
      </c>
      <c r="W304">
        <v>0</v>
      </c>
      <c r="X304">
        <v>-1088866022</v>
      </c>
      <c r="Y304">
        <v>1.2E-2</v>
      </c>
      <c r="AA304">
        <v>203.98</v>
      </c>
      <c r="AB304">
        <v>0</v>
      </c>
      <c r="AC304">
        <v>0</v>
      </c>
      <c r="AD304">
        <v>0</v>
      </c>
      <c r="AE304">
        <v>30.4</v>
      </c>
      <c r="AF304">
        <v>0</v>
      </c>
      <c r="AG304">
        <v>0</v>
      </c>
      <c r="AH304">
        <v>0</v>
      </c>
      <c r="AI304">
        <v>6.71</v>
      </c>
      <c r="AJ304">
        <v>1</v>
      </c>
      <c r="AK304">
        <v>1</v>
      </c>
      <c r="AL304">
        <v>1</v>
      </c>
      <c r="AN304">
        <v>0</v>
      </c>
      <c r="AO304">
        <v>1</v>
      </c>
      <c r="AP304">
        <v>0</v>
      </c>
      <c r="AQ304">
        <v>0</v>
      </c>
      <c r="AR304">
        <v>0</v>
      </c>
      <c r="AS304" t="s">
        <v>6</v>
      </c>
      <c r="AT304">
        <v>1.2E-2</v>
      </c>
      <c r="AU304" t="s">
        <v>6</v>
      </c>
      <c r="AV304">
        <v>0</v>
      </c>
      <c r="AW304">
        <v>2</v>
      </c>
      <c r="AX304">
        <v>16803210</v>
      </c>
      <c r="AY304">
        <v>1</v>
      </c>
      <c r="AZ304">
        <v>0</v>
      </c>
      <c r="BA304">
        <v>294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X304">
        <f>Y304*Source!I192</f>
        <v>0.38400000000000001</v>
      </c>
      <c r="CY304">
        <f t="shared" si="39"/>
        <v>203.98</v>
      </c>
      <c r="CZ304">
        <f t="shared" si="40"/>
        <v>30.4</v>
      </c>
      <c r="DA304">
        <f t="shared" si="41"/>
        <v>6.71</v>
      </c>
      <c r="DB304">
        <f t="shared" si="42"/>
        <v>0.36</v>
      </c>
      <c r="DC304">
        <f t="shared" si="43"/>
        <v>0</v>
      </c>
    </row>
    <row r="305" spans="1:107" x14ac:dyDescent="0.2">
      <c r="A305">
        <f>ROW(Source!A192)</f>
        <v>192</v>
      </c>
      <c r="B305">
        <v>16802145</v>
      </c>
      <c r="C305">
        <v>16803182</v>
      </c>
      <c r="D305">
        <v>15168752</v>
      </c>
      <c r="E305">
        <v>1</v>
      </c>
      <c r="F305">
        <v>1</v>
      </c>
      <c r="G305">
        <v>1</v>
      </c>
      <c r="H305">
        <v>3</v>
      </c>
      <c r="I305" t="s">
        <v>838</v>
      </c>
      <c r="J305" t="s">
        <v>839</v>
      </c>
      <c r="K305" t="s">
        <v>840</v>
      </c>
      <c r="L305">
        <v>1346</v>
      </c>
      <c r="N305">
        <v>1009</v>
      </c>
      <c r="O305" t="s">
        <v>103</v>
      </c>
      <c r="P305" t="s">
        <v>103</v>
      </c>
      <c r="Q305">
        <v>1</v>
      </c>
      <c r="W305">
        <v>0</v>
      </c>
      <c r="X305">
        <v>586013393</v>
      </c>
      <c r="Y305">
        <v>7.0000000000000007E-2</v>
      </c>
      <c r="AA305">
        <v>70.92</v>
      </c>
      <c r="AB305">
        <v>0</v>
      </c>
      <c r="AC305">
        <v>0</v>
      </c>
      <c r="AD305">
        <v>0</v>
      </c>
      <c r="AE305">
        <v>10.57</v>
      </c>
      <c r="AF305">
        <v>0</v>
      </c>
      <c r="AG305">
        <v>0</v>
      </c>
      <c r="AH305">
        <v>0</v>
      </c>
      <c r="AI305">
        <v>6.71</v>
      </c>
      <c r="AJ305">
        <v>1</v>
      </c>
      <c r="AK305">
        <v>1</v>
      </c>
      <c r="AL305">
        <v>1</v>
      </c>
      <c r="AN305">
        <v>0</v>
      </c>
      <c r="AO305">
        <v>1</v>
      </c>
      <c r="AP305">
        <v>0</v>
      </c>
      <c r="AQ305">
        <v>0</v>
      </c>
      <c r="AR305">
        <v>0</v>
      </c>
      <c r="AS305" t="s">
        <v>6</v>
      </c>
      <c r="AT305">
        <v>7.0000000000000007E-2</v>
      </c>
      <c r="AU305" t="s">
        <v>6</v>
      </c>
      <c r="AV305">
        <v>0</v>
      </c>
      <c r="AW305">
        <v>2</v>
      </c>
      <c r="AX305">
        <v>16803211</v>
      </c>
      <c r="AY305">
        <v>1</v>
      </c>
      <c r="AZ305">
        <v>0</v>
      </c>
      <c r="BA305">
        <v>295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X305">
        <f>Y305*Source!I192</f>
        <v>2.2400000000000002</v>
      </c>
      <c r="CY305">
        <f t="shared" si="39"/>
        <v>70.92</v>
      </c>
      <c r="CZ305">
        <f t="shared" si="40"/>
        <v>10.57</v>
      </c>
      <c r="DA305">
        <f t="shared" si="41"/>
        <v>6.71</v>
      </c>
      <c r="DB305">
        <f t="shared" si="42"/>
        <v>0.74</v>
      </c>
      <c r="DC305">
        <f t="shared" si="43"/>
        <v>0</v>
      </c>
    </row>
    <row r="306" spans="1:107" x14ac:dyDescent="0.2">
      <c r="A306">
        <f>ROW(Source!A192)</f>
        <v>192</v>
      </c>
      <c r="B306">
        <v>16802145</v>
      </c>
      <c r="C306">
        <v>16803182</v>
      </c>
      <c r="D306">
        <v>15169942</v>
      </c>
      <c r="E306">
        <v>1</v>
      </c>
      <c r="F306">
        <v>1</v>
      </c>
      <c r="G306">
        <v>1</v>
      </c>
      <c r="H306">
        <v>3</v>
      </c>
      <c r="I306" t="s">
        <v>841</v>
      </c>
      <c r="J306" t="s">
        <v>842</v>
      </c>
      <c r="K306" t="s">
        <v>843</v>
      </c>
      <c r="L306">
        <v>1346</v>
      </c>
      <c r="N306">
        <v>1009</v>
      </c>
      <c r="O306" t="s">
        <v>103</v>
      </c>
      <c r="P306" t="s">
        <v>103</v>
      </c>
      <c r="Q306">
        <v>1</v>
      </c>
      <c r="W306">
        <v>0</v>
      </c>
      <c r="X306">
        <v>103900845</v>
      </c>
      <c r="Y306">
        <v>4.9000000000000002E-2</v>
      </c>
      <c r="AA306">
        <v>60.66</v>
      </c>
      <c r="AB306">
        <v>0</v>
      </c>
      <c r="AC306">
        <v>0</v>
      </c>
      <c r="AD306">
        <v>0</v>
      </c>
      <c r="AE306">
        <v>9.0399999999999991</v>
      </c>
      <c r="AF306">
        <v>0</v>
      </c>
      <c r="AG306">
        <v>0</v>
      </c>
      <c r="AH306">
        <v>0</v>
      </c>
      <c r="AI306">
        <v>6.71</v>
      </c>
      <c r="AJ306">
        <v>1</v>
      </c>
      <c r="AK306">
        <v>1</v>
      </c>
      <c r="AL306">
        <v>1</v>
      </c>
      <c r="AN306">
        <v>0</v>
      </c>
      <c r="AO306">
        <v>1</v>
      </c>
      <c r="AP306">
        <v>0</v>
      </c>
      <c r="AQ306">
        <v>0</v>
      </c>
      <c r="AR306">
        <v>0</v>
      </c>
      <c r="AS306" t="s">
        <v>6</v>
      </c>
      <c r="AT306">
        <v>4.9000000000000002E-2</v>
      </c>
      <c r="AU306" t="s">
        <v>6</v>
      </c>
      <c r="AV306">
        <v>0</v>
      </c>
      <c r="AW306">
        <v>2</v>
      </c>
      <c r="AX306">
        <v>16803212</v>
      </c>
      <c r="AY306">
        <v>1</v>
      </c>
      <c r="AZ306">
        <v>0</v>
      </c>
      <c r="BA306">
        <v>296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X306">
        <f>Y306*Source!I192</f>
        <v>1.5680000000000001</v>
      </c>
      <c r="CY306">
        <f t="shared" si="39"/>
        <v>60.66</v>
      </c>
      <c r="CZ306">
        <f t="shared" si="40"/>
        <v>9.0399999999999991</v>
      </c>
      <c r="DA306">
        <f t="shared" si="41"/>
        <v>6.71</v>
      </c>
      <c r="DB306">
        <f t="shared" si="42"/>
        <v>0.44</v>
      </c>
      <c r="DC306">
        <f t="shared" si="43"/>
        <v>0</v>
      </c>
    </row>
    <row r="307" spans="1:107" x14ac:dyDescent="0.2">
      <c r="A307">
        <f>ROW(Source!A192)</f>
        <v>192</v>
      </c>
      <c r="B307">
        <v>16802145</v>
      </c>
      <c r="C307">
        <v>16803182</v>
      </c>
      <c r="D307">
        <v>15170074</v>
      </c>
      <c r="E307">
        <v>1</v>
      </c>
      <c r="F307">
        <v>1</v>
      </c>
      <c r="G307">
        <v>1</v>
      </c>
      <c r="H307">
        <v>3</v>
      </c>
      <c r="I307" t="s">
        <v>844</v>
      </c>
      <c r="J307" t="s">
        <v>845</v>
      </c>
      <c r="K307" t="s">
        <v>846</v>
      </c>
      <c r="L307">
        <v>1355</v>
      </c>
      <c r="N307">
        <v>1010</v>
      </c>
      <c r="O307" t="s">
        <v>126</v>
      </c>
      <c r="P307" t="s">
        <v>126</v>
      </c>
      <c r="Q307">
        <v>100</v>
      </c>
      <c r="W307">
        <v>0</v>
      </c>
      <c r="X307">
        <v>1794244060</v>
      </c>
      <c r="Y307">
        <v>1.4E-2</v>
      </c>
      <c r="AA307">
        <v>577.05999999999995</v>
      </c>
      <c r="AB307">
        <v>0</v>
      </c>
      <c r="AC307">
        <v>0</v>
      </c>
      <c r="AD307">
        <v>0</v>
      </c>
      <c r="AE307">
        <v>86</v>
      </c>
      <c r="AF307">
        <v>0</v>
      </c>
      <c r="AG307">
        <v>0</v>
      </c>
      <c r="AH307">
        <v>0</v>
      </c>
      <c r="AI307">
        <v>6.71</v>
      </c>
      <c r="AJ307">
        <v>1</v>
      </c>
      <c r="AK307">
        <v>1</v>
      </c>
      <c r="AL307">
        <v>1</v>
      </c>
      <c r="AN307">
        <v>0</v>
      </c>
      <c r="AO307">
        <v>1</v>
      </c>
      <c r="AP307">
        <v>0</v>
      </c>
      <c r="AQ307">
        <v>0</v>
      </c>
      <c r="AR307">
        <v>0</v>
      </c>
      <c r="AS307" t="s">
        <v>6</v>
      </c>
      <c r="AT307">
        <v>1.4E-2</v>
      </c>
      <c r="AU307" t="s">
        <v>6</v>
      </c>
      <c r="AV307">
        <v>0</v>
      </c>
      <c r="AW307">
        <v>2</v>
      </c>
      <c r="AX307">
        <v>16803213</v>
      </c>
      <c r="AY307">
        <v>1</v>
      </c>
      <c r="AZ307">
        <v>0</v>
      </c>
      <c r="BA307">
        <v>297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X307">
        <f>Y307*Source!I192</f>
        <v>0.44800000000000001</v>
      </c>
      <c r="CY307">
        <f t="shared" si="39"/>
        <v>577.05999999999995</v>
      </c>
      <c r="CZ307">
        <f t="shared" si="40"/>
        <v>86</v>
      </c>
      <c r="DA307">
        <f t="shared" si="41"/>
        <v>6.71</v>
      </c>
      <c r="DB307">
        <f t="shared" si="42"/>
        <v>1.2</v>
      </c>
      <c r="DC307">
        <f t="shared" si="43"/>
        <v>0</v>
      </c>
    </row>
    <row r="308" spans="1:107" x14ac:dyDescent="0.2">
      <c r="A308">
        <f>ROW(Source!A192)</f>
        <v>192</v>
      </c>
      <c r="B308">
        <v>16802145</v>
      </c>
      <c r="C308">
        <v>16803182</v>
      </c>
      <c r="D308">
        <v>15170994</v>
      </c>
      <c r="E308">
        <v>1</v>
      </c>
      <c r="F308">
        <v>1</v>
      </c>
      <c r="G308">
        <v>1</v>
      </c>
      <c r="H308">
        <v>3</v>
      </c>
      <c r="I308" t="s">
        <v>847</v>
      </c>
      <c r="J308" t="s">
        <v>848</v>
      </c>
      <c r="K308" t="s">
        <v>849</v>
      </c>
      <c r="L308">
        <v>1346</v>
      </c>
      <c r="N308">
        <v>1009</v>
      </c>
      <c r="O308" t="s">
        <v>103</v>
      </c>
      <c r="P308" t="s">
        <v>103</v>
      </c>
      <c r="Q308">
        <v>1</v>
      </c>
      <c r="W308">
        <v>0</v>
      </c>
      <c r="X308">
        <v>-856710481</v>
      </c>
      <c r="Y308">
        <v>1E-3</v>
      </c>
      <c r="AA308">
        <v>892.77</v>
      </c>
      <c r="AB308">
        <v>0</v>
      </c>
      <c r="AC308">
        <v>0</v>
      </c>
      <c r="AD308">
        <v>0</v>
      </c>
      <c r="AE308">
        <v>133.05000000000001</v>
      </c>
      <c r="AF308">
        <v>0</v>
      </c>
      <c r="AG308">
        <v>0</v>
      </c>
      <c r="AH308">
        <v>0</v>
      </c>
      <c r="AI308">
        <v>6.71</v>
      </c>
      <c r="AJ308">
        <v>1</v>
      </c>
      <c r="AK308">
        <v>1</v>
      </c>
      <c r="AL308">
        <v>1</v>
      </c>
      <c r="AN308">
        <v>0</v>
      </c>
      <c r="AO308">
        <v>1</v>
      </c>
      <c r="AP308">
        <v>0</v>
      </c>
      <c r="AQ308">
        <v>0</v>
      </c>
      <c r="AR308">
        <v>0</v>
      </c>
      <c r="AS308" t="s">
        <v>6</v>
      </c>
      <c r="AT308">
        <v>1E-3</v>
      </c>
      <c r="AU308" t="s">
        <v>6</v>
      </c>
      <c r="AV308">
        <v>0</v>
      </c>
      <c r="AW308">
        <v>2</v>
      </c>
      <c r="AX308">
        <v>16803214</v>
      </c>
      <c r="AY308">
        <v>1</v>
      </c>
      <c r="AZ308">
        <v>0</v>
      </c>
      <c r="BA308">
        <v>298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X308">
        <f>Y308*Source!I192</f>
        <v>3.2000000000000001E-2</v>
      </c>
      <c r="CY308">
        <f t="shared" si="39"/>
        <v>892.77</v>
      </c>
      <c r="CZ308">
        <f t="shared" si="40"/>
        <v>133.05000000000001</v>
      </c>
      <c r="DA308">
        <f t="shared" si="41"/>
        <v>6.71</v>
      </c>
      <c r="DB308">
        <f t="shared" si="42"/>
        <v>0.13</v>
      </c>
      <c r="DC308">
        <f t="shared" si="43"/>
        <v>0</v>
      </c>
    </row>
    <row r="309" spans="1:107" x14ac:dyDescent="0.2">
      <c r="A309">
        <f>ROW(Source!A192)</f>
        <v>192</v>
      </c>
      <c r="B309">
        <v>16802145</v>
      </c>
      <c r="C309">
        <v>16803182</v>
      </c>
      <c r="D309">
        <v>15188647</v>
      </c>
      <c r="E309">
        <v>1</v>
      </c>
      <c r="F309">
        <v>1</v>
      </c>
      <c r="G309">
        <v>1</v>
      </c>
      <c r="H309">
        <v>3</v>
      </c>
      <c r="I309" t="s">
        <v>850</v>
      </c>
      <c r="J309" t="s">
        <v>851</v>
      </c>
      <c r="K309" t="s">
        <v>852</v>
      </c>
      <c r="L309">
        <v>1348</v>
      </c>
      <c r="N309">
        <v>1009</v>
      </c>
      <c r="O309" t="s">
        <v>65</v>
      </c>
      <c r="P309" t="s">
        <v>65</v>
      </c>
      <c r="Q309">
        <v>1000</v>
      </c>
      <c r="W309">
        <v>0</v>
      </c>
      <c r="X309">
        <v>426000481</v>
      </c>
      <c r="Y309">
        <v>1E-3</v>
      </c>
      <c r="AA309">
        <v>77165</v>
      </c>
      <c r="AB309">
        <v>0</v>
      </c>
      <c r="AC309">
        <v>0</v>
      </c>
      <c r="AD309">
        <v>0</v>
      </c>
      <c r="AE309">
        <v>11500</v>
      </c>
      <c r="AF309">
        <v>0</v>
      </c>
      <c r="AG309">
        <v>0</v>
      </c>
      <c r="AH309">
        <v>0</v>
      </c>
      <c r="AI309">
        <v>6.71</v>
      </c>
      <c r="AJ309">
        <v>1</v>
      </c>
      <c r="AK309">
        <v>1</v>
      </c>
      <c r="AL309">
        <v>1</v>
      </c>
      <c r="AN309">
        <v>0</v>
      </c>
      <c r="AO309">
        <v>1</v>
      </c>
      <c r="AP309">
        <v>0</v>
      </c>
      <c r="AQ309">
        <v>0</v>
      </c>
      <c r="AR309">
        <v>0</v>
      </c>
      <c r="AS309" t="s">
        <v>6</v>
      </c>
      <c r="AT309">
        <v>1E-3</v>
      </c>
      <c r="AU309" t="s">
        <v>6</v>
      </c>
      <c r="AV309">
        <v>0</v>
      </c>
      <c r="AW309">
        <v>2</v>
      </c>
      <c r="AX309">
        <v>16803215</v>
      </c>
      <c r="AY309">
        <v>1</v>
      </c>
      <c r="AZ309">
        <v>0</v>
      </c>
      <c r="BA309">
        <v>299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X309">
        <f>Y309*Source!I192</f>
        <v>3.2000000000000001E-2</v>
      </c>
      <c r="CY309">
        <f t="shared" si="39"/>
        <v>77165</v>
      </c>
      <c r="CZ309">
        <f t="shared" si="40"/>
        <v>11500</v>
      </c>
      <c r="DA309">
        <f t="shared" si="41"/>
        <v>6.71</v>
      </c>
      <c r="DB309">
        <f t="shared" si="42"/>
        <v>11.5</v>
      </c>
      <c r="DC309">
        <f t="shared" si="43"/>
        <v>0</v>
      </c>
    </row>
    <row r="310" spans="1:107" x14ac:dyDescent="0.2">
      <c r="A310">
        <f>ROW(Source!A192)</f>
        <v>192</v>
      </c>
      <c r="B310">
        <v>16802145</v>
      </c>
      <c r="C310">
        <v>16803182</v>
      </c>
      <c r="D310">
        <v>15203834</v>
      </c>
      <c r="E310">
        <v>1</v>
      </c>
      <c r="F310">
        <v>1</v>
      </c>
      <c r="G310">
        <v>1</v>
      </c>
      <c r="H310">
        <v>3</v>
      </c>
      <c r="I310" t="s">
        <v>853</v>
      </c>
      <c r="J310" t="s">
        <v>854</v>
      </c>
      <c r="K310" t="s">
        <v>855</v>
      </c>
      <c r="L310">
        <v>1346</v>
      </c>
      <c r="N310">
        <v>1009</v>
      </c>
      <c r="O310" t="s">
        <v>103</v>
      </c>
      <c r="P310" t="s">
        <v>103</v>
      </c>
      <c r="Q310">
        <v>1</v>
      </c>
      <c r="W310">
        <v>0</v>
      </c>
      <c r="X310">
        <v>210558753</v>
      </c>
      <c r="Y310">
        <v>3.5999999999999997E-2</v>
      </c>
      <c r="AA310">
        <v>191.91</v>
      </c>
      <c r="AB310">
        <v>0</v>
      </c>
      <c r="AC310">
        <v>0</v>
      </c>
      <c r="AD310">
        <v>0</v>
      </c>
      <c r="AE310">
        <v>28.6</v>
      </c>
      <c r="AF310">
        <v>0</v>
      </c>
      <c r="AG310">
        <v>0</v>
      </c>
      <c r="AH310">
        <v>0</v>
      </c>
      <c r="AI310">
        <v>6.71</v>
      </c>
      <c r="AJ310">
        <v>1</v>
      </c>
      <c r="AK310">
        <v>1</v>
      </c>
      <c r="AL310">
        <v>1</v>
      </c>
      <c r="AN310">
        <v>0</v>
      </c>
      <c r="AO310">
        <v>1</v>
      </c>
      <c r="AP310">
        <v>0</v>
      </c>
      <c r="AQ310">
        <v>0</v>
      </c>
      <c r="AR310">
        <v>0</v>
      </c>
      <c r="AS310" t="s">
        <v>6</v>
      </c>
      <c r="AT310">
        <v>3.5999999999999997E-2</v>
      </c>
      <c r="AU310" t="s">
        <v>6</v>
      </c>
      <c r="AV310">
        <v>0</v>
      </c>
      <c r="AW310">
        <v>2</v>
      </c>
      <c r="AX310">
        <v>16803216</v>
      </c>
      <c r="AY310">
        <v>1</v>
      </c>
      <c r="AZ310">
        <v>0</v>
      </c>
      <c r="BA310">
        <v>300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X310">
        <f>Y310*Source!I192</f>
        <v>1.1519999999999999</v>
      </c>
      <c r="CY310">
        <f t="shared" si="39"/>
        <v>191.91</v>
      </c>
      <c r="CZ310">
        <f t="shared" si="40"/>
        <v>28.6</v>
      </c>
      <c r="DA310">
        <f t="shared" si="41"/>
        <v>6.71</v>
      </c>
      <c r="DB310">
        <f t="shared" si="42"/>
        <v>1.03</v>
      </c>
      <c r="DC310">
        <f t="shared" si="43"/>
        <v>0</v>
      </c>
    </row>
    <row r="311" spans="1:107" x14ac:dyDescent="0.2">
      <c r="A311">
        <f>ROW(Source!A192)</f>
        <v>192</v>
      </c>
      <c r="B311">
        <v>16802145</v>
      </c>
      <c r="C311">
        <v>16803182</v>
      </c>
      <c r="D311">
        <v>15203987</v>
      </c>
      <c r="E311">
        <v>1</v>
      </c>
      <c r="F311">
        <v>1</v>
      </c>
      <c r="G311">
        <v>1</v>
      </c>
      <c r="H311">
        <v>3</v>
      </c>
      <c r="I311" t="s">
        <v>856</v>
      </c>
      <c r="J311" t="s">
        <v>857</v>
      </c>
      <c r="K311" t="s">
        <v>858</v>
      </c>
      <c r="L311">
        <v>1346</v>
      </c>
      <c r="N311">
        <v>1009</v>
      </c>
      <c r="O311" t="s">
        <v>103</v>
      </c>
      <c r="P311" t="s">
        <v>103</v>
      </c>
      <c r="Q311">
        <v>1</v>
      </c>
      <c r="W311">
        <v>0</v>
      </c>
      <c r="X311">
        <v>-1274984028</v>
      </c>
      <c r="Y311">
        <v>6.0000000000000001E-3</v>
      </c>
      <c r="AA311">
        <v>239.08</v>
      </c>
      <c r="AB311">
        <v>0</v>
      </c>
      <c r="AC311">
        <v>0</v>
      </c>
      <c r="AD311">
        <v>0</v>
      </c>
      <c r="AE311">
        <v>35.630000000000003</v>
      </c>
      <c r="AF311">
        <v>0</v>
      </c>
      <c r="AG311">
        <v>0</v>
      </c>
      <c r="AH311">
        <v>0</v>
      </c>
      <c r="AI311">
        <v>6.71</v>
      </c>
      <c r="AJ311">
        <v>1</v>
      </c>
      <c r="AK311">
        <v>1</v>
      </c>
      <c r="AL311">
        <v>1</v>
      </c>
      <c r="AN311">
        <v>0</v>
      </c>
      <c r="AO311">
        <v>1</v>
      </c>
      <c r="AP311">
        <v>0</v>
      </c>
      <c r="AQ311">
        <v>0</v>
      </c>
      <c r="AR311">
        <v>0</v>
      </c>
      <c r="AS311" t="s">
        <v>6</v>
      </c>
      <c r="AT311">
        <v>6.0000000000000001E-3</v>
      </c>
      <c r="AU311" t="s">
        <v>6</v>
      </c>
      <c r="AV311">
        <v>0</v>
      </c>
      <c r="AW311">
        <v>2</v>
      </c>
      <c r="AX311">
        <v>16803217</v>
      </c>
      <c r="AY311">
        <v>1</v>
      </c>
      <c r="AZ311">
        <v>0</v>
      </c>
      <c r="BA311">
        <v>301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X311">
        <f>Y311*Source!I192</f>
        <v>0.192</v>
      </c>
      <c r="CY311">
        <f t="shared" si="39"/>
        <v>239.08</v>
      </c>
      <c r="CZ311">
        <f t="shared" si="40"/>
        <v>35.630000000000003</v>
      </c>
      <c r="DA311">
        <f t="shared" si="41"/>
        <v>6.71</v>
      </c>
      <c r="DB311">
        <f t="shared" si="42"/>
        <v>0.21</v>
      </c>
      <c r="DC311">
        <f t="shared" si="43"/>
        <v>0</v>
      </c>
    </row>
    <row r="312" spans="1:107" x14ac:dyDescent="0.2">
      <c r="A312">
        <f>ROW(Source!A192)</f>
        <v>192</v>
      </c>
      <c r="B312">
        <v>16802145</v>
      </c>
      <c r="C312">
        <v>16803182</v>
      </c>
      <c r="D312">
        <v>15217463</v>
      </c>
      <c r="E312">
        <v>1</v>
      </c>
      <c r="F312">
        <v>1</v>
      </c>
      <c r="G312">
        <v>1</v>
      </c>
      <c r="H312">
        <v>3</v>
      </c>
      <c r="I312" t="s">
        <v>859</v>
      </c>
      <c r="J312" t="s">
        <v>860</v>
      </c>
      <c r="K312" t="s">
        <v>861</v>
      </c>
      <c r="L312">
        <v>1358</v>
      </c>
      <c r="N312">
        <v>1010</v>
      </c>
      <c r="O312" t="s">
        <v>435</v>
      </c>
      <c r="P312" t="s">
        <v>435</v>
      </c>
      <c r="Q312">
        <v>10</v>
      </c>
      <c r="W312">
        <v>0</v>
      </c>
      <c r="X312">
        <v>1386890308</v>
      </c>
      <c r="Y312">
        <v>0.1</v>
      </c>
      <c r="AA312">
        <v>261.69</v>
      </c>
      <c r="AB312">
        <v>0</v>
      </c>
      <c r="AC312">
        <v>0</v>
      </c>
      <c r="AD312">
        <v>0</v>
      </c>
      <c r="AE312">
        <v>39</v>
      </c>
      <c r="AF312">
        <v>0</v>
      </c>
      <c r="AG312">
        <v>0</v>
      </c>
      <c r="AH312">
        <v>0</v>
      </c>
      <c r="AI312">
        <v>6.71</v>
      </c>
      <c r="AJ312">
        <v>1</v>
      </c>
      <c r="AK312">
        <v>1</v>
      </c>
      <c r="AL312">
        <v>1</v>
      </c>
      <c r="AN312">
        <v>0</v>
      </c>
      <c r="AO312">
        <v>1</v>
      </c>
      <c r="AP312">
        <v>0</v>
      </c>
      <c r="AQ312">
        <v>0</v>
      </c>
      <c r="AR312">
        <v>0</v>
      </c>
      <c r="AS312" t="s">
        <v>6</v>
      </c>
      <c r="AT312">
        <v>0.1</v>
      </c>
      <c r="AU312" t="s">
        <v>6</v>
      </c>
      <c r="AV312">
        <v>0</v>
      </c>
      <c r="AW312">
        <v>2</v>
      </c>
      <c r="AX312">
        <v>16803218</v>
      </c>
      <c r="AY312">
        <v>1</v>
      </c>
      <c r="AZ312">
        <v>0</v>
      </c>
      <c r="BA312">
        <v>302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X312">
        <f>Y312*Source!I192</f>
        <v>3.2</v>
      </c>
      <c r="CY312">
        <f t="shared" si="39"/>
        <v>261.69</v>
      </c>
      <c r="CZ312">
        <f t="shared" si="40"/>
        <v>39</v>
      </c>
      <c r="DA312">
        <f t="shared" si="41"/>
        <v>6.71</v>
      </c>
      <c r="DB312">
        <f t="shared" si="42"/>
        <v>3.9</v>
      </c>
      <c r="DC312">
        <f t="shared" si="43"/>
        <v>0</v>
      </c>
    </row>
    <row r="313" spans="1:107" x14ac:dyDescent="0.2">
      <c r="A313">
        <f>ROW(Source!A192)</f>
        <v>192</v>
      </c>
      <c r="B313">
        <v>16802145</v>
      </c>
      <c r="C313">
        <v>16803182</v>
      </c>
      <c r="D313">
        <v>15238946</v>
      </c>
      <c r="E313">
        <v>1</v>
      </c>
      <c r="F313">
        <v>1</v>
      </c>
      <c r="G313">
        <v>1</v>
      </c>
      <c r="H313">
        <v>3</v>
      </c>
      <c r="I313" t="s">
        <v>505</v>
      </c>
      <c r="J313" t="s">
        <v>507</v>
      </c>
      <c r="K313" t="s">
        <v>506</v>
      </c>
      <c r="L313">
        <v>1354</v>
      </c>
      <c r="N313">
        <v>1010</v>
      </c>
      <c r="O313" t="s">
        <v>42</v>
      </c>
      <c r="P313" t="s">
        <v>42</v>
      </c>
      <c r="Q313">
        <v>1</v>
      </c>
      <c r="W313">
        <v>0</v>
      </c>
      <c r="X313">
        <v>1012048153</v>
      </c>
      <c r="Y313">
        <v>0.15625</v>
      </c>
      <c r="AA313">
        <v>494.06</v>
      </c>
      <c r="AB313">
        <v>0</v>
      </c>
      <c r="AC313">
        <v>0</v>
      </c>
      <c r="AD313">
        <v>0</v>
      </c>
      <c r="AE313">
        <v>73.63</v>
      </c>
      <c r="AF313">
        <v>0</v>
      </c>
      <c r="AG313">
        <v>0</v>
      </c>
      <c r="AH313">
        <v>0</v>
      </c>
      <c r="AI313">
        <v>6.71</v>
      </c>
      <c r="AJ313">
        <v>1</v>
      </c>
      <c r="AK313">
        <v>1</v>
      </c>
      <c r="AL313">
        <v>1</v>
      </c>
      <c r="AN313">
        <v>0</v>
      </c>
      <c r="AO313">
        <v>0</v>
      </c>
      <c r="AP313">
        <v>0</v>
      </c>
      <c r="AQ313">
        <v>0</v>
      </c>
      <c r="AR313">
        <v>0</v>
      </c>
      <c r="AS313" t="s">
        <v>6</v>
      </c>
      <c r="AT313">
        <v>0.15625</v>
      </c>
      <c r="AU313" t="s">
        <v>6</v>
      </c>
      <c r="AV313">
        <v>0</v>
      </c>
      <c r="AW313">
        <v>1</v>
      </c>
      <c r="AX313">
        <v>-1</v>
      </c>
      <c r="AY313">
        <v>0</v>
      </c>
      <c r="AZ313">
        <v>0</v>
      </c>
      <c r="BA313" t="s">
        <v>6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X313">
        <f>Y313*Source!I192</f>
        <v>5</v>
      </c>
      <c r="CY313">
        <f t="shared" si="39"/>
        <v>494.06</v>
      </c>
      <c r="CZ313">
        <f t="shared" si="40"/>
        <v>73.63</v>
      </c>
      <c r="DA313">
        <f t="shared" si="41"/>
        <v>6.71</v>
      </c>
      <c r="DB313">
        <f t="shared" si="42"/>
        <v>11.5</v>
      </c>
      <c r="DC313">
        <f t="shared" si="43"/>
        <v>0</v>
      </c>
    </row>
    <row r="314" spans="1:107" x14ac:dyDescent="0.2">
      <c r="A314">
        <f>ROW(Source!A192)</f>
        <v>192</v>
      </c>
      <c r="B314">
        <v>16802145</v>
      </c>
      <c r="C314">
        <v>16803182</v>
      </c>
      <c r="D314">
        <v>15238947</v>
      </c>
      <c r="E314">
        <v>1</v>
      </c>
      <c r="F314">
        <v>1</v>
      </c>
      <c r="G314">
        <v>1</v>
      </c>
      <c r="H314">
        <v>3</v>
      </c>
      <c r="I314" t="s">
        <v>501</v>
      </c>
      <c r="J314" t="s">
        <v>503</v>
      </c>
      <c r="K314" t="s">
        <v>502</v>
      </c>
      <c r="L314">
        <v>1354</v>
      </c>
      <c r="N314">
        <v>1010</v>
      </c>
      <c r="O314" t="s">
        <v>42</v>
      </c>
      <c r="P314" t="s">
        <v>42</v>
      </c>
      <c r="Q314">
        <v>1</v>
      </c>
      <c r="W314">
        <v>0</v>
      </c>
      <c r="X314">
        <v>1644612973</v>
      </c>
      <c r="Y314">
        <v>0.375</v>
      </c>
      <c r="AA314">
        <v>446.08</v>
      </c>
      <c r="AB314">
        <v>0</v>
      </c>
      <c r="AC314">
        <v>0</v>
      </c>
      <c r="AD314">
        <v>0</v>
      </c>
      <c r="AE314">
        <v>66.48</v>
      </c>
      <c r="AF314">
        <v>0</v>
      </c>
      <c r="AG314">
        <v>0</v>
      </c>
      <c r="AH314">
        <v>0</v>
      </c>
      <c r="AI314">
        <v>6.71</v>
      </c>
      <c r="AJ314">
        <v>1</v>
      </c>
      <c r="AK314">
        <v>1</v>
      </c>
      <c r="AL314">
        <v>1</v>
      </c>
      <c r="AN314">
        <v>0</v>
      </c>
      <c r="AO314">
        <v>0</v>
      </c>
      <c r="AP314">
        <v>0</v>
      </c>
      <c r="AQ314">
        <v>0</v>
      </c>
      <c r="AR314">
        <v>0</v>
      </c>
      <c r="AS314" t="s">
        <v>6</v>
      </c>
      <c r="AT314">
        <v>0.375</v>
      </c>
      <c r="AU314" t="s">
        <v>6</v>
      </c>
      <c r="AV314">
        <v>0</v>
      </c>
      <c r="AW314">
        <v>1</v>
      </c>
      <c r="AX314">
        <v>-1</v>
      </c>
      <c r="AY314">
        <v>0</v>
      </c>
      <c r="AZ314">
        <v>0</v>
      </c>
      <c r="BA314" t="s">
        <v>6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X314">
        <f>Y314*Source!I192</f>
        <v>12</v>
      </c>
      <c r="CY314">
        <f t="shared" si="39"/>
        <v>446.08</v>
      </c>
      <c r="CZ314">
        <f t="shared" si="40"/>
        <v>66.48</v>
      </c>
      <c r="DA314">
        <f t="shared" si="41"/>
        <v>6.71</v>
      </c>
      <c r="DB314">
        <f t="shared" si="42"/>
        <v>24.93</v>
      </c>
      <c r="DC314">
        <f t="shared" si="43"/>
        <v>0</v>
      </c>
    </row>
    <row r="315" spans="1:107" x14ac:dyDescent="0.2">
      <c r="A315">
        <f>ROW(Source!A192)</f>
        <v>192</v>
      </c>
      <c r="B315">
        <v>16802145</v>
      </c>
      <c r="C315">
        <v>16803182</v>
      </c>
      <c r="D315">
        <v>15238948</v>
      </c>
      <c r="E315">
        <v>1</v>
      </c>
      <c r="F315">
        <v>1</v>
      </c>
      <c r="G315">
        <v>1</v>
      </c>
      <c r="H315">
        <v>3</v>
      </c>
      <c r="I315" t="s">
        <v>517</v>
      </c>
      <c r="J315" t="s">
        <v>519</v>
      </c>
      <c r="K315" t="s">
        <v>518</v>
      </c>
      <c r="L315">
        <v>1354</v>
      </c>
      <c r="N315">
        <v>1010</v>
      </c>
      <c r="O315" t="s">
        <v>42</v>
      </c>
      <c r="P315" t="s">
        <v>42</v>
      </c>
      <c r="Q315">
        <v>1</v>
      </c>
      <c r="W315">
        <v>0</v>
      </c>
      <c r="X315">
        <v>470103916</v>
      </c>
      <c r="Y315">
        <v>0.15625</v>
      </c>
      <c r="AA315">
        <v>491.78</v>
      </c>
      <c r="AB315">
        <v>0</v>
      </c>
      <c r="AC315">
        <v>0</v>
      </c>
      <c r="AD315">
        <v>0</v>
      </c>
      <c r="AE315">
        <v>73.290000000000006</v>
      </c>
      <c r="AF315">
        <v>0</v>
      </c>
      <c r="AG315">
        <v>0</v>
      </c>
      <c r="AH315">
        <v>0</v>
      </c>
      <c r="AI315">
        <v>6.71</v>
      </c>
      <c r="AJ315">
        <v>1</v>
      </c>
      <c r="AK315">
        <v>1</v>
      </c>
      <c r="AL315">
        <v>1</v>
      </c>
      <c r="AN315">
        <v>0</v>
      </c>
      <c r="AO315">
        <v>0</v>
      </c>
      <c r="AP315">
        <v>0</v>
      </c>
      <c r="AQ315">
        <v>0</v>
      </c>
      <c r="AR315">
        <v>0</v>
      </c>
      <c r="AS315" t="s">
        <v>6</v>
      </c>
      <c r="AT315">
        <v>0.15625</v>
      </c>
      <c r="AU315" t="s">
        <v>6</v>
      </c>
      <c r="AV315">
        <v>0</v>
      </c>
      <c r="AW315">
        <v>1</v>
      </c>
      <c r="AX315">
        <v>-1</v>
      </c>
      <c r="AY315">
        <v>0</v>
      </c>
      <c r="AZ315">
        <v>0</v>
      </c>
      <c r="BA315" t="s">
        <v>6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X315">
        <f>Y315*Source!I192</f>
        <v>5</v>
      </c>
      <c r="CY315">
        <f t="shared" si="39"/>
        <v>491.78</v>
      </c>
      <c r="CZ315">
        <f t="shared" si="40"/>
        <v>73.290000000000006</v>
      </c>
      <c r="DA315">
        <f t="shared" si="41"/>
        <v>6.71</v>
      </c>
      <c r="DB315">
        <f t="shared" si="42"/>
        <v>11.45</v>
      </c>
      <c r="DC315">
        <f t="shared" si="43"/>
        <v>0</v>
      </c>
    </row>
    <row r="316" spans="1:107" x14ac:dyDescent="0.2">
      <c r="A316">
        <f>ROW(Source!A192)</f>
        <v>192</v>
      </c>
      <c r="B316">
        <v>16802145</v>
      </c>
      <c r="C316">
        <v>16803182</v>
      </c>
      <c r="D316">
        <v>15238962</v>
      </c>
      <c r="E316">
        <v>1</v>
      </c>
      <c r="F316">
        <v>1</v>
      </c>
      <c r="G316">
        <v>1</v>
      </c>
      <c r="H316">
        <v>3</v>
      </c>
      <c r="I316" t="s">
        <v>509</v>
      </c>
      <c r="J316" t="s">
        <v>511</v>
      </c>
      <c r="K316" t="s">
        <v>510</v>
      </c>
      <c r="L316">
        <v>1354</v>
      </c>
      <c r="N316">
        <v>1010</v>
      </c>
      <c r="O316" t="s">
        <v>42</v>
      </c>
      <c r="P316" t="s">
        <v>42</v>
      </c>
      <c r="Q316">
        <v>1</v>
      </c>
      <c r="W316">
        <v>0</v>
      </c>
      <c r="X316">
        <v>-476651515</v>
      </c>
      <c r="Y316">
        <v>0.15625</v>
      </c>
      <c r="AA316">
        <v>1552.02</v>
      </c>
      <c r="AB316">
        <v>0</v>
      </c>
      <c r="AC316">
        <v>0</v>
      </c>
      <c r="AD316">
        <v>0</v>
      </c>
      <c r="AE316">
        <v>231.3</v>
      </c>
      <c r="AF316">
        <v>0</v>
      </c>
      <c r="AG316">
        <v>0</v>
      </c>
      <c r="AH316">
        <v>0</v>
      </c>
      <c r="AI316">
        <v>6.71</v>
      </c>
      <c r="AJ316">
        <v>1</v>
      </c>
      <c r="AK316">
        <v>1</v>
      </c>
      <c r="AL316">
        <v>1</v>
      </c>
      <c r="AN316">
        <v>0</v>
      </c>
      <c r="AO316">
        <v>0</v>
      </c>
      <c r="AP316">
        <v>0</v>
      </c>
      <c r="AQ316">
        <v>0</v>
      </c>
      <c r="AR316">
        <v>0</v>
      </c>
      <c r="AS316" t="s">
        <v>6</v>
      </c>
      <c r="AT316">
        <v>0.15625</v>
      </c>
      <c r="AU316" t="s">
        <v>6</v>
      </c>
      <c r="AV316">
        <v>0</v>
      </c>
      <c r="AW316">
        <v>1</v>
      </c>
      <c r="AX316">
        <v>-1</v>
      </c>
      <c r="AY316">
        <v>0</v>
      </c>
      <c r="AZ316">
        <v>0</v>
      </c>
      <c r="BA316" t="s">
        <v>6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X316">
        <f>Y316*Source!I192</f>
        <v>5</v>
      </c>
      <c r="CY316">
        <f t="shared" si="39"/>
        <v>1552.02</v>
      </c>
      <c r="CZ316">
        <f t="shared" si="40"/>
        <v>231.3</v>
      </c>
      <c r="DA316">
        <f t="shared" si="41"/>
        <v>6.71</v>
      </c>
      <c r="DB316">
        <f t="shared" si="42"/>
        <v>36.14</v>
      </c>
      <c r="DC316">
        <f t="shared" si="43"/>
        <v>0</v>
      </c>
    </row>
    <row r="317" spans="1:107" x14ac:dyDescent="0.2">
      <c r="A317">
        <f>ROW(Source!A192)</f>
        <v>192</v>
      </c>
      <c r="B317">
        <v>16802145</v>
      </c>
      <c r="C317">
        <v>16803182</v>
      </c>
      <c r="D317">
        <v>15238964</v>
      </c>
      <c r="E317">
        <v>1</v>
      </c>
      <c r="F317">
        <v>1</v>
      </c>
      <c r="G317">
        <v>1</v>
      </c>
      <c r="H317">
        <v>3</v>
      </c>
      <c r="I317" t="s">
        <v>513</v>
      </c>
      <c r="J317" t="s">
        <v>515</v>
      </c>
      <c r="K317" t="s">
        <v>514</v>
      </c>
      <c r="L317">
        <v>1354</v>
      </c>
      <c r="N317">
        <v>1010</v>
      </c>
      <c r="O317" t="s">
        <v>42</v>
      </c>
      <c r="P317" t="s">
        <v>42</v>
      </c>
      <c r="Q317">
        <v>1</v>
      </c>
      <c r="W317">
        <v>0</v>
      </c>
      <c r="X317">
        <v>2110826262</v>
      </c>
      <c r="Y317">
        <v>0.15625</v>
      </c>
      <c r="AA317">
        <v>2027.49</v>
      </c>
      <c r="AB317">
        <v>0</v>
      </c>
      <c r="AC317">
        <v>0</v>
      </c>
      <c r="AD317">
        <v>0</v>
      </c>
      <c r="AE317">
        <v>302.16000000000003</v>
      </c>
      <c r="AF317">
        <v>0</v>
      </c>
      <c r="AG317">
        <v>0</v>
      </c>
      <c r="AH317">
        <v>0</v>
      </c>
      <c r="AI317">
        <v>6.71</v>
      </c>
      <c r="AJ317">
        <v>1</v>
      </c>
      <c r="AK317">
        <v>1</v>
      </c>
      <c r="AL317">
        <v>1</v>
      </c>
      <c r="AN317">
        <v>0</v>
      </c>
      <c r="AO317">
        <v>0</v>
      </c>
      <c r="AP317">
        <v>0</v>
      </c>
      <c r="AQ317">
        <v>0</v>
      </c>
      <c r="AR317">
        <v>0</v>
      </c>
      <c r="AS317" t="s">
        <v>6</v>
      </c>
      <c r="AT317">
        <v>0.15625</v>
      </c>
      <c r="AU317" t="s">
        <v>6</v>
      </c>
      <c r="AV317">
        <v>0</v>
      </c>
      <c r="AW317">
        <v>1</v>
      </c>
      <c r="AX317">
        <v>-1</v>
      </c>
      <c r="AY317">
        <v>0</v>
      </c>
      <c r="AZ317">
        <v>0</v>
      </c>
      <c r="BA317" t="s">
        <v>6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X317">
        <f>Y317*Source!I192</f>
        <v>5</v>
      </c>
      <c r="CY317">
        <f t="shared" si="39"/>
        <v>2027.49</v>
      </c>
      <c r="CZ317">
        <f t="shared" si="40"/>
        <v>302.16000000000003</v>
      </c>
      <c r="DA317">
        <f t="shared" si="41"/>
        <v>6.71</v>
      </c>
      <c r="DB317">
        <f t="shared" si="42"/>
        <v>47.21</v>
      </c>
      <c r="DC317">
        <f t="shared" si="43"/>
        <v>0</v>
      </c>
    </row>
    <row r="318" spans="1:107" x14ac:dyDescent="0.2">
      <c r="A318">
        <f>ROW(Source!A192)</f>
        <v>192</v>
      </c>
      <c r="B318">
        <v>16802145</v>
      </c>
      <c r="C318">
        <v>16803182</v>
      </c>
      <c r="D318">
        <v>15164559</v>
      </c>
      <c r="E318">
        <v>17</v>
      </c>
      <c r="F318">
        <v>1</v>
      </c>
      <c r="G318">
        <v>1</v>
      </c>
      <c r="H318">
        <v>3</v>
      </c>
      <c r="I318" t="s">
        <v>821</v>
      </c>
      <c r="J318" t="s">
        <v>6</v>
      </c>
      <c r="K318" t="s">
        <v>822</v>
      </c>
      <c r="L318">
        <v>1374</v>
      </c>
      <c r="N318">
        <v>1013</v>
      </c>
      <c r="O318" t="s">
        <v>823</v>
      </c>
      <c r="P318" t="s">
        <v>823</v>
      </c>
      <c r="Q318">
        <v>1</v>
      </c>
      <c r="W318">
        <v>0</v>
      </c>
      <c r="X318">
        <v>-1731369543</v>
      </c>
      <c r="Y318">
        <v>0.3</v>
      </c>
      <c r="AA318">
        <v>1</v>
      </c>
      <c r="AB318">
        <v>0</v>
      </c>
      <c r="AC318">
        <v>0</v>
      </c>
      <c r="AD318">
        <v>0</v>
      </c>
      <c r="AE318">
        <v>1</v>
      </c>
      <c r="AF318">
        <v>0</v>
      </c>
      <c r="AG318">
        <v>0</v>
      </c>
      <c r="AH318">
        <v>0</v>
      </c>
      <c r="AI318">
        <v>1</v>
      </c>
      <c r="AJ318">
        <v>1</v>
      </c>
      <c r="AK318">
        <v>1</v>
      </c>
      <c r="AL318">
        <v>1</v>
      </c>
      <c r="AN318">
        <v>0</v>
      </c>
      <c r="AO318">
        <v>1</v>
      </c>
      <c r="AP318">
        <v>0</v>
      </c>
      <c r="AQ318">
        <v>0</v>
      </c>
      <c r="AR318">
        <v>0</v>
      </c>
      <c r="AS318" t="s">
        <v>6</v>
      </c>
      <c r="AT318">
        <v>0.3</v>
      </c>
      <c r="AU318" t="s">
        <v>6</v>
      </c>
      <c r="AV318">
        <v>0</v>
      </c>
      <c r="AW318">
        <v>2</v>
      </c>
      <c r="AX318">
        <v>16803219</v>
      </c>
      <c r="AY318">
        <v>1</v>
      </c>
      <c r="AZ318">
        <v>0</v>
      </c>
      <c r="BA318">
        <v>303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X318">
        <f>Y318*Source!I192</f>
        <v>9.6</v>
      </c>
      <c r="CY318">
        <f t="shared" si="39"/>
        <v>1</v>
      </c>
      <c r="CZ318">
        <f t="shared" si="40"/>
        <v>1</v>
      </c>
      <c r="DA318">
        <f t="shared" si="41"/>
        <v>1</v>
      </c>
      <c r="DB318">
        <f t="shared" si="42"/>
        <v>0.3</v>
      </c>
      <c r="DC318">
        <f t="shared" si="43"/>
        <v>0</v>
      </c>
    </row>
    <row r="319" spans="1:107" x14ac:dyDescent="0.2">
      <c r="A319">
        <f>ROW(Source!A198)</f>
        <v>198</v>
      </c>
      <c r="B319">
        <v>16802145</v>
      </c>
      <c r="C319">
        <v>16803226</v>
      </c>
      <c r="D319">
        <v>15446300</v>
      </c>
      <c r="E319">
        <v>1</v>
      </c>
      <c r="F319">
        <v>1</v>
      </c>
      <c r="G319">
        <v>1</v>
      </c>
      <c r="H319">
        <v>1</v>
      </c>
      <c r="I319" t="s">
        <v>816</v>
      </c>
      <c r="J319" t="s">
        <v>6</v>
      </c>
      <c r="K319" t="s">
        <v>817</v>
      </c>
      <c r="L319">
        <v>1191</v>
      </c>
      <c r="N319">
        <v>1013</v>
      </c>
      <c r="O319" t="s">
        <v>660</v>
      </c>
      <c r="P319" t="s">
        <v>660</v>
      </c>
      <c r="Q319">
        <v>1</v>
      </c>
      <c r="W319">
        <v>0</v>
      </c>
      <c r="X319">
        <v>912892513</v>
      </c>
      <c r="Y319">
        <v>213.6</v>
      </c>
      <c r="AA319">
        <v>0</v>
      </c>
      <c r="AB319">
        <v>0</v>
      </c>
      <c r="AC319">
        <v>0</v>
      </c>
      <c r="AD319">
        <v>66.56</v>
      </c>
      <c r="AE319">
        <v>0</v>
      </c>
      <c r="AF319">
        <v>0</v>
      </c>
      <c r="AG319">
        <v>0</v>
      </c>
      <c r="AH319">
        <v>9.92</v>
      </c>
      <c r="AI319">
        <v>1</v>
      </c>
      <c r="AJ319">
        <v>1</v>
      </c>
      <c r="AK319">
        <v>1</v>
      </c>
      <c r="AL319">
        <v>6.71</v>
      </c>
      <c r="AN319">
        <v>0</v>
      </c>
      <c r="AO319">
        <v>1</v>
      </c>
      <c r="AP319">
        <v>0</v>
      </c>
      <c r="AQ319">
        <v>0</v>
      </c>
      <c r="AR319">
        <v>0</v>
      </c>
      <c r="AS319" t="s">
        <v>6</v>
      </c>
      <c r="AT319">
        <v>213.6</v>
      </c>
      <c r="AU319" t="s">
        <v>6</v>
      </c>
      <c r="AV319">
        <v>1</v>
      </c>
      <c r="AW319">
        <v>2</v>
      </c>
      <c r="AX319">
        <v>16803241</v>
      </c>
      <c r="AY319">
        <v>1</v>
      </c>
      <c r="AZ319">
        <v>0</v>
      </c>
      <c r="BA319">
        <v>304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X319">
        <f>Y319*Source!I198</f>
        <v>153.792</v>
      </c>
      <c r="CY319">
        <f>AD319</f>
        <v>66.56</v>
      </c>
      <c r="CZ319">
        <f>AH319</f>
        <v>9.92</v>
      </c>
      <c r="DA319">
        <f>AL319</f>
        <v>6.71</v>
      </c>
      <c r="DB319">
        <f t="shared" si="42"/>
        <v>2118.91</v>
      </c>
      <c r="DC319">
        <f t="shared" si="43"/>
        <v>0</v>
      </c>
    </row>
    <row r="320" spans="1:107" x14ac:dyDescent="0.2">
      <c r="A320">
        <f>ROW(Source!A198)</f>
        <v>198</v>
      </c>
      <c r="B320">
        <v>16802145</v>
      </c>
      <c r="C320">
        <v>16803226</v>
      </c>
      <c r="D320">
        <v>15430395</v>
      </c>
      <c r="E320">
        <v>1</v>
      </c>
      <c r="F320">
        <v>1</v>
      </c>
      <c r="G320">
        <v>1</v>
      </c>
      <c r="H320">
        <v>1</v>
      </c>
      <c r="I320" t="s">
        <v>661</v>
      </c>
      <c r="J320" t="s">
        <v>6</v>
      </c>
      <c r="K320" t="s">
        <v>662</v>
      </c>
      <c r="L320">
        <v>1191</v>
      </c>
      <c r="N320">
        <v>1013</v>
      </c>
      <c r="O320" t="s">
        <v>660</v>
      </c>
      <c r="P320" t="s">
        <v>660</v>
      </c>
      <c r="Q320">
        <v>1</v>
      </c>
      <c r="W320">
        <v>0</v>
      </c>
      <c r="X320">
        <v>-1417349443</v>
      </c>
      <c r="Y320">
        <v>1.98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1</v>
      </c>
      <c r="AJ320">
        <v>1</v>
      </c>
      <c r="AK320">
        <v>6.71</v>
      </c>
      <c r="AL320">
        <v>1</v>
      </c>
      <c r="AN320">
        <v>0</v>
      </c>
      <c r="AO320">
        <v>1</v>
      </c>
      <c r="AP320">
        <v>0</v>
      </c>
      <c r="AQ320">
        <v>0</v>
      </c>
      <c r="AR320">
        <v>0</v>
      </c>
      <c r="AS320" t="s">
        <v>6</v>
      </c>
      <c r="AT320">
        <v>1.98</v>
      </c>
      <c r="AU320" t="s">
        <v>6</v>
      </c>
      <c r="AV320">
        <v>2</v>
      </c>
      <c r="AW320">
        <v>2</v>
      </c>
      <c r="AX320">
        <v>16803242</v>
      </c>
      <c r="AY320">
        <v>1</v>
      </c>
      <c r="AZ320">
        <v>0</v>
      </c>
      <c r="BA320">
        <v>305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X320">
        <f>Y320*Source!I198</f>
        <v>1.4256</v>
      </c>
      <c r="CY320">
        <f>AD320</f>
        <v>0</v>
      </c>
      <c r="CZ320">
        <f>AH320</f>
        <v>0</v>
      </c>
      <c r="DA320">
        <f>AL320</f>
        <v>1</v>
      </c>
      <c r="DB320">
        <f t="shared" si="42"/>
        <v>0</v>
      </c>
      <c r="DC320">
        <f t="shared" si="43"/>
        <v>0</v>
      </c>
    </row>
    <row r="321" spans="1:107" x14ac:dyDescent="0.2">
      <c r="A321">
        <f>ROW(Source!A198)</f>
        <v>198</v>
      </c>
      <c r="B321">
        <v>16802145</v>
      </c>
      <c r="C321">
        <v>16803226</v>
      </c>
      <c r="D321">
        <v>15247680</v>
      </c>
      <c r="E321">
        <v>1</v>
      </c>
      <c r="F321">
        <v>1</v>
      </c>
      <c r="G321">
        <v>1</v>
      </c>
      <c r="H321">
        <v>2</v>
      </c>
      <c r="I321" t="s">
        <v>786</v>
      </c>
      <c r="J321" t="s">
        <v>787</v>
      </c>
      <c r="K321" t="s">
        <v>788</v>
      </c>
      <c r="L321">
        <v>1368</v>
      </c>
      <c r="N321">
        <v>1011</v>
      </c>
      <c r="O321" t="s">
        <v>666</v>
      </c>
      <c r="P321" t="s">
        <v>666</v>
      </c>
      <c r="Q321">
        <v>1</v>
      </c>
      <c r="W321">
        <v>0</v>
      </c>
      <c r="X321">
        <v>-1718674368</v>
      </c>
      <c r="Y321">
        <v>0.99</v>
      </c>
      <c r="AA321">
        <v>0</v>
      </c>
      <c r="AB321">
        <v>751.45</v>
      </c>
      <c r="AC321">
        <v>13.5</v>
      </c>
      <c r="AD321">
        <v>0</v>
      </c>
      <c r="AE321">
        <v>0</v>
      </c>
      <c r="AF321">
        <v>111.99</v>
      </c>
      <c r="AG321">
        <v>13.5</v>
      </c>
      <c r="AH321">
        <v>0</v>
      </c>
      <c r="AI321">
        <v>1</v>
      </c>
      <c r="AJ321">
        <v>6.71</v>
      </c>
      <c r="AK321">
        <v>1</v>
      </c>
      <c r="AL321">
        <v>1</v>
      </c>
      <c r="AN321">
        <v>0</v>
      </c>
      <c r="AO321">
        <v>1</v>
      </c>
      <c r="AP321">
        <v>0</v>
      </c>
      <c r="AQ321">
        <v>0</v>
      </c>
      <c r="AR321">
        <v>0</v>
      </c>
      <c r="AS321" t="s">
        <v>6</v>
      </c>
      <c r="AT321">
        <v>0.99</v>
      </c>
      <c r="AU321" t="s">
        <v>6</v>
      </c>
      <c r="AV321">
        <v>0</v>
      </c>
      <c r="AW321">
        <v>2</v>
      </c>
      <c r="AX321">
        <v>16803243</v>
      </c>
      <c r="AY321">
        <v>1</v>
      </c>
      <c r="AZ321">
        <v>0</v>
      </c>
      <c r="BA321">
        <v>306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X321">
        <f>Y321*Source!I198</f>
        <v>0.71279999999999999</v>
      </c>
      <c r="CY321">
        <f>AB321</f>
        <v>751.45</v>
      </c>
      <c r="CZ321">
        <f>AF321</f>
        <v>111.99</v>
      </c>
      <c r="DA321">
        <f>AJ321</f>
        <v>6.71</v>
      </c>
      <c r="DB321">
        <f t="shared" si="42"/>
        <v>110.87</v>
      </c>
      <c r="DC321">
        <f t="shared" si="43"/>
        <v>13.37</v>
      </c>
    </row>
    <row r="322" spans="1:107" x14ac:dyDescent="0.2">
      <c r="A322">
        <f>ROW(Source!A198)</f>
        <v>198</v>
      </c>
      <c r="B322">
        <v>16802145</v>
      </c>
      <c r="C322">
        <v>16803226</v>
      </c>
      <c r="D322">
        <v>15249073</v>
      </c>
      <c r="E322">
        <v>1</v>
      </c>
      <c r="F322">
        <v>1</v>
      </c>
      <c r="G322">
        <v>1</v>
      </c>
      <c r="H322">
        <v>2</v>
      </c>
      <c r="I322" t="s">
        <v>684</v>
      </c>
      <c r="J322" t="s">
        <v>685</v>
      </c>
      <c r="K322" t="s">
        <v>686</v>
      </c>
      <c r="L322">
        <v>1368</v>
      </c>
      <c r="N322">
        <v>1011</v>
      </c>
      <c r="O322" t="s">
        <v>666</v>
      </c>
      <c r="P322" t="s">
        <v>666</v>
      </c>
      <c r="Q322">
        <v>1</v>
      </c>
      <c r="W322">
        <v>0</v>
      </c>
      <c r="X322">
        <v>1372534845</v>
      </c>
      <c r="Y322">
        <v>0.99</v>
      </c>
      <c r="AA322">
        <v>0</v>
      </c>
      <c r="AB322">
        <v>440.91</v>
      </c>
      <c r="AC322">
        <v>11.6</v>
      </c>
      <c r="AD322">
        <v>0</v>
      </c>
      <c r="AE322">
        <v>0</v>
      </c>
      <c r="AF322">
        <v>65.709999999999994</v>
      </c>
      <c r="AG322">
        <v>11.6</v>
      </c>
      <c r="AH322">
        <v>0</v>
      </c>
      <c r="AI322">
        <v>1</v>
      </c>
      <c r="AJ322">
        <v>6.71</v>
      </c>
      <c r="AK322">
        <v>1</v>
      </c>
      <c r="AL322">
        <v>1</v>
      </c>
      <c r="AN322">
        <v>0</v>
      </c>
      <c r="AO322">
        <v>1</v>
      </c>
      <c r="AP322">
        <v>0</v>
      </c>
      <c r="AQ322">
        <v>0</v>
      </c>
      <c r="AR322">
        <v>0</v>
      </c>
      <c r="AS322" t="s">
        <v>6</v>
      </c>
      <c r="AT322">
        <v>0.99</v>
      </c>
      <c r="AU322" t="s">
        <v>6</v>
      </c>
      <c r="AV322">
        <v>0</v>
      </c>
      <c r="AW322">
        <v>2</v>
      </c>
      <c r="AX322">
        <v>16803244</v>
      </c>
      <c r="AY322">
        <v>1</v>
      </c>
      <c r="AZ322">
        <v>0</v>
      </c>
      <c r="BA322">
        <v>307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X322">
        <f>Y322*Source!I198</f>
        <v>0.71279999999999999</v>
      </c>
      <c r="CY322">
        <f>AB322</f>
        <v>440.91</v>
      </c>
      <c r="CZ322">
        <f>AF322</f>
        <v>65.709999999999994</v>
      </c>
      <c r="DA322">
        <f>AJ322</f>
        <v>6.71</v>
      </c>
      <c r="DB322">
        <f t="shared" si="42"/>
        <v>65.05</v>
      </c>
      <c r="DC322">
        <f t="shared" si="43"/>
        <v>11.48</v>
      </c>
    </row>
    <row r="323" spans="1:107" x14ac:dyDescent="0.2">
      <c r="A323">
        <f>ROW(Source!A198)</f>
        <v>198</v>
      </c>
      <c r="B323">
        <v>16802145</v>
      </c>
      <c r="C323">
        <v>16803226</v>
      </c>
      <c r="D323">
        <v>15249377</v>
      </c>
      <c r="E323">
        <v>1</v>
      </c>
      <c r="F323">
        <v>1</v>
      </c>
      <c r="G323">
        <v>1</v>
      </c>
      <c r="H323">
        <v>2</v>
      </c>
      <c r="I323" t="s">
        <v>804</v>
      </c>
      <c r="J323" t="s">
        <v>805</v>
      </c>
      <c r="K323" t="s">
        <v>806</v>
      </c>
      <c r="L323">
        <v>1368</v>
      </c>
      <c r="N323">
        <v>1011</v>
      </c>
      <c r="O323" t="s">
        <v>666</v>
      </c>
      <c r="P323" t="s">
        <v>666</v>
      </c>
      <c r="Q323">
        <v>1</v>
      </c>
      <c r="W323">
        <v>0</v>
      </c>
      <c r="X323">
        <v>-353815937</v>
      </c>
      <c r="Y323">
        <v>1.1399999999999999</v>
      </c>
      <c r="AA323">
        <v>0</v>
      </c>
      <c r="AB323">
        <v>54.35</v>
      </c>
      <c r="AC323">
        <v>0</v>
      </c>
      <c r="AD323">
        <v>0</v>
      </c>
      <c r="AE323">
        <v>0</v>
      </c>
      <c r="AF323">
        <v>8.1</v>
      </c>
      <c r="AG323">
        <v>0</v>
      </c>
      <c r="AH323">
        <v>0</v>
      </c>
      <c r="AI323">
        <v>1</v>
      </c>
      <c r="AJ323">
        <v>6.71</v>
      </c>
      <c r="AK323">
        <v>1</v>
      </c>
      <c r="AL323">
        <v>1</v>
      </c>
      <c r="AN323">
        <v>0</v>
      </c>
      <c r="AO323">
        <v>1</v>
      </c>
      <c r="AP323">
        <v>0</v>
      </c>
      <c r="AQ323">
        <v>0</v>
      </c>
      <c r="AR323">
        <v>0</v>
      </c>
      <c r="AS323" t="s">
        <v>6</v>
      </c>
      <c r="AT323">
        <v>1.1399999999999999</v>
      </c>
      <c r="AU323" t="s">
        <v>6</v>
      </c>
      <c r="AV323">
        <v>0</v>
      </c>
      <c r="AW323">
        <v>2</v>
      </c>
      <c r="AX323">
        <v>16803245</v>
      </c>
      <c r="AY323">
        <v>1</v>
      </c>
      <c r="AZ323">
        <v>0</v>
      </c>
      <c r="BA323">
        <v>308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X323">
        <f>Y323*Source!I198</f>
        <v>0.82079999999999986</v>
      </c>
      <c r="CY323">
        <f>AB323</f>
        <v>54.35</v>
      </c>
      <c r="CZ323">
        <f>AF323</f>
        <v>8.1</v>
      </c>
      <c r="DA323">
        <f>AJ323</f>
        <v>6.71</v>
      </c>
      <c r="DB323">
        <f t="shared" si="42"/>
        <v>9.23</v>
      </c>
      <c r="DC323">
        <f t="shared" si="43"/>
        <v>0</v>
      </c>
    </row>
    <row r="324" spans="1:107" x14ac:dyDescent="0.2">
      <c r="A324">
        <f>ROW(Source!A198)</f>
        <v>198</v>
      </c>
      <c r="B324">
        <v>16802145</v>
      </c>
      <c r="C324">
        <v>16803226</v>
      </c>
      <c r="D324">
        <v>15167588</v>
      </c>
      <c r="E324">
        <v>1</v>
      </c>
      <c r="F324">
        <v>1</v>
      </c>
      <c r="G324">
        <v>1</v>
      </c>
      <c r="H324">
        <v>3</v>
      </c>
      <c r="I324" t="s">
        <v>835</v>
      </c>
      <c r="J324" t="s">
        <v>836</v>
      </c>
      <c r="K324" t="s">
        <v>837</v>
      </c>
      <c r="L324">
        <v>1346</v>
      </c>
      <c r="N324">
        <v>1009</v>
      </c>
      <c r="O324" t="s">
        <v>103</v>
      </c>
      <c r="P324" t="s">
        <v>103</v>
      </c>
      <c r="Q324">
        <v>1</v>
      </c>
      <c r="W324">
        <v>0</v>
      </c>
      <c r="X324">
        <v>-1088866022</v>
      </c>
      <c r="Y324">
        <v>0.42</v>
      </c>
      <c r="AA324">
        <v>203.98</v>
      </c>
      <c r="AB324">
        <v>0</v>
      </c>
      <c r="AC324">
        <v>0</v>
      </c>
      <c r="AD324">
        <v>0</v>
      </c>
      <c r="AE324">
        <v>30.4</v>
      </c>
      <c r="AF324">
        <v>0</v>
      </c>
      <c r="AG324">
        <v>0</v>
      </c>
      <c r="AH324">
        <v>0</v>
      </c>
      <c r="AI324">
        <v>6.71</v>
      </c>
      <c r="AJ324">
        <v>1</v>
      </c>
      <c r="AK324">
        <v>1</v>
      </c>
      <c r="AL324">
        <v>1</v>
      </c>
      <c r="AN324">
        <v>0</v>
      </c>
      <c r="AO324">
        <v>1</v>
      </c>
      <c r="AP324">
        <v>0</v>
      </c>
      <c r="AQ324">
        <v>0</v>
      </c>
      <c r="AR324">
        <v>0</v>
      </c>
      <c r="AS324" t="s">
        <v>6</v>
      </c>
      <c r="AT324">
        <v>0.42</v>
      </c>
      <c r="AU324" t="s">
        <v>6</v>
      </c>
      <c r="AV324">
        <v>0</v>
      </c>
      <c r="AW324">
        <v>2</v>
      </c>
      <c r="AX324">
        <v>16803246</v>
      </c>
      <c r="AY324">
        <v>1</v>
      </c>
      <c r="AZ324">
        <v>0</v>
      </c>
      <c r="BA324">
        <v>309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X324">
        <f>Y324*Source!I198</f>
        <v>0.3024</v>
      </c>
      <c r="CY324">
        <f t="shared" ref="CY324:CY331" si="44">AA324</f>
        <v>203.98</v>
      </c>
      <c r="CZ324">
        <f t="shared" ref="CZ324:CZ331" si="45">AE324</f>
        <v>30.4</v>
      </c>
      <c r="DA324">
        <f t="shared" ref="DA324:DA331" si="46">AI324</f>
        <v>6.71</v>
      </c>
      <c r="DB324">
        <f t="shared" si="42"/>
        <v>12.77</v>
      </c>
      <c r="DC324">
        <f t="shared" si="43"/>
        <v>0</v>
      </c>
    </row>
    <row r="325" spans="1:107" x14ac:dyDescent="0.2">
      <c r="A325">
        <f>ROW(Source!A198)</f>
        <v>198</v>
      </c>
      <c r="B325">
        <v>16802145</v>
      </c>
      <c r="C325">
        <v>16803226</v>
      </c>
      <c r="D325">
        <v>15167600</v>
      </c>
      <c r="E325">
        <v>1</v>
      </c>
      <c r="F325">
        <v>1</v>
      </c>
      <c r="G325">
        <v>1</v>
      </c>
      <c r="H325">
        <v>3</v>
      </c>
      <c r="I325" t="s">
        <v>891</v>
      </c>
      <c r="J325" t="s">
        <v>892</v>
      </c>
      <c r="K325" t="s">
        <v>893</v>
      </c>
      <c r="L325">
        <v>1308</v>
      </c>
      <c r="N325">
        <v>1003</v>
      </c>
      <c r="O325" t="s">
        <v>18</v>
      </c>
      <c r="P325" t="s">
        <v>18</v>
      </c>
      <c r="Q325">
        <v>100</v>
      </c>
      <c r="W325">
        <v>0</v>
      </c>
      <c r="X325">
        <v>568244124</v>
      </c>
      <c r="Y325">
        <v>0.1</v>
      </c>
      <c r="AA325">
        <v>805.2</v>
      </c>
      <c r="AB325">
        <v>0</v>
      </c>
      <c r="AC325">
        <v>0</v>
      </c>
      <c r="AD325">
        <v>0</v>
      </c>
      <c r="AE325">
        <v>120</v>
      </c>
      <c r="AF325">
        <v>0</v>
      </c>
      <c r="AG325">
        <v>0</v>
      </c>
      <c r="AH325">
        <v>0</v>
      </c>
      <c r="AI325">
        <v>6.71</v>
      </c>
      <c r="AJ325">
        <v>1</v>
      </c>
      <c r="AK325">
        <v>1</v>
      </c>
      <c r="AL325">
        <v>1</v>
      </c>
      <c r="AN325">
        <v>0</v>
      </c>
      <c r="AO325">
        <v>1</v>
      </c>
      <c r="AP325">
        <v>0</v>
      </c>
      <c r="AQ325">
        <v>0</v>
      </c>
      <c r="AR325">
        <v>0</v>
      </c>
      <c r="AS325" t="s">
        <v>6</v>
      </c>
      <c r="AT325">
        <v>0.1</v>
      </c>
      <c r="AU325" t="s">
        <v>6</v>
      </c>
      <c r="AV325">
        <v>0</v>
      </c>
      <c r="AW325">
        <v>2</v>
      </c>
      <c r="AX325">
        <v>16803247</v>
      </c>
      <c r="AY325">
        <v>1</v>
      </c>
      <c r="AZ325">
        <v>0</v>
      </c>
      <c r="BA325">
        <v>310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X325">
        <f>Y325*Source!I198</f>
        <v>7.1999999999999995E-2</v>
      </c>
      <c r="CY325">
        <f t="shared" si="44"/>
        <v>805.2</v>
      </c>
      <c r="CZ325">
        <f t="shared" si="45"/>
        <v>120</v>
      </c>
      <c r="DA325">
        <f t="shared" si="46"/>
        <v>6.71</v>
      </c>
      <c r="DB325">
        <f t="shared" si="42"/>
        <v>12</v>
      </c>
      <c r="DC325">
        <f t="shared" si="43"/>
        <v>0</v>
      </c>
    </row>
    <row r="326" spans="1:107" x14ac:dyDescent="0.2">
      <c r="A326">
        <f>ROW(Source!A198)</f>
        <v>198</v>
      </c>
      <c r="B326">
        <v>16802145</v>
      </c>
      <c r="C326">
        <v>16803226</v>
      </c>
      <c r="D326">
        <v>15168752</v>
      </c>
      <c r="E326">
        <v>1</v>
      </c>
      <c r="F326">
        <v>1</v>
      </c>
      <c r="G326">
        <v>1</v>
      </c>
      <c r="H326">
        <v>3</v>
      </c>
      <c r="I326" t="s">
        <v>838</v>
      </c>
      <c r="J326" t="s">
        <v>839</v>
      </c>
      <c r="K326" t="s">
        <v>840</v>
      </c>
      <c r="L326">
        <v>1346</v>
      </c>
      <c r="N326">
        <v>1009</v>
      </c>
      <c r="O326" t="s">
        <v>103</v>
      </c>
      <c r="P326" t="s">
        <v>103</v>
      </c>
      <c r="Q326">
        <v>1</v>
      </c>
      <c r="W326">
        <v>0</v>
      </c>
      <c r="X326">
        <v>586013393</v>
      </c>
      <c r="Y326">
        <v>2.1</v>
      </c>
      <c r="AA326">
        <v>70.92</v>
      </c>
      <c r="AB326">
        <v>0</v>
      </c>
      <c r="AC326">
        <v>0</v>
      </c>
      <c r="AD326">
        <v>0</v>
      </c>
      <c r="AE326">
        <v>10.57</v>
      </c>
      <c r="AF326">
        <v>0</v>
      </c>
      <c r="AG326">
        <v>0</v>
      </c>
      <c r="AH326">
        <v>0</v>
      </c>
      <c r="AI326">
        <v>6.71</v>
      </c>
      <c r="AJ326">
        <v>1</v>
      </c>
      <c r="AK326">
        <v>1</v>
      </c>
      <c r="AL326">
        <v>1</v>
      </c>
      <c r="AN326">
        <v>0</v>
      </c>
      <c r="AO326">
        <v>1</v>
      </c>
      <c r="AP326">
        <v>0</v>
      </c>
      <c r="AQ326">
        <v>0</v>
      </c>
      <c r="AR326">
        <v>0</v>
      </c>
      <c r="AS326" t="s">
        <v>6</v>
      </c>
      <c r="AT326">
        <v>2.1</v>
      </c>
      <c r="AU326" t="s">
        <v>6</v>
      </c>
      <c r="AV326">
        <v>0</v>
      </c>
      <c r="AW326">
        <v>2</v>
      </c>
      <c r="AX326">
        <v>16803248</v>
      </c>
      <c r="AY326">
        <v>1</v>
      </c>
      <c r="AZ326">
        <v>0</v>
      </c>
      <c r="BA326">
        <v>311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X326">
        <f>Y326*Source!I198</f>
        <v>1.512</v>
      </c>
      <c r="CY326">
        <f t="shared" si="44"/>
        <v>70.92</v>
      </c>
      <c r="CZ326">
        <f t="shared" si="45"/>
        <v>10.57</v>
      </c>
      <c r="DA326">
        <f t="shared" si="46"/>
        <v>6.71</v>
      </c>
      <c r="DB326">
        <f t="shared" si="42"/>
        <v>22.2</v>
      </c>
      <c r="DC326">
        <f t="shared" si="43"/>
        <v>0</v>
      </c>
    </row>
    <row r="327" spans="1:107" x14ac:dyDescent="0.2">
      <c r="A327">
        <f>ROW(Source!A198)</f>
        <v>198</v>
      </c>
      <c r="B327">
        <v>16802145</v>
      </c>
      <c r="C327">
        <v>16803226</v>
      </c>
      <c r="D327">
        <v>15169942</v>
      </c>
      <c r="E327">
        <v>1</v>
      </c>
      <c r="F327">
        <v>1</v>
      </c>
      <c r="G327">
        <v>1</v>
      </c>
      <c r="H327">
        <v>3</v>
      </c>
      <c r="I327" t="s">
        <v>841</v>
      </c>
      <c r="J327" t="s">
        <v>842</v>
      </c>
      <c r="K327" t="s">
        <v>843</v>
      </c>
      <c r="L327">
        <v>1346</v>
      </c>
      <c r="N327">
        <v>1009</v>
      </c>
      <c r="O327" t="s">
        <v>103</v>
      </c>
      <c r="P327" t="s">
        <v>103</v>
      </c>
      <c r="Q327">
        <v>1</v>
      </c>
      <c r="W327">
        <v>0</v>
      </c>
      <c r="X327">
        <v>103900845</v>
      </c>
      <c r="Y327">
        <v>10.4</v>
      </c>
      <c r="AA327">
        <v>60.66</v>
      </c>
      <c r="AB327">
        <v>0</v>
      </c>
      <c r="AC327">
        <v>0</v>
      </c>
      <c r="AD327">
        <v>0</v>
      </c>
      <c r="AE327">
        <v>9.0399999999999991</v>
      </c>
      <c r="AF327">
        <v>0</v>
      </c>
      <c r="AG327">
        <v>0</v>
      </c>
      <c r="AH327">
        <v>0</v>
      </c>
      <c r="AI327">
        <v>6.71</v>
      </c>
      <c r="AJ327">
        <v>1</v>
      </c>
      <c r="AK327">
        <v>1</v>
      </c>
      <c r="AL327">
        <v>1</v>
      </c>
      <c r="AN327">
        <v>0</v>
      </c>
      <c r="AO327">
        <v>1</v>
      </c>
      <c r="AP327">
        <v>0</v>
      </c>
      <c r="AQ327">
        <v>0</v>
      </c>
      <c r="AR327">
        <v>0</v>
      </c>
      <c r="AS327" t="s">
        <v>6</v>
      </c>
      <c r="AT327">
        <v>10.4</v>
      </c>
      <c r="AU327" t="s">
        <v>6</v>
      </c>
      <c r="AV327">
        <v>0</v>
      </c>
      <c r="AW327">
        <v>2</v>
      </c>
      <c r="AX327">
        <v>16803249</v>
      </c>
      <c r="AY327">
        <v>1</v>
      </c>
      <c r="AZ327">
        <v>0</v>
      </c>
      <c r="BA327">
        <v>312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X327">
        <f>Y327*Source!I198</f>
        <v>7.4879999999999995</v>
      </c>
      <c r="CY327">
        <f t="shared" si="44"/>
        <v>60.66</v>
      </c>
      <c r="CZ327">
        <f t="shared" si="45"/>
        <v>9.0399999999999991</v>
      </c>
      <c r="DA327">
        <f t="shared" si="46"/>
        <v>6.71</v>
      </c>
      <c r="DB327">
        <f t="shared" si="42"/>
        <v>94.02</v>
      </c>
      <c r="DC327">
        <f t="shared" si="43"/>
        <v>0</v>
      </c>
    </row>
    <row r="328" spans="1:107" x14ac:dyDescent="0.2">
      <c r="A328">
        <f>ROW(Source!A198)</f>
        <v>198</v>
      </c>
      <c r="B328">
        <v>16802145</v>
      </c>
      <c r="C328">
        <v>16803226</v>
      </c>
      <c r="D328">
        <v>15191488</v>
      </c>
      <c r="E328">
        <v>1</v>
      </c>
      <c r="F328">
        <v>1</v>
      </c>
      <c r="G328">
        <v>1</v>
      </c>
      <c r="H328">
        <v>3</v>
      </c>
      <c r="I328" t="s">
        <v>908</v>
      </c>
      <c r="J328" t="s">
        <v>909</v>
      </c>
      <c r="K328" t="s">
        <v>910</v>
      </c>
      <c r="L328">
        <v>1348</v>
      </c>
      <c r="N328">
        <v>1009</v>
      </c>
      <c r="O328" t="s">
        <v>65</v>
      </c>
      <c r="P328" t="s">
        <v>65</v>
      </c>
      <c r="Q328">
        <v>1000</v>
      </c>
      <c r="W328">
        <v>0</v>
      </c>
      <c r="X328">
        <v>-1598896989</v>
      </c>
      <c r="Y328">
        <v>0.15</v>
      </c>
      <c r="AA328">
        <v>33550</v>
      </c>
      <c r="AB328">
        <v>0</v>
      </c>
      <c r="AC328">
        <v>0</v>
      </c>
      <c r="AD328">
        <v>0</v>
      </c>
      <c r="AE328">
        <v>5000</v>
      </c>
      <c r="AF328">
        <v>0</v>
      </c>
      <c r="AG328">
        <v>0</v>
      </c>
      <c r="AH328">
        <v>0</v>
      </c>
      <c r="AI328">
        <v>6.71</v>
      </c>
      <c r="AJ328">
        <v>1</v>
      </c>
      <c r="AK328">
        <v>1</v>
      </c>
      <c r="AL328">
        <v>1</v>
      </c>
      <c r="AN328">
        <v>0</v>
      </c>
      <c r="AO328">
        <v>1</v>
      </c>
      <c r="AP328">
        <v>0</v>
      </c>
      <c r="AQ328">
        <v>0</v>
      </c>
      <c r="AR328">
        <v>0</v>
      </c>
      <c r="AS328" t="s">
        <v>6</v>
      </c>
      <c r="AT328">
        <v>0.15</v>
      </c>
      <c r="AU328" t="s">
        <v>6</v>
      </c>
      <c r="AV328">
        <v>0</v>
      </c>
      <c r="AW328">
        <v>2</v>
      </c>
      <c r="AX328">
        <v>16803250</v>
      </c>
      <c r="AY328">
        <v>1</v>
      </c>
      <c r="AZ328">
        <v>0</v>
      </c>
      <c r="BA328">
        <v>313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X328">
        <f>Y328*Source!I198</f>
        <v>0.108</v>
      </c>
      <c r="CY328">
        <f t="shared" si="44"/>
        <v>33550</v>
      </c>
      <c r="CZ328">
        <f t="shared" si="45"/>
        <v>5000</v>
      </c>
      <c r="DA328">
        <f t="shared" si="46"/>
        <v>6.71</v>
      </c>
      <c r="DB328">
        <f t="shared" si="42"/>
        <v>750</v>
      </c>
      <c r="DC328">
        <f t="shared" si="43"/>
        <v>0</v>
      </c>
    </row>
    <row r="329" spans="1:107" x14ac:dyDescent="0.2">
      <c r="A329">
        <f>ROW(Source!A198)</f>
        <v>198</v>
      </c>
      <c r="B329">
        <v>16802145</v>
      </c>
      <c r="C329">
        <v>16803226</v>
      </c>
      <c r="D329">
        <v>15203834</v>
      </c>
      <c r="E329">
        <v>1</v>
      </c>
      <c r="F329">
        <v>1</v>
      </c>
      <c r="G329">
        <v>1</v>
      </c>
      <c r="H329">
        <v>3</v>
      </c>
      <c r="I329" t="s">
        <v>853</v>
      </c>
      <c r="J329" t="s">
        <v>854</v>
      </c>
      <c r="K329" t="s">
        <v>855</v>
      </c>
      <c r="L329">
        <v>1346</v>
      </c>
      <c r="N329">
        <v>1009</v>
      </c>
      <c r="O329" t="s">
        <v>103</v>
      </c>
      <c r="P329" t="s">
        <v>103</v>
      </c>
      <c r="Q329">
        <v>1</v>
      </c>
      <c r="W329">
        <v>0</v>
      </c>
      <c r="X329">
        <v>210558753</v>
      </c>
      <c r="Y329">
        <v>3</v>
      </c>
      <c r="AA329">
        <v>191.91</v>
      </c>
      <c r="AB329">
        <v>0</v>
      </c>
      <c r="AC329">
        <v>0</v>
      </c>
      <c r="AD329">
        <v>0</v>
      </c>
      <c r="AE329">
        <v>28.6</v>
      </c>
      <c r="AF329">
        <v>0</v>
      </c>
      <c r="AG329">
        <v>0</v>
      </c>
      <c r="AH329">
        <v>0</v>
      </c>
      <c r="AI329">
        <v>6.71</v>
      </c>
      <c r="AJ329">
        <v>1</v>
      </c>
      <c r="AK329">
        <v>1</v>
      </c>
      <c r="AL329">
        <v>1</v>
      </c>
      <c r="AN329">
        <v>0</v>
      </c>
      <c r="AO329">
        <v>1</v>
      </c>
      <c r="AP329">
        <v>0</v>
      </c>
      <c r="AQ329">
        <v>0</v>
      </c>
      <c r="AR329">
        <v>0</v>
      </c>
      <c r="AS329" t="s">
        <v>6</v>
      </c>
      <c r="AT329">
        <v>3</v>
      </c>
      <c r="AU329" t="s">
        <v>6</v>
      </c>
      <c r="AV329">
        <v>0</v>
      </c>
      <c r="AW329">
        <v>2</v>
      </c>
      <c r="AX329">
        <v>16803251</v>
      </c>
      <c r="AY329">
        <v>1</v>
      </c>
      <c r="AZ329">
        <v>0</v>
      </c>
      <c r="BA329">
        <v>314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X329">
        <f>Y329*Source!I198</f>
        <v>2.16</v>
      </c>
      <c r="CY329">
        <f t="shared" si="44"/>
        <v>191.91</v>
      </c>
      <c r="CZ329">
        <f t="shared" si="45"/>
        <v>28.6</v>
      </c>
      <c r="DA329">
        <f t="shared" si="46"/>
        <v>6.71</v>
      </c>
      <c r="DB329">
        <f t="shared" si="42"/>
        <v>85.8</v>
      </c>
      <c r="DC329">
        <f t="shared" si="43"/>
        <v>0</v>
      </c>
    </row>
    <row r="330" spans="1:107" x14ac:dyDescent="0.2">
      <c r="A330">
        <f>ROW(Source!A198)</f>
        <v>198</v>
      </c>
      <c r="B330">
        <v>16802145</v>
      </c>
      <c r="C330">
        <v>16803226</v>
      </c>
      <c r="D330">
        <v>15220402</v>
      </c>
      <c r="E330">
        <v>1</v>
      </c>
      <c r="F330">
        <v>1</v>
      </c>
      <c r="G330">
        <v>1</v>
      </c>
      <c r="H330">
        <v>3</v>
      </c>
      <c r="I330" t="s">
        <v>525</v>
      </c>
      <c r="J330" t="s">
        <v>527</v>
      </c>
      <c r="K330" t="s">
        <v>526</v>
      </c>
      <c r="L330">
        <v>1354</v>
      </c>
      <c r="N330">
        <v>1010</v>
      </c>
      <c r="O330" t="s">
        <v>42</v>
      </c>
      <c r="P330" t="s">
        <v>42</v>
      </c>
      <c r="Q330">
        <v>1</v>
      </c>
      <c r="W330">
        <v>0</v>
      </c>
      <c r="X330">
        <v>141057028</v>
      </c>
      <c r="Y330">
        <v>100</v>
      </c>
      <c r="AA330">
        <v>5677.67</v>
      </c>
      <c r="AB330">
        <v>0</v>
      </c>
      <c r="AC330">
        <v>0</v>
      </c>
      <c r="AD330">
        <v>0</v>
      </c>
      <c r="AE330">
        <v>846.15</v>
      </c>
      <c r="AF330">
        <v>0</v>
      </c>
      <c r="AG330">
        <v>0</v>
      </c>
      <c r="AH330">
        <v>0</v>
      </c>
      <c r="AI330">
        <v>6.71</v>
      </c>
      <c r="AJ330">
        <v>1</v>
      </c>
      <c r="AK330">
        <v>1</v>
      </c>
      <c r="AL330">
        <v>1</v>
      </c>
      <c r="AN330">
        <v>0</v>
      </c>
      <c r="AO330">
        <v>0</v>
      </c>
      <c r="AP330">
        <v>0</v>
      </c>
      <c r="AQ330">
        <v>0</v>
      </c>
      <c r="AR330">
        <v>0</v>
      </c>
      <c r="AS330" t="s">
        <v>6</v>
      </c>
      <c r="AT330">
        <v>100</v>
      </c>
      <c r="AU330" t="s">
        <v>6</v>
      </c>
      <c r="AV330">
        <v>0</v>
      </c>
      <c r="AW330">
        <v>1</v>
      </c>
      <c r="AX330">
        <v>-1</v>
      </c>
      <c r="AY330">
        <v>0</v>
      </c>
      <c r="AZ330">
        <v>0</v>
      </c>
      <c r="BA330" t="s">
        <v>6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X330">
        <f>Y330*Source!I198</f>
        <v>72</v>
      </c>
      <c r="CY330">
        <f t="shared" si="44"/>
        <v>5677.67</v>
      </c>
      <c r="CZ330">
        <f t="shared" si="45"/>
        <v>846.15</v>
      </c>
      <c r="DA330">
        <f t="shared" si="46"/>
        <v>6.71</v>
      </c>
      <c r="DB330">
        <f t="shared" si="42"/>
        <v>84615</v>
      </c>
      <c r="DC330">
        <f t="shared" si="43"/>
        <v>0</v>
      </c>
    </row>
    <row r="331" spans="1:107" x14ac:dyDescent="0.2">
      <c r="A331">
        <f>ROW(Source!A198)</f>
        <v>198</v>
      </c>
      <c r="B331">
        <v>16802145</v>
      </c>
      <c r="C331">
        <v>16803226</v>
      </c>
      <c r="D331">
        <v>15164559</v>
      </c>
      <c r="E331">
        <v>17</v>
      </c>
      <c r="F331">
        <v>1</v>
      </c>
      <c r="G331">
        <v>1</v>
      </c>
      <c r="H331">
        <v>3</v>
      </c>
      <c r="I331" t="s">
        <v>821</v>
      </c>
      <c r="J331" t="s">
        <v>6</v>
      </c>
      <c r="K331" t="s">
        <v>822</v>
      </c>
      <c r="L331">
        <v>1374</v>
      </c>
      <c r="N331">
        <v>1013</v>
      </c>
      <c r="O331" t="s">
        <v>823</v>
      </c>
      <c r="P331" t="s">
        <v>823</v>
      </c>
      <c r="Q331">
        <v>1</v>
      </c>
      <c r="W331">
        <v>0</v>
      </c>
      <c r="X331">
        <v>-1731369543</v>
      </c>
      <c r="Y331">
        <v>42.38</v>
      </c>
      <c r="AA331">
        <v>1</v>
      </c>
      <c r="AB331">
        <v>0</v>
      </c>
      <c r="AC331">
        <v>0</v>
      </c>
      <c r="AD331">
        <v>0</v>
      </c>
      <c r="AE331">
        <v>1</v>
      </c>
      <c r="AF331">
        <v>0</v>
      </c>
      <c r="AG331">
        <v>0</v>
      </c>
      <c r="AH331">
        <v>0</v>
      </c>
      <c r="AI331">
        <v>1</v>
      </c>
      <c r="AJ331">
        <v>1</v>
      </c>
      <c r="AK331">
        <v>1</v>
      </c>
      <c r="AL331">
        <v>1</v>
      </c>
      <c r="AN331">
        <v>0</v>
      </c>
      <c r="AO331">
        <v>1</v>
      </c>
      <c r="AP331">
        <v>0</v>
      </c>
      <c r="AQ331">
        <v>0</v>
      </c>
      <c r="AR331">
        <v>0</v>
      </c>
      <c r="AS331" t="s">
        <v>6</v>
      </c>
      <c r="AT331">
        <v>42.38</v>
      </c>
      <c r="AU331" t="s">
        <v>6</v>
      </c>
      <c r="AV331">
        <v>0</v>
      </c>
      <c r="AW331">
        <v>2</v>
      </c>
      <c r="AX331">
        <v>16803252</v>
      </c>
      <c r="AY331">
        <v>1</v>
      </c>
      <c r="AZ331">
        <v>0</v>
      </c>
      <c r="BA331">
        <v>315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X331">
        <f>Y331*Source!I198</f>
        <v>30.5136</v>
      </c>
      <c r="CY331">
        <f t="shared" si="44"/>
        <v>1</v>
      </c>
      <c r="CZ331">
        <f t="shared" si="45"/>
        <v>1</v>
      </c>
      <c r="DA331">
        <f t="shared" si="46"/>
        <v>1</v>
      </c>
      <c r="DB331">
        <f t="shared" si="42"/>
        <v>42.38</v>
      </c>
      <c r="DC331">
        <f t="shared" si="43"/>
        <v>0</v>
      </c>
    </row>
    <row r="332" spans="1:107" x14ac:dyDescent="0.2">
      <c r="A332">
        <f>ROW(Source!A237)</f>
        <v>237</v>
      </c>
      <c r="B332">
        <v>16802145</v>
      </c>
      <c r="C332">
        <v>16803254</v>
      </c>
      <c r="D332">
        <v>15885198</v>
      </c>
      <c r="E332">
        <v>1</v>
      </c>
      <c r="F332">
        <v>1</v>
      </c>
      <c r="G332">
        <v>1</v>
      </c>
      <c r="H332">
        <v>1</v>
      </c>
      <c r="I332" t="s">
        <v>911</v>
      </c>
      <c r="J332" t="s">
        <v>6</v>
      </c>
      <c r="K332" t="s">
        <v>912</v>
      </c>
      <c r="L332">
        <v>1191</v>
      </c>
      <c r="N332">
        <v>1013</v>
      </c>
      <c r="O332" t="s">
        <v>660</v>
      </c>
      <c r="P332" t="s">
        <v>660</v>
      </c>
      <c r="Q332">
        <v>1</v>
      </c>
      <c r="W332">
        <v>0</v>
      </c>
      <c r="X332">
        <v>-1166887252</v>
      </c>
      <c r="Y332">
        <v>0.128</v>
      </c>
      <c r="AA332">
        <v>0</v>
      </c>
      <c r="AB332">
        <v>0</v>
      </c>
      <c r="AC332">
        <v>0</v>
      </c>
      <c r="AD332">
        <v>86.69</v>
      </c>
      <c r="AE332">
        <v>0</v>
      </c>
      <c r="AF332">
        <v>0</v>
      </c>
      <c r="AG332">
        <v>0</v>
      </c>
      <c r="AH332">
        <v>12.92</v>
      </c>
      <c r="AI332">
        <v>1</v>
      </c>
      <c r="AJ332">
        <v>1</v>
      </c>
      <c r="AK332">
        <v>1</v>
      </c>
      <c r="AL332">
        <v>6.71</v>
      </c>
      <c r="AN332">
        <v>0</v>
      </c>
      <c r="AO332">
        <v>1</v>
      </c>
      <c r="AP332">
        <v>1</v>
      </c>
      <c r="AQ332">
        <v>0</v>
      </c>
      <c r="AR332">
        <v>0</v>
      </c>
      <c r="AS332" t="s">
        <v>6</v>
      </c>
      <c r="AT332">
        <v>0.16</v>
      </c>
      <c r="AU332" t="s">
        <v>228</v>
      </c>
      <c r="AV332">
        <v>1</v>
      </c>
      <c r="AW332">
        <v>2</v>
      </c>
      <c r="AX332">
        <v>16803257</v>
      </c>
      <c r="AY332">
        <v>1</v>
      </c>
      <c r="AZ332">
        <v>0</v>
      </c>
      <c r="BA332">
        <v>316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X332">
        <f>Y332*Source!I237</f>
        <v>4.0960000000000001</v>
      </c>
      <c r="CY332">
        <f t="shared" ref="CY332:CY340" si="47">AD332</f>
        <v>86.69</v>
      </c>
      <c r="CZ332">
        <f t="shared" ref="CZ332:CZ340" si="48">AH332</f>
        <v>12.92</v>
      </c>
      <c r="DA332">
        <f t="shared" ref="DA332:DA340" si="49">AL332</f>
        <v>6.71</v>
      </c>
      <c r="DB332">
        <f t="shared" ref="DB332:DB339" si="50">ROUND((ROUND(AT332*CZ332,2)*0.8),2)</f>
        <v>1.66</v>
      </c>
      <c r="DC332">
        <f t="shared" ref="DC332:DC339" si="51">ROUND((ROUND(AT332*AG332,2)*0.8),2)</f>
        <v>0</v>
      </c>
    </row>
    <row r="333" spans="1:107" x14ac:dyDescent="0.2">
      <c r="A333">
        <f>ROW(Source!A237)</f>
        <v>237</v>
      </c>
      <c r="B333">
        <v>16802145</v>
      </c>
      <c r="C333">
        <v>16803254</v>
      </c>
      <c r="D333">
        <v>15884235</v>
      </c>
      <c r="E333">
        <v>1</v>
      </c>
      <c r="F333">
        <v>1</v>
      </c>
      <c r="G333">
        <v>1</v>
      </c>
      <c r="H333">
        <v>1</v>
      </c>
      <c r="I333" t="s">
        <v>913</v>
      </c>
      <c r="J333" t="s">
        <v>6</v>
      </c>
      <c r="K333" t="s">
        <v>914</v>
      </c>
      <c r="L333">
        <v>1191</v>
      </c>
      <c r="N333">
        <v>1013</v>
      </c>
      <c r="O333" t="s">
        <v>660</v>
      </c>
      <c r="P333" t="s">
        <v>660</v>
      </c>
      <c r="Q333">
        <v>1</v>
      </c>
      <c r="W333">
        <v>0</v>
      </c>
      <c r="X333">
        <v>1776637054</v>
      </c>
      <c r="Y333">
        <v>0.128</v>
      </c>
      <c r="AA333">
        <v>0</v>
      </c>
      <c r="AB333">
        <v>0</v>
      </c>
      <c r="AC333">
        <v>0</v>
      </c>
      <c r="AD333">
        <v>85.15</v>
      </c>
      <c r="AE333">
        <v>0</v>
      </c>
      <c r="AF333">
        <v>0</v>
      </c>
      <c r="AG333">
        <v>0</v>
      </c>
      <c r="AH333">
        <v>12.69</v>
      </c>
      <c r="AI333">
        <v>1</v>
      </c>
      <c r="AJ333">
        <v>1</v>
      </c>
      <c r="AK333">
        <v>1</v>
      </c>
      <c r="AL333">
        <v>6.71</v>
      </c>
      <c r="AN333">
        <v>0</v>
      </c>
      <c r="AO333">
        <v>1</v>
      </c>
      <c r="AP333">
        <v>1</v>
      </c>
      <c r="AQ333">
        <v>0</v>
      </c>
      <c r="AR333">
        <v>0</v>
      </c>
      <c r="AS333" t="s">
        <v>6</v>
      </c>
      <c r="AT333">
        <v>0.16</v>
      </c>
      <c r="AU333" t="s">
        <v>228</v>
      </c>
      <c r="AV333">
        <v>1</v>
      </c>
      <c r="AW333">
        <v>2</v>
      </c>
      <c r="AX333">
        <v>16803258</v>
      </c>
      <c r="AY333">
        <v>1</v>
      </c>
      <c r="AZ333">
        <v>0</v>
      </c>
      <c r="BA333">
        <v>317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X333">
        <f>Y333*Source!I237</f>
        <v>4.0960000000000001</v>
      </c>
      <c r="CY333">
        <f t="shared" si="47"/>
        <v>85.15</v>
      </c>
      <c r="CZ333">
        <f t="shared" si="48"/>
        <v>12.69</v>
      </c>
      <c r="DA333">
        <f t="shared" si="49"/>
        <v>6.71</v>
      </c>
      <c r="DB333">
        <f t="shared" si="50"/>
        <v>1.62</v>
      </c>
      <c r="DC333">
        <f t="shared" si="51"/>
        <v>0</v>
      </c>
    </row>
    <row r="334" spans="1:107" x14ac:dyDescent="0.2">
      <c r="A334">
        <f>ROW(Source!A238)</f>
        <v>238</v>
      </c>
      <c r="B334">
        <v>16802145</v>
      </c>
      <c r="C334">
        <v>16803259</v>
      </c>
      <c r="D334">
        <v>15885198</v>
      </c>
      <c r="E334">
        <v>1</v>
      </c>
      <c r="F334">
        <v>1</v>
      </c>
      <c r="G334">
        <v>1</v>
      </c>
      <c r="H334">
        <v>1</v>
      </c>
      <c r="I334" t="s">
        <v>911</v>
      </c>
      <c r="J334" t="s">
        <v>6</v>
      </c>
      <c r="K334" t="s">
        <v>912</v>
      </c>
      <c r="L334">
        <v>1191</v>
      </c>
      <c r="N334">
        <v>1013</v>
      </c>
      <c r="O334" t="s">
        <v>660</v>
      </c>
      <c r="P334" t="s">
        <v>660</v>
      </c>
      <c r="Q334">
        <v>1</v>
      </c>
      <c r="W334">
        <v>0</v>
      </c>
      <c r="X334">
        <v>-1166887252</v>
      </c>
      <c r="Y334">
        <v>5.1840000000000011</v>
      </c>
      <c r="AA334">
        <v>0</v>
      </c>
      <c r="AB334">
        <v>0</v>
      </c>
      <c r="AC334">
        <v>0</v>
      </c>
      <c r="AD334">
        <v>86.69</v>
      </c>
      <c r="AE334">
        <v>0</v>
      </c>
      <c r="AF334">
        <v>0</v>
      </c>
      <c r="AG334">
        <v>0</v>
      </c>
      <c r="AH334">
        <v>12.92</v>
      </c>
      <c r="AI334">
        <v>1</v>
      </c>
      <c r="AJ334">
        <v>1</v>
      </c>
      <c r="AK334">
        <v>1</v>
      </c>
      <c r="AL334">
        <v>6.71</v>
      </c>
      <c r="AN334">
        <v>0</v>
      </c>
      <c r="AO334">
        <v>1</v>
      </c>
      <c r="AP334">
        <v>1</v>
      </c>
      <c r="AQ334">
        <v>0</v>
      </c>
      <c r="AR334">
        <v>0</v>
      </c>
      <c r="AS334" t="s">
        <v>6</v>
      </c>
      <c r="AT334">
        <v>6.48</v>
      </c>
      <c r="AU334" t="s">
        <v>228</v>
      </c>
      <c r="AV334">
        <v>1</v>
      </c>
      <c r="AW334">
        <v>2</v>
      </c>
      <c r="AX334">
        <v>16803262</v>
      </c>
      <c r="AY334">
        <v>1</v>
      </c>
      <c r="AZ334">
        <v>0</v>
      </c>
      <c r="BA334">
        <v>318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X334">
        <f>Y334*Source!I238</f>
        <v>0.25920000000000004</v>
      </c>
      <c r="CY334">
        <f t="shared" si="47"/>
        <v>86.69</v>
      </c>
      <c r="CZ334">
        <f t="shared" si="48"/>
        <v>12.92</v>
      </c>
      <c r="DA334">
        <f t="shared" si="49"/>
        <v>6.71</v>
      </c>
      <c r="DB334">
        <f t="shared" si="50"/>
        <v>66.98</v>
      </c>
      <c r="DC334">
        <f t="shared" si="51"/>
        <v>0</v>
      </c>
    </row>
    <row r="335" spans="1:107" x14ac:dyDescent="0.2">
      <c r="A335">
        <f>ROW(Source!A238)</f>
        <v>238</v>
      </c>
      <c r="B335">
        <v>16802145</v>
      </c>
      <c r="C335">
        <v>16803259</v>
      </c>
      <c r="D335">
        <v>15884235</v>
      </c>
      <c r="E335">
        <v>1</v>
      </c>
      <c r="F335">
        <v>1</v>
      </c>
      <c r="G335">
        <v>1</v>
      </c>
      <c r="H335">
        <v>1</v>
      </c>
      <c r="I335" t="s">
        <v>913</v>
      </c>
      <c r="J335" t="s">
        <v>6</v>
      </c>
      <c r="K335" t="s">
        <v>914</v>
      </c>
      <c r="L335">
        <v>1191</v>
      </c>
      <c r="N335">
        <v>1013</v>
      </c>
      <c r="O335" t="s">
        <v>660</v>
      </c>
      <c r="P335" t="s">
        <v>660</v>
      </c>
      <c r="Q335">
        <v>1</v>
      </c>
      <c r="W335">
        <v>0</v>
      </c>
      <c r="X335">
        <v>1776637054</v>
      </c>
      <c r="Y335">
        <v>5.1840000000000011</v>
      </c>
      <c r="AA335">
        <v>0</v>
      </c>
      <c r="AB335">
        <v>0</v>
      </c>
      <c r="AC335">
        <v>0</v>
      </c>
      <c r="AD335">
        <v>85.15</v>
      </c>
      <c r="AE335">
        <v>0</v>
      </c>
      <c r="AF335">
        <v>0</v>
      </c>
      <c r="AG335">
        <v>0</v>
      </c>
      <c r="AH335">
        <v>12.69</v>
      </c>
      <c r="AI335">
        <v>1</v>
      </c>
      <c r="AJ335">
        <v>1</v>
      </c>
      <c r="AK335">
        <v>1</v>
      </c>
      <c r="AL335">
        <v>6.71</v>
      </c>
      <c r="AN335">
        <v>0</v>
      </c>
      <c r="AO335">
        <v>1</v>
      </c>
      <c r="AP335">
        <v>1</v>
      </c>
      <c r="AQ335">
        <v>0</v>
      </c>
      <c r="AR335">
        <v>0</v>
      </c>
      <c r="AS335" t="s">
        <v>6</v>
      </c>
      <c r="AT335">
        <v>6.48</v>
      </c>
      <c r="AU335" t="s">
        <v>228</v>
      </c>
      <c r="AV335">
        <v>1</v>
      </c>
      <c r="AW335">
        <v>2</v>
      </c>
      <c r="AX335">
        <v>16803263</v>
      </c>
      <c r="AY335">
        <v>1</v>
      </c>
      <c r="AZ335">
        <v>0</v>
      </c>
      <c r="BA335">
        <v>319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X335">
        <f>Y335*Source!I238</f>
        <v>0.25920000000000004</v>
      </c>
      <c r="CY335">
        <f t="shared" si="47"/>
        <v>85.15</v>
      </c>
      <c r="CZ335">
        <f t="shared" si="48"/>
        <v>12.69</v>
      </c>
      <c r="DA335">
        <f t="shared" si="49"/>
        <v>6.71</v>
      </c>
      <c r="DB335">
        <f t="shared" si="50"/>
        <v>65.78</v>
      </c>
      <c r="DC335">
        <f t="shared" si="51"/>
        <v>0</v>
      </c>
    </row>
    <row r="336" spans="1:107" x14ac:dyDescent="0.2">
      <c r="A336">
        <f>ROW(Source!A239)</f>
        <v>239</v>
      </c>
      <c r="B336">
        <v>16802145</v>
      </c>
      <c r="C336">
        <v>16803264</v>
      </c>
      <c r="D336">
        <v>15885198</v>
      </c>
      <c r="E336">
        <v>1</v>
      </c>
      <c r="F336">
        <v>1</v>
      </c>
      <c r="G336">
        <v>1</v>
      </c>
      <c r="H336">
        <v>1</v>
      </c>
      <c r="I336" t="s">
        <v>911</v>
      </c>
      <c r="J336" t="s">
        <v>6</v>
      </c>
      <c r="K336" t="s">
        <v>912</v>
      </c>
      <c r="L336">
        <v>1191</v>
      </c>
      <c r="N336">
        <v>1013</v>
      </c>
      <c r="O336" t="s">
        <v>660</v>
      </c>
      <c r="P336" t="s">
        <v>660</v>
      </c>
      <c r="Q336">
        <v>1</v>
      </c>
      <c r="W336">
        <v>0</v>
      </c>
      <c r="X336">
        <v>-1166887252</v>
      </c>
      <c r="Y336">
        <v>0.48799999999999999</v>
      </c>
      <c r="AA336">
        <v>0</v>
      </c>
      <c r="AB336">
        <v>0</v>
      </c>
      <c r="AC336">
        <v>0</v>
      </c>
      <c r="AD336">
        <v>86.69</v>
      </c>
      <c r="AE336">
        <v>0</v>
      </c>
      <c r="AF336">
        <v>0</v>
      </c>
      <c r="AG336">
        <v>0</v>
      </c>
      <c r="AH336">
        <v>12.92</v>
      </c>
      <c r="AI336">
        <v>1</v>
      </c>
      <c r="AJ336">
        <v>1</v>
      </c>
      <c r="AK336">
        <v>1</v>
      </c>
      <c r="AL336">
        <v>6.71</v>
      </c>
      <c r="AN336">
        <v>0</v>
      </c>
      <c r="AO336">
        <v>1</v>
      </c>
      <c r="AP336">
        <v>1</v>
      </c>
      <c r="AQ336">
        <v>0</v>
      </c>
      <c r="AR336">
        <v>0</v>
      </c>
      <c r="AS336" t="s">
        <v>6</v>
      </c>
      <c r="AT336">
        <v>0.61</v>
      </c>
      <c r="AU336" t="s">
        <v>228</v>
      </c>
      <c r="AV336">
        <v>1</v>
      </c>
      <c r="AW336">
        <v>2</v>
      </c>
      <c r="AX336">
        <v>16803267</v>
      </c>
      <c r="AY336">
        <v>1</v>
      </c>
      <c r="AZ336">
        <v>0</v>
      </c>
      <c r="BA336">
        <v>320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X336">
        <f>Y336*Source!I239</f>
        <v>14.151999999999999</v>
      </c>
      <c r="CY336">
        <f t="shared" si="47"/>
        <v>86.69</v>
      </c>
      <c r="CZ336">
        <f t="shared" si="48"/>
        <v>12.92</v>
      </c>
      <c r="DA336">
        <f t="shared" si="49"/>
        <v>6.71</v>
      </c>
      <c r="DB336">
        <f t="shared" si="50"/>
        <v>6.3</v>
      </c>
      <c r="DC336">
        <f t="shared" si="51"/>
        <v>0</v>
      </c>
    </row>
    <row r="337" spans="1:107" x14ac:dyDescent="0.2">
      <c r="A337">
        <f>ROW(Source!A239)</f>
        <v>239</v>
      </c>
      <c r="B337">
        <v>16802145</v>
      </c>
      <c r="C337">
        <v>16803264</v>
      </c>
      <c r="D337">
        <v>15884235</v>
      </c>
      <c r="E337">
        <v>1</v>
      </c>
      <c r="F337">
        <v>1</v>
      </c>
      <c r="G337">
        <v>1</v>
      </c>
      <c r="H337">
        <v>1</v>
      </c>
      <c r="I337" t="s">
        <v>913</v>
      </c>
      <c r="J337" t="s">
        <v>6</v>
      </c>
      <c r="K337" t="s">
        <v>914</v>
      </c>
      <c r="L337">
        <v>1191</v>
      </c>
      <c r="N337">
        <v>1013</v>
      </c>
      <c r="O337" t="s">
        <v>660</v>
      </c>
      <c r="P337" t="s">
        <v>660</v>
      </c>
      <c r="Q337">
        <v>1</v>
      </c>
      <c r="W337">
        <v>0</v>
      </c>
      <c r="X337">
        <v>1776637054</v>
      </c>
      <c r="Y337">
        <v>0.48799999999999999</v>
      </c>
      <c r="AA337">
        <v>0</v>
      </c>
      <c r="AB337">
        <v>0</v>
      </c>
      <c r="AC337">
        <v>0</v>
      </c>
      <c r="AD337">
        <v>85.15</v>
      </c>
      <c r="AE337">
        <v>0</v>
      </c>
      <c r="AF337">
        <v>0</v>
      </c>
      <c r="AG337">
        <v>0</v>
      </c>
      <c r="AH337">
        <v>12.69</v>
      </c>
      <c r="AI337">
        <v>1</v>
      </c>
      <c r="AJ337">
        <v>1</v>
      </c>
      <c r="AK337">
        <v>1</v>
      </c>
      <c r="AL337">
        <v>6.71</v>
      </c>
      <c r="AN337">
        <v>0</v>
      </c>
      <c r="AO337">
        <v>1</v>
      </c>
      <c r="AP337">
        <v>1</v>
      </c>
      <c r="AQ337">
        <v>0</v>
      </c>
      <c r="AR337">
        <v>0</v>
      </c>
      <c r="AS337" t="s">
        <v>6</v>
      </c>
      <c r="AT337">
        <v>0.61</v>
      </c>
      <c r="AU337" t="s">
        <v>228</v>
      </c>
      <c r="AV337">
        <v>1</v>
      </c>
      <c r="AW337">
        <v>2</v>
      </c>
      <c r="AX337">
        <v>16803268</v>
      </c>
      <c r="AY337">
        <v>1</v>
      </c>
      <c r="AZ337">
        <v>0</v>
      </c>
      <c r="BA337">
        <v>321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X337">
        <f>Y337*Source!I239</f>
        <v>14.151999999999999</v>
      </c>
      <c r="CY337">
        <f t="shared" si="47"/>
        <v>85.15</v>
      </c>
      <c r="CZ337">
        <f t="shared" si="48"/>
        <v>12.69</v>
      </c>
      <c r="DA337">
        <f t="shared" si="49"/>
        <v>6.71</v>
      </c>
      <c r="DB337">
        <f t="shared" si="50"/>
        <v>6.19</v>
      </c>
      <c r="DC337">
        <f t="shared" si="51"/>
        <v>0</v>
      </c>
    </row>
    <row r="338" spans="1:107" x14ac:dyDescent="0.2">
      <c r="A338">
        <f>ROW(Source!A240)</f>
        <v>240</v>
      </c>
      <c r="B338">
        <v>16802145</v>
      </c>
      <c r="C338">
        <v>16803269</v>
      </c>
      <c r="D338">
        <v>15884231</v>
      </c>
      <c r="E338">
        <v>1</v>
      </c>
      <c r="F338">
        <v>1</v>
      </c>
      <c r="G338">
        <v>1</v>
      </c>
      <c r="H338">
        <v>1</v>
      </c>
      <c r="I338" t="s">
        <v>915</v>
      </c>
      <c r="J338" t="s">
        <v>6</v>
      </c>
      <c r="K338" t="s">
        <v>916</v>
      </c>
      <c r="L338">
        <v>1191</v>
      </c>
      <c r="N338">
        <v>1013</v>
      </c>
      <c r="O338" t="s">
        <v>660</v>
      </c>
      <c r="P338" t="s">
        <v>660</v>
      </c>
      <c r="Q338">
        <v>1</v>
      </c>
      <c r="W338">
        <v>0</v>
      </c>
      <c r="X338">
        <v>-1309109184</v>
      </c>
      <c r="Y338">
        <v>0.90399999999999991</v>
      </c>
      <c r="AA338">
        <v>0</v>
      </c>
      <c r="AB338">
        <v>0</v>
      </c>
      <c r="AC338">
        <v>0</v>
      </c>
      <c r="AD338">
        <v>61.53</v>
      </c>
      <c r="AE338">
        <v>0</v>
      </c>
      <c r="AF338">
        <v>0</v>
      </c>
      <c r="AG338">
        <v>0</v>
      </c>
      <c r="AH338">
        <v>9.17</v>
      </c>
      <c r="AI338">
        <v>1</v>
      </c>
      <c r="AJ338">
        <v>1</v>
      </c>
      <c r="AK338">
        <v>1</v>
      </c>
      <c r="AL338">
        <v>6.71</v>
      </c>
      <c r="AN338">
        <v>0</v>
      </c>
      <c r="AO338">
        <v>1</v>
      </c>
      <c r="AP338">
        <v>1</v>
      </c>
      <c r="AQ338">
        <v>0</v>
      </c>
      <c r="AR338">
        <v>0</v>
      </c>
      <c r="AS338" t="s">
        <v>6</v>
      </c>
      <c r="AT338">
        <v>1.1299999999999999</v>
      </c>
      <c r="AU338" t="s">
        <v>228</v>
      </c>
      <c r="AV338">
        <v>1</v>
      </c>
      <c r="AW338">
        <v>2</v>
      </c>
      <c r="AX338">
        <v>16803272</v>
      </c>
      <c r="AY338">
        <v>1</v>
      </c>
      <c r="AZ338">
        <v>0</v>
      </c>
      <c r="BA338">
        <v>322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X338">
        <f>Y338*Source!I240</f>
        <v>28.927999999999997</v>
      </c>
      <c r="CY338">
        <f t="shared" si="47"/>
        <v>61.53</v>
      </c>
      <c r="CZ338">
        <f t="shared" si="48"/>
        <v>9.17</v>
      </c>
      <c r="DA338">
        <f t="shared" si="49"/>
        <v>6.71</v>
      </c>
      <c r="DB338">
        <f t="shared" si="50"/>
        <v>8.2899999999999991</v>
      </c>
      <c r="DC338">
        <f t="shared" si="51"/>
        <v>0</v>
      </c>
    </row>
    <row r="339" spans="1:107" x14ac:dyDescent="0.2">
      <c r="A339">
        <f>ROW(Source!A240)</f>
        <v>240</v>
      </c>
      <c r="B339">
        <v>16802145</v>
      </c>
      <c r="C339">
        <v>16803269</v>
      </c>
      <c r="D339">
        <v>15884285</v>
      </c>
      <c r="E339">
        <v>1</v>
      </c>
      <c r="F339">
        <v>1</v>
      </c>
      <c r="G339">
        <v>1</v>
      </c>
      <c r="H339">
        <v>1</v>
      </c>
      <c r="I339" t="s">
        <v>917</v>
      </c>
      <c r="J339" t="s">
        <v>6</v>
      </c>
      <c r="K339" t="s">
        <v>918</v>
      </c>
      <c r="L339">
        <v>1191</v>
      </c>
      <c r="N339">
        <v>1013</v>
      </c>
      <c r="O339" t="s">
        <v>660</v>
      </c>
      <c r="P339" t="s">
        <v>660</v>
      </c>
      <c r="Q339">
        <v>1</v>
      </c>
      <c r="W339">
        <v>0</v>
      </c>
      <c r="X339">
        <v>1818203118</v>
      </c>
      <c r="Y339">
        <v>1.36</v>
      </c>
      <c r="AA339">
        <v>0</v>
      </c>
      <c r="AB339">
        <v>0</v>
      </c>
      <c r="AC339">
        <v>0</v>
      </c>
      <c r="AD339">
        <v>94.54</v>
      </c>
      <c r="AE339">
        <v>0</v>
      </c>
      <c r="AF339">
        <v>0</v>
      </c>
      <c r="AG339">
        <v>0</v>
      </c>
      <c r="AH339">
        <v>14.09</v>
      </c>
      <c r="AI339">
        <v>1</v>
      </c>
      <c r="AJ339">
        <v>1</v>
      </c>
      <c r="AK339">
        <v>1</v>
      </c>
      <c r="AL339">
        <v>6.71</v>
      </c>
      <c r="AN339">
        <v>0</v>
      </c>
      <c r="AO339">
        <v>1</v>
      </c>
      <c r="AP339">
        <v>1</v>
      </c>
      <c r="AQ339">
        <v>0</v>
      </c>
      <c r="AR339">
        <v>0</v>
      </c>
      <c r="AS339" t="s">
        <v>6</v>
      </c>
      <c r="AT339">
        <v>1.7</v>
      </c>
      <c r="AU339" t="s">
        <v>228</v>
      </c>
      <c r="AV339">
        <v>1</v>
      </c>
      <c r="AW339">
        <v>2</v>
      </c>
      <c r="AX339">
        <v>16803273</v>
      </c>
      <c r="AY339">
        <v>1</v>
      </c>
      <c r="AZ339">
        <v>0</v>
      </c>
      <c r="BA339">
        <v>323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X339">
        <f>Y339*Source!I240</f>
        <v>43.52</v>
      </c>
      <c r="CY339">
        <f t="shared" si="47"/>
        <v>94.54</v>
      </c>
      <c r="CZ339">
        <f t="shared" si="48"/>
        <v>14.09</v>
      </c>
      <c r="DA339">
        <f t="shared" si="49"/>
        <v>6.71</v>
      </c>
      <c r="DB339">
        <f t="shared" si="50"/>
        <v>19.16</v>
      </c>
      <c r="DC339">
        <f t="shared" si="51"/>
        <v>0</v>
      </c>
    </row>
    <row r="340" spans="1:107" x14ac:dyDescent="0.2">
      <c r="A340">
        <f>ROW(Source!A275)</f>
        <v>275</v>
      </c>
      <c r="B340">
        <v>16802145</v>
      </c>
      <c r="C340">
        <v>16803275</v>
      </c>
      <c r="D340">
        <v>15436556</v>
      </c>
      <c r="E340">
        <v>1</v>
      </c>
      <c r="F340">
        <v>1</v>
      </c>
      <c r="G340">
        <v>1</v>
      </c>
      <c r="H340">
        <v>1</v>
      </c>
      <c r="I340" t="s">
        <v>736</v>
      </c>
      <c r="J340" t="s">
        <v>6</v>
      </c>
      <c r="K340" t="s">
        <v>737</v>
      </c>
      <c r="L340">
        <v>1191</v>
      </c>
      <c r="N340">
        <v>1013</v>
      </c>
      <c r="O340" t="s">
        <v>660</v>
      </c>
      <c r="P340" t="s">
        <v>660</v>
      </c>
      <c r="Q340">
        <v>1</v>
      </c>
      <c r="W340">
        <v>0</v>
      </c>
      <c r="X340">
        <v>1069510174</v>
      </c>
      <c r="Y340">
        <v>0.252</v>
      </c>
      <c r="AA340">
        <v>0</v>
      </c>
      <c r="AB340">
        <v>0</v>
      </c>
      <c r="AC340">
        <v>0</v>
      </c>
      <c r="AD340">
        <v>64.55</v>
      </c>
      <c r="AE340">
        <v>0</v>
      </c>
      <c r="AF340">
        <v>0</v>
      </c>
      <c r="AG340">
        <v>0</v>
      </c>
      <c r="AH340">
        <v>9.6199999999999992</v>
      </c>
      <c r="AI340">
        <v>1</v>
      </c>
      <c r="AJ340">
        <v>1</v>
      </c>
      <c r="AK340">
        <v>1</v>
      </c>
      <c r="AL340">
        <v>6.71</v>
      </c>
      <c r="AN340">
        <v>0</v>
      </c>
      <c r="AO340">
        <v>1</v>
      </c>
      <c r="AP340">
        <v>1</v>
      </c>
      <c r="AQ340">
        <v>0</v>
      </c>
      <c r="AR340">
        <v>0</v>
      </c>
      <c r="AS340" t="s">
        <v>6</v>
      </c>
      <c r="AT340">
        <v>0.84</v>
      </c>
      <c r="AU340" t="s">
        <v>389</v>
      </c>
      <c r="AV340">
        <v>1</v>
      </c>
      <c r="AW340">
        <v>2</v>
      </c>
      <c r="AX340">
        <v>16803283</v>
      </c>
      <c r="AY340">
        <v>1</v>
      </c>
      <c r="AZ340">
        <v>0</v>
      </c>
      <c r="BA340">
        <v>324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X340">
        <f>Y340*Source!I275</f>
        <v>4.2839999999999998</v>
      </c>
      <c r="CY340">
        <f t="shared" si="47"/>
        <v>64.55</v>
      </c>
      <c r="CZ340">
        <f t="shared" si="48"/>
        <v>9.6199999999999992</v>
      </c>
      <c r="DA340">
        <f t="shared" si="49"/>
        <v>6.71</v>
      </c>
      <c r="DB340">
        <f>ROUND((ROUND(AT340*CZ340,2)*0.3),2)</f>
        <v>2.42</v>
      </c>
      <c r="DC340">
        <f>ROUND((ROUND(AT340*AG340,2)*0.3),2)</f>
        <v>0</v>
      </c>
    </row>
    <row r="341" spans="1:107" x14ac:dyDescent="0.2">
      <c r="A341">
        <f>ROW(Source!A275)</f>
        <v>275</v>
      </c>
      <c r="B341">
        <v>16802145</v>
      </c>
      <c r="C341">
        <v>16803275</v>
      </c>
      <c r="D341">
        <v>15165918</v>
      </c>
      <c r="E341">
        <v>1</v>
      </c>
      <c r="F341">
        <v>1</v>
      </c>
      <c r="G341">
        <v>1</v>
      </c>
      <c r="H341">
        <v>3</v>
      </c>
      <c r="I341" t="s">
        <v>919</v>
      </c>
      <c r="J341" t="s">
        <v>920</v>
      </c>
      <c r="K341" t="s">
        <v>921</v>
      </c>
      <c r="L341">
        <v>1346</v>
      </c>
      <c r="N341">
        <v>1009</v>
      </c>
      <c r="O341" t="s">
        <v>103</v>
      </c>
      <c r="P341" t="s">
        <v>103</v>
      </c>
      <c r="Q341">
        <v>1</v>
      </c>
      <c r="W341">
        <v>0</v>
      </c>
      <c r="X341">
        <v>1559187994</v>
      </c>
      <c r="Y341">
        <v>0</v>
      </c>
      <c r="AA341">
        <v>186.14</v>
      </c>
      <c r="AB341">
        <v>0</v>
      </c>
      <c r="AC341">
        <v>0</v>
      </c>
      <c r="AD341">
        <v>0</v>
      </c>
      <c r="AE341">
        <v>27.74</v>
      </c>
      <c r="AF341">
        <v>0</v>
      </c>
      <c r="AG341">
        <v>0</v>
      </c>
      <c r="AH341">
        <v>0</v>
      </c>
      <c r="AI341">
        <v>6.71</v>
      </c>
      <c r="AJ341">
        <v>1</v>
      </c>
      <c r="AK341">
        <v>1</v>
      </c>
      <c r="AL341">
        <v>1</v>
      </c>
      <c r="AN341">
        <v>0</v>
      </c>
      <c r="AO341">
        <v>1</v>
      </c>
      <c r="AP341">
        <v>1</v>
      </c>
      <c r="AQ341">
        <v>0</v>
      </c>
      <c r="AR341">
        <v>0</v>
      </c>
      <c r="AS341" t="s">
        <v>6</v>
      </c>
      <c r="AT341">
        <v>2.0000000000000001E-4</v>
      </c>
      <c r="AU341" t="s">
        <v>227</v>
      </c>
      <c r="AV341">
        <v>0</v>
      </c>
      <c r="AW341">
        <v>2</v>
      </c>
      <c r="AX341">
        <v>16803284</v>
      </c>
      <c r="AY341">
        <v>1</v>
      </c>
      <c r="AZ341">
        <v>0</v>
      </c>
      <c r="BA341">
        <v>325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X341">
        <f>Y341*Source!I275</f>
        <v>0</v>
      </c>
      <c r="CY341">
        <f t="shared" ref="CY341:CY346" si="52">AA341</f>
        <v>186.14</v>
      </c>
      <c r="CZ341">
        <f t="shared" ref="CZ341:CZ346" si="53">AE341</f>
        <v>27.74</v>
      </c>
      <c r="DA341">
        <f t="shared" ref="DA341:DA346" si="54">AI341</f>
        <v>6.71</v>
      </c>
      <c r="DB341">
        <f t="shared" ref="DB341:DB346" si="55">ROUND((ROUND(AT341*CZ341,2)*0),2)</f>
        <v>0</v>
      </c>
      <c r="DC341">
        <f t="shared" ref="DC341:DC346" si="56">ROUND((ROUND(AT341*AG341,2)*0),2)</f>
        <v>0</v>
      </c>
    </row>
    <row r="342" spans="1:107" x14ac:dyDescent="0.2">
      <c r="A342">
        <f>ROW(Source!A275)</f>
        <v>275</v>
      </c>
      <c r="B342">
        <v>16802145</v>
      </c>
      <c r="C342">
        <v>16803275</v>
      </c>
      <c r="D342">
        <v>15170072</v>
      </c>
      <c r="E342">
        <v>1</v>
      </c>
      <c r="F342">
        <v>1</v>
      </c>
      <c r="G342">
        <v>1</v>
      </c>
      <c r="H342">
        <v>3</v>
      </c>
      <c r="I342" t="s">
        <v>922</v>
      </c>
      <c r="J342" t="s">
        <v>923</v>
      </c>
      <c r="K342" t="s">
        <v>924</v>
      </c>
      <c r="L342">
        <v>1355</v>
      </c>
      <c r="N342">
        <v>1010</v>
      </c>
      <c r="O342" t="s">
        <v>126</v>
      </c>
      <c r="P342" t="s">
        <v>126</v>
      </c>
      <c r="Q342">
        <v>100</v>
      </c>
      <c r="W342">
        <v>0</v>
      </c>
      <c r="X342">
        <v>-66531260</v>
      </c>
      <c r="Y342">
        <v>0</v>
      </c>
      <c r="AA342">
        <v>556.92999999999995</v>
      </c>
      <c r="AB342">
        <v>0</v>
      </c>
      <c r="AC342">
        <v>0</v>
      </c>
      <c r="AD342">
        <v>0</v>
      </c>
      <c r="AE342">
        <v>83</v>
      </c>
      <c r="AF342">
        <v>0</v>
      </c>
      <c r="AG342">
        <v>0</v>
      </c>
      <c r="AH342">
        <v>0</v>
      </c>
      <c r="AI342">
        <v>6.71</v>
      </c>
      <c r="AJ342">
        <v>1</v>
      </c>
      <c r="AK342">
        <v>1</v>
      </c>
      <c r="AL342">
        <v>1</v>
      </c>
      <c r="AN342">
        <v>0</v>
      </c>
      <c r="AO342">
        <v>1</v>
      </c>
      <c r="AP342">
        <v>1</v>
      </c>
      <c r="AQ342">
        <v>0</v>
      </c>
      <c r="AR342">
        <v>0</v>
      </c>
      <c r="AS342" t="s">
        <v>6</v>
      </c>
      <c r="AT342">
        <v>0.01</v>
      </c>
      <c r="AU342" t="s">
        <v>227</v>
      </c>
      <c r="AV342">
        <v>0</v>
      </c>
      <c r="AW342">
        <v>2</v>
      </c>
      <c r="AX342">
        <v>16803285</v>
      </c>
      <c r="AY342">
        <v>1</v>
      </c>
      <c r="AZ342">
        <v>0</v>
      </c>
      <c r="BA342">
        <v>326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X342">
        <f>Y342*Source!I275</f>
        <v>0</v>
      </c>
      <c r="CY342">
        <f t="shared" si="52"/>
        <v>556.92999999999995</v>
      </c>
      <c r="CZ342">
        <f t="shared" si="53"/>
        <v>83</v>
      </c>
      <c r="DA342">
        <f t="shared" si="54"/>
        <v>6.71</v>
      </c>
      <c r="DB342">
        <f t="shared" si="55"/>
        <v>0</v>
      </c>
      <c r="DC342">
        <f t="shared" si="56"/>
        <v>0</v>
      </c>
    </row>
    <row r="343" spans="1:107" x14ac:dyDescent="0.2">
      <c r="A343">
        <f>ROW(Source!A275)</f>
        <v>275</v>
      </c>
      <c r="B343">
        <v>16802145</v>
      </c>
      <c r="C343">
        <v>16803275</v>
      </c>
      <c r="D343">
        <v>15171982</v>
      </c>
      <c r="E343">
        <v>1</v>
      </c>
      <c r="F343">
        <v>1</v>
      </c>
      <c r="G343">
        <v>1</v>
      </c>
      <c r="H343">
        <v>3</v>
      </c>
      <c r="I343" t="s">
        <v>672</v>
      </c>
      <c r="J343" t="s">
        <v>673</v>
      </c>
      <c r="K343" t="s">
        <v>674</v>
      </c>
      <c r="L343">
        <v>1348</v>
      </c>
      <c r="N343">
        <v>1009</v>
      </c>
      <c r="O343" t="s">
        <v>65</v>
      </c>
      <c r="P343" t="s">
        <v>65</v>
      </c>
      <c r="Q343">
        <v>1000</v>
      </c>
      <c r="W343">
        <v>0</v>
      </c>
      <c r="X343">
        <v>-1421715385</v>
      </c>
      <c r="Y343">
        <v>0</v>
      </c>
      <c r="AA343">
        <v>4898.17</v>
      </c>
      <c r="AB343">
        <v>0</v>
      </c>
      <c r="AC343">
        <v>0</v>
      </c>
      <c r="AD343">
        <v>0</v>
      </c>
      <c r="AE343">
        <v>729.98</v>
      </c>
      <c r="AF343">
        <v>0</v>
      </c>
      <c r="AG343">
        <v>0</v>
      </c>
      <c r="AH343">
        <v>0</v>
      </c>
      <c r="AI343">
        <v>6.71</v>
      </c>
      <c r="AJ343">
        <v>1</v>
      </c>
      <c r="AK343">
        <v>1</v>
      </c>
      <c r="AL343">
        <v>1</v>
      </c>
      <c r="AN343">
        <v>0</v>
      </c>
      <c r="AO343">
        <v>1</v>
      </c>
      <c r="AP343">
        <v>1</v>
      </c>
      <c r="AQ343">
        <v>0</v>
      </c>
      <c r="AR343">
        <v>0</v>
      </c>
      <c r="AS343" t="s">
        <v>6</v>
      </c>
      <c r="AT343">
        <v>1.0000000000000001E-5</v>
      </c>
      <c r="AU343" t="s">
        <v>227</v>
      </c>
      <c r="AV343">
        <v>0</v>
      </c>
      <c r="AW343">
        <v>2</v>
      </c>
      <c r="AX343">
        <v>16803286</v>
      </c>
      <c r="AY343">
        <v>1</v>
      </c>
      <c r="AZ343">
        <v>0</v>
      </c>
      <c r="BA343">
        <v>327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X343">
        <f>Y343*Source!I275</f>
        <v>0</v>
      </c>
      <c r="CY343">
        <f t="shared" si="52"/>
        <v>4898.17</v>
      </c>
      <c r="CZ343">
        <f t="shared" si="53"/>
        <v>729.98</v>
      </c>
      <c r="DA343">
        <f t="shared" si="54"/>
        <v>6.71</v>
      </c>
      <c r="DB343">
        <f t="shared" si="55"/>
        <v>0</v>
      </c>
      <c r="DC343">
        <f t="shared" si="56"/>
        <v>0</v>
      </c>
    </row>
    <row r="344" spans="1:107" x14ac:dyDescent="0.2">
      <c r="A344">
        <f>ROW(Source!A275)</f>
        <v>275</v>
      </c>
      <c r="B344">
        <v>16802145</v>
      </c>
      <c r="C344">
        <v>16803275</v>
      </c>
      <c r="D344">
        <v>15195043</v>
      </c>
      <c r="E344">
        <v>1</v>
      </c>
      <c r="F344">
        <v>1</v>
      </c>
      <c r="G344">
        <v>1</v>
      </c>
      <c r="H344">
        <v>3</v>
      </c>
      <c r="I344" t="s">
        <v>925</v>
      </c>
      <c r="J344" t="s">
        <v>926</v>
      </c>
      <c r="K344" t="s">
        <v>927</v>
      </c>
      <c r="L344">
        <v>1346</v>
      </c>
      <c r="N344">
        <v>1009</v>
      </c>
      <c r="O344" t="s">
        <v>103</v>
      </c>
      <c r="P344" t="s">
        <v>103</v>
      </c>
      <c r="Q344">
        <v>1</v>
      </c>
      <c r="W344">
        <v>0</v>
      </c>
      <c r="X344">
        <v>-1726842289</v>
      </c>
      <c r="Y344">
        <v>0</v>
      </c>
      <c r="AA344">
        <v>441.18</v>
      </c>
      <c r="AB344">
        <v>0</v>
      </c>
      <c r="AC344">
        <v>0</v>
      </c>
      <c r="AD344">
        <v>0</v>
      </c>
      <c r="AE344">
        <v>65.75</v>
      </c>
      <c r="AF344">
        <v>0</v>
      </c>
      <c r="AG344">
        <v>0</v>
      </c>
      <c r="AH344">
        <v>0</v>
      </c>
      <c r="AI344">
        <v>6.71</v>
      </c>
      <c r="AJ344">
        <v>1</v>
      </c>
      <c r="AK344">
        <v>1</v>
      </c>
      <c r="AL344">
        <v>1</v>
      </c>
      <c r="AN344">
        <v>0</v>
      </c>
      <c r="AO344">
        <v>1</v>
      </c>
      <c r="AP344">
        <v>1</v>
      </c>
      <c r="AQ344">
        <v>0</v>
      </c>
      <c r="AR344">
        <v>0</v>
      </c>
      <c r="AS344" t="s">
        <v>6</v>
      </c>
      <c r="AT344">
        <v>2E-3</v>
      </c>
      <c r="AU344" t="s">
        <v>227</v>
      </c>
      <c r="AV344">
        <v>0</v>
      </c>
      <c r="AW344">
        <v>2</v>
      </c>
      <c r="AX344">
        <v>16803287</v>
      </c>
      <c r="AY344">
        <v>1</v>
      </c>
      <c r="AZ344">
        <v>0</v>
      </c>
      <c r="BA344">
        <v>328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X344">
        <f>Y344*Source!I275</f>
        <v>0</v>
      </c>
      <c r="CY344">
        <f t="shared" si="52"/>
        <v>441.18</v>
      </c>
      <c r="CZ344">
        <f t="shared" si="53"/>
        <v>65.75</v>
      </c>
      <c r="DA344">
        <f t="shared" si="54"/>
        <v>6.71</v>
      </c>
      <c r="DB344">
        <f t="shared" si="55"/>
        <v>0</v>
      </c>
      <c r="DC344">
        <f t="shared" si="56"/>
        <v>0</v>
      </c>
    </row>
    <row r="345" spans="1:107" x14ac:dyDescent="0.2">
      <c r="A345">
        <f>ROW(Source!A275)</f>
        <v>275</v>
      </c>
      <c r="B345">
        <v>16802145</v>
      </c>
      <c r="C345">
        <v>16803275</v>
      </c>
      <c r="D345">
        <v>15202502</v>
      </c>
      <c r="E345">
        <v>1</v>
      </c>
      <c r="F345">
        <v>1</v>
      </c>
      <c r="G345">
        <v>1</v>
      </c>
      <c r="H345">
        <v>3</v>
      </c>
      <c r="I345" t="s">
        <v>928</v>
      </c>
      <c r="J345" t="s">
        <v>929</v>
      </c>
      <c r="K345" t="s">
        <v>930</v>
      </c>
      <c r="L345">
        <v>1346</v>
      </c>
      <c r="N345">
        <v>1009</v>
      </c>
      <c r="O345" t="s">
        <v>103</v>
      </c>
      <c r="P345" t="s">
        <v>103</v>
      </c>
      <c r="Q345">
        <v>1</v>
      </c>
      <c r="W345">
        <v>0</v>
      </c>
      <c r="X345">
        <v>497371595</v>
      </c>
      <c r="Y345">
        <v>0</v>
      </c>
      <c r="AA345">
        <v>194.12</v>
      </c>
      <c r="AB345">
        <v>0</v>
      </c>
      <c r="AC345">
        <v>0</v>
      </c>
      <c r="AD345">
        <v>0</v>
      </c>
      <c r="AE345">
        <v>28.93</v>
      </c>
      <c r="AF345">
        <v>0</v>
      </c>
      <c r="AG345">
        <v>0</v>
      </c>
      <c r="AH345">
        <v>0</v>
      </c>
      <c r="AI345">
        <v>6.71</v>
      </c>
      <c r="AJ345">
        <v>1</v>
      </c>
      <c r="AK345">
        <v>1</v>
      </c>
      <c r="AL345">
        <v>1</v>
      </c>
      <c r="AN345">
        <v>0</v>
      </c>
      <c r="AO345">
        <v>1</v>
      </c>
      <c r="AP345">
        <v>1</v>
      </c>
      <c r="AQ345">
        <v>0</v>
      </c>
      <c r="AR345">
        <v>0</v>
      </c>
      <c r="AS345" t="s">
        <v>6</v>
      </c>
      <c r="AT345">
        <v>5.0000000000000001E-3</v>
      </c>
      <c r="AU345" t="s">
        <v>227</v>
      </c>
      <c r="AV345">
        <v>0</v>
      </c>
      <c r="AW345">
        <v>2</v>
      </c>
      <c r="AX345">
        <v>16803288</v>
      </c>
      <c r="AY345">
        <v>1</v>
      </c>
      <c r="AZ345">
        <v>0</v>
      </c>
      <c r="BA345">
        <v>329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X345">
        <f>Y345*Source!I275</f>
        <v>0</v>
      </c>
      <c r="CY345">
        <f t="shared" si="52"/>
        <v>194.12</v>
      </c>
      <c r="CZ345">
        <f t="shared" si="53"/>
        <v>28.93</v>
      </c>
      <c r="DA345">
        <f t="shared" si="54"/>
        <v>6.71</v>
      </c>
      <c r="DB345">
        <f t="shared" si="55"/>
        <v>0</v>
      </c>
      <c r="DC345">
        <f t="shared" si="56"/>
        <v>0</v>
      </c>
    </row>
    <row r="346" spans="1:107" x14ac:dyDescent="0.2">
      <c r="A346">
        <f>ROW(Source!A275)</f>
        <v>275</v>
      </c>
      <c r="B346">
        <v>16802145</v>
      </c>
      <c r="C346">
        <v>16803275</v>
      </c>
      <c r="D346">
        <v>15164559</v>
      </c>
      <c r="E346">
        <v>17</v>
      </c>
      <c r="F346">
        <v>1</v>
      </c>
      <c r="G346">
        <v>1</v>
      </c>
      <c r="H346">
        <v>3</v>
      </c>
      <c r="I346" t="s">
        <v>821</v>
      </c>
      <c r="J346" t="s">
        <v>6</v>
      </c>
      <c r="K346" t="s">
        <v>822</v>
      </c>
      <c r="L346">
        <v>1374</v>
      </c>
      <c r="N346">
        <v>1013</v>
      </c>
      <c r="O346" t="s">
        <v>823</v>
      </c>
      <c r="P346" t="s">
        <v>823</v>
      </c>
      <c r="Q346">
        <v>1</v>
      </c>
      <c r="W346">
        <v>0</v>
      </c>
      <c r="X346">
        <v>-1731369543</v>
      </c>
      <c r="Y346">
        <v>0</v>
      </c>
      <c r="AA346">
        <v>1</v>
      </c>
      <c r="AB346">
        <v>0</v>
      </c>
      <c r="AC346">
        <v>0</v>
      </c>
      <c r="AD346">
        <v>0</v>
      </c>
      <c r="AE346">
        <v>1</v>
      </c>
      <c r="AF346">
        <v>0</v>
      </c>
      <c r="AG346">
        <v>0</v>
      </c>
      <c r="AH346">
        <v>0</v>
      </c>
      <c r="AI346">
        <v>1</v>
      </c>
      <c r="AJ346">
        <v>1</v>
      </c>
      <c r="AK346">
        <v>1</v>
      </c>
      <c r="AL346">
        <v>1</v>
      </c>
      <c r="AN346">
        <v>0</v>
      </c>
      <c r="AO346">
        <v>1</v>
      </c>
      <c r="AP346">
        <v>1</v>
      </c>
      <c r="AQ346">
        <v>0</v>
      </c>
      <c r="AR346">
        <v>0</v>
      </c>
      <c r="AS346" t="s">
        <v>6</v>
      </c>
      <c r="AT346">
        <v>0.16</v>
      </c>
      <c r="AU346" t="s">
        <v>227</v>
      </c>
      <c r="AV346">
        <v>0</v>
      </c>
      <c r="AW346">
        <v>2</v>
      </c>
      <c r="AX346">
        <v>16803289</v>
      </c>
      <c r="AY346">
        <v>1</v>
      </c>
      <c r="AZ346">
        <v>0</v>
      </c>
      <c r="BA346">
        <v>330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X346">
        <f>Y346*Source!I275</f>
        <v>0</v>
      </c>
      <c r="CY346">
        <f t="shared" si="52"/>
        <v>1</v>
      </c>
      <c r="CZ346">
        <f t="shared" si="53"/>
        <v>1</v>
      </c>
      <c r="DA346">
        <f t="shared" si="54"/>
        <v>1</v>
      </c>
      <c r="DB346">
        <f t="shared" si="55"/>
        <v>0</v>
      </c>
      <c r="DC346">
        <f t="shared" si="56"/>
        <v>0</v>
      </c>
    </row>
    <row r="347" spans="1:107" x14ac:dyDescent="0.2">
      <c r="A347">
        <f>ROW(Source!A276)</f>
        <v>276</v>
      </c>
      <c r="B347">
        <v>16802145</v>
      </c>
      <c r="C347">
        <v>16803290</v>
      </c>
      <c r="D347">
        <v>15436556</v>
      </c>
      <c r="E347">
        <v>1</v>
      </c>
      <c r="F347">
        <v>1</v>
      </c>
      <c r="G347">
        <v>1</v>
      </c>
      <c r="H347">
        <v>1</v>
      </c>
      <c r="I347" t="s">
        <v>736</v>
      </c>
      <c r="J347" t="s">
        <v>6</v>
      </c>
      <c r="K347" t="s">
        <v>737</v>
      </c>
      <c r="L347">
        <v>1191</v>
      </c>
      <c r="N347">
        <v>1013</v>
      </c>
      <c r="O347" t="s">
        <v>660</v>
      </c>
      <c r="P347" t="s">
        <v>660</v>
      </c>
      <c r="Q347">
        <v>1</v>
      </c>
      <c r="W347">
        <v>0</v>
      </c>
      <c r="X347">
        <v>1069510174</v>
      </c>
      <c r="Y347">
        <v>0.84</v>
      </c>
      <c r="AA347">
        <v>0</v>
      </c>
      <c r="AB347">
        <v>0</v>
      </c>
      <c r="AC347">
        <v>0</v>
      </c>
      <c r="AD347">
        <v>64.55</v>
      </c>
      <c r="AE347">
        <v>0</v>
      </c>
      <c r="AF347">
        <v>0</v>
      </c>
      <c r="AG347">
        <v>0</v>
      </c>
      <c r="AH347">
        <v>9.6199999999999992</v>
      </c>
      <c r="AI347">
        <v>1</v>
      </c>
      <c r="AJ347">
        <v>1</v>
      </c>
      <c r="AK347">
        <v>1</v>
      </c>
      <c r="AL347">
        <v>6.71</v>
      </c>
      <c r="AN347">
        <v>0</v>
      </c>
      <c r="AO347">
        <v>1</v>
      </c>
      <c r="AP347">
        <v>0</v>
      </c>
      <c r="AQ347">
        <v>0</v>
      </c>
      <c r="AR347">
        <v>0</v>
      </c>
      <c r="AS347" t="s">
        <v>6</v>
      </c>
      <c r="AT347">
        <v>0.84</v>
      </c>
      <c r="AU347" t="s">
        <v>6</v>
      </c>
      <c r="AV347">
        <v>1</v>
      </c>
      <c r="AW347">
        <v>2</v>
      </c>
      <c r="AX347">
        <v>16803300</v>
      </c>
      <c r="AY347">
        <v>1</v>
      </c>
      <c r="AZ347">
        <v>0</v>
      </c>
      <c r="BA347">
        <v>331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X347">
        <f>Y347*Source!I276</f>
        <v>28.56</v>
      </c>
      <c r="CY347">
        <f>AD347</f>
        <v>64.55</v>
      </c>
      <c r="CZ347">
        <f>AH347</f>
        <v>9.6199999999999992</v>
      </c>
      <c r="DA347">
        <f>AL347</f>
        <v>6.71</v>
      </c>
      <c r="DB347">
        <f t="shared" ref="DB347:DB377" si="57">ROUND(ROUND(AT347*CZ347,2),2)</f>
        <v>8.08</v>
      </c>
      <c r="DC347">
        <f t="shared" ref="DC347:DC377" si="58">ROUND(ROUND(AT347*AG347,2),2)</f>
        <v>0</v>
      </c>
    </row>
    <row r="348" spans="1:107" x14ac:dyDescent="0.2">
      <c r="A348">
        <f>ROW(Source!A276)</f>
        <v>276</v>
      </c>
      <c r="B348">
        <v>16802145</v>
      </c>
      <c r="C348">
        <v>16803290</v>
      </c>
      <c r="D348">
        <v>15165918</v>
      </c>
      <c r="E348">
        <v>1</v>
      </c>
      <c r="F348">
        <v>1</v>
      </c>
      <c r="G348">
        <v>1</v>
      </c>
      <c r="H348">
        <v>3</v>
      </c>
      <c r="I348" t="s">
        <v>919</v>
      </c>
      <c r="J348" t="s">
        <v>920</v>
      </c>
      <c r="K348" t="s">
        <v>921</v>
      </c>
      <c r="L348">
        <v>1346</v>
      </c>
      <c r="N348">
        <v>1009</v>
      </c>
      <c r="O348" t="s">
        <v>103</v>
      </c>
      <c r="P348" t="s">
        <v>103</v>
      </c>
      <c r="Q348">
        <v>1</v>
      </c>
      <c r="W348">
        <v>0</v>
      </c>
      <c r="X348">
        <v>1559187994</v>
      </c>
      <c r="Y348">
        <v>2.0000000000000001E-4</v>
      </c>
      <c r="AA348">
        <v>186.14</v>
      </c>
      <c r="AB348">
        <v>0</v>
      </c>
      <c r="AC348">
        <v>0</v>
      </c>
      <c r="AD348">
        <v>0</v>
      </c>
      <c r="AE348">
        <v>27.74</v>
      </c>
      <c r="AF348">
        <v>0</v>
      </c>
      <c r="AG348">
        <v>0</v>
      </c>
      <c r="AH348">
        <v>0</v>
      </c>
      <c r="AI348">
        <v>6.71</v>
      </c>
      <c r="AJ348">
        <v>1</v>
      </c>
      <c r="AK348">
        <v>1</v>
      </c>
      <c r="AL348">
        <v>1</v>
      </c>
      <c r="AN348">
        <v>0</v>
      </c>
      <c r="AO348">
        <v>1</v>
      </c>
      <c r="AP348">
        <v>0</v>
      </c>
      <c r="AQ348">
        <v>0</v>
      </c>
      <c r="AR348">
        <v>0</v>
      </c>
      <c r="AS348" t="s">
        <v>6</v>
      </c>
      <c r="AT348">
        <v>2.0000000000000001E-4</v>
      </c>
      <c r="AU348" t="s">
        <v>6</v>
      </c>
      <c r="AV348">
        <v>0</v>
      </c>
      <c r="AW348">
        <v>2</v>
      </c>
      <c r="AX348">
        <v>16803301</v>
      </c>
      <c r="AY348">
        <v>1</v>
      </c>
      <c r="AZ348">
        <v>0</v>
      </c>
      <c r="BA348">
        <v>332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X348">
        <f>Y348*Source!I276</f>
        <v>6.8000000000000005E-3</v>
      </c>
      <c r="CY348">
        <f t="shared" ref="CY348:CY354" si="59">AA348</f>
        <v>186.14</v>
      </c>
      <c r="CZ348">
        <f t="shared" ref="CZ348:CZ354" si="60">AE348</f>
        <v>27.74</v>
      </c>
      <c r="DA348">
        <f t="shared" ref="DA348:DA354" si="61">AI348</f>
        <v>6.71</v>
      </c>
      <c r="DB348">
        <f t="shared" si="57"/>
        <v>0.01</v>
      </c>
      <c r="DC348">
        <f t="shared" si="58"/>
        <v>0</v>
      </c>
    </row>
    <row r="349" spans="1:107" x14ac:dyDescent="0.2">
      <c r="A349">
        <f>ROW(Source!A276)</f>
        <v>276</v>
      </c>
      <c r="B349">
        <v>16802145</v>
      </c>
      <c r="C349">
        <v>16803290</v>
      </c>
      <c r="D349">
        <v>15170072</v>
      </c>
      <c r="E349">
        <v>1</v>
      </c>
      <c r="F349">
        <v>1</v>
      </c>
      <c r="G349">
        <v>1</v>
      </c>
      <c r="H349">
        <v>3</v>
      </c>
      <c r="I349" t="s">
        <v>922</v>
      </c>
      <c r="J349" t="s">
        <v>923</v>
      </c>
      <c r="K349" t="s">
        <v>924</v>
      </c>
      <c r="L349">
        <v>1355</v>
      </c>
      <c r="N349">
        <v>1010</v>
      </c>
      <c r="O349" t="s">
        <v>126</v>
      </c>
      <c r="P349" t="s">
        <v>126</v>
      </c>
      <c r="Q349">
        <v>100</v>
      </c>
      <c r="W349">
        <v>0</v>
      </c>
      <c r="X349">
        <v>-66531260</v>
      </c>
      <c r="Y349">
        <v>0.01</v>
      </c>
      <c r="AA349">
        <v>556.92999999999995</v>
      </c>
      <c r="AB349">
        <v>0</v>
      </c>
      <c r="AC349">
        <v>0</v>
      </c>
      <c r="AD349">
        <v>0</v>
      </c>
      <c r="AE349">
        <v>83</v>
      </c>
      <c r="AF349">
        <v>0</v>
      </c>
      <c r="AG349">
        <v>0</v>
      </c>
      <c r="AH349">
        <v>0</v>
      </c>
      <c r="AI349">
        <v>6.71</v>
      </c>
      <c r="AJ349">
        <v>1</v>
      </c>
      <c r="AK349">
        <v>1</v>
      </c>
      <c r="AL349">
        <v>1</v>
      </c>
      <c r="AN349">
        <v>0</v>
      </c>
      <c r="AO349">
        <v>1</v>
      </c>
      <c r="AP349">
        <v>0</v>
      </c>
      <c r="AQ349">
        <v>0</v>
      </c>
      <c r="AR349">
        <v>0</v>
      </c>
      <c r="AS349" t="s">
        <v>6</v>
      </c>
      <c r="AT349">
        <v>0.01</v>
      </c>
      <c r="AU349" t="s">
        <v>6</v>
      </c>
      <c r="AV349">
        <v>0</v>
      </c>
      <c r="AW349">
        <v>2</v>
      </c>
      <c r="AX349">
        <v>16803302</v>
      </c>
      <c r="AY349">
        <v>1</v>
      </c>
      <c r="AZ349">
        <v>0</v>
      </c>
      <c r="BA349">
        <v>333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X349">
        <f>Y349*Source!I276</f>
        <v>0.34</v>
      </c>
      <c r="CY349">
        <f t="shared" si="59"/>
        <v>556.92999999999995</v>
      </c>
      <c r="CZ349">
        <f t="shared" si="60"/>
        <v>83</v>
      </c>
      <c r="DA349">
        <f t="shared" si="61"/>
        <v>6.71</v>
      </c>
      <c r="DB349">
        <f t="shared" si="57"/>
        <v>0.83</v>
      </c>
      <c r="DC349">
        <f t="shared" si="58"/>
        <v>0</v>
      </c>
    </row>
    <row r="350" spans="1:107" x14ac:dyDescent="0.2">
      <c r="A350">
        <f>ROW(Source!A276)</f>
        <v>276</v>
      </c>
      <c r="B350">
        <v>16802145</v>
      </c>
      <c r="C350">
        <v>16803290</v>
      </c>
      <c r="D350">
        <v>15171982</v>
      </c>
      <c r="E350">
        <v>1</v>
      </c>
      <c r="F350">
        <v>1</v>
      </c>
      <c r="G350">
        <v>1</v>
      </c>
      <c r="H350">
        <v>3</v>
      </c>
      <c r="I350" t="s">
        <v>672</v>
      </c>
      <c r="J350" t="s">
        <v>673</v>
      </c>
      <c r="K350" t="s">
        <v>674</v>
      </c>
      <c r="L350">
        <v>1348</v>
      </c>
      <c r="N350">
        <v>1009</v>
      </c>
      <c r="O350" t="s">
        <v>65</v>
      </c>
      <c r="P350" t="s">
        <v>65</v>
      </c>
      <c r="Q350">
        <v>1000</v>
      </c>
      <c r="W350">
        <v>0</v>
      </c>
      <c r="X350">
        <v>-1421715385</v>
      </c>
      <c r="Y350">
        <v>1.0000000000000001E-5</v>
      </c>
      <c r="AA350">
        <v>4898.17</v>
      </c>
      <c r="AB350">
        <v>0</v>
      </c>
      <c r="AC350">
        <v>0</v>
      </c>
      <c r="AD350">
        <v>0</v>
      </c>
      <c r="AE350">
        <v>729.98</v>
      </c>
      <c r="AF350">
        <v>0</v>
      </c>
      <c r="AG350">
        <v>0</v>
      </c>
      <c r="AH350">
        <v>0</v>
      </c>
      <c r="AI350">
        <v>6.71</v>
      </c>
      <c r="AJ350">
        <v>1</v>
      </c>
      <c r="AK350">
        <v>1</v>
      </c>
      <c r="AL350">
        <v>1</v>
      </c>
      <c r="AN350">
        <v>0</v>
      </c>
      <c r="AO350">
        <v>1</v>
      </c>
      <c r="AP350">
        <v>0</v>
      </c>
      <c r="AQ350">
        <v>0</v>
      </c>
      <c r="AR350">
        <v>0</v>
      </c>
      <c r="AS350" t="s">
        <v>6</v>
      </c>
      <c r="AT350">
        <v>1.0000000000000001E-5</v>
      </c>
      <c r="AU350" t="s">
        <v>6</v>
      </c>
      <c r="AV350">
        <v>0</v>
      </c>
      <c r="AW350">
        <v>2</v>
      </c>
      <c r="AX350">
        <v>16803303</v>
      </c>
      <c r="AY350">
        <v>1</v>
      </c>
      <c r="AZ350">
        <v>0</v>
      </c>
      <c r="BA350">
        <v>334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X350">
        <f>Y350*Source!I276</f>
        <v>3.4000000000000002E-4</v>
      </c>
      <c r="CY350">
        <f t="shared" si="59"/>
        <v>4898.17</v>
      </c>
      <c r="CZ350">
        <f t="shared" si="60"/>
        <v>729.98</v>
      </c>
      <c r="DA350">
        <f t="shared" si="61"/>
        <v>6.71</v>
      </c>
      <c r="DB350">
        <f t="shared" si="57"/>
        <v>0.01</v>
      </c>
      <c r="DC350">
        <f t="shared" si="58"/>
        <v>0</v>
      </c>
    </row>
    <row r="351" spans="1:107" x14ac:dyDescent="0.2">
      <c r="A351">
        <f>ROW(Source!A276)</f>
        <v>276</v>
      </c>
      <c r="B351">
        <v>16802145</v>
      </c>
      <c r="C351">
        <v>16803290</v>
      </c>
      <c r="D351">
        <v>15195043</v>
      </c>
      <c r="E351">
        <v>1</v>
      </c>
      <c r="F351">
        <v>1</v>
      </c>
      <c r="G351">
        <v>1</v>
      </c>
      <c r="H351">
        <v>3</v>
      </c>
      <c r="I351" t="s">
        <v>925</v>
      </c>
      <c r="J351" t="s">
        <v>926</v>
      </c>
      <c r="K351" t="s">
        <v>927</v>
      </c>
      <c r="L351">
        <v>1346</v>
      </c>
      <c r="N351">
        <v>1009</v>
      </c>
      <c r="O351" t="s">
        <v>103</v>
      </c>
      <c r="P351" t="s">
        <v>103</v>
      </c>
      <c r="Q351">
        <v>1</v>
      </c>
      <c r="W351">
        <v>0</v>
      </c>
      <c r="X351">
        <v>-1726842289</v>
      </c>
      <c r="Y351">
        <v>2E-3</v>
      </c>
      <c r="AA351">
        <v>441.18</v>
      </c>
      <c r="AB351">
        <v>0</v>
      </c>
      <c r="AC351">
        <v>0</v>
      </c>
      <c r="AD351">
        <v>0</v>
      </c>
      <c r="AE351">
        <v>65.75</v>
      </c>
      <c r="AF351">
        <v>0</v>
      </c>
      <c r="AG351">
        <v>0</v>
      </c>
      <c r="AH351">
        <v>0</v>
      </c>
      <c r="AI351">
        <v>6.71</v>
      </c>
      <c r="AJ351">
        <v>1</v>
      </c>
      <c r="AK351">
        <v>1</v>
      </c>
      <c r="AL351">
        <v>1</v>
      </c>
      <c r="AN351">
        <v>0</v>
      </c>
      <c r="AO351">
        <v>1</v>
      </c>
      <c r="AP351">
        <v>0</v>
      </c>
      <c r="AQ351">
        <v>0</v>
      </c>
      <c r="AR351">
        <v>0</v>
      </c>
      <c r="AS351" t="s">
        <v>6</v>
      </c>
      <c r="AT351">
        <v>2E-3</v>
      </c>
      <c r="AU351" t="s">
        <v>6</v>
      </c>
      <c r="AV351">
        <v>0</v>
      </c>
      <c r="AW351">
        <v>2</v>
      </c>
      <c r="AX351">
        <v>16803304</v>
      </c>
      <c r="AY351">
        <v>1</v>
      </c>
      <c r="AZ351">
        <v>0</v>
      </c>
      <c r="BA351">
        <v>335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X351">
        <f>Y351*Source!I276</f>
        <v>6.8000000000000005E-2</v>
      </c>
      <c r="CY351">
        <f t="shared" si="59"/>
        <v>441.18</v>
      </c>
      <c r="CZ351">
        <f t="shared" si="60"/>
        <v>65.75</v>
      </c>
      <c r="DA351">
        <f t="shared" si="61"/>
        <v>6.71</v>
      </c>
      <c r="DB351">
        <f t="shared" si="57"/>
        <v>0.13</v>
      </c>
      <c r="DC351">
        <f t="shared" si="58"/>
        <v>0</v>
      </c>
    </row>
    <row r="352" spans="1:107" x14ac:dyDescent="0.2">
      <c r="A352">
        <f>ROW(Source!A276)</f>
        <v>276</v>
      </c>
      <c r="B352">
        <v>16802145</v>
      </c>
      <c r="C352">
        <v>16803290</v>
      </c>
      <c r="D352">
        <v>15202502</v>
      </c>
      <c r="E352">
        <v>1</v>
      </c>
      <c r="F352">
        <v>1</v>
      </c>
      <c r="G352">
        <v>1</v>
      </c>
      <c r="H352">
        <v>3</v>
      </c>
      <c r="I352" t="s">
        <v>928</v>
      </c>
      <c r="J352" t="s">
        <v>929</v>
      </c>
      <c r="K352" t="s">
        <v>930</v>
      </c>
      <c r="L352">
        <v>1346</v>
      </c>
      <c r="N352">
        <v>1009</v>
      </c>
      <c r="O352" t="s">
        <v>103</v>
      </c>
      <c r="P352" t="s">
        <v>103</v>
      </c>
      <c r="Q352">
        <v>1</v>
      </c>
      <c r="W352">
        <v>0</v>
      </c>
      <c r="X352">
        <v>497371595</v>
      </c>
      <c r="Y352">
        <v>5.0000000000000001E-3</v>
      </c>
      <c r="AA352">
        <v>194.12</v>
      </c>
      <c r="AB352">
        <v>0</v>
      </c>
      <c r="AC352">
        <v>0</v>
      </c>
      <c r="AD352">
        <v>0</v>
      </c>
      <c r="AE352">
        <v>28.93</v>
      </c>
      <c r="AF352">
        <v>0</v>
      </c>
      <c r="AG352">
        <v>0</v>
      </c>
      <c r="AH352">
        <v>0</v>
      </c>
      <c r="AI352">
        <v>6.71</v>
      </c>
      <c r="AJ352">
        <v>1</v>
      </c>
      <c r="AK352">
        <v>1</v>
      </c>
      <c r="AL352">
        <v>1</v>
      </c>
      <c r="AN352">
        <v>0</v>
      </c>
      <c r="AO352">
        <v>1</v>
      </c>
      <c r="AP352">
        <v>0</v>
      </c>
      <c r="AQ352">
        <v>0</v>
      </c>
      <c r="AR352">
        <v>0</v>
      </c>
      <c r="AS352" t="s">
        <v>6</v>
      </c>
      <c r="AT352">
        <v>5.0000000000000001E-3</v>
      </c>
      <c r="AU352" t="s">
        <v>6</v>
      </c>
      <c r="AV352">
        <v>0</v>
      </c>
      <c r="AW352">
        <v>2</v>
      </c>
      <c r="AX352">
        <v>16803305</v>
      </c>
      <c r="AY352">
        <v>1</v>
      </c>
      <c r="AZ352">
        <v>0</v>
      </c>
      <c r="BA352">
        <v>336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X352">
        <f>Y352*Source!I276</f>
        <v>0.17</v>
      </c>
      <c r="CY352">
        <f t="shared" si="59"/>
        <v>194.12</v>
      </c>
      <c r="CZ352">
        <f t="shared" si="60"/>
        <v>28.93</v>
      </c>
      <c r="DA352">
        <f t="shared" si="61"/>
        <v>6.71</v>
      </c>
      <c r="DB352">
        <f t="shared" si="57"/>
        <v>0.14000000000000001</v>
      </c>
      <c r="DC352">
        <f t="shared" si="58"/>
        <v>0</v>
      </c>
    </row>
    <row r="353" spans="1:107" x14ac:dyDescent="0.2">
      <c r="A353">
        <f>ROW(Source!A276)</f>
        <v>276</v>
      </c>
      <c r="B353">
        <v>16802145</v>
      </c>
      <c r="C353">
        <v>16803290</v>
      </c>
      <c r="D353">
        <v>15237679</v>
      </c>
      <c r="E353">
        <v>1</v>
      </c>
      <c r="F353">
        <v>1</v>
      </c>
      <c r="G353">
        <v>1</v>
      </c>
      <c r="H353">
        <v>3</v>
      </c>
      <c r="I353" t="s">
        <v>565</v>
      </c>
      <c r="J353" t="s">
        <v>567</v>
      </c>
      <c r="K353" t="s">
        <v>566</v>
      </c>
      <c r="L353">
        <v>1358</v>
      </c>
      <c r="N353">
        <v>1010</v>
      </c>
      <c r="O353" t="s">
        <v>435</v>
      </c>
      <c r="P353" t="s">
        <v>435</v>
      </c>
      <c r="Q353">
        <v>10</v>
      </c>
      <c r="W353">
        <v>0</v>
      </c>
      <c r="X353">
        <v>-1633447119</v>
      </c>
      <c r="Y353">
        <v>0.1</v>
      </c>
      <c r="AA353">
        <v>1927.65</v>
      </c>
      <c r="AB353">
        <v>0</v>
      </c>
      <c r="AC353">
        <v>0</v>
      </c>
      <c r="AD353">
        <v>0</v>
      </c>
      <c r="AE353">
        <v>287.27999999999997</v>
      </c>
      <c r="AF353">
        <v>0</v>
      </c>
      <c r="AG353">
        <v>0</v>
      </c>
      <c r="AH353">
        <v>0</v>
      </c>
      <c r="AI353">
        <v>6.71</v>
      </c>
      <c r="AJ353">
        <v>1</v>
      </c>
      <c r="AK353">
        <v>1</v>
      </c>
      <c r="AL353">
        <v>1</v>
      </c>
      <c r="AN353">
        <v>0</v>
      </c>
      <c r="AO353">
        <v>0</v>
      </c>
      <c r="AP353">
        <v>0</v>
      </c>
      <c r="AQ353">
        <v>0</v>
      </c>
      <c r="AR353">
        <v>0</v>
      </c>
      <c r="AS353" t="s">
        <v>6</v>
      </c>
      <c r="AT353">
        <v>0.1</v>
      </c>
      <c r="AU353" t="s">
        <v>6</v>
      </c>
      <c r="AV353">
        <v>0</v>
      </c>
      <c r="AW353">
        <v>1</v>
      </c>
      <c r="AX353">
        <v>-1</v>
      </c>
      <c r="AY353">
        <v>0</v>
      </c>
      <c r="AZ353">
        <v>0</v>
      </c>
      <c r="BA353" t="s">
        <v>6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X353">
        <f>Y353*Source!I276</f>
        <v>3.4000000000000004</v>
      </c>
      <c r="CY353">
        <f t="shared" si="59"/>
        <v>1927.65</v>
      </c>
      <c r="CZ353">
        <f t="shared" si="60"/>
        <v>287.27999999999997</v>
      </c>
      <c r="DA353">
        <f t="shared" si="61"/>
        <v>6.71</v>
      </c>
      <c r="DB353">
        <f t="shared" si="57"/>
        <v>28.73</v>
      </c>
      <c r="DC353">
        <f t="shared" si="58"/>
        <v>0</v>
      </c>
    </row>
    <row r="354" spans="1:107" x14ac:dyDescent="0.2">
      <c r="A354">
        <f>ROW(Source!A276)</f>
        <v>276</v>
      </c>
      <c r="B354">
        <v>16802145</v>
      </c>
      <c r="C354">
        <v>16803290</v>
      </c>
      <c r="D354">
        <v>15164559</v>
      </c>
      <c r="E354">
        <v>17</v>
      </c>
      <c r="F354">
        <v>1</v>
      </c>
      <c r="G354">
        <v>1</v>
      </c>
      <c r="H354">
        <v>3</v>
      </c>
      <c r="I354" t="s">
        <v>821</v>
      </c>
      <c r="J354" t="s">
        <v>6</v>
      </c>
      <c r="K354" t="s">
        <v>822</v>
      </c>
      <c r="L354">
        <v>1374</v>
      </c>
      <c r="N354">
        <v>1013</v>
      </c>
      <c r="O354" t="s">
        <v>823</v>
      </c>
      <c r="P354" t="s">
        <v>823</v>
      </c>
      <c r="Q354">
        <v>1</v>
      </c>
      <c r="W354">
        <v>0</v>
      </c>
      <c r="X354">
        <v>-1731369543</v>
      </c>
      <c r="Y354">
        <v>0.16</v>
      </c>
      <c r="AA354">
        <v>1</v>
      </c>
      <c r="AB354">
        <v>0</v>
      </c>
      <c r="AC354">
        <v>0</v>
      </c>
      <c r="AD354">
        <v>0</v>
      </c>
      <c r="AE354">
        <v>1</v>
      </c>
      <c r="AF354">
        <v>0</v>
      </c>
      <c r="AG354">
        <v>0</v>
      </c>
      <c r="AH354">
        <v>0</v>
      </c>
      <c r="AI354">
        <v>1</v>
      </c>
      <c r="AJ354">
        <v>1</v>
      </c>
      <c r="AK354">
        <v>1</v>
      </c>
      <c r="AL354">
        <v>1</v>
      </c>
      <c r="AN354">
        <v>0</v>
      </c>
      <c r="AO354">
        <v>1</v>
      </c>
      <c r="AP354">
        <v>0</v>
      </c>
      <c r="AQ354">
        <v>0</v>
      </c>
      <c r="AR354">
        <v>0</v>
      </c>
      <c r="AS354" t="s">
        <v>6</v>
      </c>
      <c r="AT354">
        <v>0.16</v>
      </c>
      <c r="AU354" t="s">
        <v>6</v>
      </c>
      <c r="AV354">
        <v>0</v>
      </c>
      <c r="AW354">
        <v>2</v>
      </c>
      <c r="AX354">
        <v>16803306</v>
      </c>
      <c r="AY354">
        <v>1</v>
      </c>
      <c r="AZ354">
        <v>0</v>
      </c>
      <c r="BA354">
        <v>337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X354">
        <f>Y354*Source!I276</f>
        <v>5.44</v>
      </c>
      <c r="CY354">
        <f t="shared" si="59"/>
        <v>1</v>
      </c>
      <c r="CZ354">
        <f t="shared" si="60"/>
        <v>1</v>
      </c>
      <c r="DA354">
        <f t="shared" si="61"/>
        <v>1</v>
      </c>
      <c r="DB354">
        <f t="shared" si="57"/>
        <v>0.16</v>
      </c>
      <c r="DC354">
        <f t="shared" si="58"/>
        <v>0</v>
      </c>
    </row>
    <row r="355" spans="1:107" x14ac:dyDescent="0.2">
      <c r="A355">
        <f>ROW(Source!A278)</f>
        <v>278</v>
      </c>
      <c r="B355">
        <v>16802145</v>
      </c>
      <c r="C355">
        <v>16803308</v>
      </c>
      <c r="D355">
        <v>15446300</v>
      </c>
      <c r="E355">
        <v>1</v>
      </c>
      <c r="F355">
        <v>1</v>
      </c>
      <c r="G355">
        <v>1</v>
      </c>
      <c r="H355">
        <v>1</v>
      </c>
      <c r="I355" t="s">
        <v>816</v>
      </c>
      <c r="J355" t="s">
        <v>6</v>
      </c>
      <c r="K355" t="s">
        <v>817</v>
      </c>
      <c r="L355">
        <v>1191</v>
      </c>
      <c r="N355">
        <v>1013</v>
      </c>
      <c r="O355" t="s">
        <v>660</v>
      </c>
      <c r="P355" t="s">
        <v>660</v>
      </c>
      <c r="Q355">
        <v>1</v>
      </c>
      <c r="W355">
        <v>0</v>
      </c>
      <c r="X355">
        <v>912892513</v>
      </c>
      <c r="Y355">
        <v>5.4</v>
      </c>
      <c r="AA355">
        <v>0</v>
      </c>
      <c r="AB355">
        <v>0</v>
      </c>
      <c r="AC355">
        <v>0</v>
      </c>
      <c r="AD355">
        <v>66.56</v>
      </c>
      <c r="AE355">
        <v>0</v>
      </c>
      <c r="AF355">
        <v>0</v>
      </c>
      <c r="AG355">
        <v>0</v>
      </c>
      <c r="AH355">
        <v>9.92</v>
      </c>
      <c r="AI355">
        <v>1</v>
      </c>
      <c r="AJ355">
        <v>1</v>
      </c>
      <c r="AK355">
        <v>1</v>
      </c>
      <c r="AL355">
        <v>6.71</v>
      </c>
      <c r="AN355">
        <v>0</v>
      </c>
      <c r="AO355">
        <v>1</v>
      </c>
      <c r="AP355">
        <v>0</v>
      </c>
      <c r="AQ355">
        <v>0</v>
      </c>
      <c r="AR355">
        <v>0</v>
      </c>
      <c r="AS355" t="s">
        <v>6</v>
      </c>
      <c r="AT355">
        <v>5.4</v>
      </c>
      <c r="AU355" t="s">
        <v>6</v>
      </c>
      <c r="AV355">
        <v>1</v>
      </c>
      <c r="AW355">
        <v>2</v>
      </c>
      <c r="AX355">
        <v>16803315</v>
      </c>
      <c r="AY355">
        <v>1</v>
      </c>
      <c r="AZ355">
        <v>0</v>
      </c>
      <c r="BA355">
        <v>338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X355">
        <f>Y355*Source!I278</f>
        <v>9.18</v>
      </c>
      <c r="CY355">
        <f>AD355</f>
        <v>66.56</v>
      </c>
      <c r="CZ355">
        <f>AH355</f>
        <v>9.92</v>
      </c>
      <c r="DA355">
        <f>AL355</f>
        <v>6.71</v>
      </c>
      <c r="DB355">
        <f t="shared" si="57"/>
        <v>53.57</v>
      </c>
      <c r="DC355">
        <f t="shared" si="58"/>
        <v>0</v>
      </c>
    </row>
    <row r="356" spans="1:107" x14ac:dyDescent="0.2">
      <c r="A356">
        <f>ROW(Source!A278)</f>
        <v>278</v>
      </c>
      <c r="B356">
        <v>16802145</v>
      </c>
      <c r="C356">
        <v>16803308</v>
      </c>
      <c r="D356">
        <v>15165918</v>
      </c>
      <c r="E356">
        <v>1</v>
      </c>
      <c r="F356">
        <v>1</v>
      </c>
      <c r="G356">
        <v>1</v>
      </c>
      <c r="H356">
        <v>3</v>
      </c>
      <c r="I356" t="s">
        <v>919</v>
      </c>
      <c r="J356" t="s">
        <v>920</v>
      </c>
      <c r="K356" t="s">
        <v>921</v>
      </c>
      <c r="L356">
        <v>1346</v>
      </c>
      <c r="N356">
        <v>1009</v>
      </c>
      <c r="O356" t="s">
        <v>103</v>
      </c>
      <c r="P356" t="s">
        <v>103</v>
      </c>
      <c r="Q356">
        <v>1</v>
      </c>
      <c r="W356">
        <v>0</v>
      </c>
      <c r="X356">
        <v>1559187994</v>
      </c>
      <c r="Y356">
        <v>1.2E-2</v>
      </c>
      <c r="AA356">
        <v>186.14</v>
      </c>
      <c r="AB356">
        <v>0</v>
      </c>
      <c r="AC356">
        <v>0</v>
      </c>
      <c r="AD356">
        <v>0</v>
      </c>
      <c r="AE356">
        <v>27.74</v>
      </c>
      <c r="AF356">
        <v>0</v>
      </c>
      <c r="AG356">
        <v>0</v>
      </c>
      <c r="AH356">
        <v>0</v>
      </c>
      <c r="AI356">
        <v>6.71</v>
      </c>
      <c r="AJ356">
        <v>1</v>
      </c>
      <c r="AK356">
        <v>1</v>
      </c>
      <c r="AL356">
        <v>1</v>
      </c>
      <c r="AN356">
        <v>0</v>
      </c>
      <c r="AO356">
        <v>1</v>
      </c>
      <c r="AP356">
        <v>0</v>
      </c>
      <c r="AQ356">
        <v>0</v>
      </c>
      <c r="AR356">
        <v>0</v>
      </c>
      <c r="AS356" t="s">
        <v>6</v>
      </c>
      <c r="AT356">
        <v>1.2E-2</v>
      </c>
      <c r="AU356" t="s">
        <v>6</v>
      </c>
      <c r="AV356">
        <v>0</v>
      </c>
      <c r="AW356">
        <v>2</v>
      </c>
      <c r="AX356">
        <v>16803316</v>
      </c>
      <c r="AY356">
        <v>1</v>
      </c>
      <c r="AZ356">
        <v>0</v>
      </c>
      <c r="BA356">
        <v>339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X356">
        <f>Y356*Source!I278</f>
        <v>2.0400000000000001E-2</v>
      </c>
      <c r="CY356">
        <f>AA356</f>
        <v>186.14</v>
      </c>
      <c r="CZ356">
        <f>AE356</f>
        <v>27.74</v>
      </c>
      <c r="DA356">
        <f>AI356</f>
        <v>6.71</v>
      </c>
      <c r="DB356">
        <f t="shared" si="57"/>
        <v>0.33</v>
      </c>
      <c r="DC356">
        <f t="shared" si="58"/>
        <v>0</v>
      </c>
    </row>
    <row r="357" spans="1:107" x14ac:dyDescent="0.2">
      <c r="A357">
        <f>ROW(Source!A278)</f>
        <v>278</v>
      </c>
      <c r="B357">
        <v>16802145</v>
      </c>
      <c r="C357">
        <v>16803308</v>
      </c>
      <c r="D357">
        <v>15170072</v>
      </c>
      <c r="E357">
        <v>1</v>
      </c>
      <c r="F357">
        <v>1</v>
      </c>
      <c r="G357">
        <v>1</v>
      </c>
      <c r="H357">
        <v>3</v>
      </c>
      <c r="I357" t="s">
        <v>922</v>
      </c>
      <c r="J357" t="s">
        <v>923</v>
      </c>
      <c r="K357" t="s">
        <v>924</v>
      </c>
      <c r="L357">
        <v>1355</v>
      </c>
      <c r="N357">
        <v>1010</v>
      </c>
      <c r="O357" t="s">
        <v>126</v>
      </c>
      <c r="P357" t="s">
        <v>126</v>
      </c>
      <c r="Q357">
        <v>100</v>
      </c>
      <c r="W357">
        <v>0</v>
      </c>
      <c r="X357">
        <v>-66531260</v>
      </c>
      <c r="Y357">
        <v>0.04</v>
      </c>
      <c r="AA357">
        <v>556.92999999999995</v>
      </c>
      <c r="AB357">
        <v>0</v>
      </c>
      <c r="AC357">
        <v>0</v>
      </c>
      <c r="AD357">
        <v>0</v>
      </c>
      <c r="AE357">
        <v>83</v>
      </c>
      <c r="AF357">
        <v>0</v>
      </c>
      <c r="AG357">
        <v>0</v>
      </c>
      <c r="AH357">
        <v>0</v>
      </c>
      <c r="AI357">
        <v>6.71</v>
      </c>
      <c r="AJ357">
        <v>1</v>
      </c>
      <c r="AK357">
        <v>1</v>
      </c>
      <c r="AL357">
        <v>1</v>
      </c>
      <c r="AN357">
        <v>0</v>
      </c>
      <c r="AO357">
        <v>1</v>
      </c>
      <c r="AP357">
        <v>0</v>
      </c>
      <c r="AQ357">
        <v>0</v>
      </c>
      <c r="AR357">
        <v>0</v>
      </c>
      <c r="AS357" t="s">
        <v>6</v>
      </c>
      <c r="AT357">
        <v>0.04</v>
      </c>
      <c r="AU357" t="s">
        <v>6</v>
      </c>
      <c r="AV357">
        <v>0</v>
      </c>
      <c r="AW357">
        <v>2</v>
      </c>
      <c r="AX357">
        <v>16803317</v>
      </c>
      <c r="AY357">
        <v>1</v>
      </c>
      <c r="AZ357">
        <v>0</v>
      </c>
      <c r="BA357">
        <v>340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X357">
        <f>Y357*Source!I278</f>
        <v>6.8000000000000005E-2</v>
      </c>
      <c r="CY357">
        <f>AA357</f>
        <v>556.92999999999995</v>
      </c>
      <c r="CZ357">
        <f>AE357</f>
        <v>83</v>
      </c>
      <c r="DA357">
        <f>AI357</f>
        <v>6.71</v>
      </c>
      <c r="DB357">
        <f t="shared" si="57"/>
        <v>3.32</v>
      </c>
      <c r="DC357">
        <f t="shared" si="58"/>
        <v>0</v>
      </c>
    </row>
    <row r="358" spans="1:107" x14ac:dyDescent="0.2">
      <c r="A358">
        <f>ROW(Source!A278)</f>
        <v>278</v>
      </c>
      <c r="B358">
        <v>16802145</v>
      </c>
      <c r="C358">
        <v>16803308</v>
      </c>
      <c r="D358">
        <v>15195043</v>
      </c>
      <c r="E358">
        <v>1</v>
      </c>
      <c r="F358">
        <v>1</v>
      </c>
      <c r="G358">
        <v>1</v>
      </c>
      <c r="H358">
        <v>3</v>
      </c>
      <c r="I358" t="s">
        <v>925</v>
      </c>
      <c r="J358" t="s">
        <v>926</v>
      </c>
      <c r="K358" t="s">
        <v>927</v>
      </c>
      <c r="L358">
        <v>1346</v>
      </c>
      <c r="N358">
        <v>1009</v>
      </c>
      <c r="O358" t="s">
        <v>103</v>
      </c>
      <c r="P358" t="s">
        <v>103</v>
      </c>
      <c r="Q358">
        <v>1</v>
      </c>
      <c r="W358">
        <v>0</v>
      </c>
      <c r="X358">
        <v>-1726842289</v>
      </c>
      <c r="Y358">
        <v>0.12</v>
      </c>
      <c r="AA358">
        <v>441.18</v>
      </c>
      <c r="AB358">
        <v>0</v>
      </c>
      <c r="AC358">
        <v>0</v>
      </c>
      <c r="AD358">
        <v>0</v>
      </c>
      <c r="AE358">
        <v>65.75</v>
      </c>
      <c r="AF358">
        <v>0</v>
      </c>
      <c r="AG358">
        <v>0</v>
      </c>
      <c r="AH358">
        <v>0</v>
      </c>
      <c r="AI358">
        <v>6.71</v>
      </c>
      <c r="AJ358">
        <v>1</v>
      </c>
      <c r="AK358">
        <v>1</v>
      </c>
      <c r="AL358">
        <v>1</v>
      </c>
      <c r="AN358">
        <v>0</v>
      </c>
      <c r="AO358">
        <v>1</v>
      </c>
      <c r="AP358">
        <v>0</v>
      </c>
      <c r="AQ358">
        <v>0</v>
      </c>
      <c r="AR358">
        <v>0</v>
      </c>
      <c r="AS358" t="s">
        <v>6</v>
      </c>
      <c r="AT358">
        <v>0.12</v>
      </c>
      <c r="AU358" t="s">
        <v>6</v>
      </c>
      <c r="AV358">
        <v>0</v>
      </c>
      <c r="AW358">
        <v>2</v>
      </c>
      <c r="AX358">
        <v>16803318</v>
      </c>
      <c r="AY358">
        <v>1</v>
      </c>
      <c r="AZ358">
        <v>0</v>
      </c>
      <c r="BA358">
        <v>341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X358">
        <f>Y358*Source!I278</f>
        <v>0.20399999999999999</v>
      </c>
      <c r="CY358">
        <f>AA358</f>
        <v>441.18</v>
      </c>
      <c r="CZ358">
        <f>AE358</f>
        <v>65.75</v>
      </c>
      <c r="DA358">
        <f>AI358</f>
        <v>6.71</v>
      </c>
      <c r="DB358">
        <f t="shared" si="57"/>
        <v>7.89</v>
      </c>
      <c r="DC358">
        <f t="shared" si="58"/>
        <v>0</v>
      </c>
    </row>
    <row r="359" spans="1:107" x14ac:dyDescent="0.2">
      <c r="A359">
        <f>ROW(Source!A278)</f>
        <v>278</v>
      </c>
      <c r="B359">
        <v>16802145</v>
      </c>
      <c r="C359">
        <v>16803308</v>
      </c>
      <c r="D359">
        <v>15238317</v>
      </c>
      <c r="E359">
        <v>1</v>
      </c>
      <c r="F359">
        <v>1</v>
      </c>
      <c r="G359">
        <v>1</v>
      </c>
      <c r="H359">
        <v>3</v>
      </c>
      <c r="I359" t="s">
        <v>574</v>
      </c>
      <c r="J359" t="s">
        <v>576</v>
      </c>
      <c r="K359" t="s">
        <v>575</v>
      </c>
      <c r="L359">
        <v>1354</v>
      </c>
      <c r="N359">
        <v>1010</v>
      </c>
      <c r="O359" t="s">
        <v>42</v>
      </c>
      <c r="P359" t="s">
        <v>42</v>
      </c>
      <c r="Q359">
        <v>1</v>
      </c>
      <c r="W359">
        <v>0</v>
      </c>
      <c r="X359">
        <v>-1091684358</v>
      </c>
      <c r="Y359">
        <v>10</v>
      </c>
      <c r="AA359">
        <v>388.64</v>
      </c>
      <c r="AB359">
        <v>0</v>
      </c>
      <c r="AC359">
        <v>0</v>
      </c>
      <c r="AD359">
        <v>0</v>
      </c>
      <c r="AE359">
        <v>57.92</v>
      </c>
      <c r="AF359">
        <v>0</v>
      </c>
      <c r="AG359">
        <v>0</v>
      </c>
      <c r="AH359">
        <v>0</v>
      </c>
      <c r="AI359">
        <v>6.71</v>
      </c>
      <c r="AJ359">
        <v>1</v>
      </c>
      <c r="AK359">
        <v>1</v>
      </c>
      <c r="AL359">
        <v>1</v>
      </c>
      <c r="AN359">
        <v>0</v>
      </c>
      <c r="AO359">
        <v>0</v>
      </c>
      <c r="AP359">
        <v>0</v>
      </c>
      <c r="AQ359">
        <v>0</v>
      </c>
      <c r="AR359">
        <v>0</v>
      </c>
      <c r="AS359" t="s">
        <v>6</v>
      </c>
      <c r="AT359">
        <v>10</v>
      </c>
      <c r="AU359" t="s">
        <v>6</v>
      </c>
      <c r="AV359">
        <v>0</v>
      </c>
      <c r="AW359">
        <v>1</v>
      </c>
      <c r="AX359">
        <v>-1</v>
      </c>
      <c r="AY359">
        <v>0</v>
      </c>
      <c r="AZ359">
        <v>0</v>
      </c>
      <c r="BA359" t="s">
        <v>6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X359">
        <f>Y359*Source!I278</f>
        <v>17</v>
      </c>
      <c r="CY359">
        <f>AA359</f>
        <v>388.64</v>
      </c>
      <c r="CZ359">
        <f>AE359</f>
        <v>57.92</v>
      </c>
      <c r="DA359">
        <f>AI359</f>
        <v>6.71</v>
      </c>
      <c r="DB359">
        <f t="shared" si="57"/>
        <v>579.20000000000005</v>
      </c>
      <c r="DC359">
        <f t="shared" si="58"/>
        <v>0</v>
      </c>
    </row>
    <row r="360" spans="1:107" x14ac:dyDescent="0.2">
      <c r="A360">
        <f>ROW(Source!A278)</f>
        <v>278</v>
      </c>
      <c r="B360">
        <v>16802145</v>
      </c>
      <c r="C360">
        <v>16803308</v>
      </c>
      <c r="D360">
        <v>15164559</v>
      </c>
      <c r="E360">
        <v>17</v>
      </c>
      <c r="F360">
        <v>1</v>
      </c>
      <c r="G360">
        <v>1</v>
      </c>
      <c r="H360">
        <v>3</v>
      </c>
      <c r="I360" t="s">
        <v>821</v>
      </c>
      <c r="J360" t="s">
        <v>6</v>
      </c>
      <c r="K360" t="s">
        <v>822</v>
      </c>
      <c r="L360">
        <v>1374</v>
      </c>
      <c r="N360">
        <v>1013</v>
      </c>
      <c r="O360" t="s">
        <v>823</v>
      </c>
      <c r="P360" t="s">
        <v>823</v>
      </c>
      <c r="Q360">
        <v>1</v>
      </c>
      <c r="W360">
        <v>0</v>
      </c>
      <c r="X360">
        <v>-1731369543</v>
      </c>
      <c r="Y360">
        <v>1.07</v>
      </c>
      <c r="AA360">
        <v>1</v>
      </c>
      <c r="AB360">
        <v>0</v>
      </c>
      <c r="AC360">
        <v>0</v>
      </c>
      <c r="AD360">
        <v>0</v>
      </c>
      <c r="AE360">
        <v>1</v>
      </c>
      <c r="AF360">
        <v>0</v>
      </c>
      <c r="AG360">
        <v>0</v>
      </c>
      <c r="AH360">
        <v>0</v>
      </c>
      <c r="AI360">
        <v>1</v>
      </c>
      <c r="AJ360">
        <v>1</v>
      </c>
      <c r="AK360">
        <v>1</v>
      </c>
      <c r="AL360">
        <v>1</v>
      </c>
      <c r="AN360">
        <v>0</v>
      </c>
      <c r="AO360">
        <v>1</v>
      </c>
      <c r="AP360">
        <v>0</v>
      </c>
      <c r="AQ360">
        <v>0</v>
      </c>
      <c r="AR360">
        <v>0</v>
      </c>
      <c r="AS360" t="s">
        <v>6</v>
      </c>
      <c r="AT360">
        <v>1.07</v>
      </c>
      <c r="AU360" t="s">
        <v>6</v>
      </c>
      <c r="AV360">
        <v>0</v>
      </c>
      <c r="AW360">
        <v>2</v>
      </c>
      <c r="AX360">
        <v>16803319</v>
      </c>
      <c r="AY360">
        <v>1</v>
      </c>
      <c r="AZ360">
        <v>0</v>
      </c>
      <c r="BA360">
        <v>342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X360">
        <f>Y360*Source!I278</f>
        <v>1.819</v>
      </c>
      <c r="CY360">
        <f>AA360</f>
        <v>1</v>
      </c>
      <c r="CZ360">
        <f>AE360</f>
        <v>1</v>
      </c>
      <c r="DA360">
        <f>AI360</f>
        <v>1</v>
      </c>
      <c r="DB360">
        <f t="shared" si="57"/>
        <v>1.07</v>
      </c>
      <c r="DC360">
        <f t="shared" si="58"/>
        <v>0</v>
      </c>
    </row>
    <row r="361" spans="1:107" x14ac:dyDescent="0.2">
      <c r="A361">
        <f>ROW(Source!A280)</f>
        <v>280</v>
      </c>
      <c r="B361">
        <v>16802145</v>
      </c>
      <c r="C361">
        <v>16803321</v>
      </c>
      <c r="D361">
        <v>15438286</v>
      </c>
      <c r="E361">
        <v>1</v>
      </c>
      <c r="F361">
        <v>1</v>
      </c>
      <c r="G361">
        <v>1</v>
      </c>
      <c r="H361">
        <v>1</v>
      </c>
      <c r="I361" t="s">
        <v>693</v>
      </c>
      <c r="J361" t="s">
        <v>6</v>
      </c>
      <c r="K361" t="s">
        <v>694</v>
      </c>
      <c r="L361">
        <v>1191</v>
      </c>
      <c r="N361">
        <v>1013</v>
      </c>
      <c r="O361" t="s">
        <v>660</v>
      </c>
      <c r="P361" t="s">
        <v>660</v>
      </c>
      <c r="Q361">
        <v>1</v>
      </c>
      <c r="W361">
        <v>0</v>
      </c>
      <c r="X361">
        <v>-1027537862</v>
      </c>
      <c r="Y361">
        <v>15.2</v>
      </c>
      <c r="AA361">
        <v>0</v>
      </c>
      <c r="AB361">
        <v>0</v>
      </c>
      <c r="AC361">
        <v>0</v>
      </c>
      <c r="AD361">
        <v>61.6</v>
      </c>
      <c r="AE361">
        <v>0</v>
      </c>
      <c r="AF361">
        <v>0</v>
      </c>
      <c r="AG361">
        <v>0</v>
      </c>
      <c r="AH361">
        <v>9.18</v>
      </c>
      <c r="AI361">
        <v>1</v>
      </c>
      <c r="AJ361">
        <v>1</v>
      </c>
      <c r="AK361">
        <v>1</v>
      </c>
      <c r="AL361">
        <v>6.71</v>
      </c>
      <c r="AN361">
        <v>0</v>
      </c>
      <c r="AO361">
        <v>1</v>
      </c>
      <c r="AP361">
        <v>0</v>
      </c>
      <c r="AQ361">
        <v>0</v>
      </c>
      <c r="AR361">
        <v>0</v>
      </c>
      <c r="AS361" t="s">
        <v>6</v>
      </c>
      <c r="AT361">
        <v>15.2</v>
      </c>
      <c r="AU361" t="s">
        <v>6</v>
      </c>
      <c r="AV361">
        <v>1</v>
      </c>
      <c r="AW361">
        <v>2</v>
      </c>
      <c r="AX361">
        <v>16803326</v>
      </c>
      <c r="AY361">
        <v>1</v>
      </c>
      <c r="AZ361">
        <v>0</v>
      </c>
      <c r="BA361">
        <v>343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X361">
        <f>Y361*Source!I280</f>
        <v>5.6239999999999997</v>
      </c>
      <c r="CY361">
        <f>AD361</f>
        <v>61.6</v>
      </c>
      <c r="CZ361">
        <f>AH361</f>
        <v>9.18</v>
      </c>
      <c r="DA361">
        <f>AL361</f>
        <v>6.71</v>
      </c>
      <c r="DB361">
        <f t="shared" si="57"/>
        <v>139.54</v>
      </c>
      <c r="DC361">
        <f t="shared" si="58"/>
        <v>0</v>
      </c>
    </row>
    <row r="362" spans="1:107" x14ac:dyDescent="0.2">
      <c r="A362">
        <f>ROW(Source!A280)</f>
        <v>280</v>
      </c>
      <c r="B362">
        <v>16802145</v>
      </c>
      <c r="C362">
        <v>16803321</v>
      </c>
      <c r="D362">
        <v>15170155</v>
      </c>
      <c r="E362">
        <v>1</v>
      </c>
      <c r="F362">
        <v>1</v>
      </c>
      <c r="G362">
        <v>1</v>
      </c>
      <c r="H362">
        <v>3</v>
      </c>
      <c r="I362" t="s">
        <v>888</v>
      </c>
      <c r="J362" t="s">
        <v>889</v>
      </c>
      <c r="K362" t="s">
        <v>890</v>
      </c>
      <c r="L362">
        <v>1355</v>
      </c>
      <c r="N362">
        <v>1010</v>
      </c>
      <c r="O362" t="s">
        <v>126</v>
      </c>
      <c r="P362" t="s">
        <v>126</v>
      </c>
      <c r="Q362">
        <v>100</v>
      </c>
      <c r="W362">
        <v>0</v>
      </c>
      <c r="X362">
        <v>1135215184</v>
      </c>
      <c r="Y362">
        <v>1.75</v>
      </c>
      <c r="AA362">
        <v>53.68</v>
      </c>
      <c r="AB362">
        <v>0</v>
      </c>
      <c r="AC362">
        <v>0</v>
      </c>
      <c r="AD362">
        <v>0</v>
      </c>
      <c r="AE362">
        <v>8</v>
      </c>
      <c r="AF362">
        <v>0</v>
      </c>
      <c r="AG362">
        <v>0</v>
      </c>
      <c r="AH362">
        <v>0</v>
      </c>
      <c r="AI362">
        <v>6.71</v>
      </c>
      <c r="AJ362">
        <v>1</v>
      </c>
      <c r="AK362">
        <v>1</v>
      </c>
      <c r="AL362">
        <v>1</v>
      </c>
      <c r="AN362">
        <v>0</v>
      </c>
      <c r="AO362">
        <v>1</v>
      </c>
      <c r="AP362">
        <v>0</v>
      </c>
      <c r="AQ362">
        <v>0</v>
      </c>
      <c r="AR362">
        <v>0</v>
      </c>
      <c r="AS362" t="s">
        <v>6</v>
      </c>
      <c r="AT362">
        <v>1.75</v>
      </c>
      <c r="AU362" t="s">
        <v>6</v>
      </c>
      <c r="AV362">
        <v>0</v>
      </c>
      <c r="AW362">
        <v>2</v>
      </c>
      <c r="AX362">
        <v>16803327</v>
      </c>
      <c r="AY362">
        <v>1</v>
      </c>
      <c r="AZ362">
        <v>0</v>
      </c>
      <c r="BA362">
        <v>344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X362">
        <f>Y362*Source!I280</f>
        <v>0.64749999999999996</v>
      </c>
      <c r="CY362">
        <f>AA362</f>
        <v>53.68</v>
      </c>
      <c r="CZ362">
        <f>AE362</f>
        <v>8</v>
      </c>
      <c r="DA362">
        <f>AI362</f>
        <v>6.71</v>
      </c>
      <c r="DB362">
        <f t="shared" si="57"/>
        <v>14</v>
      </c>
      <c r="DC362">
        <f t="shared" si="58"/>
        <v>0</v>
      </c>
    </row>
    <row r="363" spans="1:107" x14ac:dyDescent="0.2">
      <c r="A363">
        <f>ROW(Source!A280)</f>
        <v>280</v>
      </c>
      <c r="B363">
        <v>16802145</v>
      </c>
      <c r="C363">
        <v>16803321</v>
      </c>
      <c r="D363">
        <v>15233695</v>
      </c>
      <c r="E363">
        <v>1</v>
      </c>
      <c r="F363">
        <v>1</v>
      </c>
      <c r="G363">
        <v>1</v>
      </c>
      <c r="H363">
        <v>3</v>
      </c>
      <c r="I363" t="s">
        <v>579</v>
      </c>
      <c r="J363" t="s">
        <v>581</v>
      </c>
      <c r="K363" t="s">
        <v>580</v>
      </c>
      <c r="L363">
        <v>1302</v>
      </c>
      <c r="N363">
        <v>1003</v>
      </c>
      <c r="O363" t="s">
        <v>424</v>
      </c>
      <c r="P363" t="s">
        <v>424</v>
      </c>
      <c r="Q363">
        <v>10</v>
      </c>
      <c r="W363">
        <v>0</v>
      </c>
      <c r="X363">
        <v>1802750156</v>
      </c>
      <c r="Y363">
        <v>10</v>
      </c>
      <c r="AA363">
        <v>164.66</v>
      </c>
      <c r="AB363">
        <v>0</v>
      </c>
      <c r="AC363">
        <v>0</v>
      </c>
      <c r="AD363">
        <v>0</v>
      </c>
      <c r="AE363">
        <v>24.54</v>
      </c>
      <c r="AF363">
        <v>0</v>
      </c>
      <c r="AG363">
        <v>0</v>
      </c>
      <c r="AH363">
        <v>0</v>
      </c>
      <c r="AI363">
        <v>6.71</v>
      </c>
      <c r="AJ363">
        <v>1</v>
      </c>
      <c r="AK363">
        <v>1</v>
      </c>
      <c r="AL363">
        <v>1</v>
      </c>
      <c r="AN363">
        <v>0</v>
      </c>
      <c r="AO363">
        <v>0</v>
      </c>
      <c r="AP363">
        <v>0</v>
      </c>
      <c r="AQ363">
        <v>0</v>
      </c>
      <c r="AR363">
        <v>0</v>
      </c>
      <c r="AS363" t="s">
        <v>6</v>
      </c>
      <c r="AT363">
        <v>10</v>
      </c>
      <c r="AU363" t="s">
        <v>6</v>
      </c>
      <c r="AV363">
        <v>0</v>
      </c>
      <c r="AW363">
        <v>1</v>
      </c>
      <c r="AX363">
        <v>-1</v>
      </c>
      <c r="AY363">
        <v>0</v>
      </c>
      <c r="AZ363">
        <v>0</v>
      </c>
      <c r="BA363" t="s">
        <v>6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X363">
        <f>Y363*Source!I280</f>
        <v>3.7</v>
      </c>
      <c r="CY363">
        <f>AA363</f>
        <v>164.66</v>
      </c>
      <c r="CZ363">
        <f>AE363</f>
        <v>24.54</v>
      </c>
      <c r="DA363">
        <f>AI363</f>
        <v>6.71</v>
      </c>
      <c r="DB363">
        <f t="shared" si="57"/>
        <v>245.4</v>
      </c>
      <c r="DC363">
        <f t="shared" si="58"/>
        <v>0</v>
      </c>
    </row>
    <row r="364" spans="1:107" x14ac:dyDescent="0.2">
      <c r="A364">
        <f>ROW(Source!A280)</f>
        <v>280</v>
      </c>
      <c r="B364">
        <v>16802145</v>
      </c>
      <c r="C364">
        <v>16803321</v>
      </c>
      <c r="D364">
        <v>15164559</v>
      </c>
      <c r="E364">
        <v>17</v>
      </c>
      <c r="F364">
        <v>1</v>
      </c>
      <c r="G364">
        <v>1</v>
      </c>
      <c r="H364">
        <v>3</v>
      </c>
      <c r="I364" t="s">
        <v>821</v>
      </c>
      <c r="J364" t="s">
        <v>6</v>
      </c>
      <c r="K364" t="s">
        <v>822</v>
      </c>
      <c r="L364">
        <v>1374</v>
      </c>
      <c r="N364">
        <v>1013</v>
      </c>
      <c r="O364" t="s">
        <v>823</v>
      </c>
      <c r="P364" t="s">
        <v>823</v>
      </c>
      <c r="Q364">
        <v>1</v>
      </c>
      <c r="W364">
        <v>0</v>
      </c>
      <c r="X364">
        <v>-1731369543</v>
      </c>
      <c r="Y364">
        <v>2.79</v>
      </c>
      <c r="AA364">
        <v>1</v>
      </c>
      <c r="AB364">
        <v>0</v>
      </c>
      <c r="AC364">
        <v>0</v>
      </c>
      <c r="AD364">
        <v>0</v>
      </c>
      <c r="AE364">
        <v>1</v>
      </c>
      <c r="AF364">
        <v>0</v>
      </c>
      <c r="AG364">
        <v>0</v>
      </c>
      <c r="AH364">
        <v>0</v>
      </c>
      <c r="AI364">
        <v>1</v>
      </c>
      <c r="AJ364">
        <v>1</v>
      </c>
      <c r="AK364">
        <v>1</v>
      </c>
      <c r="AL364">
        <v>1</v>
      </c>
      <c r="AN364">
        <v>0</v>
      </c>
      <c r="AO364">
        <v>1</v>
      </c>
      <c r="AP364">
        <v>0</v>
      </c>
      <c r="AQ364">
        <v>0</v>
      </c>
      <c r="AR364">
        <v>0</v>
      </c>
      <c r="AS364" t="s">
        <v>6</v>
      </c>
      <c r="AT364">
        <v>2.79</v>
      </c>
      <c r="AU364" t="s">
        <v>6</v>
      </c>
      <c r="AV364">
        <v>0</v>
      </c>
      <c r="AW364">
        <v>2</v>
      </c>
      <c r="AX364">
        <v>16803328</v>
      </c>
      <c r="AY364">
        <v>1</v>
      </c>
      <c r="AZ364">
        <v>0</v>
      </c>
      <c r="BA364">
        <v>345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X364">
        <f>Y364*Source!I280</f>
        <v>1.0323</v>
      </c>
      <c r="CY364">
        <f>AA364</f>
        <v>1</v>
      </c>
      <c r="CZ364">
        <f>AE364</f>
        <v>1</v>
      </c>
      <c r="DA364">
        <f>AI364</f>
        <v>1</v>
      </c>
      <c r="DB364">
        <f t="shared" si="57"/>
        <v>2.79</v>
      </c>
      <c r="DC364">
        <f t="shared" si="58"/>
        <v>0</v>
      </c>
    </row>
    <row r="365" spans="1:107" x14ac:dyDescent="0.2">
      <c r="A365">
        <f>ROW(Source!A282)</f>
        <v>282</v>
      </c>
      <c r="B365">
        <v>16802145</v>
      </c>
      <c r="C365">
        <v>16803330</v>
      </c>
      <c r="D365">
        <v>15430397</v>
      </c>
      <c r="E365">
        <v>1</v>
      </c>
      <c r="F365">
        <v>1</v>
      </c>
      <c r="G365">
        <v>1</v>
      </c>
      <c r="H365">
        <v>1</v>
      </c>
      <c r="I365" t="s">
        <v>718</v>
      </c>
      <c r="J365" t="s">
        <v>6</v>
      </c>
      <c r="K365" t="s">
        <v>719</v>
      </c>
      <c r="L365">
        <v>1191</v>
      </c>
      <c r="N365">
        <v>1013</v>
      </c>
      <c r="O365" t="s">
        <v>660</v>
      </c>
      <c r="P365" t="s">
        <v>660</v>
      </c>
      <c r="Q365">
        <v>1</v>
      </c>
      <c r="W365">
        <v>0</v>
      </c>
      <c r="X365">
        <v>-1081351934</v>
      </c>
      <c r="Y365">
        <v>5.39</v>
      </c>
      <c r="AA365">
        <v>0</v>
      </c>
      <c r="AB365">
        <v>0</v>
      </c>
      <c r="AC365">
        <v>0</v>
      </c>
      <c r="AD365">
        <v>63.07</v>
      </c>
      <c r="AE365">
        <v>0</v>
      </c>
      <c r="AF365">
        <v>0</v>
      </c>
      <c r="AG365">
        <v>0</v>
      </c>
      <c r="AH365">
        <v>9.4</v>
      </c>
      <c r="AI365">
        <v>1</v>
      </c>
      <c r="AJ365">
        <v>1</v>
      </c>
      <c r="AK365">
        <v>1</v>
      </c>
      <c r="AL365">
        <v>6.71</v>
      </c>
      <c r="AN365">
        <v>0</v>
      </c>
      <c r="AO365">
        <v>1</v>
      </c>
      <c r="AP365">
        <v>0</v>
      </c>
      <c r="AQ365">
        <v>0</v>
      </c>
      <c r="AR365">
        <v>0</v>
      </c>
      <c r="AS365" t="s">
        <v>6</v>
      </c>
      <c r="AT365">
        <v>5.39</v>
      </c>
      <c r="AU365" t="s">
        <v>6</v>
      </c>
      <c r="AV365">
        <v>1</v>
      </c>
      <c r="AW365">
        <v>2</v>
      </c>
      <c r="AX365">
        <v>16803342</v>
      </c>
      <c r="AY365">
        <v>1</v>
      </c>
      <c r="AZ365">
        <v>0</v>
      </c>
      <c r="BA365">
        <v>346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X365">
        <f>Y365*Source!I282</f>
        <v>2.6410999999999998</v>
      </c>
      <c r="CY365">
        <f>AD365</f>
        <v>63.07</v>
      </c>
      <c r="CZ365">
        <f>AH365</f>
        <v>9.4</v>
      </c>
      <c r="DA365">
        <f>AL365</f>
        <v>6.71</v>
      </c>
      <c r="DB365">
        <f t="shared" si="57"/>
        <v>50.67</v>
      </c>
      <c r="DC365">
        <f t="shared" si="58"/>
        <v>0</v>
      </c>
    </row>
    <row r="366" spans="1:107" x14ac:dyDescent="0.2">
      <c r="A366">
        <f>ROW(Source!A282)</f>
        <v>282</v>
      </c>
      <c r="B366">
        <v>16802145</v>
      </c>
      <c r="C366">
        <v>16803330</v>
      </c>
      <c r="D366">
        <v>15430395</v>
      </c>
      <c r="E366">
        <v>1</v>
      </c>
      <c r="F366">
        <v>1</v>
      </c>
      <c r="G366">
        <v>1</v>
      </c>
      <c r="H366">
        <v>1</v>
      </c>
      <c r="I366" t="s">
        <v>661</v>
      </c>
      <c r="J366" t="s">
        <v>6</v>
      </c>
      <c r="K366" t="s">
        <v>662</v>
      </c>
      <c r="L366">
        <v>1191</v>
      </c>
      <c r="N366">
        <v>1013</v>
      </c>
      <c r="O366" t="s">
        <v>660</v>
      </c>
      <c r="P366" t="s">
        <v>660</v>
      </c>
      <c r="Q366">
        <v>1</v>
      </c>
      <c r="W366">
        <v>0</v>
      </c>
      <c r="X366">
        <v>-1417349443</v>
      </c>
      <c r="Y366">
        <v>0.04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1</v>
      </c>
      <c r="AJ366">
        <v>1</v>
      </c>
      <c r="AK366">
        <v>6.71</v>
      </c>
      <c r="AL366">
        <v>1</v>
      </c>
      <c r="AN366">
        <v>0</v>
      </c>
      <c r="AO366">
        <v>1</v>
      </c>
      <c r="AP366">
        <v>0</v>
      </c>
      <c r="AQ366">
        <v>0</v>
      </c>
      <c r="AR366">
        <v>0</v>
      </c>
      <c r="AS366" t="s">
        <v>6</v>
      </c>
      <c r="AT366">
        <v>0.04</v>
      </c>
      <c r="AU366" t="s">
        <v>6</v>
      </c>
      <c r="AV366">
        <v>2</v>
      </c>
      <c r="AW366">
        <v>2</v>
      </c>
      <c r="AX366">
        <v>16803343</v>
      </c>
      <c r="AY366">
        <v>1</v>
      </c>
      <c r="AZ366">
        <v>0</v>
      </c>
      <c r="BA366">
        <v>347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X366">
        <f>Y366*Source!I282</f>
        <v>1.9599999999999999E-2</v>
      </c>
      <c r="CY366">
        <f>AD366</f>
        <v>0</v>
      </c>
      <c r="CZ366">
        <f>AH366</f>
        <v>0</v>
      </c>
      <c r="DA366">
        <f>AL366</f>
        <v>1</v>
      </c>
      <c r="DB366">
        <f t="shared" si="57"/>
        <v>0</v>
      </c>
      <c r="DC366">
        <f t="shared" si="58"/>
        <v>0</v>
      </c>
    </row>
    <row r="367" spans="1:107" x14ac:dyDescent="0.2">
      <c r="A367">
        <f>ROW(Source!A282)</f>
        <v>282</v>
      </c>
      <c r="B367">
        <v>16802145</v>
      </c>
      <c r="C367">
        <v>16803330</v>
      </c>
      <c r="D367">
        <v>15247680</v>
      </c>
      <c r="E367">
        <v>1</v>
      </c>
      <c r="F367">
        <v>1</v>
      </c>
      <c r="G367">
        <v>1</v>
      </c>
      <c r="H367">
        <v>2</v>
      </c>
      <c r="I367" t="s">
        <v>786</v>
      </c>
      <c r="J367" t="s">
        <v>787</v>
      </c>
      <c r="K367" t="s">
        <v>788</v>
      </c>
      <c r="L367">
        <v>1368</v>
      </c>
      <c r="N367">
        <v>1011</v>
      </c>
      <c r="O367" t="s">
        <v>666</v>
      </c>
      <c r="P367" t="s">
        <v>666</v>
      </c>
      <c r="Q367">
        <v>1</v>
      </c>
      <c r="W367">
        <v>0</v>
      </c>
      <c r="X367">
        <v>-1718674368</v>
      </c>
      <c r="Y367">
        <v>0.02</v>
      </c>
      <c r="AA367">
        <v>0</v>
      </c>
      <c r="AB367">
        <v>751.45</v>
      </c>
      <c r="AC367">
        <v>13.5</v>
      </c>
      <c r="AD367">
        <v>0</v>
      </c>
      <c r="AE367">
        <v>0</v>
      </c>
      <c r="AF367">
        <v>111.99</v>
      </c>
      <c r="AG367">
        <v>13.5</v>
      </c>
      <c r="AH367">
        <v>0</v>
      </c>
      <c r="AI367">
        <v>1</v>
      </c>
      <c r="AJ367">
        <v>6.71</v>
      </c>
      <c r="AK367">
        <v>1</v>
      </c>
      <c r="AL367">
        <v>1</v>
      </c>
      <c r="AN367">
        <v>0</v>
      </c>
      <c r="AO367">
        <v>1</v>
      </c>
      <c r="AP367">
        <v>0</v>
      </c>
      <c r="AQ367">
        <v>0</v>
      </c>
      <c r="AR367">
        <v>0</v>
      </c>
      <c r="AS367" t="s">
        <v>6</v>
      </c>
      <c r="AT367">
        <v>0.02</v>
      </c>
      <c r="AU367" t="s">
        <v>6</v>
      </c>
      <c r="AV367">
        <v>0</v>
      </c>
      <c r="AW367">
        <v>2</v>
      </c>
      <c r="AX367">
        <v>16803344</v>
      </c>
      <c r="AY367">
        <v>1</v>
      </c>
      <c r="AZ367">
        <v>0</v>
      </c>
      <c r="BA367">
        <v>348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X367">
        <f>Y367*Source!I282</f>
        <v>9.7999999999999997E-3</v>
      </c>
      <c r="CY367">
        <f>AB367</f>
        <v>751.45</v>
      </c>
      <c r="CZ367">
        <f>AF367</f>
        <v>111.99</v>
      </c>
      <c r="DA367">
        <f>AJ367</f>
        <v>6.71</v>
      </c>
      <c r="DB367">
        <f t="shared" si="57"/>
        <v>2.2400000000000002</v>
      </c>
      <c r="DC367">
        <f t="shared" si="58"/>
        <v>0.27</v>
      </c>
    </row>
    <row r="368" spans="1:107" x14ac:dyDescent="0.2">
      <c r="A368">
        <f>ROW(Source!A282)</f>
        <v>282</v>
      </c>
      <c r="B368">
        <v>16802145</v>
      </c>
      <c r="C368">
        <v>16803330</v>
      </c>
      <c r="D368">
        <v>15249073</v>
      </c>
      <c r="E368">
        <v>1</v>
      </c>
      <c r="F368">
        <v>1</v>
      </c>
      <c r="G368">
        <v>1</v>
      </c>
      <c r="H368">
        <v>2</v>
      </c>
      <c r="I368" t="s">
        <v>684</v>
      </c>
      <c r="J368" t="s">
        <v>685</v>
      </c>
      <c r="K368" t="s">
        <v>686</v>
      </c>
      <c r="L368">
        <v>1368</v>
      </c>
      <c r="N368">
        <v>1011</v>
      </c>
      <c r="O368" t="s">
        <v>666</v>
      </c>
      <c r="P368" t="s">
        <v>666</v>
      </c>
      <c r="Q368">
        <v>1</v>
      </c>
      <c r="W368">
        <v>0</v>
      </c>
      <c r="X368">
        <v>1372534845</v>
      </c>
      <c r="Y368">
        <v>0.02</v>
      </c>
      <c r="AA368">
        <v>0</v>
      </c>
      <c r="AB368">
        <v>440.91</v>
      </c>
      <c r="AC368">
        <v>11.6</v>
      </c>
      <c r="AD368">
        <v>0</v>
      </c>
      <c r="AE368">
        <v>0</v>
      </c>
      <c r="AF368">
        <v>65.709999999999994</v>
      </c>
      <c r="AG368">
        <v>11.6</v>
      </c>
      <c r="AH368">
        <v>0</v>
      </c>
      <c r="AI368">
        <v>1</v>
      </c>
      <c r="AJ368">
        <v>6.71</v>
      </c>
      <c r="AK368">
        <v>1</v>
      </c>
      <c r="AL368">
        <v>1</v>
      </c>
      <c r="AN368">
        <v>0</v>
      </c>
      <c r="AO368">
        <v>1</v>
      </c>
      <c r="AP368">
        <v>0</v>
      </c>
      <c r="AQ368">
        <v>0</v>
      </c>
      <c r="AR368">
        <v>0</v>
      </c>
      <c r="AS368" t="s">
        <v>6</v>
      </c>
      <c r="AT368">
        <v>0.02</v>
      </c>
      <c r="AU368" t="s">
        <v>6</v>
      </c>
      <c r="AV368">
        <v>0</v>
      </c>
      <c r="AW368">
        <v>2</v>
      </c>
      <c r="AX368">
        <v>16803345</v>
      </c>
      <c r="AY368">
        <v>1</v>
      </c>
      <c r="AZ368">
        <v>0</v>
      </c>
      <c r="BA368">
        <v>349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X368">
        <f>Y368*Source!I282</f>
        <v>9.7999999999999997E-3</v>
      </c>
      <c r="CY368">
        <f>AB368</f>
        <v>440.91</v>
      </c>
      <c r="CZ368">
        <f>AF368</f>
        <v>65.709999999999994</v>
      </c>
      <c r="DA368">
        <f>AJ368</f>
        <v>6.71</v>
      </c>
      <c r="DB368">
        <f t="shared" si="57"/>
        <v>1.31</v>
      </c>
      <c r="DC368">
        <f t="shared" si="58"/>
        <v>0.23</v>
      </c>
    </row>
    <row r="369" spans="1:107" x14ac:dyDescent="0.2">
      <c r="A369">
        <f>ROW(Source!A282)</f>
        <v>282</v>
      </c>
      <c r="B369">
        <v>16802145</v>
      </c>
      <c r="C369">
        <v>16803330</v>
      </c>
      <c r="D369">
        <v>15167588</v>
      </c>
      <c r="E369">
        <v>1</v>
      </c>
      <c r="F369">
        <v>1</v>
      </c>
      <c r="G369">
        <v>1</v>
      </c>
      <c r="H369">
        <v>3</v>
      </c>
      <c r="I369" t="s">
        <v>835</v>
      </c>
      <c r="J369" t="s">
        <v>836</v>
      </c>
      <c r="K369" t="s">
        <v>837</v>
      </c>
      <c r="L369">
        <v>1346</v>
      </c>
      <c r="N369">
        <v>1009</v>
      </c>
      <c r="O369" t="s">
        <v>103</v>
      </c>
      <c r="P369" t="s">
        <v>103</v>
      </c>
      <c r="Q369">
        <v>1</v>
      </c>
      <c r="W369">
        <v>0</v>
      </c>
      <c r="X369">
        <v>-1088866022</v>
      </c>
      <c r="Y369">
        <v>0.16</v>
      </c>
      <c r="AA369">
        <v>203.98</v>
      </c>
      <c r="AB369">
        <v>0</v>
      </c>
      <c r="AC369">
        <v>0</v>
      </c>
      <c r="AD369">
        <v>0</v>
      </c>
      <c r="AE369">
        <v>30.4</v>
      </c>
      <c r="AF369">
        <v>0</v>
      </c>
      <c r="AG369">
        <v>0</v>
      </c>
      <c r="AH369">
        <v>0</v>
      </c>
      <c r="AI369">
        <v>6.71</v>
      </c>
      <c r="AJ369">
        <v>1</v>
      </c>
      <c r="AK369">
        <v>1</v>
      </c>
      <c r="AL369">
        <v>1</v>
      </c>
      <c r="AN369">
        <v>0</v>
      </c>
      <c r="AO369">
        <v>1</v>
      </c>
      <c r="AP369">
        <v>0</v>
      </c>
      <c r="AQ369">
        <v>0</v>
      </c>
      <c r="AR369">
        <v>0</v>
      </c>
      <c r="AS369" t="s">
        <v>6</v>
      </c>
      <c r="AT369">
        <v>0.16</v>
      </c>
      <c r="AU369" t="s">
        <v>6</v>
      </c>
      <c r="AV369">
        <v>0</v>
      </c>
      <c r="AW369">
        <v>2</v>
      </c>
      <c r="AX369">
        <v>16803346</v>
      </c>
      <c r="AY369">
        <v>1</v>
      </c>
      <c r="AZ369">
        <v>0</v>
      </c>
      <c r="BA369">
        <v>350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X369">
        <f>Y369*Source!I282</f>
        <v>7.8399999999999997E-2</v>
      </c>
      <c r="CY369">
        <f t="shared" ref="CY369:CY375" si="62">AA369</f>
        <v>203.98</v>
      </c>
      <c r="CZ369">
        <f t="shared" ref="CZ369:CZ375" si="63">AE369</f>
        <v>30.4</v>
      </c>
      <c r="DA369">
        <f t="shared" ref="DA369:DA375" si="64">AI369</f>
        <v>6.71</v>
      </c>
      <c r="DB369">
        <f t="shared" si="57"/>
        <v>4.8600000000000003</v>
      </c>
      <c r="DC369">
        <f t="shared" si="58"/>
        <v>0</v>
      </c>
    </row>
    <row r="370" spans="1:107" x14ac:dyDescent="0.2">
      <c r="A370">
        <f>ROW(Source!A282)</f>
        <v>282</v>
      </c>
      <c r="B370">
        <v>16802145</v>
      </c>
      <c r="C370">
        <v>16803330</v>
      </c>
      <c r="D370">
        <v>15167867</v>
      </c>
      <c r="E370">
        <v>1</v>
      </c>
      <c r="F370">
        <v>1</v>
      </c>
      <c r="G370">
        <v>1</v>
      </c>
      <c r="H370">
        <v>3</v>
      </c>
      <c r="I370" t="s">
        <v>894</v>
      </c>
      <c r="J370" t="s">
        <v>895</v>
      </c>
      <c r="K370" t="s">
        <v>896</v>
      </c>
      <c r="L370">
        <v>1348</v>
      </c>
      <c r="N370">
        <v>1009</v>
      </c>
      <c r="O370" t="s">
        <v>65</v>
      </c>
      <c r="P370" t="s">
        <v>65</v>
      </c>
      <c r="Q370">
        <v>1000</v>
      </c>
      <c r="W370">
        <v>0</v>
      </c>
      <c r="X370">
        <v>1012095217</v>
      </c>
      <c r="Y370">
        <v>5.9999999999999995E-4</v>
      </c>
      <c r="AA370">
        <v>12212.2</v>
      </c>
      <c r="AB370">
        <v>0</v>
      </c>
      <c r="AC370">
        <v>0</v>
      </c>
      <c r="AD370">
        <v>0</v>
      </c>
      <c r="AE370">
        <v>1820</v>
      </c>
      <c r="AF370">
        <v>0</v>
      </c>
      <c r="AG370">
        <v>0</v>
      </c>
      <c r="AH370">
        <v>0</v>
      </c>
      <c r="AI370">
        <v>6.71</v>
      </c>
      <c r="AJ370">
        <v>1</v>
      </c>
      <c r="AK370">
        <v>1</v>
      </c>
      <c r="AL370">
        <v>1</v>
      </c>
      <c r="AN370">
        <v>0</v>
      </c>
      <c r="AO370">
        <v>1</v>
      </c>
      <c r="AP370">
        <v>0</v>
      </c>
      <c r="AQ370">
        <v>0</v>
      </c>
      <c r="AR370">
        <v>0</v>
      </c>
      <c r="AS370" t="s">
        <v>6</v>
      </c>
      <c r="AT370">
        <v>5.9999999999999995E-4</v>
      </c>
      <c r="AU370" t="s">
        <v>6</v>
      </c>
      <c r="AV370">
        <v>0</v>
      </c>
      <c r="AW370">
        <v>2</v>
      </c>
      <c r="AX370">
        <v>16803347</v>
      </c>
      <c r="AY370">
        <v>1</v>
      </c>
      <c r="AZ370">
        <v>0</v>
      </c>
      <c r="BA370">
        <v>351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X370">
        <f>Y370*Source!I282</f>
        <v>2.9399999999999999E-4</v>
      </c>
      <c r="CY370">
        <f t="shared" si="62"/>
        <v>12212.2</v>
      </c>
      <c r="CZ370">
        <f t="shared" si="63"/>
        <v>1820</v>
      </c>
      <c r="DA370">
        <f t="shared" si="64"/>
        <v>6.71</v>
      </c>
      <c r="DB370">
        <f t="shared" si="57"/>
        <v>1.0900000000000001</v>
      </c>
      <c r="DC370">
        <f t="shared" si="58"/>
        <v>0</v>
      </c>
    </row>
    <row r="371" spans="1:107" x14ac:dyDescent="0.2">
      <c r="A371">
        <f>ROW(Source!A282)</f>
        <v>282</v>
      </c>
      <c r="B371">
        <v>16802145</v>
      </c>
      <c r="C371">
        <v>16803330</v>
      </c>
      <c r="D371">
        <v>15203834</v>
      </c>
      <c r="E371">
        <v>1</v>
      </c>
      <c r="F371">
        <v>1</v>
      </c>
      <c r="G371">
        <v>1</v>
      </c>
      <c r="H371">
        <v>3</v>
      </c>
      <c r="I371" t="s">
        <v>853</v>
      </c>
      <c r="J371" t="s">
        <v>854</v>
      </c>
      <c r="K371" t="s">
        <v>855</v>
      </c>
      <c r="L371">
        <v>1346</v>
      </c>
      <c r="N371">
        <v>1009</v>
      </c>
      <c r="O371" t="s">
        <v>103</v>
      </c>
      <c r="P371" t="s">
        <v>103</v>
      </c>
      <c r="Q371">
        <v>1</v>
      </c>
      <c r="W371">
        <v>0</v>
      </c>
      <c r="X371">
        <v>210558753</v>
      </c>
      <c r="Y371">
        <v>0.02</v>
      </c>
      <c r="AA371">
        <v>191.91</v>
      </c>
      <c r="AB371">
        <v>0</v>
      </c>
      <c r="AC371">
        <v>0</v>
      </c>
      <c r="AD371">
        <v>0</v>
      </c>
      <c r="AE371">
        <v>28.6</v>
      </c>
      <c r="AF371">
        <v>0</v>
      </c>
      <c r="AG371">
        <v>0</v>
      </c>
      <c r="AH371">
        <v>0</v>
      </c>
      <c r="AI371">
        <v>6.71</v>
      </c>
      <c r="AJ371">
        <v>1</v>
      </c>
      <c r="AK371">
        <v>1</v>
      </c>
      <c r="AL371">
        <v>1</v>
      </c>
      <c r="AN371">
        <v>0</v>
      </c>
      <c r="AO371">
        <v>1</v>
      </c>
      <c r="AP371">
        <v>0</v>
      </c>
      <c r="AQ371">
        <v>0</v>
      </c>
      <c r="AR371">
        <v>0</v>
      </c>
      <c r="AS371" t="s">
        <v>6</v>
      </c>
      <c r="AT371">
        <v>0.02</v>
      </c>
      <c r="AU371" t="s">
        <v>6</v>
      </c>
      <c r="AV371">
        <v>0</v>
      </c>
      <c r="AW371">
        <v>2</v>
      </c>
      <c r="AX371">
        <v>16803348</v>
      </c>
      <c r="AY371">
        <v>1</v>
      </c>
      <c r="AZ371">
        <v>0</v>
      </c>
      <c r="BA371">
        <v>352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X371">
        <f>Y371*Source!I282</f>
        <v>9.7999999999999997E-3</v>
      </c>
      <c r="CY371">
        <f t="shared" si="62"/>
        <v>191.91</v>
      </c>
      <c r="CZ371">
        <f t="shared" si="63"/>
        <v>28.6</v>
      </c>
      <c r="DA371">
        <f t="shared" si="64"/>
        <v>6.71</v>
      </c>
      <c r="DB371">
        <f t="shared" si="57"/>
        <v>0.56999999999999995</v>
      </c>
      <c r="DC371">
        <f t="shared" si="58"/>
        <v>0</v>
      </c>
    </row>
    <row r="372" spans="1:107" x14ac:dyDescent="0.2">
      <c r="A372">
        <f>ROW(Source!A282)</f>
        <v>282</v>
      </c>
      <c r="B372">
        <v>16802145</v>
      </c>
      <c r="C372">
        <v>16803330</v>
      </c>
      <c r="D372">
        <v>15217527</v>
      </c>
      <c r="E372">
        <v>1</v>
      </c>
      <c r="F372">
        <v>1</v>
      </c>
      <c r="G372">
        <v>1</v>
      </c>
      <c r="H372">
        <v>3</v>
      </c>
      <c r="I372" t="s">
        <v>931</v>
      </c>
      <c r="J372" t="s">
        <v>932</v>
      </c>
      <c r="K372" t="s">
        <v>933</v>
      </c>
      <c r="L372">
        <v>1355</v>
      </c>
      <c r="N372">
        <v>1010</v>
      </c>
      <c r="O372" t="s">
        <v>126</v>
      </c>
      <c r="P372" t="s">
        <v>126</v>
      </c>
      <c r="Q372">
        <v>100</v>
      </c>
      <c r="W372">
        <v>0</v>
      </c>
      <c r="X372">
        <v>-423136440</v>
      </c>
      <c r="Y372">
        <v>0.05</v>
      </c>
      <c r="AA372">
        <v>738.1</v>
      </c>
      <c r="AB372">
        <v>0</v>
      </c>
      <c r="AC372">
        <v>0</v>
      </c>
      <c r="AD372">
        <v>0</v>
      </c>
      <c r="AE372">
        <v>110</v>
      </c>
      <c r="AF372">
        <v>0</v>
      </c>
      <c r="AG372">
        <v>0</v>
      </c>
      <c r="AH372">
        <v>0</v>
      </c>
      <c r="AI372">
        <v>6.71</v>
      </c>
      <c r="AJ372">
        <v>1</v>
      </c>
      <c r="AK372">
        <v>1</v>
      </c>
      <c r="AL372">
        <v>1</v>
      </c>
      <c r="AN372">
        <v>0</v>
      </c>
      <c r="AO372">
        <v>1</v>
      </c>
      <c r="AP372">
        <v>0</v>
      </c>
      <c r="AQ372">
        <v>0</v>
      </c>
      <c r="AR372">
        <v>0</v>
      </c>
      <c r="AS372" t="s">
        <v>6</v>
      </c>
      <c r="AT372">
        <v>0.05</v>
      </c>
      <c r="AU372" t="s">
        <v>6</v>
      </c>
      <c r="AV372">
        <v>0</v>
      </c>
      <c r="AW372">
        <v>2</v>
      </c>
      <c r="AX372">
        <v>16803349</v>
      </c>
      <c r="AY372">
        <v>1</v>
      </c>
      <c r="AZ372">
        <v>0</v>
      </c>
      <c r="BA372">
        <v>353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X372">
        <f>Y372*Source!I282</f>
        <v>2.4500000000000001E-2</v>
      </c>
      <c r="CY372">
        <f t="shared" si="62"/>
        <v>738.1</v>
      </c>
      <c r="CZ372">
        <f t="shared" si="63"/>
        <v>110</v>
      </c>
      <c r="DA372">
        <f t="shared" si="64"/>
        <v>6.71</v>
      </c>
      <c r="DB372">
        <f t="shared" si="57"/>
        <v>5.5</v>
      </c>
      <c r="DC372">
        <f t="shared" si="58"/>
        <v>0</v>
      </c>
    </row>
    <row r="373" spans="1:107" x14ac:dyDescent="0.2">
      <c r="A373">
        <f>ROW(Source!A282)</f>
        <v>282</v>
      </c>
      <c r="B373">
        <v>16802145</v>
      </c>
      <c r="C373">
        <v>16803330</v>
      </c>
      <c r="D373">
        <v>15217578</v>
      </c>
      <c r="E373">
        <v>1</v>
      </c>
      <c r="F373">
        <v>1</v>
      </c>
      <c r="G373">
        <v>1</v>
      </c>
      <c r="H373">
        <v>3</v>
      </c>
      <c r="I373" t="s">
        <v>934</v>
      </c>
      <c r="J373" t="s">
        <v>935</v>
      </c>
      <c r="K373" t="s">
        <v>936</v>
      </c>
      <c r="L373">
        <v>1356</v>
      </c>
      <c r="N373">
        <v>1010</v>
      </c>
      <c r="O373" t="s">
        <v>709</v>
      </c>
      <c r="P373" t="s">
        <v>709</v>
      </c>
      <c r="Q373">
        <v>1000</v>
      </c>
      <c r="W373">
        <v>0</v>
      </c>
      <c r="X373">
        <v>537827188</v>
      </c>
      <c r="Y373">
        <v>1.2200000000000001E-2</v>
      </c>
      <c r="AA373">
        <v>798.49</v>
      </c>
      <c r="AB373">
        <v>0</v>
      </c>
      <c r="AC373">
        <v>0</v>
      </c>
      <c r="AD373">
        <v>0</v>
      </c>
      <c r="AE373">
        <v>119</v>
      </c>
      <c r="AF373">
        <v>0</v>
      </c>
      <c r="AG373">
        <v>0</v>
      </c>
      <c r="AH373">
        <v>0</v>
      </c>
      <c r="AI373">
        <v>6.71</v>
      </c>
      <c r="AJ373">
        <v>1</v>
      </c>
      <c r="AK373">
        <v>1</v>
      </c>
      <c r="AL373">
        <v>1</v>
      </c>
      <c r="AN373">
        <v>0</v>
      </c>
      <c r="AO373">
        <v>1</v>
      </c>
      <c r="AP373">
        <v>0</v>
      </c>
      <c r="AQ373">
        <v>0</v>
      </c>
      <c r="AR373">
        <v>0</v>
      </c>
      <c r="AS373" t="s">
        <v>6</v>
      </c>
      <c r="AT373">
        <v>1.2200000000000001E-2</v>
      </c>
      <c r="AU373" t="s">
        <v>6</v>
      </c>
      <c r="AV373">
        <v>0</v>
      </c>
      <c r="AW373">
        <v>2</v>
      </c>
      <c r="AX373">
        <v>16803350</v>
      </c>
      <c r="AY373">
        <v>1</v>
      </c>
      <c r="AZ373">
        <v>0</v>
      </c>
      <c r="BA373">
        <v>354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X373">
        <f>Y373*Source!I282</f>
        <v>5.9780000000000007E-3</v>
      </c>
      <c r="CY373">
        <f t="shared" si="62"/>
        <v>798.49</v>
      </c>
      <c r="CZ373">
        <f t="shared" si="63"/>
        <v>119</v>
      </c>
      <c r="DA373">
        <f t="shared" si="64"/>
        <v>6.71</v>
      </c>
      <c r="DB373">
        <f t="shared" si="57"/>
        <v>1.45</v>
      </c>
      <c r="DC373">
        <f t="shared" si="58"/>
        <v>0</v>
      </c>
    </row>
    <row r="374" spans="1:107" x14ac:dyDescent="0.2">
      <c r="A374">
        <f>ROW(Source!A282)</f>
        <v>282</v>
      </c>
      <c r="B374">
        <v>16802145</v>
      </c>
      <c r="C374">
        <v>16803330</v>
      </c>
      <c r="D374">
        <v>15224235</v>
      </c>
      <c r="E374">
        <v>1</v>
      </c>
      <c r="F374">
        <v>1</v>
      </c>
      <c r="G374">
        <v>1</v>
      </c>
      <c r="H374">
        <v>3</v>
      </c>
      <c r="I374" t="s">
        <v>587</v>
      </c>
      <c r="J374" t="s">
        <v>588</v>
      </c>
      <c r="K374" t="s">
        <v>964</v>
      </c>
      <c r="L374">
        <v>1477</v>
      </c>
      <c r="N374">
        <v>1013</v>
      </c>
      <c r="O374" t="s">
        <v>460</v>
      </c>
      <c r="P374" t="s">
        <v>462</v>
      </c>
      <c r="Q374">
        <v>1</v>
      </c>
      <c r="W374">
        <v>0</v>
      </c>
      <c r="X374">
        <v>1970573084</v>
      </c>
      <c r="Y374">
        <v>0.1</v>
      </c>
      <c r="AA374">
        <v>28745.77</v>
      </c>
      <c r="AB374">
        <v>0</v>
      </c>
      <c r="AC374">
        <v>0</v>
      </c>
      <c r="AD374">
        <v>0</v>
      </c>
      <c r="AE374">
        <v>4284.0200000000004</v>
      </c>
      <c r="AF374">
        <v>0</v>
      </c>
      <c r="AG374">
        <v>0</v>
      </c>
      <c r="AH374">
        <v>0</v>
      </c>
      <c r="AI374">
        <v>6.71</v>
      </c>
      <c r="AJ374">
        <v>1</v>
      </c>
      <c r="AK374">
        <v>1</v>
      </c>
      <c r="AL374">
        <v>1</v>
      </c>
      <c r="AN374">
        <v>0</v>
      </c>
      <c r="AO374">
        <v>0</v>
      </c>
      <c r="AP374">
        <v>0</v>
      </c>
      <c r="AQ374">
        <v>0</v>
      </c>
      <c r="AR374">
        <v>0</v>
      </c>
      <c r="AS374" t="s">
        <v>6</v>
      </c>
      <c r="AT374">
        <v>0.1</v>
      </c>
      <c r="AU374" t="s">
        <v>6</v>
      </c>
      <c r="AV374">
        <v>0</v>
      </c>
      <c r="AW374">
        <v>1</v>
      </c>
      <c r="AX374">
        <v>-1</v>
      </c>
      <c r="AY374">
        <v>0</v>
      </c>
      <c r="AZ374">
        <v>0</v>
      </c>
      <c r="BA374" t="s">
        <v>6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X374">
        <f>Y374*Source!I282</f>
        <v>4.9000000000000002E-2</v>
      </c>
      <c r="CY374">
        <f t="shared" si="62"/>
        <v>28745.77</v>
      </c>
      <c r="CZ374">
        <f t="shared" si="63"/>
        <v>4284.0200000000004</v>
      </c>
      <c r="DA374">
        <f t="shared" si="64"/>
        <v>6.71</v>
      </c>
      <c r="DB374">
        <f t="shared" si="57"/>
        <v>428.4</v>
      </c>
      <c r="DC374">
        <f t="shared" si="58"/>
        <v>0</v>
      </c>
    </row>
    <row r="375" spans="1:107" x14ac:dyDescent="0.2">
      <c r="A375">
        <f>ROW(Source!A282)</f>
        <v>282</v>
      </c>
      <c r="B375">
        <v>16802145</v>
      </c>
      <c r="C375">
        <v>16803330</v>
      </c>
      <c r="D375">
        <v>15164559</v>
      </c>
      <c r="E375">
        <v>17</v>
      </c>
      <c r="F375">
        <v>1</v>
      </c>
      <c r="G375">
        <v>1</v>
      </c>
      <c r="H375">
        <v>3</v>
      </c>
      <c r="I375" t="s">
        <v>821</v>
      </c>
      <c r="J375" t="s">
        <v>6</v>
      </c>
      <c r="K375" t="s">
        <v>822</v>
      </c>
      <c r="L375">
        <v>1374</v>
      </c>
      <c r="N375">
        <v>1013</v>
      </c>
      <c r="O375" t="s">
        <v>823</v>
      </c>
      <c r="P375" t="s">
        <v>823</v>
      </c>
      <c r="Q375">
        <v>1</v>
      </c>
      <c r="W375">
        <v>0</v>
      </c>
      <c r="X375">
        <v>-1731369543</v>
      </c>
      <c r="Y375">
        <v>1.01</v>
      </c>
      <c r="AA375">
        <v>1</v>
      </c>
      <c r="AB375">
        <v>0</v>
      </c>
      <c r="AC375">
        <v>0</v>
      </c>
      <c r="AD375">
        <v>0</v>
      </c>
      <c r="AE375">
        <v>1</v>
      </c>
      <c r="AF375">
        <v>0</v>
      </c>
      <c r="AG375">
        <v>0</v>
      </c>
      <c r="AH375">
        <v>0</v>
      </c>
      <c r="AI375">
        <v>1</v>
      </c>
      <c r="AJ375">
        <v>1</v>
      </c>
      <c r="AK375">
        <v>1</v>
      </c>
      <c r="AL375">
        <v>1</v>
      </c>
      <c r="AN375">
        <v>0</v>
      </c>
      <c r="AO375">
        <v>1</v>
      </c>
      <c r="AP375">
        <v>0</v>
      </c>
      <c r="AQ375">
        <v>0</v>
      </c>
      <c r="AR375">
        <v>0</v>
      </c>
      <c r="AS375" t="s">
        <v>6</v>
      </c>
      <c r="AT375">
        <v>1.01</v>
      </c>
      <c r="AU375" t="s">
        <v>6</v>
      </c>
      <c r="AV375">
        <v>0</v>
      </c>
      <c r="AW375">
        <v>2</v>
      </c>
      <c r="AX375">
        <v>16803351</v>
      </c>
      <c r="AY375">
        <v>1</v>
      </c>
      <c r="AZ375">
        <v>0</v>
      </c>
      <c r="BA375">
        <v>355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X375">
        <f>Y375*Source!I282</f>
        <v>0.49490000000000001</v>
      </c>
      <c r="CY375">
        <f t="shared" si="62"/>
        <v>1</v>
      </c>
      <c r="CZ375">
        <f t="shared" si="63"/>
        <v>1</v>
      </c>
      <c r="DA375">
        <f t="shared" si="64"/>
        <v>1</v>
      </c>
      <c r="DB375">
        <f t="shared" si="57"/>
        <v>1.01</v>
      </c>
      <c r="DC375">
        <f t="shared" si="58"/>
        <v>0</v>
      </c>
    </row>
    <row r="376" spans="1:107" x14ac:dyDescent="0.2">
      <c r="A376">
        <f>ROW(Source!A284)</f>
        <v>284</v>
      </c>
      <c r="B376">
        <v>16802145</v>
      </c>
      <c r="C376">
        <v>16803353</v>
      </c>
      <c r="D376">
        <v>15478766</v>
      </c>
      <c r="E376">
        <v>1</v>
      </c>
      <c r="F376">
        <v>1</v>
      </c>
      <c r="G376">
        <v>1</v>
      </c>
      <c r="H376">
        <v>1</v>
      </c>
      <c r="I376" t="s">
        <v>937</v>
      </c>
      <c r="J376" t="s">
        <v>6</v>
      </c>
      <c r="K376" t="s">
        <v>938</v>
      </c>
      <c r="L376">
        <v>1191</v>
      </c>
      <c r="N376">
        <v>1013</v>
      </c>
      <c r="O376" t="s">
        <v>660</v>
      </c>
      <c r="P376" t="s">
        <v>660</v>
      </c>
      <c r="Q376">
        <v>1</v>
      </c>
      <c r="W376">
        <v>0</v>
      </c>
      <c r="X376">
        <v>1446053411</v>
      </c>
      <c r="Y376">
        <v>0.4</v>
      </c>
      <c r="AA376">
        <v>0</v>
      </c>
      <c r="AB376">
        <v>0</v>
      </c>
      <c r="AC376">
        <v>0</v>
      </c>
      <c r="AD376">
        <v>74.41</v>
      </c>
      <c r="AE376">
        <v>0</v>
      </c>
      <c r="AF376">
        <v>0</v>
      </c>
      <c r="AG376">
        <v>0</v>
      </c>
      <c r="AH376">
        <v>11.09</v>
      </c>
      <c r="AI376">
        <v>1</v>
      </c>
      <c r="AJ376">
        <v>1</v>
      </c>
      <c r="AK376">
        <v>1</v>
      </c>
      <c r="AL376">
        <v>6.71</v>
      </c>
      <c r="AN376">
        <v>0</v>
      </c>
      <c r="AO376">
        <v>1</v>
      </c>
      <c r="AP376">
        <v>0</v>
      </c>
      <c r="AQ376">
        <v>0</v>
      </c>
      <c r="AR376">
        <v>0</v>
      </c>
      <c r="AS376" t="s">
        <v>6</v>
      </c>
      <c r="AT376">
        <v>0.4</v>
      </c>
      <c r="AU376" t="s">
        <v>6</v>
      </c>
      <c r="AV376">
        <v>1</v>
      </c>
      <c r="AW376">
        <v>2</v>
      </c>
      <c r="AX376">
        <v>16803356</v>
      </c>
      <c r="AY376">
        <v>1</v>
      </c>
      <c r="AZ376">
        <v>0</v>
      </c>
      <c r="BA376">
        <v>356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X376">
        <f>Y376*Source!I284</f>
        <v>0.4</v>
      </c>
      <c r="CY376">
        <f>AD376</f>
        <v>74.41</v>
      </c>
      <c r="CZ376">
        <f>AH376</f>
        <v>11.09</v>
      </c>
      <c r="DA376">
        <f>AL376</f>
        <v>6.71</v>
      </c>
      <c r="DB376">
        <f t="shared" si="57"/>
        <v>4.4400000000000004</v>
      </c>
      <c r="DC376">
        <f t="shared" si="58"/>
        <v>0</v>
      </c>
    </row>
    <row r="377" spans="1:107" x14ac:dyDescent="0.2">
      <c r="A377">
        <f>ROW(Source!A284)</f>
        <v>284</v>
      </c>
      <c r="B377">
        <v>16802145</v>
      </c>
      <c r="C377">
        <v>16803353</v>
      </c>
      <c r="D377">
        <v>15164559</v>
      </c>
      <c r="E377">
        <v>17</v>
      </c>
      <c r="F377">
        <v>1</v>
      </c>
      <c r="G377">
        <v>1</v>
      </c>
      <c r="H377">
        <v>3</v>
      </c>
      <c r="I377" t="s">
        <v>821</v>
      </c>
      <c r="J377" t="s">
        <v>6</v>
      </c>
      <c r="K377" t="s">
        <v>822</v>
      </c>
      <c r="L377">
        <v>1374</v>
      </c>
      <c r="N377">
        <v>1013</v>
      </c>
      <c r="O377" t="s">
        <v>823</v>
      </c>
      <c r="P377" t="s">
        <v>823</v>
      </c>
      <c r="Q377">
        <v>1</v>
      </c>
      <c r="W377">
        <v>0</v>
      </c>
      <c r="X377">
        <v>-1731369543</v>
      </c>
      <c r="Y377">
        <v>0.09</v>
      </c>
      <c r="AA377">
        <v>1</v>
      </c>
      <c r="AB377">
        <v>0</v>
      </c>
      <c r="AC377">
        <v>0</v>
      </c>
      <c r="AD377">
        <v>0</v>
      </c>
      <c r="AE377">
        <v>1</v>
      </c>
      <c r="AF377">
        <v>0</v>
      </c>
      <c r="AG377">
        <v>0</v>
      </c>
      <c r="AH377">
        <v>0</v>
      </c>
      <c r="AI377">
        <v>1</v>
      </c>
      <c r="AJ377">
        <v>1</v>
      </c>
      <c r="AK377">
        <v>1</v>
      </c>
      <c r="AL377">
        <v>1</v>
      </c>
      <c r="AN377">
        <v>0</v>
      </c>
      <c r="AO377">
        <v>1</v>
      </c>
      <c r="AP377">
        <v>0</v>
      </c>
      <c r="AQ377">
        <v>0</v>
      </c>
      <c r="AR377">
        <v>0</v>
      </c>
      <c r="AS377" t="s">
        <v>6</v>
      </c>
      <c r="AT377">
        <v>0.09</v>
      </c>
      <c r="AU377" t="s">
        <v>6</v>
      </c>
      <c r="AV377">
        <v>0</v>
      </c>
      <c r="AW377">
        <v>2</v>
      </c>
      <c r="AX377">
        <v>16803357</v>
      </c>
      <c r="AY377">
        <v>1</v>
      </c>
      <c r="AZ377">
        <v>0</v>
      </c>
      <c r="BA377">
        <v>357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X377">
        <f>Y377*Source!I284</f>
        <v>0.09</v>
      </c>
      <c r="CY377">
        <f>AA377</f>
        <v>1</v>
      </c>
      <c r="CZ377">
        <f>AE377</f>
        <v>1</v>
      </c>
      <c r="DA377">
        <f>AI377</f>
        <v>1</v>
      </c>
      <c r="DB377">
        <f t="shared" si="57"/>
        <v>0.09</v>
      </c>
      <c r="DC377">
        <f t="shared" si="58"/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357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ROW(Source!A28)</f>
        <v>28</v>
      </c>
      <c r="B1">
        <v>16802489</v>
      </c>
      <c r="C1">
        <v>16802487</v>
      </c>
      <c r="D1">
        <v>15430517</v>
      </c>
      <c r="E1">
        <v>1</v>
      </c>
      <c r="F1">
        <v>1</v>
      </c>
      <c r="G1">
        <v>1</v>
      </c>
      <c r="H1">
        <v>1</v>
      </c>
      <c r="I1" t="s">
        <v>658</v>
      </c>
      <c r="J1" t="s">
        <v>6</v>
      </c>
      <c r="K1" t="s">
        <v>659</v>
      </c>
      <c r="L1">
        <v>1191</v>
      </c>
      <c r="N1">
        <v>1013</v>
      </c>
      <c r="O1" t="s">
        <v>660</v>
      </c>
      <c r="P1" t="s">
        <v>660</v>
      </c>
      <c r="Q1">
        <v>1</v>
      </c>
      <c r="X1">
        <v>3.77</v>
      </c>
      <c r="Y1">
        <v>0</v>
      </c>
      <c r="Z1">
        <v>0</v>
      </c>
      <c r="AA1">
        <v>0</v>
      </c>
      <c r="AB1">
        <v>7.8</v>
      </c>
      <c r="AC1">
        <v>0</v>
      </c>
      <c r="AD1">
        <v>1</v>
      </c>
      <c r="AE1">
        <v>1</v>
      </c>
      <c r="AF1" t="s">
        <v>6</v>
      </c>
      <c r="AG1">
        <v>3.77</v>
      </c>
      <c r="AH1">
        <v>2</v>
      </c>
      <c r="AI1">
        <v>16802488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ROW(Source!A28)</f>
        <v>28</v>
      </c>
      <c r="B2">
        <v>16802490</v>
      </c>
      <c r="C2">
        <v>16802487</v>
      </c>
      <c r="D2">
        <v>15164566</v>
      </c>
      <c r="E2">
        <v>17</v>
      </c>
      <c r="F2">
        <v>1</v>
      </c>
      <c r="G2">
        <v>1</v>
      </c>
      <c r="H2">
        <v>3</v>
      </c>
      <c r="I2" t="s">
        <v>939</v>
      </c>
      <c r="J2" t="s">
        <v>6</v>
      </c>
      <c r="K2" t="s">
        <v>940</v>
      </c>
      <c r="L2">
        <v>1348</v>
      </c>
      <c r="N2">
        <v>1009</v>
      </c>
      <c r="O2" t="s">
        <v>65</v>
      </c>
      <c r="P2" t="s">
        <v>65</v>
      </c>
      <c r="Q2">
        <v>1000</v>
      </c>
      <c r="X2">
        <v>0.11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 t="s">
        <v>6</v>
      </c>
      <c r="AG2">
        <v>0.11</v>
      </c>
      <c r="AH2">
        <v>3</v>
      </c>
      <c r="AI2">
        <v>-1</v>
      </c>
      <c r="AJ2" t="s">
        <v>6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ROW(Source!A29)</f>
        <v>29</v>
      </c>
      <c r="B3">
        <v>16802495</v>
      </c>
      <c r="C3">
        <v>16802491</v>
      </c>
      <c r="D3">
        <v>15430517</v>
      </c>
      <c r="E3">
        <v>1</v>
      </c>
      <c r="F3">
        <v>1</v>
      </c>
      <c r="G3">
        <v>1</v>
      </c>
      <c r="H3">
        <v>1</v>
      </c>
      <c r="I3" t="s">
        <v>658</v>
      </c>
      <c r="J3" t="s">
        <v>6</v>
      </c>
      <c r="K3" t="s">
        <v>659</v>
      </c>
      <c r="L3">
        <v>1191</v>
      </c>
      <c r="N3">
        <v>1013</v>
      </c>
      <c r="O3" t="s">
        <v>660</v>
      </c>
      <c r="P3" t="s">
        <v>660</v>
      </c>
      <c r="Q3">
        <v>1</v>
      </c>
      <c r="X3">
        <v>11.39</v>
      </c>
      <c r="Y3">
        <v>0</v>
      </c>
      <c r="Z3">
        <v>0</v>
      </c>
      <c r="AA3">
        <v>0</v>
      </c>
      <c r="AB3">
        <v>7.8</v>
      </c>
      <c r="AC3">
        <v>0</v>
      </c>
      <c r="AD3">
        <v>1</v>
      </c>
      <c r="AE3">
        <v>1</v>
      </c>
      <c r="AF3" t="s">
        <v>6</v>
      </c>
      <c r="AG3">
        <v>11.39</v>
      </c>
      <c r="AH3">
        <v>2</v>
      </c>
      <c r="AI3">
        <v>16802492</v>
      </c>
      <c r="AJ3">
        <v>2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ROW(Source!A29)</f>
        <v>29</v>
      </c>
      <c r="B4">
        <v>16802496</v>
      </c>
      <c r="C4">
        <v>16802491</v>
      </c>
      <c r="D4">
        <v>15430395</v>
      </c>
      <c r="E4">
        <v>1</v>
      </c>
      <c r="F4">
        <v>1</v>
      </c>
      <c r="G4">
        <v>1</v>
      </c>
      <c r="H4">
        <v>1</v>
      </c>
      <c r="I4" t="s">
        <v>661</v>
      </c>
      <c r="J4" t="s">
        <v>6</v>
      </c>
      <c r="K4" t="s">
        <v>662</v>
      </c>
      <c r="L4">
        <v>1191</v>
      </c>
      <c r="N4">
        <v>1013</v>
      </c>
      <c r="O4" t="s">
        <v>660</v>
      </c>
      <c r="P4" t="s">
        <v>660</v>
      </c>
      <c r="Q4">
        <v>1</v>
      </c>
      <c r="X4">
        <v>0.13</v>
      </c>
      <c r="Y4">
        <v>0</v>
      </c>
      <c r="Z4">
        <v>0</v>
      </c>
      <c r="AA4">
        <v>0</v>
      </c>
      <c r="AB4">
        <v>0</v>
      </c>
      <c r="AC4">
        <v>0</v>
      </c>
      <c r="AD4">
        <v>1</v>
      </c>
      <c r="AE4">
        <v>2</v>
      </c>
      <c r="AF4" t="s">
        <v>6</v>
      </c>
      <c r="AG4">
        <v>0.13</v>
      </c>
      <c r="AH4">
        <v>2</v>
      </c>
      <c r="AI4">
        <v>16802493</v>
      </c>
      <c r="AJ4">
        <v>3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ROW(Source!A29)</f>
        <v>29</v>
      </c>
      <c r="B5">
        <v>16802497</v>
      </c>
      <c r="C5">
        <v>16802491</v>
      </c>
      <c r="D5">
        <v>15247974</v>
      </c>
      <c r="E5">
        <v>1</v>
      </c>
      <c r="F5">
        <v>1</v>
      </c>
      <c r="G5">
        <v>1</v>
      </c>
      <c r="H5">
        <v>2</v>
      </c>
      <c r="I5" t="s">
        <v>663</v>
      </c>
      <c r="J5" t="s">
        <v>664</v>
      </c>
      <c r="K5" t="s">
        <v>665</v>
      </c>
      <c r="L5">
        <v>1368</v>
      </c>
      <c r="N5">
        <v>1011</v>
      </c>
      <c r="O5" t="s">
        <v>666</v>
      </c>
      <c r="P5" t="s">
        <v>666</v>
      </c>
      <c r="Q5">
        <v>1</v>
      </c>
      <c r="X5">
        <v>0.13</v>
      </c>
      <c r="Y5">
        <v>0</v>
      </c>
      <c r="Z5">
        <v>31.26</v>
      </c>
      <c r="AA5">
        <v>13.5</v>
      </c>
      <c r="AB5">
        <v>0</v>
      </c>
      <c r="AC5">
        <v>0</v>
      </c>
      <c r="AD5">
        <v>1</v>
      </c>
      <c r="AE5">
        <v>0</v>
      </c>
      <c r="AF5" t="s">
        <v>6</v>
      </c>
      <c r="AG5">
        <v>0.13</v>
      </c>
      <c r="AH5">
        <v>2</v>
      </c>
      <c r="AI5">
        <v>16802494</v>
      </c>
      <c r="AJ5">
        <v>4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ROW(Source!A29)</f>
        <v>29</v>
      </c>
      <c r="B6">
        <v>16802498</v>
      </c>
      <c r="C6">
        <v>16802491</v>
      </c>
      <c r="D6">
        <v>15164566</v>
      </c>
      <c r="E6">
        <v>17</v>
      </c>
      <c r="F6">
        <v>1</v>
      </c>
      <c r="G6">
        <v>1</v>
      </c>
      <c r="H6">
        <v>3</v>
      </c>
      <c r="I6" t="s">
        <v>939</v>
      </c>
      <c r="J6" t="s">
        <v>6</v>
      </c>
      <c r="K6" t="s">
        <v>940</v>
      </c>
      <c r="L6">
        <v>1348</v>
      </c>
      <c r="N6">
        <v>1009</v>
      </c>
      <c r="O6" t="s">
        <v>65</v>
      </c>
      <c r="P6" t="s">
        <v>65</v>
      </c>
      <c r="Q6">
        <v>1000</v>
      </c>
      <c r="X6">
        <v>0.47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 t="s">
        <v>6</v>
      </c>
      <c r="AG6">
        <v>0.47</v>
      </c>
      <c r="AH6">
        <v>3</v>
      </c>
      <c r="AI6">
        <v>-1</v>
      </c>
      <c r="AJ6" t="s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ROW(Source!A30)</f>
        <v>30</v>
      </c>
      <c r="B7">
        <v>16802502</v>
      </c>
      <c r="C7">
        <v>16802500</v>
      </c>
      <c r="D7">
        <v>15430517</v>
      </c>
      <c r="E7">
        <v>1</v>
      </c>
      <c r="F7">
        <v>1</v>
      </c>
      <c r="G7">
        <v>1</v>
      </c>
      <c r="H7">
        <v>1</v>
      </c>
      <c r="I7" t="s">
        <v>658</v>
      </c>
      <c r="J7" t="s">
        <v>6</v>
      </c>
      <c r="K7" t="s">
        <v>659</v>
      </c>
      <c r="L7">
        <v>1191</v>
      </c>
      <c r="N7">
        <v>1013</v>
      </c>
      <c r="O7" t="s">
        <v>660</v>
      </c>
      <c r="P7" t="s">
        <v>660</v>
      </c>
      <c r="Q7">
        <v>1</v>
      </c>
      <c r="X7">
        <v>17.440000000000001</v>
      </c>
      <c r="Y7">
        <v>0</v>
      </c>
      <c r="Z7">
        <v>0</v>
      </c>
      <c r="AA7">
        <v>0</v>
      </c>
      <c r="AB7">
        <v>7.8</v>
      </c>
      <c r="AC7">
        <v>0</v>
      </c>
      <c r="AD7">
        <v>1</v>
      </c>
      <c r="AE7">
        <v>1</v>
      </c>
      <c r="AF7" t="s">
        <v>6</v>
      </c>
      <c r="AG7">
        <v>17.440000000000001</v>
      </c>
      <c r="AH7">
        <v>2</v>
      </c>
      <c r="AI7">
        <v>16802501</v>
      </c>
      <c r="AJ7">
        <v>5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ROW(Source!A30)</f>
        <v>30</v>
      </c>
      <c r="B8">
        <v>16802503</v>
      </c>
      <c r="C8">
        <v>16802500</v>
      </c>
      <c r="D8">
        <v>15164566</v>
      </c>
      <c r="E8">
        <v>17</v>
      </c>
      <c r="F8">
        <v>1</v>
      </c>
      <c r="G8">
        <v>1</v>
      </c>
      <c r="H8">
        <v>3</v>
      </c>
      <c r="I8" t="s">
        <v>939</v>
      </c>
      <c r="J8" t="s">
        <v>6</v>
      </c>
      <c r="K8" t="s">
        <v>940</v>
      </c>
      <c r="L8">
        <v>1348</v>
      </c>
      <c r="N8">
        <v>1009</v>
      </c>
      <c r="O8" t="s">
        <v>65</v>
      </c>
      <c r="P8" t="s">
        <v>65</v>
      </c>
      <c r="Q8">
        <v>1000</v>
      </c>
      <c r="X8">
        <v>4.67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 t="s">
        <v>6</v>
      </c>
      <c r="AG8">
        <v>4.67</v>
      </c>
      <c r="AH8">
        <v>3</v>
      </c>
      <c r="AI8">
        <v>-1</v>
      </c>
      <c r="AJ8" t="s">
        <v>6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ROW(Source!A31)</f>
        <v>31</v>
      </c>
      <c r="B9">
        <v>16802512</v>
      </c>
      <c r="C9">
        <v>16802504</v>
      </c>
      <c r="D9">
        <v>15430767</v>
      </c>
      <c r="E9">
        <v>1</v>
      </c>
      <c r="F9">
        <v>1</v>
      </c>
      <c r="G9">
        <v>1</v>
      </c>
      <c r="H9">
        <v>1</v>
      </c>
      <c r="I9" t="s">
        <v>667</v>
      </c>
      <c r="J9" t="s">
        <v>6</v>
      </c>
      <c r="K9" t="s">
        <v>668</v>
      </c>
      <c r="L9">
        <v>1191</v>
      </c>
      <c r="N9">
        <v>1013</v>
      </c>
      <c r="O9" t="s">
        <v>660</v>
      </c>
      <c r="P9" t="s">
        <v>660</v>
      </c>
      <c r="Q9">
        <v>1</v>
      </c>
      <c r="X9">
        <v>46.19</v>
      </c>
      <c r="Y9">
        <v>0</v>
      </c>
      <c r="Z9">
        <v>0</v>
      </c>
      <c r="AA9">
        <v>0</v>
      </c>
      <c r="AB9">
        <v>8.5299999999999994</v>
      </c>
      <c r="AC9">
        <v>0</v>
      </c>
      <c r="AD9">
        <v>1</v>
      </c>
      <c r="AE9">
        <v>1</v>
      </c>
      <c r="AF9" t="s">
        <v>6</v>
      </c>
      <c r="AG9">
        <v>46.19</v>
      </c>
      <c r="AH9">
        <v>2</v>
      </c>
      <c r="AI9">
        <v>16802505</v>
      </c>
      <c r="AJ9">
        <v>6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ROW(Source!A31)</f>
        <v>31</v>
      </c>
      <c r="B10">
        <v>16802513</v>
      </c>
      <c r="C10">
        <v>16802504</v>
      </c>
      <c r="D10">
        <v>15430395</v>
      </c>
      <c r="E10">
        <v>1</v>
      </c>
      <c r="F10">
        <v>1</v>
      </c>
      <c r="G10">
        <v>1</v>
      </c>
      <c r="H10">
        <v>1</v>
      </c>
      <c r="I10" t="s">
        <v>661</v>
      </c>
      <c r="J10" t="s">
        <v>6</v>
      </c>
      <c r="K10" t="s">
        <v>662</v>
      </c>
      <c r="L10">
        <v>1191</v>
      </c>
      <c r="N10">
        <v>1013</v>
      </c>
      <c r="O10" t="s">
        <v>660</v>
      </c>
      <c r="P10" t="s">
        <v>660</v>
      </c>
      <c r="Q10">
        <v>1</v>
      </c>
      <c r="X10">
        <v>0.01</v>
      </c>
      <c r="Y10">
        <v>0</v>
      </c>
      <c r="Z10">
        <v>0</v>
      </c>
      <c r="AA10">
        <v>0</v>
      </c>
      <c r="AB10">
        <v>0</v>
      </c>
      <c r="AC10">
        <v>0</v>
      </c>
      <c r="AD10">
        <v>1</v>
      </c>
      <c r="AE10">
        <v>2</v>
      </c>
      <c r="AF10" t="s">
        <v>6</v>
      </c>
      <c r="AG10">
        <v>0.01</v>
      </c>
      <c r="AH10">
        <v>2</v>
      </c>
      <c r="AI10">
        <v>16802506</v>
      </c>
      <c r="AJ10">
        <v>7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ROW(Source!A31)</f>
        <v>31</v>
      </c>
      <c r="B11">
        <v>16802514</v>
      </c>
      <c r="C11">
        <v>16802504</v>
      </c>
      <c r="D11">
        <v>15247974</v>
      </c>
      <c r="E11">
        <v>1</v>
      </c>
      <c r="F11">
        <v>1</v>
      </c>
      <c r="G11">
        <v>1</v>
      </c>
      <c r="H11">
        <v>2</v>
      </c>
      <c r="I11" t="s">
        <v>663</v>
      </c>
      <c r="J11" t="s">
        <v>664</v>
      </c>
      <c r="K11" t="s">
        <v>665</v>
      </c>
      <c r="L11">
        <v>1368</v>
      </c>
      <c r="N11">
        <v>1011</v>
      </c>
      <c r="O11" t="s">
        <v>666</v>
      </c>
      <c r="P11" t="s">
        <v>666</v>
      </c>
      <c r="Q11">
        <v>1</v>
      </c>
      <c r="X11">
        <v>0.01</v>
      </c>
      <c r="Y11">
        <v>0</v>
      </c>
      <c r="Z11">
        <v>31.26</v>
      </c>
      <c r="AA11">
        <v>13.5</v>
      </c>
      <c r="AB11">
        <v>0</v>
      </c>
      <c r="AC11">
        <v>0</v>
      </c>
      <c r="AD11">
        <v>1</v>
      </c>
      <c r="AE11">
        <v>0</v>
      </c>
      <c r="AF11" t="s">
        <v>6</v>
      </c>
      <c r="AG11">
        <v>0.01</v>
      </c>
      <c r="AH11">
        <v>2</v>
      </c>
      <c r="AI11">
        <v>16802507</v>
      </c>
      <c r="AJ11">
        <v>8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ROW(Source!A31)</f>
        <v>31</v>
      </c>
      <c r="B12">
        <v>16802515</v>
      </c>
      <c r="C12">
        <v>16802504</v>
      </c>
      <c r="D12">
        <v>15167286</v>
      </c>
      <c r="E12">
        <v>1</v>
      </c>
      <c r="F12">
        <v>1</v>
      </c>
      <c r="G12">
        <v>1</v>
      </c>
      <c r="H12">
        <v>3</v>
      </c>
      <c r="I12" t="s">
        <v>669</v>
      </c>
      <c r="J12" t="s">
        <v>670</v>
      </c>
      <c r="K12" t="s">
        <v>671</v>
      </c>
      <c r="L12">
        <v>1339</v>
      </c>
      <c r="N12">
        <v>1007</v>
      </c>
      <c r="O12" t="s">
        <v>61</v>
      </c>
      <c r="P12" t="s">
        <v>61</v>
      </c>
      <c r="Q12">
        <v>1</v>
      </c>
      <c r="X12">
        <v>0.02</v>
      </c>
      <c r="Y12">
        <v>2.44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0</v>
      </c>
      <c r="AF12" t="s">
        <v>6</v>
      </c>
      <c r="AG12">
        <v>0.02</v>
      </c>
      <c r="AH12">
        <v>2</v>
      </c>
      <c r="AI12">
        <v>16802508</v>
      </c>
      <c r="AJ12">
        <v>9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ROW(Source!A31)</f>
        <v>31</v>
      </c>
      <c r="B13">
        <v>16802516</v>
      </c>
      <c r="C13">
        <v>16802504</v>
      </c>
      <c r="D13">
        <v>15164566</v>
      </c>
      <c r="E13">
        <v>17</v>
      </c>
      <c r="F13">
        <v>1</v>
      </c>
      <c r="G13">
        <v>1</v>
      </c>
      <c r="H13">
        <v>3</v>
      </c>
      <c r="I13" t="s">
        <v>939</v>
      </c>
      <c r="J13" t="s">
        <v>6</v>
      </c>
      <c r="K13" t="s">
        <v>940</v>
      </c>
      <c r="L13">
        <v>1348</v>
      </c>
      <c r="N13">
        <v>1009</v>
      </c>
      <c r="O13" t="s">
        <v>65</v>
      </c>
      <c r="P13" t="s">
        <v>65</v>
      </c>
      <c r="Q13">
        <v>1000</v>
      </c>
      <c r="X13">
        <v>7.0000000000000007E-2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 t="s">
        <v>6</v>
      </c>
      <c r="AG13">
        <v>7.0000000000000007E-2</v>
      </c>
      <c r="AH13">
        <v>3</v>
      </c>
      <c r="AI13">
        <v>-1</v>
      </c>
      <c r="AJ13" t="s">
        <v>6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ROW(Source!A31)</f>
        <v>31</v>
      </c>
      <c r="B14">
        <v>16802517</v>
      </c>
      <c r="C14">
        <v>16802504</v>
      </c>
      <c r="D14">
        <v>15171982</v>
      </c>
      <c r="E14">
        <v>1</v>
      </c>
      <c r="F14">
        <v>1</v>
      </c>
      <c r="G14">
        <v>1</v>
      </c>
      <c r="H14">
        <v>3</v>
      </c>
      <c r="I14" t="s">
        <v>672</v>
      </c>
      <c r="J14" t="s">
        <v>673</v>
      </c>
      <c r="K14" t="s">
        <v>674</v>
      </c>
      <c r="L14">
        <v>1348</v>
      </c>
      <c r="N14">
        <v>1009</v>
      </c>
      <c r="O14" t="s">
        <v>65</v>
      </c>
      <c r="P14" t="s">
        <v>65</v>
      </c>
      <c r="Q14">
        <v>1000</v>
      </c>
      <c r="X14">
        <v>0.05</v>
      </c>
      <c r="Y14">
        <v>729.98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0</v>
      </c>
      <c r="AF14" t="s">
        <v>6</v>
      </c>
      <c r="AG14">
        <v>0.05</v>
      </c>
      <c r="AH14">
        <v>2</v>
      </c>
      <c r="AI14">
        <v>16802509</v>
      </c>
      <c r="AJ14">
        <v>10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ROW(Source!A31)</f>
        <v>31</v>
      </c>
      <c r="B15">
        <v>16802518</v>
      </c>
      <c r="C15">
        <v>16802504</v>
      </c>
      <c r="D15">
        <v>15162551</v>
      </c>
      <c r="E15">
        <v>17</v>
      </c>
      <c r="F15">
        <v>1</v>
      </c>
      <c r="G15">
        <v>1</v>
      </c>
      <c r="H15">
        <v>3</v>
      </c>
      <c r="I15" t="s">
        <v>941</v>
      </c>
      <c r="J15" t="s">
        <v>6</v>
      </c>
      <c r="K15" t="s">
        <v>942</v>
      </c>
      <c r="L15">
        <v>1354</v>
      </c>
      <c r="N15">
        <v>1010</v>
      </c>
      <c r="O15" t="s">
        <v>42</v>
      </c>
      <c r="P15" t="s">
        <v>42</v>
      </c>
      <c r="Q15">
        <v>1</v>
      </c>
      <c r="X15">
        <v>100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 t="s">
        <v>6</v>
      </c>
      <c r="AG15">
        <v>100</v>
      </c>
      <c r="AH15">
        <v>3</v>
      </c>
      <c r="AI15">
        <v>-1</v>
      </c>
      <c r="AJ15" t="s">
        <v>6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ROW(Source!A33)</f>
        <v>33</v>
      </c>
      <c r="B16">
        <v>16802522</v>
      </c>
      <c r="C16">
        <v>16802520</v>
      </c>
      <c r="D16">
        <v>15430517</v>
      </c>
      <c r="E16">
        <v>1</v>
      </c>
      <c r="F16">
        <v>1</v>
      </c>
      <c r="G16">
        <v>1</v>
      </c>
      <c r="H16">
        <v>1</v>
      </c>
      <c r="I16" t="s">
        <v>658</v>
      </c>
      <c r="J16" t="s">
        <v>6</v>
      </c>
      <c r="K16" t="s">
        <v>659</v>
      </c>
      <c r="L16">
        <v>1191</v>
      </c>
      <c r="N16">
        <v>1013</v>
      </c>
      <c r="O16" t="s">
        <v>660</v>
      </c>
      <c r="P16" t="s">
        <v>660</v>
      </c>
      <c r="Q16">
        <v>1</v>
      </c>
      <c r="X16">
        <v>22.82</v>
      </c>
      <c r="Y16">
        <v>0</v>
      </c>
      <c r="Z16">
        <v>0</v>
      </c>
      <c r="AA16">
        <v>0</v>
      </c>
      <c r="AB16">
        <v>7.8</v>
      </c>
      <c r="AC16">
        <v>0</v>
      </c>
      <c r="AD16">
        <v>1</v>
      </c>
      <c r="AE16">
        <v>1</v>
      </c>
      <c r="AF16" t="s">
        <v>6</v>
      </c>
      <c r="AG16">
        <v>22.82</v>
      </c>
      <c r="AH16">
        <v>2</v>
      </c>
      <c r="AI16">
        <v>16802521</v>
      </c>
      <c r="AJ16">
        <v>12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ROW(Source!A34)</f>
        <v>34</v>
      </c>
      <c r="B17">
        <v>16802530</v>
      </c>
      <c r="C17">
        <v>16802523</v>
      </c>
      <c r="D17">
        <v>15430767</v>
      </c>
      <c r="E17">
        <v>1</v>
      </c>
      <c r="F17">
        <v>1</v>
      </c>
      <c r="G17">
        <v>1</v>
      </c>
      <c r="H17">
        <v>1</v>
      </c>
      <c r="I17" t="s">
        <v>667</v>
      </c>
      <c r="J17" t="s">
        <v>6</v>
      </c>
      <c r="K17" t="s">
        <v>668</v>
      </c>
      <c r="L17">
        <v>1191</v>
      </c>
      <c r="N17">
        <v>1013</v>
      </c>
      <c r="O17" t="s">
        <v>660</v>
      </c>
      <c r="P17" t="s">
        <v>660</v>
      </c>
      <c r="Q17">
        <v>1</v>
      </c>
      <c r="X17">
        <v>124.23</v>
      </c>
      <c r="Y17">
        <v>0</v>
      </c>
      <c r="Z17">
        <v>0</v>
      </c>
      <c r="AA17">
        <v>0</v>
      </c>
      <c r="AB17">
        <v>8.5299999999999994</v>
      </c>
      <c r="AC17">
        <v>0</v>
      </c>
      <c r="AD17">
        <v>1</v>
      </c>
      <c r="AE17">
        <v>1</v>
      </c>
      <c r="AF17" t="s">
        <v>6</v>
      </c>
      <c r="AG17">
        <v>124.23</v>
      </c>
      <c r="AH17">
        <v>2</v>
      </c>
      <c r="AI17">
        <v>16802524</v>
      </c>
      <c r="AJ17">
        <v>13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ROW(Source!A34)</f>
        <v>34</v>
      </c>
      <c r="B18">
        <v>16802531</v>
      </c>
      <c r="C18">
        <v>16802523</v>
      </c>
      <c r="D18">
        <v>15249402</v>
      </c>
      <c r="E18">
        <v>1</v>
      </c>
      <c r="F18">
        <v>1</v>
      </c>
      <c r="G18">
        <v>1</v>
      </c>
      <c r="H18">
        <v>2</v>
      </c>
      <c r="I18" t="s">
        <v>675</v>
      </c>
      <c r="J18" t="s">
        <v>676</v>
      </c>
      <c r="K18" t="s">
        <v>677</v>
      </c>
      <c r="L18">
        <v>1368</v>
      </c>
      <c r="N18">
        <v>1011</v>
      </c>
      <c r="O18" t="s">
        <v>666</v>
      </c>
      <c r="P18" t="s">
        <v>666</v>
      </c>
      <c r="Q18">
        <v>1</v>
      </c>
      <c r="X18">
        <v>1.38</v>
      </c>
      <c r="Y18">
        <v>0</v>
      </c>
      <c r="Z18">
        <v>32.5</v>
      </c>
      <c r="AA18">
        <v>0</v>
      </c>
      <c r="AB18">
        <v>0</v>
      </c>
      <c r="AC18">
        <v>0</v>
      </c>
      <c r="AD18">
        <v>1</v>
      </c>
      <c r="AE18">
        <v>0</v>
      </c>
      <c r="AF18" t="s">
        <v>6</v>
      </c>
      <c r="AG18">
        <v>1.38</v>
      </c>
      <c r="AH18">
        <v>2</v>
      </c>
      <c r="AI18">
        <v>16802525</v>
      </c>
      <c r="AJ18">
        <v>14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ROW(Source!A34)</f>
        <v>34</v>
      </c>
      <c r="B19">
        <v>16802532</v>
      </c>
      <c r="C19">
        <v>16802523</v>
      </c>
      <c r="D19">
        <v>15249998</v>
      </c>
      <c r="E19">
        <v>1</v>
      </c>
      <c r="F19">
        <v>1</v>
      </c>
      <c r="G19">
        <v>1</v>
      </c>
      <c r="H19">
        <v>2</v>
      </c>
      <c r="I19" t="s">
        <v>678</v>
      </c>
      <c r="J19" t="s">
        <v>679</v>
      </c>
      <c r="K19" t="s">
        <v>680</v>
      </c>
      <c r="L19">
        <v>1368</v>
      </c>
      <c r="N19">
        <v>1011</v>
      </c>
      <c r="O19" t="s">
        <v>666</v>
      </c>
      <c r="P19" t="s">
        <v>666</v>
      </c>
      <c r="Q19">
        <v>1</v>
      </c>
      <c r="X19">
        <v>1.38</v>
      </c>
      <c r="Y19">
        <v>0</v>
      </c>
      <c r="Z19">
        <v>1.53</v>
      </c>
      <c r="AA19">
        <v>0</v>
      </c>
      <c r="AB19">
        <v>0</v>
      </c>
      <c r="AC19">
        <v>0</v>
      </c>
      <c r="AD19">
        <v>1</v>
      </c>
      <c r="AE19">
        <v>0</v>
      </c>
      <c r="AF19" t="s">
        <v>6</v>
      </c>
      <c r="AG19">
        <v>1.38</v>
      </c>
      <c r="AH19">
        <v>2</v>
      </c>
      <c r="AI19">
        <v>16802526</v>
      </c>
      <c r="AJ19">
        <v>15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ROW(Source!A34)</f>
        <v>34</v>
      </c>
      <c r="B20">
        <v>16802533</v>
      </c>
      <c r="C20">
        <v>16802523</v>
      </c>
      <c r="D20">
        <v>15167286</v>
      </c>
      <c r="E20">
        <v>1</v>
      </c>
      <c r="F20">
        <v>1</v>
      </c>
      <c r="G20">
        <v>1</v>
      </c>
      <c r="H20">
        <v>3</v>
      </c>
      <c r="I20" t="s">
        <v>669</v>
      </c>
      <c r="J20" t="s">
        <v>670</v>
      </c>
      <c r="K20" t="s">
        <v>671</v>
      </c>
      <c r="L20">
        <v>1339</v>
      </c>
      <c r="N20">
        <v>1007</v>
      </c>
      <c r="O20" t="s">
        <v>61</v>
      </c>
      <c r="P20" t="s">
        <v>61</v>
      </c>
      <c r="Q20">
        <v>1</v>
      </c>
      <c r="X20">
        <v>0.1</v>
      </c>
      <c r="Y20">
        <v>2.44</v>
      </c>
      <c r="Z20">
        <v>0</v>
      </c>
      <c r="AA20">
        <v>0</v>
      </c>
      <c r="AB20">
        <v>0</v>
      </c>
      <c r="AC20">
        <v>0</v>
      </c>
      <c r="AD20">
        <v>1</v>
      </c>
      <c r="AE20">
        <v>0</v>
      </c>
      <c r="AF20" t="s">
        <v>6</v>
      </c>
      <c r="AG20">
        <v>0.1</v>
      </c>
      <c r="AH20">
        <v>2</v>
      </c>
      <c r="AI20">
        <v>16802527</v>
      </c>
      <c r="AJ20">
        <v>16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ROW(Source!A34)</f>
        <v>34</v>
      </c>
      <c r="B21">
        <v>16802534</v>
      </c>
      <c r="C21">
        <v>16802523</v>
      </c>
      <c r="D21">
        <v>15164566</v>
      </c>
      <c r="E21">
        <v>17</v>
      </c>
      <c r="F21">
        <v>1</v>
      </c>
      <c r="G21">
        <v>1</v>
      </c>
      <c r="H21">
        <v>3</v>
      </c>
      <c r="I21" t="s">
        <v>939</v>
      </c>
      <c r="J21" t="s">
        <v>6</v>
      </c>
      <c r="K21" t="s">
        <v>940</v>
      </c>
      <c r="L21">
        <v>1348</v>
      </c>
      <c r="N21">
        <v>1009</v>
      </c>
      <c r="O21" t="s">
        <v>65</v>
      </c>
      <c r="P21" t="s">
        <v>65</v>
      </c>
      <c r="Q21">
        <v>1000</v>
      </c>
      <c r="X21">
        <v>1.48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 t="s">
        <v>6</v>
      </c>
      <c r="AG21">
        <v>1.48</v>
      </c>
      <c r="AH21">
        <v>3</v>
      </c>
      <c r="AI21">
        <v>-1</v>
      </c>
      <c r="AJ21" t="s">
        <v>6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ROW(Source!A34)</f>
        <v>34</v>
      </c>
      <c r="B22">
        <v>16802535</v>
      </c>
      <c r="C22">
        <v>16802523</v>
      </c>
      <c r="D22">
        <v>15161975</v>
      </c>
      <c r="E22">
        <v>17</v>
      </c>
      <c r="F22">
        <v>1</v>
      </c>
      <c r="G22">
        <v>1</v>
      </c>
      <c r="H22">
        <v>3</v>
      </c>
      <c r="I22" t="s">
        <v>943</v>
      </c>
      <c r="J22" t="s">
        <v>6</v>
      </c>
      <c r="K22" t="s">
        <v>944</v>
      </c>
      <c r="L22">
        <v>1348</v>
      </c>
      <c r="N22">
        <v>1009</v>
      </c>
      <c r="O22" t="s">
        <v>65</v>
      </c>
      <c r="P22" t="s">
        <v>65</v>
      </c>
      <c r="Q22">
        <v>1000</v>
      </c>
      <c r="X22">
        <v>4.4999999999999998E-2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 t="s">
        <v>6</v>
      </c>
      <c r="AG22">
        <v>4.4999999999999998E-2</v>
      </c>
      <c r="AH22">
        <v>3</v>
      </c>
      <c r="AI22">
        <v>-1</v>
      </c>
      <c r="AJ22" t="s">
        <v>6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ROW(Source!A34)</f>
        <v>34</v>
      </c>
      <c r="B23">
        <v>16802536</v>
      </c>
      <c r="C23">
        <v>16802523</v>
      </c>
      <c r="D23">
        <v>15161703</v>
      </c>
      <c r="E23">
        <v>17</v>
      </c>
      <c r="F23">
        <v>1</v>
      </c>
      <c r="G23">
        <v>1</v>
      </c>
      <c r="H23">
        <v>3</v>
      </c>
      <c r="I23" t="s">
        <v>59</v>
      </c>
      <c r="J23" t="s">
        <v>6</v>
      </c>
      <c r="K23" t="s">
        <v>60</v>
      </c>
      <c r="L23">
        <v>1339</v>
      </c>
      <c r="N23">
        <v>1007</v>
      </c>
      <c r="O23" t="s">
        <v>61</v>
      </c>
      <c r="P23" t="s">
        <v>61</v>
      </c>
      <c r="Q23">
        <v>1</v>
      </c>
      <c r="X23">
        <v>2.14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 t="s">
        <v>6</v>
      </c>
      <c r="AG23">
        <v>2.14</v>
      </c>
      <c r="AH23">
        <v>2</v>
      </c>
      <c r="AI23">
        <v>16802528</v>
      </c>
      <c r="AJ23">
        <v>17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ROW(Source!A37)</f>
        <v>37</v>
      </c>
      <c r="B24">
        <v>16802547</v>
      </c>
      <c r="C24">
        <v>16802539</v>
      </c>
      <c r="D24">
        <v>15430767</v>
      </c>
      <c r="E24">
        <v>1</v>
      </c>
      <c r="F24">
        <v>1</v>
      </c>
      <c r="G24">
        <v>1</v>
      </c>
      <c r="H24">
        <v>1</v>
      </c>
      <c r="I24" t="s">
        <v>667</v>
      </c>
      <c r="J24" t="s">
        <v>6</v>
      </c>
      <c r="K24" t="s">
        <v>668</v>
      </c>
      <c r="L24">
        <v>1191</v>
      </c>
      <c r="N24">
        <v>1013</v>
      </c>
      <c r="O24" t="s">
        <v>660</v>
      </c>
      <c r="P24" t="s">
        <v>660</v>
      </c>
      <c r="Q24">
        <v>1</v>
      </c>
      <c r="X24">
        <v>37.67</v>
      </c>
      <c r="Y24">
        <v>0</v>
      </c>
      <c r="Z24">
        <v>0</v>
      </c>
      <c r="AA24">
        <v>0</v>
      </c>
      <c r="AB24">
        <v>8.5299999999999994</v>
      </c>
      <c r="AC24">
        <v>0</v>
      </c>
      <c r="AD24">
        <v>1</v>
      </c>
      <c r="AE24">
        <v>1</v>
      </c>
      <c r="AF24" t="s">
        <v>72</v>
      </c>
      <c r="AG24">
        <v>43.320499999999996</v>
      </c>
      <c r="AH24">
        <v>2</v>
      </c>
      <c r="AI24">
        <v>16802540</v>
      </c>
      <c r="AJ24">
        <v>19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ROW(Source!A37)</f>
        <v>37</v>
      </c>
      <c r="B25">
        <v>16802548</v>
      </c>
      <c r="C25">
        <v>16802539</v>
      </c>
      <c r="D25">
        <v>15430395</v>
      </c>
      <c r="E25">
        <v>1</v>
      </c>
      <c r="F25">
        <v>1</v>
      </c>
      <c r="G25">
        <v>1</v>
      </c>
      <c r="H25">
        <v>1</v>
      </c>
      <c r="I25" t="s">
        <v>661</v>
      </c>
      <c r="J25" t="s">
        <v>6</v>
      </c>
      <c r="K25" t="s">
        <v>662</v>
      </c>
      <c r="L25">
        <v>1191</v>
      </c>
      <c r="N25">
        <v>1013</v>
      </c>
      <c r="O25" t="s">
        <v>660</v>
      </c>
      <c r="P25" t="s">
        <v>660</v>
      </c>
      <c r="Q25">
        <v>1</v>
      </c>
      <c r="X25">
        <v>0.17</v>
      </c>
      <c r="Y25">
        <v>0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2</v>
      </c>
      <c r="AF25" t="s">
        <v>71</v>
      </c>
      <c r="AG25">
        <v>0.21250000000000002</v>
      </c>
      <c r="AH25">
        <v>2</v>
      </c>
      <c r="AI25">
        <v>16802541</v>
      </c>
      <c r="AJ25">
        <v>20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ROW(Source!A37)</f>
        <v>37</v>
      </c>
      <c r="B26">
        <v>16802549</v>
      </c>
      <c r="C26">
        <v>16802539</v>
      </c>
      <c r="D26">
        <v>15247970</v>
      </c>
      <c r="E26">
        <v>1</v>
      </c>
      <c r="F26">
        <v>1</v>
      </c>
      <c r="G26">
        <v>1</v>
      </c>
      <c r="H26">
        <v>2</v>
      </c>
      <c r="I26" t="s">
        <v>681</v>
      </c>
      <c r="J26" t="s">
        <v>682</v>
      </c>
      <c r="K26" t="s">
        <v>683</v>
      </c>
      <c r="L26">
        <v>1368</v>
      </c>
      <c r="N26">
        <v>1011</v>
      </c>
      <c r="O26" t="s">
        <v>666</v>
      </c>
      <c r="P26" t="s">
        <v>666</v>
      </c>
      <c r="Q26">
        <v>1</v>
      </c>
      <c r="X26">
        <v>0.13</v>
      </c>
      <c r="Y26">
        <v>0</v>
      </c>
      <c r="Z26">
        <v>27.66</v>
      </c>
      <c r="AA26">
        <v>11.6</v>
      </c>
      <c r="AB26">
        <v>0</v>
      </c>
      <c r="AC26">
        <v>0</v>
      </c>
      <c r="AD26">
        <v>1</v>
      </c>
      <c r="AE26">
        <v>0</v>
      </c>
      <c r="AF26" t="s">
        <v>71</v>
      </c>
      <c r="AG26">
        <v>0.16250000000000001</v>
      </c>
      <c r="AH26">
        <v>2</v>
      </c>
      <c r="AI26">
        <v>16802542</v>
      </c>
      <c r="AJ26">
        <v>21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ROW(Source!A37)</f>
        <v>37</v>
      </c>
      <c r="B27">
        <v>16802550</v>
      </c>
      <c r="C27">
        <v>16802539</v>
      </c>
      <c r="D27">
        <v>15249073</v>
      </c>
      <c r="E27">
        <v>1</v>
      </c>
      <c r="F27">
        <v>1</v>
      </c>
      <c r="G27">
        <v>1</v>
      </c>
      <c r="H27">
        <v>2</v>
      </c>
      <c r="I27" t="s">
        <v>684</v>
      </c>
      <c r="J27" t="s">
        <v>685</v>
      </c>
      <c r="K27" t="s">
        <v>686</v>
      </c>
      <c r="L27">
        <v>1368</v>
      </c>
      <c r="N27">
        <v>1011</v>
      </c>
      <c r="O27" t="s">
        <v>666</v>
      </c>
      <c r="P27" t="s">
        <v>666</v>
      </c>
      <c r="Q27">
        <v>1</v>
      </c>
      <c r="X27">
        <v>0.04</v>
      </c>
      <c r="Y27">
        <v>0</v>
      </c>
      <c r="Z27">
        <v>65.709999999999994</v>
      </c>
      <c r="AA27">
        <v>11.6</v>
      </c>
      <c r="AB27">
        <v>0</v>
      </c>
      <c r="AC27">
        <v>0</v>
      </c>
      <c r="AD27">
        <v>1</v>
      </c>
      <c r="AE27">
        <v>0</v>
      </c>
      <c r="AF27" t="s">
        <v>71</v>
      </c>
      <c r="AG27">
        <v>0.05</v>
      </c>
      <c r="AH27">
        <v>2</v>
      </c>
      <c r="AI27">
        <v>16802543</v>
      </c>
      <c r="AJ27">
        <v>22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ROW(Source!A37)</f>
        <v>37</v>
      </c>
      <c r="B28">
        <v>16802551</v>
      </c>
      <c r="C28">
        <v>16802539</v>
      </c>
      <c r="D28">
        <v>15167286</v>
      </c>
      <c r="E28">
        <v>1</v>
      </c>
      <c r="F28">
        <v>1</v>
      </c>
      <c r="G28">
        <v>1</v>
      </c>
      <c r="H28">
        <v>3</v>
      </c>
      <c r="I28" t="s">
        <v>669</v>
      </c>
      <c r="J28" t="s">
        <v>670</v>
      </c>
      <c r="K28" t="s">
        <v>671</v>
      </c>
      <c r="L28">
        <v>1339</v>
      </c>
      <c r="N28">
        <v>1007</v>
      </c>
      <c r="O28" t="s">
        <v>61</v>
      </c>
      <c r="P28" t="s">
        <v>61</v>
      </c>
      <c r="Q28">
        <v>1</v>
      </c>
      <c r="X28">
        <v>0.17399999999999999</v>
      </c>
      <c r="Y28">
        <v>2.44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0</v>
      </c>
      <c r="AF28" t="s">
        <v>6</v>
      </c>
      <c r="AG28">
        <v>0.17399999999999999</v>
      </c>
      <c r="AH28">
        <v>2</v>
      </c>
      <c r="AI28">
        <v>16802544</v>
      </c>
      <c r="AJ28">
        <v>23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ROW(Source!A37)</f>
        <v>37</v>
      </c>
      <c r="B29">
        <v>16802552</v>
      </c>
      <c r="C29">
        <v>16802539</v>
      </c>
      <c r="D29">
        <v>15172906</v>
      </c>
      <c r="E29">
        <v>1</v>
      </c>
      <c r="F29">
        <v>1</v>
      </c>
      <c r="G29">
        <v>1</v>
      </c>
      <c r="H29">
        <v>3</v>
      </c>
      <c r="I29" t="s">
        <v>687</v>
      </c>
      <c r="J29" t="s">
        <v>688</v>
      </c>
      <c r="K29" t="s">
        <v>689</v>
      </c>
      <c r="L29">
        <v>1348</v>
      </c>
      <c r="N29">
        <v>1009</v>
      </c>
      <c r="O29" t="s">
        <v>65</v>
      </c>
      <c r="P29" t="s">
        <v>65</v>
      </c>
      <c r="Q29">
        <v>1000</v>
      </c>
      <c r="X29">
        <v>0.9</v>
      </c>
      <c r="Y29">
        <v>11381.57</v>
      </c>
      <c r="Z29">
        <v>0</v>
      </c>
      <c r="AA29">
        <v>0</v>
      </c>
      <c r="AB29">
        <v>0</v>
      </c>
      <c r="AC29">
        <v>0</v>
      </c>
      <c r="AD29">
        <v>1</v>
      </c>
      <c r="AE29">
        <v>0</v>
      </c>
      <c r="AF29" t="s">
        <v>6</v>
      </c>
      <c r="AG29">
        <v>0.9</v>
      </c>
      <c r="AH29">
        <v>2</v>
      </c>
      <c r="AI29">
        <v>16802545</v>
      </c>
      <c r="AJ29">
        <v>24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ROW(Source!A37)</f>
        <v>37</v>
      </c>
      <c r="B30">
        <v>16802553</v>
      </c>
      <c r="C30">
        <v>16802539</v>
      </c>
      <c r="D30">
        <v>15203485</v>
      </c>
      <c r="E30">
        <v>1</v>
      </c>
      <c r="F30">
        <v>1</v>
      </c>
      <c r="G30">
        <v>1</v>
      </c>
      <c r="H30">
        <v>3</v>
      </c>
      <c r="I30" t="s">
        <v>690</v>
      </c>
      <c r="J30" t="s">
        <v>691</v>
      </c>
      <c r="K30" t="s">
        <v>692</v>
      </c>
      <c r="L30">
        <v>1346</v>
      </c>
      <c r="N30">
        <v>1009</v>
      </c>
      <c r="O30" t="s">
        <v>103</v>
      </c>
      <c r="P30" t="s">
        <v>103</v>
      </c>
      <c r="Q30">
        <v>1</v>
      </c>
      <c r="X30">
        <v>30</v>
      </c>
      <c r="Y30">
        <v>15.25</v>
      </c>
      <c r="Z30">
        <v>0</v>
      </c>
      <c r="AA30">
        <v>0</v>
      </c>
      <c r="AB30">
        <v>0</v>
      </c>
      <c r="AC30">
        <v>0</v>
      </c>
      <c r="AD30">
        <v>1</v>
      </c>
      <c r="AE30">
        <v>0</v>
      </c>
      <c r="AF30" t="s">
        <v>6</v>
      </c>
      <c r="AG30">
        <v>30</v>
      </c>
      <c r="AH30">
        <v>2</v>
      </c>
      <c r="AI30">
        <v>16802546</v>
      </c>
      <c r="AJ30">
        <v>25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ROW(Source!A38)</f>
        <v>38</v>
      </c>
      <c r="B31">
        <v>16802561</v>
      </c>
      <c r="C31">
        <v>16802554</v>
      </c>
      <c r="D31">
        <v>15430767</v>
      </c>
      <c r="E31">
        <v>1</v>
      </c>
      <c r="F31">
        <v>1</v>
      </c>
      <c r="G31">
        <v>1</v>
      </c>
      <c r="H31">
        <v>1</v>
      </c>
      <c r="I31" t="s">
        <v>667</v>
      </c>
      <c r="J31" t="s">
        <v>6</v>
      </c>
      <c r="K31" t="s">
        <v>668</v>
      </c>
      <c r="L31">
        <v>1191</v>
      </c>
      <c r="N31">
        <v>1013</v>
      </c>
      <c r="O31" t="s">
        <v>660</v>
      </c>
      <c r="P31" t="s">
        <v>660</v>
      </c>
      <c r="Q31">
        <v>1</v>
      </c>
      <c r="X31">
        <v>2.42</v>
      </c>
      <c r="Y31">
        <v>0</v>
      </c>
      <c r="Z31">
        <v>0</v>
      </c>
      <c r="AA31">
        <v>0</v>
      </c>
      <c r="AB31">
        <v>8.5299999999999994</v>
      </c>
      <c r="AC31">
        <v>0</v>
      </c>
      <c r="AD31">
        <v>1</v>
      </c>
      <c r="AE31">
        <v>1</v>
      </c>
      <c r="AF31" t="s">
        <v>81</v>
      </c>
      <c r="AG31">
        <v>13.914999999999999</v>
      </c>
      <c r="AH31">
        <v>2</v>
      </c>
      <c r="AI31">
        <v>16802555</v>
      </c>
      <c r="AJ31">
        <v>26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ROW(Source!A38)</f>
        <v>38</v>
      </c>
      <c r="B32">
        <v>16802562</v>
      </c>
      <c r="C32">
        <v>16802554</v>
      </c>
      <c r="D32">
        <v>15430395</v>
      </c>
      <c r="E32">
        <v>1</v>
      </c>
      <c r="F32">
        <v>1</v>
      </c>
      <c r="G32">
        <v>1</v>
      </c>
      <c r="H32">
        <v>1</v>
      </c>
      <c r="I32" t="s">
        <v>661</v>
      </c>
      <c r="J32" t="s">
        <v>6</v>
      </c>
      <c r="K32" t="s">
        <v>662</v>
      </c>
      <c r="L32">
        <v>1191</v>
      </c>
      <c r="N32">
        <v>1013</v>
      </c>
      <c r="O32" t="s">
        <v>660</v>
      </c>
      <c r="P32" t="s">
        <v>660</v>
      </c>
      <c r="Q32">
        <v>1</v>
      </c>
      <c r="X32">
        <v>0.03</v>
      </c>
      <c r="Y32">
        <v>0</v>
      </c>
      <c r="Z32">
        <v>0</v>
      </c>
      <c r="AA32">
        <v>0</v>
      </c>
      <c r="AB32">
        <v>0</v>
      </c>
      <c r="AC32">
        <v>0</v>
      </c>
      <c r="AD32">
        <v>1</v>
      </c>
      <c r="AE32">
        <v>2</v>
      </c>
      <c r="AF32" t="s">
        <v>80</v>
      </c>
      <c r="AG32">
        <v>0.1875</v>
      </c>
      <c r="AH32">
        <v>2</v>
      </c>
      <c r="AI32">
        <v>16802556</v>
      </c>
      <c r="AJ32">
        <v>27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ROW(Source!A38)</f>
        <v>38</v>
      </c>
      <c r="B33">
        <v>16802563</v>
      </c>
      <c r="C33">
        <v>16802554</v>
      </c>
      <c r="D33">
        <v>15247970</v>
      </c>
      <c r="E33">
        <v>1</v>
      </c>
      <c r="F33">
        <v>1</v>
      </c>
      <c r="G33">
        <v>1</v>
      </c>
      <c r="H33">
        <v>2</v>
      </c>
      <c r="I33" t="s">
        <v>681</v>
      </c>
      <c r="J33" t="s">
        <v>682</v>
      </c>
      <c r="K33" t="s">
        <v>683</v>
      </c>
      <c r="L33">
        <v>1368</v>
      </c>
      <c r="N33">
        <v>1011</v>
      </c>
      <c r="O33" t="s">
        <v>666</v>
      </c>
      <c r="P33" t="s">
        <v>666</v>
      </c>
      <c r="Q33">
        <v>1</v>
      </c>
      <c r="X33">
        <v>0.02</v>
      </c>
      <c r="Y33">
        <v>0</v>
      </c>
      <c r="Z33">
        <v>27.66</v>
      </c>
      <c r="AA33">
        <v>11.6</v>
      </c>
      <c r="AB33">
        <v>0</v>
      </c>
      <c r="AC33">
        <v>0</v>
      </c>
      <c r="AD33">
        <v>1</v>
      </c>
      <c r="AE33">
        <v>0</v>
      </c>
      <c r="AF33" t="s">
        <v>80</v>
      </c>
      <c r="AG33">
        <v>0.125</v>
      </c>
      <c r="AH33">
        <v>2</v>
      </c>
      <c r="AI33">
        <v>16802557</v>
      </c>
      <c r="AJ33">
        <v>28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ROW(Source!A38)</f>
        <v>38</v>
      </c>
      <c r="B34">
        <v>16802564</v>
      </c>
      <c r="C34">
        <v>16802554</v>
      </c>
      <c r="D34">
        <v>15249073</v>
      </c>
      <c r="E34">
        <v>1</v>
      </c>
      <c r="F34">
        <v>1</v>
      </c>
      <c r="G34">
        <v>1</v>
      </c>
      <c r="H34">
        <v>2</v>
      </c>
      <c r="I34" t="s">
        <v>684</v>
      </c>
      <c r="J34" t="s">
        <v>685</v>
      </c>
      <c r="K34" t="s">
        <v>686</v>
      </c>
      <c r="L34">
        <v>1368</v>
      </c>
      <c r="N34">
        <v>1011</v>
      </c>
      <c r="O34" t="s">
        <v>666</v>
      </c>
      <c r="P34" t="s">
        <v>666</v>
      </c>
      <c r="Q34">
        <v>1</v>
      </c>
      <c r="X34">
        <v>0.01</v>
      </c>
      <c r="Y34">
        <v>0</v>
      </c>
      <c r="Z34">
        <v>65.709999999999994</v>
      </c>
      <c r="AA34">
        <v>11.6</v>
      </c>
      <c r="AB34">
        <v>0</v>
      </c>
      <c r="AC34">
        <v>0</v>
      </c>
      <c r="AD34">
        <v>1</v>
      </c>
      <c r="AE34">
        <v>0</v>
      </c>
      <c r="AF34" t="s">
        <v>80</v>
      </c>
      <c r="AG34">
        <v>6.25E-2</v>
      </c>
      <c r="AH34">
        <v>2</v>
      </c>
      <c r="AI34">
        <v>16802558</v>
      </c>
      <c r="AJ34">
        <v>29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ROW(Source!A38)</f>
        <v>38</v>
      </c>
      <c r="B35">
        <v>16802565</v>
      </c>
      <c r="C35">
        <v>16802554</v>
      </c>
      <c r="D35">
        <v>15167286</v>
      </c>
      <c r="E35">
        <v>1</v>
      </c>
      <c r="F35">
        <v>1</v>
      </c>
      <c r="G35">
        <v>1</v>
      </c>
      <c r="H35">
        <v>3</v>
      </c>
      <c r="I35" t="s">
        <v>669</v>
      </c>
      <c r="J35" t="s">
        <v>670</v>
      </c>
      <c r="K35" t="s">
        <v>671</v>
      </c>
      <c r="L35">
        <v>1339</v>
      </c>
      <c r="N35">
        <v>1007</v>
      </c>
      <c r="O35" t="s">
        <v>61</v>
      </c>
      <c r="P35" t="s">
        <v>61</v>
      </c>
      <c r="Q35">
        <v>1</v>
      </c>
      <c r="X35">
        <v>0.03</v>
      </c>
      <c r="Y35">
        <v>2.44</v>
      </c>
      <c r="Z35">
        <v>0</v>
      </c>
      <c r="AA35">
        <v>0</v>
      </c>
      <c r="AB35">
        <v>0</v>
      </c>
      <c r="AC35">
        <v>0</v>
      </c>
      <c r="AD35">
        <v>1</v>
      </c>
      <c r="AE35">
        <v>0</v>
      </c>
      <c r="AF35" t="s">
        <v>79</v>
      </c>
      <c r="AG35">
        <v>0.15</v>
      </c>
      <c r="AH35">
        <v>2</v>
      </c>
      <c r="AI35">
        <v>16802559</v>
      </c>
      <c r="AJ35">
        <v>30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ROW(Source!A38)</f>
        <v>38</v>
      </c>
      <c r="B36">
        <v>16802566</v>
      </c>
      <c r="C36">
        <v>16802554</v>
      </c>
      <c r="D36">
        <v>15172906</v>
      </c>
      <c r="E36">
        <v>1</v>
      </c>
      <c r="F36">
        <v>1</v>
      </c>
      <c r="G36">
        <v>1</v>
      </c>
      <c r="H36">
        <v>3</v>
      </c>
      <c r="I36" t="s">
        <v>687</v>
      </c>
      <c r="J36" t="s">
        <v>688</v>
      </c>
      <c r="K36" t="s">
        <v>689</v>
      </c>
      <c r="L36">
        <v>1348</v>
      </c>
      <c r="N36">
        <v>1009</v>
      </c>
      <c r="O36" t="s">
        <v>65</v>
      </c>
      <c r="P36" t="s">
        <v>65</v>
      </c>
      <c r="Q36">
        <v>1000</v>
      </c>
      <c r="X36">
        <v>0.18</v>
      </c>
      <c r="Y36">
        <v>11381.57</v>
      </c>
      <c r="Z36">
        <v>0</v>
      </c>
      <c r="AA36">
        <v>0</v>
      </c>
      <c r="AB36">
        <v>0</v>
      </c>
      <c r="AC36">
        <v>0</v>
      </c>
      <c r="AD36">
        <v>1</v>
      </c>
      <c r="AE36">
        <v>0</v>
      </c>
      <c r="AF36" t="s">
        <v>79</v>
      </c>
      <c r="AG36">
        <v>0.89999999999999991</v>
      </c>
      <c r="AH36">
        <v>2</v>
      </c>
      <c r="AI36">
        <v>16802560</v>
      </c>
      <c r="AJ36">
        <v>31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ROW(Source!A39)</f>
        <v>39</v>
      </c>
      <c r="B37">
        <v>16802577</v>
      </c>
      <c r="C37">
        <v>16802568</v>
      </c>
      <c r="D37">
        <v>15438286</v>
      </c>
      <c r="E37">
        <v>1</v>
      </c>
      <c r="F37">
        <v>1</v>
      </c>
      <c r="G37">
        <v>1</v>
      </c>
      <c r="H37">
        <v>1</v>
      </c>
      <c r="I37" t="s">
        <v>693</v>
      </c>
      <c r="J37" t="s">
        <v>6</v>
      </c>
      <c r="K37" t="s">
        <v>694</v>
      </c>
      <c r="L37">
        <v>1191</v>
      </c>
      <c r="N37">
        <v>1013</v>
      </c>
      <c r="O37" t="s">
        <v>660</v>
      </c>
      <c r="P37" t="s">
        <v>660</v>
      </c>
      <c r="Q37">
        <v>1</v>
      </c>
      <c r="X37">
        <v>3.69</v>
      </c>
      <c r="Y37">
        <v>0</v>
      </c>
      <c r="Z37">
        <v>0</v>
      </c>
      <c r="AA37">
        <v>0</v>
      </c>
      <c r="AB37">
        <v>9.18</v>
      </c>
      <c r="AC37">
        <v>0</v>
      </c>
      <c r="AD37">
        <v>1</v>
      </c>
      <c r="AE37">
        <v>1</v>
      </c>
      <c r="AF37" t="s">
        <v>72</v>
      </c>
      <c r="AG37">
        <v>4.2435</v>
      </c>
      <c r="AH37">
        <v>2</v>
      </c>
      <c r="AI37">
        <v>16802569</v>
      </c>
      <c r="AJ37">
        <v>32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ROW(Source!A39)</f>
        <v>39</v>
      </c>
      <c r="B38">
        <v>16802578</v>
      </c>
      <c r="C38">
        <v>16802568</v>
      </c>
      <c r="D38">
        <v>15430395</v>
      </c>
      <c r="E38">
        <v>1</v>
      </c>
      <c r="F38">
        <v>1</v>
      </c>
      <c r="G38">
        <v>1</v>
      </c>
      <c r="H38">
        <v>1</v>
      </c>
      <c r="I38" t="s">
        <v>661</v>
      </c>
      <c r="J38" t="s">
        <v>6</v>
      </c>
      <c r="K38" t="s">
        <v>662</v>
      </c>
      <c r="L38">
        <v>1191</v>
      </c>
      <c r="N38">
        <v>1013</v>
      </c>
      <c r="O38" t="s">
        <v>660</v>
      </c>
      <c r="P38" t="s">
        <v>660</v>
      </c>
      <c r="Q38">
        <v>1</v>
      </c>
      <c r="X38">
        <v>0.05</v>
      </c>
      <c r="Y38">
        <v>0</v>
      </c>
      <c r="Z38">
        <v>0</v>
      </c>
      <c r="AA38">
        <v>0</v>
      </c>
      <c r="AB38">
        <v>0</v>
      </c>
      <c r="AC38">
        <v>0</v>
      </c>
      <c r="AD38">
        <v>1</v>
      </c>
      <c r="AE38">
        <v>2</v>
      </c>
      <c r="AF38" t="s">
        <v>71</v>
      </c>
      <c r="AG38">
        <v>6.25E-2</v>
      </c>
      <c r="AH38">
        <v>2</v>
      </c>
      <c r="AI38">
        <v>16802570</v>
      </c>
      <c r="AJ38">
        <v>33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ROW(Source!A39)</f>
        <v>39</v>
      </c>
      <c r="B39">
        <v>16802579</v>
      </c>
      <c r="C39">
        <v>16802568</v>
      </c>
      <c r="D39">
        <v>15247970</v>
      </c>
      <c r="E39">
        <v>1</v>
      </c>
      <c r="F39">
        <v>1</v>
      </c>
      <c r="G39">
        <v>1</v>
      </c>
      <c r="H39">
        <v>2</v>
      </c>
      <c r="I39" t="s">
        <v>681</v>
      </c>
      <c r="J39" t="s">
        <v>682</v>
      </c>
      <c r="K39" t="s">
        <v>683</v>
      </c>
      <c r="L39">
        <v>1368</v>
      </c>
      <c r="N39">
        <v>1011</v>
      </c>
      <c r="O39" t="s">
        <v>666</v>
      </c>
      <c r="P39" t="s">
        <v>666</v>
      </c>
      <c r="Q39">
        <v>1</v>
      </c>
      <c r="X39">
        <v>0.01</v>
      </c>
      <c r="Y39">
        <v>0</v>
      </c>
      <c r="Z39">
        <v>27.66</v>
      </c>
      <c r="AA39">
        <v>11.6</v>
      </c>
      <c r="AB39">
        <v>0</v>
      </c>
      <c r="AC39">
        <v>0</v>
      </c>
      <c r="AD39">
        <v>1</v>
      </c>
      <c r="AE39">
        <v>0</v>
      </c>
      <c r="AF39" t="s">
        <v>71</v>
      </c>
      <c r="AG39">
        <v>1.2500000000000001E-2</v>
      </c>
      <c r="AH39">
        <v>2</v>
      </c>
      <c r="AI39">
        <v>16802571</v>
      </c>
      <c r="AJ39">
        <v>34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ROW(Source!A39)</f>
        <v>39</v>
      </c>
      <c r="B40">
        <v>16802580</v>
      </c>
      <c r="C40">
        <v>16802568</v>
      </c>
      <c r="D40">
        <v>15249073</v>
      </c>
      <c r="E40">
        <v>1</v>
      </c>
      <c r="F40">
        <v>1</v>
      </c>
      <c r="G40">
        <v>1</v>
      </c>
      <c r="H40">
        <v>2</v>
      </c>
      <c r="I40" t="s">
        <v>684</v>
      </c>
      <c r="J40" t="s">
        <v>685</v>
      </c>
      <c r="K40" t="s">
        <v>686</v>
      </c>
      <c r="L40">
        <v>1368</v>
      </c>
      <c r="N40">
        <v>1011</v>
      </c>
      <c r="O40" t="s">
        <v>666</v>
      </c>
      <c r="P40" t="s">
        <v>666</v>
      </c>
      <c r="Q40">
        <v>1</v>
      </c>
      <c r="X40">
        <v>0.04</v>
      </c>
      <c r="Y40">
        <v>0</v>
      </c>
      <c r="Z40">
        <v>65.709999999999994</v>
      </c>
      <c r="AA40">
        <v>11.6</v>
      </c>
      <c r="AB40">
        <v>0</v>
      </c>
      <c r="AC40">
        <v>0</v>
      </c>
      <c r="AD40">
        <v>1</v>
      </c>
      <c r="AE40">
        <v>0</v>
      </c>
      <c r="AF40" t="s">
        <v>71</v>
      </c>
      <c r="AG40">
        <v>0.05</v>
      </c>
      <c r="AH40">
        <v>2</v>
      </c>
      <c r="AI40">
        <v>16802572</v>
      </c>
      <c r="AJ40">
        <v>35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ROW(Source!A39)</f>
        <v>39</v>
      </c>
      <c r="B41">
        <v>16802581</v>
      </c>
      <c r="C41">
        <v>16802568</v>
      </c>
      <c r="D41">
        <v>15249933</v>
      </c>
      <c r="E41">
        <v>1</v>
      </c>
      <c r="F41">
        <v>1</v>
      </c>
      <c r="G41">
        <v>1</v>
      </c>
      <c r="H41">
        <v>2</v>
      </c>
      <c r="I41" t="s">
        <v>695</v>
      </c>
      <c r="J41" t="s">
        <v>696</v>
      </c>
      <c r="K41" t="s">
        <v>697</v>
      </c>
      <c r="L41">
        <v>1368</v>
      </c>
      <c r="N41">
        <v>1011</v>
      </c>
      <c r="O41" t="s">
        <v>666</v>
      </c>
      <c r="P41" t="s">
        <v>666</v>
      </c>
      <c r="Q41">
        <v>1</v>
      </c>
      <c r="X41">
        <v>2.82</v>
      </c>
      <c r="Y41">
        <v>0</v>
      </c>
      <c r="Z41">
        <v>6.82</v>
      </c>
      <c r="AA41">
        <v>0</v>
      </c>
      <c r="AB41">
        <v>0</v>
      </c>
      <c r="AC41">
        <v>0</v>
      </c>
      <c r="AD41">
        <v>1</v>
      </c>
      <c r="AE41">
        <v>0</v>
      </c>
      <c r="AF41" t="s">
        <v>71</v>
      </c>
      <c r="AG41">
        <v>3.5249999999999999</v>
      </c>
      <c r="AH41">
        <v>2</v>
      </c>
      <c r="AI41">
        <v>16802573</v>
      </c>
      <c r="AJ41">
        <v>36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ROW(Source!A39)</f>
        <v>39</v>
      </c>
      <c r="B42">
        <v>16802582</v>
      </c>
      <c r="C42">
        <v>16802568</v>
      </c>
      <c r="D42">
        <v>15167286</v>
      </c>
      <c r="E42">
        <v>1</v>
      </c>
      <c r="F42">
        <v>1</v>
      </c>
      <c r="G42">
        <v>1</v>
      </c>
      <c r="H42">
        <v>3</v>
      </c>
      <c r="I42" t="s">
        <v>669</v>
      </c>
      <c r="J42" t="s">
        <v>670</v>
      </c>
      <c r="K42" t="s">
        <v>671</v>
      </c>
      <c r="L42">
        <v>1339</v>
      </c>
      <c r="N42">
        <v>1007</v>
      </c>
      <c r="O42" t="s">
        <v>61</v>
      </c>
      <c r="P42" t="s">
        <v>61</v>
      </c>
      <c r="Q42">
        <v>1</v>
      </c>
      <c r="X42">
        <v>0.01</v>
      </c>
      <c r="Y42">
        <v>2.44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0</v>
      </c>
      <c r="AF42" t="s">
        <v>6</v>
      </c>
      <c r="AG42">
        <v>0.01</v>
      </c>
      <c r="AH42">
        <v>2</v>
      </c>
      <c r="AI42">
        <v>16802574</v>
      </c>
      <c r="AJ42">
        <v>37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ROW(Source!A39)</f>
        <v>39</v>
      </c>
      <c r="B43">
        <v>16802583</v>
      </c>
      <c r="C43">
        <v>16802568</v>
      </c>
      <c r="D43">
        <v>15171018</v>
      </c>
      <c r="E43">
        <v>1</v>
      </c>
      <c r="F43">
        <v>1</v>
      </c>
      <c r="G43">
        <v>1</v>
      </c>
      <c r="H43">
        <v>3</v>
      </c>
      <c r="I43" t="s">
        <v>698</v>
      </c>
      <c r="J43" t="s">
        <v>699</v>
      </c>
      <c r="K43" t="s">
        <v>700</v>
      </c>
      <c r="L43">
        <v>1346</v>
      </c>
      <c r="N43">
        <v>1009</v>
      </c>
      <c r="O43" t="s">
        <v>103</v>
      </c>
      <c r="P43" t="s">
        <v>103</v>
      </c>
      <c r="Q43">
        <v>1</v>
      </c>
      <c r="X43">
        <v>1</v>
      </c>
      <c r="Y43">
        <v>1.82</v>
      </c>
      <c r="Z43">
        <v>0</v>
      </c>
      <c r="AA43">
        <v>0</v>
      </c>
      <c r="AB43">
        <v>0</v>
      </c>
      <c r="AC43">
        <v>0</v>
      </c>
      <c r="AD43">
        <v>1</v>
      </c>
      <c r="AE43">
        <v>0</v>
      </c>
      <c r="AF43" t="s">
        <v>6</v>
      </c>
      <c r="AG43">
        <v>1</v>
      </c>
      <c r="AH43">
        <v>2</v>
      </c>
      <c r="AI43">
        <v>16802575</v>
      </c>
      <c r="AJ43">
        <v>38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ROW(Source!A39)</f>
        <v>39</v>
      </c>
      <c r="B44">
        <v>16802584</v>
      </c>
      <c r="C44">
        <v>16802568</v>
      </c>
      <c r="D44">
        <v>15203485</v>
      </c>
      <c r="E44">
        <v>1</v>
      </c>
      <c r="F44">
        <v>1</v>
      </c>
      <c r="G44">
        <v>1</v>
      </c>
      <c r="H44">
        <v>3</v>
      </c>
      <c r="I44" t="s">
        <v>690</v>
      </c>
      <c r="J44" t="s">
        <v>691</v>
      </c>
      <c r="K44" t="s">
        <v>692</v>
      </c>
      <c r="L44">
        <v>1346</v>
      </c>
      <c r="N44">
        <v>1009</v>
      </c>
      <c r="O44" t="s">
        <v>103</v>
      </c>
      <c r="P44" t="s">
        <v>103</v>
      </c>
      <c r="Q44">
        <v>1</v>
      </c>
      <c r="X44">
        <v>13.8</v>
      </c>
      <c r="Y44">
        <v>15.25</v>
      </c>
      <c r="Z44">
        <v>0</v>
      </c>
      <c r="AA44">
        <v>0</v>
      </c>
      <c r="AB44">
        <v>0</v>
      </c>
      <c r="AC44">
        <v>0</v>
      </c>
      <c r="AD44">
        <v>1</v>
      </c>
      <c r="AE44">
        <v>0</v>
      </c>
      <c r="AF44" t="s">
        <v>6</v>
      </c>
      <c r="AG44">
        <v>13.8</v>
      </c>
      <c r="AH44">
        <v>2</v>
      </c>
      <c r="AI44">
        <v>16802576</v>
      </c>
      <c r="AJ44">
        <v>39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ROW(Source!A40)</f>
        <v>40</v>
      </c>
      <c r="B45">
        <v>16802595</v>
      </c>
      <c r="C45">
        <v>16802585</v>
      </c>
      <c r="D45">
        <v>15432356</v>
      </c>
      <c r="E45">
        <v>1</v>
      </c>
      <c r="F45">
        <v>1</v>
      </c>
      <c r="G45">
        <v>1</v>
      </c>
      <c r="H45">
        <v>1</v>
      </c>
      <c r="I45" t="s">
        <v>701</v>
      </c>
      <c r="J45" t="s">
        <v>6</v>
      </c>
      <c r="K45" t="s">
        <v>702</v>
      </c>
      <c r="L45">
        <v>1191</v>
      </c>
      <c r="N45">
        <v>1013</v>
      </c>
      <c r="O45" t="s">
        <v>660</v>
      </c>
      <c r="P45" t="s">
        <v>660</v>
      </c>
      <c r="Q45">
        <v>1</v>
      </c>
      <c r="X45">
        <v>42.4</v>
      </c>
      <c r="Y45">
        <v>0</v>
      </c>
      <c r="Z45">
        <v>0</v>
      </c>
      <c r="AA45">
        <v>0</v>
      </c>
      <c r="AB45">
        <v>8.31</v>
      </c>
      <c r="AC45">
        <v>0</v>
      </c>
      <c r="AD45">
        <v>1</v>
      </c>
      <c r="AE45">
        <v>1</v>
      </c>
      <c r="AF45" t="s">
        <v>6</v>
      </c>
      <c r="AG45">
        <v>42.4</v>
      </c>
      <c r="AH45">
        <v>2</v>
      </c>
      <c r="AI45">
        <v>16802586</v>
      </c>
      <c r="AJ45">
        <v>40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ROW(Source!A40)</f>
        <v>40</v>
      </c>
      <c r="B46">
        <v>16802596</v>
      </c>
      <c r="C46">
        <v>16802585</v>
      </c>
      <c r="D46">
        <v>15430395</v>
      </c>
      <c r="E46">
        <v>1</v>
      </c>
      <c r="F46">
        <v>1</v>
      </c>
      <c r="G46">
        <v>1</v>
      </c>
      <c r="H46">
        <v>1</v>
      </c>
      <c r="I46" t="s">
        <v>661</v>
      </c>
      <c r="J46" t="s">
        <v>6</v>
      </c>
      <c r="K46" t="s">
        <v>662</v>
      </c>
      <c r="L46">
        <v>1191</v>
      </c>
      <c r="N46">
        <v>1013</v>
      </c>
      <c r="O46" t="s">
        <v>660</v>
      </c>
      <c r="P46" t="s">
        <v>660</v>
      </c>
      <c r="Q46">
        <v>1</v>
      </c>
      <c r="X46">
        <v>0.85</v>
      </c>
      <c r="Y46">
        <v>0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2</v>
      </c>
      <c r="AF46" t="s">
        <v>6</v>
      </c>
      <c r="AG46">
        <v>0.85</v>
      </c>
      <c r="AH46">
        <v>2</v>
      </c>
      <c r="AI46">
        <v>16802587</v>
      </c>
      <c r="AJ46">
        <v>41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ROW(Source!A40)</f>
        <v>40</v>
      </c>
      <c r="B47">
        <v>16802597</v>
      </c>
      <c r="C47">
        <v>16802585</v>
      </c>
      <c r="D47">
        <v>15247974</v>
      </c>
      <c r="E47">
        <v>1</v>
      </c>
      <c r="F47">
        <v>1</v>
      </c>
      <c r="G47">
        <v>1</v>
      </c>
      <c r="H47">
        <v>2</v>
      </c>
      <c r="I47" t="s">
        <v>663</v>
      </c>
      <c r="J47" t="s">
        <v>664</v>
      </c>
      <c r="K47" t="s">
        <v>665</v>
      </c>
      <c r="L47">
        <v>1368</v>
      </c>
      <c r="N47">
        <v>1011</v>
      </c>
      <c r="O47" t="s">
        <v>666</v>
      </c>
      <c r="P47" t="s">
        <v>666</v>
      </c>
      <c r="Q47">
        <v>1</v>
      </c>
      <c r="X47">
        <v>0.35</v>
      </c>
      <c r="Y47">
        <v>0</v>
      </c>
      <c r="Z47">
        <v>31.26</v>
      </c>
      <c r="AA47">
        <v>13.5</v>
      </c>
      <c r="AB47">
        <v>0</v>
      </c>
      <c r="AC47">
        <v>0</v>
      </c>
      <c r="AD47">
        <v>1</v>
      </c>
      <c r="AE47">
        <v>0</v>
      </c>
      <c r="AF47" t="s">
        <v>6</v>
      </c>
      <c r="AG47">
        <v>0.35</v>
      </c>
      <c r="AH47">
        <v>2</v>
      </c>
      <c r="AI47">
        <v>16802588</v>
      </c>
      <c r="AJ47">
        <v>42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ROW(Source!A40)</f>
        <v>40</v>
      </c>
      <c r="B48">
        <v>16802598</v>
      </c>
      <c r="C48">
        <v>16802585</v>
      </c>
      <c r="D48">
        <v>15249073</v>
      </c>
      <c r="E48">
        <v>1</v>
      </c>
      <c r="F48">
        <v>1</v>
      </c>
      <c r="G48">
        <v>1</v>
      </c>
      <c r="H48">
        <v>2</v>
      </c>
      <c r="I48" t="s">
        <v>684</v>
      </c>
      <c r="J48" t="s">
        <v>685</v>
      </c>
      <c r="K48" t="s">
        <v>686</v>
      </c>
      <c r="L48">
        <v>1368</v>
      </c>
      <c r="N48">
        <v>1011</v>
      </c>
      <c r="O48" t="s">
        <v>666</v>
      </c>
      <c r="P48" t="s">
        <v>666</v>
      </c>
      <c r="Q48">
        <v>1</v>
      </c>
      <c r="X48">
        <v>0.5</v>
      </c>
      <c r="Y48">
        <v>0</v>
      </c>
      <c r="Z48">
        <v>65.709999999999994</v>
      </c>
      <c r="AA48">
        <v>11.6</v>
      </c>
      <c r="AB48">
        <v>0</v>
      </c>
      <c r="AC48">
        <v>0</v>
      </c>
      <c r="AD48">
        <v>1</v>
      </c>
      <c r="AE48">
        <v>0</v>
      </c>
      <c r="AF48" t="s">
        <v>6</v>
      </c>
      <c r="AG48">
        <v>0.5</v>
      </c>
      <c r="AH48">
        <v>2</v>
      </c>
      <c r="AI48">
        <v>16802589</v>
      </c>
      <c r="AJ48">
        <v>43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ROW(Source!A40)</f>
        <v>40</v>
      </c>
      <c r="B49">
        <v>16802599</v>
      </c>
      <c r="C49">
        <v>16802585</v>
      </c>
      <c r="D49">
        <v>15162736</v>
      </c>
      <c r="E49">
        <v>17</v>
      </c>
      <c r="F49">
        <v>1</v>
      </c>
      <c r="G49">
        <v>1</v>
      </c>
      <c r="H49">
        <v>3</v>
      </c>
      <c r="I49" t="s">
        <v>93</v>
      </c>
      <c r="J49" t="s">
        <v>6</v>
      </c>
      <c r="K49" t="s">
        <v>94</v>
      </c>
      <c r="L49">
        <v>1327</v>
      </c>
      <c r="N49">
        <v>1005</v>
      </c>
      <c r="O49" t="s">
        <v>95</v>
      </c>
      <c r="P49" t="s">
        <v>95</v>
      </c>
      <c r="Q49">
        <v>1</v>
      </c>
      <c r="X49">
        <v>102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 t="s">
        <v>6</v>
      </c>
      <c r="AG49">
        <v>102</v>
      </c>
      <c r="AH49">
        <v>2</v>
      </c>
      <c r="AI49">
        <v>16802590</v>
      </c>
      <c r="AJ49">
        <v>44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ROW(Source!A40)</f>
        <v>40</v>
      </c>
      <c r="B50">
        <v>16802600</v>
      </c>
      <c r="C50">
        <v>16802585</v>
      </c>
      <c r="D50">
        <v>15171018</v>
      </c>
      <c r="E50">
        <v>1</v>
      </c>
      <c r="F50">
        <v>1</v>
      </c>
      <c r="G50">
        <v>1</v>
      </c>
      <c r="H50">
        <v>3</v>
      </c>
      <c r="I50" t="s">
        <v>698</v>
      </c>
      <c r="J50" t="s">
        <v>699</v>
      </c>
      <c r="K50" t="s">
        <v>700</v>
      </c>
      <c r="L50">
        <v>1346</v>
      </c>
      <c r="N50">
        <v>1009</v>
      </c>
      <c r="O50" t="s">
        <v>103</v>
      </c>
      <c r="P50" t="s">
        <v>103</v>
      </c>
      <c r="Q50">
        <v>1</v>
      </c>
      <c r="X50">
        <v>0.5</v>
      </c>
      <c r="Y50">
        <v>1.82</v>
      </c>
      <c r="Z50">
        <v>0</v>
      </c>
      <c r="AA50">
        <v>0</v>
      </c>
      <c r="AB50">
        <v>0</v>
      </c>
      <c r="AC50">
        <v>0</v>
      </c>
      <c r="AD50">
        <v>1</v>
      </c>
      <c r="AE50">
        <v>0</v>
      </c>
      <c r="AF50" t="s">
        <v>6</v>
      </c>
      <c r="AG50">
        <v>0.5</v>
      </c>
      <c r="AH50">
        <v>2</v>
      </c>
      <c r="AI50">
        <v>16802592</v>
      </c>
      <c r="AJ50">
        <v>46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ROW(Source!A40)</f>
        <v>40</v>
      </c>
      <c r="B51">
        <v>16802601</v>
      </c>
      <c r="C51">
        <v>16802585</v>
      </c>
      <c r="D51">
        <v>15162257</v>
      </c>
      <c r="E51">
        <v>17</v>
      </c>
      <c r="F51">
        <v>1</v>
      </c>
      <c r="G51">
        <v>1</v>
      </c>
      <c r="H51">
        <v>3</v>
      </c>
      <c r="I51" t="s">
        <v>101</v>
      </c>
      <c r="J51" t="s">
        <v>6</v>
      </c>
      <c r="K51" t="s">
        <v>102</v>
      </c>
      <c r="L51">
        <v>1346</v>
      </c>
      <c r="N51">
        <v>1009</v>
      </c>
      <c r="O51" t="s">
        <v>103</v>
      </c>
      <c r="P51" t="s">
        <v>103</v>
      </c>
      <c r="Q51">
        <v>1</v>
      </c>
      <c r="X51">
        <v>50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 t="s">
        <v>6</v>
      </c>
      <c r="AG51">
        <v>50</v>
      </c>
      <c r="AH51">
        <v>2</v>
      </c>
      <c r="AI51">
        <v>16802594</v>
      </c>
      <c r="AJ51">
        <v>48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ROW(Source!A45)</f>
        <v>45</v>
      </c>
      <c r="B52">
        <v>16802626</v>
      </c>
      <c r="C52">
        <v>16802606</v>
      </c>
      <c r="D52">
        <v>15438286</v>
      </c>
      <c r="E52">
        <v>1</v>
      </c>
      <c r="F52">
        <v>1</v>
      </c>
      <c r="G52">
        <v>1</v>
      </c>
      <c r="H52">
        <v>1</v>
      </c>
      <c r="I52" t="s">
        <v>693</v>
      </c>
      <c r="J52" t="s">
        <v>6</v>
      </c>
      <c r="K52" t="s">
        <v>694</v>
      </c>
      <c r="L52">
        <v>1191</v>
      </c>
      <c r="N52">
        <v>1013</v>
      </c>
      <c r="O52" t="s">
        <v>660</v>
      </c>
      <c r="P52" t="s">
        <v>660</v>
      </c>
      <c r="Q52">
        <v>1</v>
      </c>
      <c r="X52">
        <v>6.68</v>
      </c>
      <c r="Y52">
        <v>0</v>
      </c>
      <c r="Z52">
        <v>0</v>
      </c>
      <c r="AA52">
        <v>0</v>
      </c>
      <c r="AB52">
        <v>9.18</v>
      </c>
      <c r="AC52">
        <v>0</v>
      </c>
      <c r="AD52">
        <v>1</v>
      </c>
      <c r="AE52">
        <v>1</v>
      </c>
      <c r="AF52" t="s">
        <v>72</v>
      </c>
      <c r="AG52">
        <v>7.6819999999999995</v>
      </c>
      <c r="AH52">
        <v>2</v>
      </c>
      <c r="AI52">
        <v>16802607</v>
      </c>
      <c r="AJ52">
        <v>49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ROW(Source!A45)</f>
        <v>45</v>
      </c>
      <c r="B53">
        <v>16802627</v>
      </c>
      <c r="C53">
        <v>16802606</v>
      </c>
      <c r="D53">
        <v>15430395</v>
      </c>
      <c r="E53">
        <v>1</v>
      </c>
      <c r="F53">
        <v>1</v>
      </c>
      <c r="G53">
        <v>1</v>
      </c>
      <c r="H53">
        <v>1</v>
      </c>
      <c r="I53" t="s">
        <v>661</v>
      </c>
      <c r="J53" t="s">
        <v>6</v>
      </c>
      <c r="K53" t="s">
        <v>662</v>
      </c>
      <c r="L53">
        <v>1191</v>
      </c>
      <c r="N53">
        <v>1013</v>
      </c>
      <c r="O53" t="s">
        <v>660</v>
      </c>
      <c r="P53" t="s">
        <v>660</v>
      </c>
      <c r="Q53">
        <v>1</v>
      </c>
      <c r="X53">
        <v>0.04</v>
      </c>
      <c r="Y53">
        <v>0</v>
      </c>
      <c r="Z53">
        <v>0</v>
      </c>
      <c r="AA53">
        <v>0</v>
      </c>
      <c r="AB53">
        <v>0</v>
      </c>
      <c r="AC53">
        <v>0</v>
      </c>
      <c r="AD53">
        <v>1</v>
      </c>
      <c r="AE53">
        <v>2</v>
      </c>
      <c r="AF53" t="s">
        <v>71</v>
      </c>
      <c r="AG53">
        <v>0.05</v>
      </c>
      <c r="AH53">
        <v>2</v>
      </c>
      <c r="AI53">
        <v>16802608</v>
      </c>
      <c r="AJ53">
        <v>50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ROW(Source!A45)</f>
        <v>45</v>
      </c>
      <c r="B54">
        <v>16802628</v>
      </c>
      <c r="C54">
        <v>16802606</v>
      </c>
      <c r="D54">
        <v>15247974</v>
      </c>
      <c r="E54">
        <v>1</v>
      </c>
      <c r="F54">
        <v>1</v>
      </c>
      <c r="G54">
        <v>1</v>
      </c>
      <c r="H54">
        <v>2</v>
      </c>
      <c r="I54" t="s">
        <v>663</v>
      </c>
      <c r="J54" t="s">
        <v>664</v>
      </c>
      <c r="K54" t="s">
        <v>665</v>
      </c>
      <c r="L54">
        <v>1368</v>
      </c>
      <c r="N54">
        <v>1011</v>
      </c>
      <c r="O54" t="s">
        <v>666</v>
      </c>
      <c r="P54" t="s">
        <v>666</v>
      </c>
      <c r="Q54">
        <v>1</v>
      </c>
      <c r="X54">
        <v>5.0000000000000001E-3</v>
      </c>
      <c r="Y54">
        <v>0</v>
      </c>
      <c r="Z54">
        <v>31.26</v>
      </c>
      <c r="AA54">
        <v>13.5</v>
      </c>
      <c r="AB54">
        <v>0</v>
      </c>
      <c r="AC54">
        <v>0</v>
      </c>
      <c r="AD54">
        <v>1</v>
      </c>
      <c r="AE54">
        <v>0</v>
      </c>
      <c r="AF54" t="s">
        <v>71</v>
      </c>
      <c r="AG54">
        <v>6.2500000000000003E-3</v>
      </c>
      <c r="AH54">
        <v>2</v>
      </c>
      <c r="AI54">
        <v>16802609</v>
      </c>
      <c r="AJ54">
        <v>51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ROW(Source!A45)</f>
        <v>45</v>
      </c>
      <c r="B55">
        <v>16802629</v>
      </c>
      <c r="C55">
        <v>16802606</v>
      </c>
      <c r="D55">
        <v>15249073</v>
      </c>
      <c r="E55">
        <v>1</v>
      </c>
      <c r="F55">
        <v>1</v>
      </c>
      <c r="G55">
        <v>1</v>
      </c>
      <c r="H55">
        <v>2</v>
      </c>
      <c r="I55" t="s">
        <v>684</v>
      </c>
      <c r="J55" t="s">
        <v>685</v>
      </c>
      <c r="K55" t="s">
        <v>686</v>
      </c>
      <c r="L55">
        <v>1368</v>
      </c>
      <c r="N55">
        <v>1011</v>
      </c>
      <c r="O55" t="s">
        <v>666</v>
      </c>
      <c r="P55" t="s">
        <v>666</v>
      </c>
      <c r="Q55">
        <v>1</v>
      </c>
      <c r="X55">
        <v>0.03</v>
      </c>
      <c r="Y55">
        <v>0</v>
      </c>
      <c r="Z55">
        <v>65.709999999999994</v>
      </c>
      <c r="AA55">
        <v>11.6</v>
      </c>
      <c r="AB55">
        <v>0</v>
      </c>
      <c r="AC55">
        <v>0</v>
      </c>
      <c r="AD55">
        <v>1</v>
      </c>
      <c r="AE55">
        <v>0</v>
      </c>
      <c r="AF55" t="s">
        <v>71</v>
      </c>
      <c r="AG55">
        <v>3.7499999999999999E-2</v>
      </c>
      <c r="AH55">
        <v>2</v>
      </c>
      <c r="AI55">
        <v>16802610</v>
      </c>
      <c r="AJ55">
        <v>52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ROW(Source!A45)</f>
        <v>45</v>
      </c>
      <c r="B56">
        <v>16802630</v>
      </c>
      <c r="C56">
        <v>16802606</v>
      </c>
      <c r="D56">
        <v>15169972</v>
      </c>
      <c r="E56">
        <v>1</v>
      </c>
      <c r="F56">
        <v>1</v>
      </c>
      <c r="G56">
        <v>1</v>
      </c>
      <c r="H56">
        <v>3</v>
      </c>
      <c r="I56" t="s">
        <v>703</v>
      </c>
      <c r="J56" t="s">
        <v>704</v>
      </c>
      <c r="K56" t="s">
        <v>705</v>
      </c>
      <c r="L56">
        <v>1355</v>
      </c>
      <c r="N56">
        <v>1010</v>
      </c>
      <c r="O56" t="s">
        <v>126</v>
      </c>
      <c r="P56" t="s">
        <v>126</v>
      </c>
      <c r="Q56">
        <v>100</v>
      </c>
      <c r="X56">
        <v>2.63</v>
      </c>
      <c r="Y56">
        <v>12</v>
      </c>
      <c r="Z56">
        <v>0</v>
      </c>
      <c r="AA56">
        <v>0</v>
      </c>
      <c r="AB56">
        <v>0</v>
      </c>
      <c r="AC56">
        <v>0</v>
      </c>
      <c r="AD56">
        <v>1</v>
      </c>
      <c r="AE56">
        <v>0</v>
      </c>
      <c r="AF56" t="s">
        <v>6</v>
      </c>
      <c r="AG56">
        <v>2.63</v>
      </c>
      <c r="AH56">
        <v>2</v>
      </c>
      <c r="AI56">
        <v>16802611</v>
      </c>
      <c r="AJ56">
        <v>53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ROW(Source!A45)</f>
        <v>45</v>
      </c>
      <c r="B57">
        <v>16802631</v>
      </c>
      <c r="C57">
        <v>16802606</v>
      </c>
      <c r="D57">
        <v>15170075</v>
      </c>
      <c r="E57">
        <v>1</v>
      </c>
      <c r="F57">
        <v>1</v>
      </c>
      <c r="G57">
        <v>1</v>
      </c>
      <c r="H57">
        <v>3</v>
      </c>
      <c r="I57" t="s">
        <v>706</v>
      </c>
      <c r="J57" t="s">
        <v>707</v>
      </c>
      <c r="K57" t="s">
        <v>708</v>
      </c>
      <c r="L57">
        <v>1356</v>
      </c>
      <c r="N57">
        <v>1010</v>
      </c>
      <c r="O57" t="s">
        <v>709</v>
      </c>
      <c r="P57" t="s">
        <v>709</v>
      </c>
      <c r="Q57">
        <v>1000</v>
      </c>
      <c r="X57">
        <v>0.26300000000000001</v>
      </c>
      <c r="Y57">
        <v>160</v>
      </c>
      <c r="Z57">
        <v>0</v>
      </c>
      <c r="AA57">
        <v>0</v>
      </c>
      <c r="AB57">
        <v>0</v>
      </c>
      <c r="AC57">
        <v>0</v>
      </c>
      <c r="AD57">
        <v>1</v>
      </c>
      <c r="AE57">
        <v>0</v>
      </c>
      <c r="AF57" t="s">
        <v>6</v>
      </c>
      <c r="AG57">
        <v>0.26300000000000001</v>
      </c>
      <c r="AH57">
        <v>2</v>
      </c>
      <c r="AI57">
        <v>16802612</v>
      </c>
      <c r="AJ57">
        <v>54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ROW(Source!A45)</f>
        <v>45</v>
      </c>
      <c r="B58">
        <v>16802632</v>
      </c>
      <c r="C58">
        <v>16802606</v>
      </c>
      <c r="D58">
        <v>15162756</v>
      </c>
      <c r="E58">
        <v>17</v>
      </c>
      <c r="F58">
        <v>1</v>
      </c>
      <c r="G58">
        <v>1</v>
      </c>
      <c r="H58">
        <v>3</v>
      </c>
      <c r="I58" t="s">
        <v>113</v>
      </c>
      <c r="J58" t="s">
        <v>6</v>
      </c>
      <c r="K58" t="s">
        <v>114</v>
      </c>
      <c r="L58">
        <v>1301</v>
      </c>
      <c r="N58">
        <v>1003</v>
      </c>
      <c r="O58" t="s">
        <v>115</v>
      </c>
      <c r="P58" t="s">
        <v>115</v>
      </c>
      <c r="Q58">
        <v>1</v>
      </c>
      <c r="X58">
        <v>101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 t="s">
        <v>6</v>
      </c>
      <c r="AG58">
        <v>101</v>
      </c>
      <c r="AH58">
        <v>2</v>
      </c>
      <c r="AI58">
        <v>16802613</v>
      </c>
      <c r="AJ58">
        <v>55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ROW(Source!A45)</f>
        <v>45</v>
      </c>
      <c r="B59">
        <v>16802633</v>
      </c>
      <c r="C59">
        <v>16802606</v>
      </c>
      <c r="D59">
        <v>15162759</v>
      </c>
      <c r="E59">
        <v>17</v>
      </c>
      <c r="F59">
        <v>1</v>
      </c>
      <c r="G59">
        <v>1</v>
      </c>
      <c r="H59">
        <v>3</v>
      </c>
      <c r="I59" t="s">
        <v>121</v>
      </c>
      <c r="J59" t="s">
        <v>6</v>
      </c>
      <c r="K59" t="s">
        <v>122</v>
      </c>
      <c r="L59">
        <v>1354</v>
      </c>
      <c r="N59">
        <v>1010</v>
      </c>
      <c r="O59" t="s">
        <v>42</v>
      </c>
      <c r="P59" t="s">
        <v>42</v>
      </c>
      <c r="Q59">
        <v>1</v>
      </c>
      <c r="X59">
        <v>7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 t="s">
        <v>6</v>
      </c>
      <c r="AG59">
        <v>7</v>
      </c>
      <c r="AH59">
        <v>2</v>
      </c>
      <c r="AI59">
        <v>16802616</v>
      </c>
      <c r="AJ59">
        <v>57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ROW(Source!A45)</f>
        <v>45</v>
      </c>
      <c r="B60">
        <v>16802634</v>
      </c>
      <c r="C60">
        <v>16802606</v>
      </c>
      <c r="D60">
        <v>15162759</v>
      </c>
      <c r="E60">
        <v>17</v>
      </c>
      <c r="F60">
        <v>1</v>
      </c>
      <c r="G60">
        <v>1</v>
      </c>
      <c r="H60">
        <v>3</v>
      </c>
      <c r="I60" t="s">
        <v>121</v>
      </c>
      <c r="J60" t="s">
        <v>6</v>
      </c>
      <c r="K60" t="s">
        <v>145</v>
      </c>
      <c r="L60">
        <v>1354</v>
      </c>
      <c r="N60">
        <v>1010</v>
      </c>
      <c r="O60" t="s">
        <v>42</v>
      </c>
      <c r="P60" t="s">
        <v>42</v>
      </c>
      <c r="Q60">
        <v>1</v>
      </c>
      <c r="X60">
        <v>7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 t="s">
        <v>6</v>
      </c>
      <c r="AG60">
        <v>7</v>
      </c>
      <c r="AH60">
        <v>2</v>
      </c>
      <c r="AI60">
        <v>16802617</v>
      </c>
      <c r="AJ60">
        <v>58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ROW(Source!A45)</f>
        <v>45</v>
      </c>
      <c r="B61">
        <v>16802635</v>
      </c>
      <c r="C61">
        <v>16802606</v>
      </c>
      <c r="D61">
        <v>15162759</v>
      </c>
      <c r="E61">
        <v>17</v>
      </c>
      <c r="F61">
        <v>1</v>
      </c>
      <c r="G61">
        <v>1</v>
      </c>
      <c r="H61">
        <v>3</v>
      </c>
      <c r="I61" t="s">
        <v>121</v>
      </c>
      <c r="J61" t="s">
        <v>6</v>
      </c>
      <c r="K61" t="s">
        <v>147</v>
      </c>
      <c r="L61">
        <v>1354</v>
      </c>
      <c r="N61">
        <v>1010</v>
      </c>
      <c r="O61" t="s">
        <v>42</v>
      </c>
      <c r="P61" t="s">
        <v>42</v>
      </c>
      <c r="Q61">
        <v>1</v>
      </c>
      <c r="X61">
        <v>40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 t="s">
        <v>6</v>
      </c>
      <c r="AG61">
        <v>40</v>
      </c>
      <c r="AH61">
        <v>2</v>
      </c>
      <c r="AI61">
        <v>16802618</v>
      </c>
      <c r="AJ61">
        <v>59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ROW(Source!A45)</f>
        <v>45</v>
      </c>
      <c r="B62">
        <v>16802636</v>
      </c>
      <c r="C62">
        <v>16802606</v>
      </c>
      <c r="D62">
        <v>15162759</v>
      </c>
      <c r="E62">
        <v>17</v>
      </c>
      <c r="F62">
        <v>1</v>
      </c>
      <c r="G62">
        <v>1</v>
      </c>
      <c r="H62">
        <v>3</v>
      </c>
      <c r="I62" t="s">
        <v>121</v>
      </c>
      <c r="J62" t="s">
        <v>6</v>
      </c>
      <c r="K62" t="s">
        <v>149</v>
      </c>
      <c r="L62">
        <v>1354</v>
      </c>
      <c r="N62">
        <v>1010</v>
      </c>
      <c r="O62" t="s">
        <v>42</v>
      </c>
      <c r="P62" t="s">
        <v>42</v>
      </c>
      <c r="Q62">
        <v>1</v>
      </c>
      <c r="X62">
        <v>8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 t="s">
        <v>6</v>
      </c>
      <c r="AG62">
        <v>8</v>
      </c>
      <c r="AH62">
        <v>2</v>
      </c>
      <c r="AI62">
        <v>16802619</v>
      </c>
      <c r="AJ62">
        <v>60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ROW(Source!A45)</f>
        <v>45</v>
      </c>
      <c r="B63">
        <v>16802637</v>
      </c>
      <c r="C63">
        <v>16802606</v>
      </c>
      <c r="D63">
        <v>15162759</v>
      </c>
      <c r="E63">
        <v>17</v>
      </c>
      <c r="F63">
        <v>1</v>
      </c>
      <c r="G63">
        <v>1</v>
      </c>
      <c r="H63">
        <v>3</v>
      </c>
      <c r="I63" t="s">
        <v>121</v>
      </c>
      <c r="J63" t="s">
        <v>6</v>
      </c>
      <c r="K63" t="s">
        <v>151</v>
      </c>
      <c r="L63">
        <v>1354</v>
      </c>
      <c r="N63">
        <v>1010</v>
      </c>
      <c r="O63" t="s">
        <v>42</v>
      </c>
      <c r="P63" t="s">
        <v>42</v>
      </c>
      <c r="Q63">
        <v>1</v>
      </c>
      <c r="X63">
        <v>8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 t="s">
        <v>6</v>
      </c>
      <c r="AG63">
        <v>8</v>
      </c>
      <c r="AH63">
        <v>2</v>
      </c>
      <c r="AI63">
        <v>16802620</v>
      </c>
      <c r="AJ63">
        <v>61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ROW(Source!A58)</f>
        <v>58</v>
      </c>
      <c r="B64">
        <v>16802656</v>
      </c>
      <c r="C64">
        <v>16802650</v>
      </c>
      <c r="D64">
        <v>15436014</v>
      </c>
      <c r="E64">
        <v>1</v>
      </c>
      <c r="F64">
        <v>1</v>
      </c>
      <c r="G64">
        <v>1</v>
      </c>
      <c r="H64">
        <v>1</v>
      </c>
      <c r="I64" t="s">
        <v>710</v>
      </c>
      <c r="J64" t="s">
        <v>6</v>
      </c>
      <c r="K64" t="s">
        <v>711</v>
      </c>
      <c r="L64">
        <v>1191</v>
      </c>
      <c r="N64">
        <v>1013</v>
      </c>
      <c r="O64" t="s">
        <v>660</v>
      </c>
      <c r="P64" t="s">
        <v>660</v>
      </c>
      <c r="Q64">
        <v>1</v>
      </c>
      <c r="X64">
        <v>16.64</v>
      </c>
      <c r="Y64">
        <v>0</v>
      </c>
      <c r="Z64">
        <v>0</v>
      </c>
      <c r="AA64">
        <v>0</v>
      </c>
      <c r="AB64">
        <v>8.74</v>
      </c>
      <c r="AC64">
        <v>0</v>
      </c>
      <c r="AD64">
        <v>1</v>
      </c>
      <c r="AE64">
        <v>1</v>
      </c>
      <c r="AF64" t="s">
        <v>72</v>
      </c>
      <c r="AG64">
        <v>19.135999999999999</v>
      </c>
      <c r="AH64">
        <v>2</v>
      </c>
      <c r="AI64">
        <v>16802651</v>
      </c>
      <c r="AJ64">
        <v>67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ROW(Source!A58)</f>
        <v>58</v>
      </c>
      <c r="B65">
        <v>16802657</v>
      </c>
      <c r="C65">
        <v>16802650</v>
      </c>
      <c r="D65">
        <v>15169972</v>
      </c>
      <c r="E65">
        <v>1</v>
      </c>
      <c r="F65">
        <v>1</v>
      </c>
      <c r="G65">
        <v>1</v>
      </c>
      <c r="H65">
        <v>3</v>
      </c>
      <c r="I65" t="s">
        <v>703</v>
      </c>
      <c r="J65" t="s">
        <v>704</v>
      </c>
      <c r="K65" t="s">
        <v>705</v>
      </c>
      <c r="L65">
        <v>1355</v>
      </c>
      <c r="N65">
        <v>1010</v>
      </c>
      <c r="O65" t="s">
        <v>126</v>
      </c>
      <c r="P65" t="s">
        <v>126</v>
      </c>
      <c r="Q65">
        <v>100</v>
      </c>
      <c r="X65">
        <v>6.7</v>
      </c>
      <c r="Y65">
        <v>12</v>
      </c>
      <c r="Z65">
        <v>0</v>
      </c>
      <c r="AA65">
        <v>0</v>
      </c>
      <c r="AB65">
        <v>0</v>
      </c>
      <c r="AC65">
        <v>0</v>
      </c>
      <c r="AD65">
        <v>1</v>
      </c>
      <c r="AE65">
        <v>0</v>
      </c>
      <c r="AF65" t="s">
        <v>6</v>
      </c>
      <c r="AG65">
        <v>6.7</v>
      </c>
      <c r="AH65">
        <v>2</v>
      </c>
      <c r="AI65">
        <v>16802652</v>
      </c>
      <c r="AJ65">
        <v>68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ROW(Source!A58)</f>
        <v>58</v>
      </c>
      <c r="B66">
        <v>16802658</v>
      </c>
      <c r="C66">
        <v>16802650</v>
      </c>
      <c r="D66">
        <v>15162775</v>
      </c>
      <c r="E66">
        <v>17</v>
      </c>
      <c r="F66">
        <v>1</v>
      </c>
      <c r="G66">
        <v>1</v>
      </c>
      <c r="H66">
        <v>3</v>
      </c>
      <c r="I66" t="s">
        <v>165</v>
      </c>
      <c r="J66" t="s">
        <v>6</v>
      </c>
      <c r="K66" t="s">
        <v>166</v>
      </c>
      <c r="L66">
        <v>1301</v>
      </c>
      <c r="N66">
        <v>1003</v>
      </c>
      <c r="O66" t="s">
        <v>115</v>
      </c>
      <c r="P66" t="s">
        <v>115</v>
      </c>
      <c r="Q66">
        <v>1</v>
      </c>
      <c r="X66">
        <v>105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 t="s">
        <v>6</v>
      </c>
      <c r="AG66">
        <v>105</v>
      </c>
      <c r="AH66">
        <v>2</v>
      </c>
      <c r="AI66">
        <v>16802653</v>
      </c>
      <c r="AJ66">
        <v>69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ROW(Source!A62)</f>
        <v>62</v>
      </c>
      <c r="B67">
        <v>16807781</v>
      </c>
      <c r="C67">
        <v>16807780</v>
      </c>
      <c r="D67">
        <v>15430767</v>
      </c>
      <c r="E67">
        <v>1</v>
      </c>
      <c r="F67">
        <v>1</v>
      </c>
      <c r="G67">
        <v>1</v>
      </c>
      <c r="H67">
        <v>1</v>
      </c>
      <c r="I67" t="s">
        <v>667</v>
      </c>
      <c r="J67" t="s">
        <v>6</v>
      </c>
      <c r="K67" t="s">
        <v>668</v>
      </c>
      <c r="L67">
        <v>1191</v>
      </c>
      <c r="N67">
        <v>1013</v>
      </c>
      <c r="O67" t="s">
        <v>660</v>
      </c>
      <c r="P67" t="s">
        <v>660</v>
      </c>
      <c r="Q67">
        <v>1</v>
      </c>
      <c r="X67">
        <v>32.49</v>
      </c>
      <c r="Y67">
        <v>0</v>
      </c>
      <c r="Z67">
        <v>0</v>
      </c>
      <c r="AA67">
        <v>0</v>
      </c>
      <c r="AB67">
        <v>8.5299999999999994</v>
      </c>
      <c r="AC67">
        <v>0</v>
      </c>
      <c r="AD67">
        <v>1</v>
      </c>
      <c r="AE67">
        <v>1</v>
      </c>
      <c r="AF67" t="s">
        <v>72</v>
      </c>
      <c r="AG67">
        <v>37.363500000000002</v>
      </c>
      <c r="AH67">
        <v>2</v>
      </c>
      <c r="AI67">
        <v>16807781</v>
      </c>
      <c r="AJ67">
        <v>72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ROW(Source!A62)</f>
        <v>62</v>
      </c>
      <c r="B68">
        <v>16807782</v>
      </c>
      <c r="C68">
        <v>16807780</v>
      </c>
      <c r="D68">
        <v>15430395</v>
      </c>
      <c r="E68">
        <v>1</v>
      </c>
      <c r="F68">
        <v>1</v>
      </c>
      <c r="G68">
        <v>1</v>
      </c>
      <c r="H68">
        <v>1</v>
      </c>
      <c r="I68" t="s">
        <v>661</v>
      </c>
      <c r="J68" t="s">
        <v>6</v>
      </c>
      <c r="K68" t="s">
        <v>662</v>
      </c>
      <c r="L68">
        <v>1191</v>
      </c>
      <c r="N68">
        <v>1013</v>
      </c>
      <c r="O68" t="s">
        <v>660</v>
      </c>
      <c r="P68" t="s">
        <v>660</v>
      </c>
      <c r="Q68">
        <v>1</v>
      </c>
      <c r="X68">
        <v>0.93</v>
      </c>
      <c r="Y68">
        <v>0</v>
      </c>
      <c r="Z68">
        <v>0</v>
      </c>
      <c r="AA68">
        <v>0</v>
      </c>
      <c r="AB68">
        <v>0</v>
      </c>
      <c r="AC68">
        <v>0</v>
      </c>
      <c r="AD68">
        <v>1</v>
      </c>
      <c r="AE68">
        <v>2</v>
      </c>
      <c r="AF68" t="s">
        <v>71</v>
      </c>
      <c r="AG68">
        <v>1.1625000000000001</v>
      </c>
      <c r="AH68">
        <v>2</v>
      </c>
      <c r="AI68">
        <v>16807782</v>
      </c>
      <c r="AJ68">
        <v>73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ROW(Source!A62)</f>
        <v>62</v>
      </c>
      <c r="B69">
        <v>16807783</v>
      </c>
      <c r="C69">
        <v>16807780</v>
      </c>
      <c r="D69">
        <v>15247905</v>
      </c>
      <c r="E69">
        <v>1</v>
      </c>
      <c r="F69">
        <v>1</v>
      </c>
      <c r="G69">
        <v>1</v>
      </c>
      <c r="H69">
        <v>2</v>
      </c>
      <c r="I69" t="s">
        <v>712</v>
      </c>
      <c r="J69" t="s">
        <v>713</v>
      </c>
      <c r="K69" t="s">
        <v>714</v>
      </c>
      <c r="L69">
        <v>1368</v>
      </c>
      <c r="N69">
        <v>1011</v>
      </c>
      <c r="O69" t="s">
        <v>666</v>
      </c>
      <c r="P69" t="s">
        <v>666</v>
      </c>
      <c r="Q69">
        <v>1</v>
      </c>
      <c r="X69">
        <v>0.02</v>
      </c>
      <c r="Y69">
        <v>0</v>
      </c>
      <c r="Z69">
        <v>89.99</v>
      </c>
      <c r="AA69">
        <v>10.06</v>
      </c>
      <c r="AB69">
        <v>0</v>
      </c>
      <c r="AC69">
        <v>0</v>
      </c>
      <c r="AD69">
        <v>1</v>
      </c>
      <c r="AE69">
        <v>0</v>
      </c>
      <c r="AF69" t="s">
        <v>71</v>
      </c>
      <c r="AG69">
        <v>2.5000000000000001E-2</v>
      </c>
      <c r="AH69">
        <v>2</v>
      </c>
      <c r="AI69">
        <v>16807783</v>
      </c>
      <c r="AJ69">
        <v>74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ROW(Source!A62)</f>
        <v>62</v>
      </c>
      <c r="B70">
        <v>16807784</v>
      </c>
      <c r="C70">
        <v>16807780</v>
      </c>
      <c r="D70">
        <v>15247974</v>
      </c>
      <c r="E70">
        <v>1</v>
      </c>
      <c r="F70">
        <v>1</v>
      </c>
      <c r="G70">
        <v>1</v>
      </c>
      <c r="H70">
        <v>2</v>
      </c>
      <c r="I70" t="s">
        <v>663</v>
      </c>
      <c r="J70" t="s">
        <v>664</v>
      </c>
      <c r="K70" t="s">
        <v>665</v>
      </c>
      <c r="L70">
        <v>1368</v>
      </c>
      <c r="N70">
        <v>1011</v>
      </c>
      <c r="O70" t="s">
        <v>666</v>
      </c>
      <c r="P70" t="s">
        <v>666</v>
      </c>
      <c r="Q70">
        <v>1</v>
      </c>
      <c r="X70">
        <v>0.21</v>
      </c>
      <c r="Y70">
        <v>0</v>
      </c>
      <c r="Z70">
        <v>31.26</v>
      </c>
      <c r="AA70">
        <v>13.5</v>
      </c>
      <c r="AB70">
        <v>0</v>
      </c>
      <c r="AC70">
        <v>0</v>
      </c>
      <c r="AD70">
        <v>1</v>
      </c>
      <c r="AE70">
        <v>0</v>
      </c>
      <c r="AF70" t="s">
        <v>71</v>
      </c>
      <c r="AG70">
        <v>0.26250000000000001</v>
      </c>
      <c r="AH70">
        <v>2</v>
      </c>
      <c r="AI70">
        <v>16807784</v>
      </c>
      <c r="AJ70">
        <v>75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ROW(Source!A62)</f>
        <v>62</v>
      </c>
      <c r="B71">
        <v>16807785</v>
      </c>
      <c r="C71">
        <v>16807780</v>
      </c>
      <c r="D71">
        <v>15248143</v>
      </c>
      <c r="E71">
        <v>1</v>
      </c>
      <c r="F71">
        <v>1</v>
      </c>
      <c r="G71">
        <v>1</v>
      </c>
      <c r="H71">
        <v>2</v>
      </c>
      <c r="I71" t="s">
        <v>715</v>
      </c>
      <c r="J71" t="s">
        <v>716</v>
      </c>
      <c r="K71" t="s">
        <v>717</v>
      </c>
      <c r="L71">
        <v>1368</v>
      </c>
      <c r="N71">
        <v>1011</v>
      </c>
      <c r="O71" t="s">
        <v>666</v>
      </c>
      <c r="P71" t="s">
        <v>666</v>
      </c>
      <c r="Q71">
        <v>1</v>
      </c>
      <c r="X71">
        <v>0.7</v>
      </c>
      <c r="Y71">
        <v>0</v>
      </c>
      <c r="Z71">
        <v>12.39</v>
      </c>
      <c r="AA71">
        <v>10.06</v>
      </c>
      <c r="AB71">
        <v>0</v>
      </c>
      <c r="AC71">
        <v>0</v>
      </c>
      <c r="AD71">
        <v>1</v>
      </c>
      <c r="AE71">
        <v>0</v>
      </c>
      <c r="AF71" t="s">
        <v>71</v>
      </c>
      <c r="AG71">
        <v>0.875</v>
      </c>
      <c r="AH71">
        <v>2</v>
      </c>
      <c r="AI71">
        <v>16807785</v>
      </c>
      <c r="AJ71">
        <v>76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ROW(Source!A62)</f>
        <v>62</v>
      </c>
      <c r="B72">
        <v>16807786</v>
      </c>
      <c r="C72">
        <v>16807780</v>
      </c>
      <c r="D72">
        <v>15167286</v>
      </c>
      <c r="E72">
        <v>1</v>
      </c>
      <c r="F72">
        <v>1</v>
      </c>
      <c r="G72">
        <v>1</v>
      </c>
      <c r="H72">
        <v>3</v>
      </c>
      <c r="I72" t="s">
        <v>669</v>
      </c>
      <c r="J72" t="s">
        <v>670</v>
      </c>
      <c r="K72" t="s">
        <v>671</v>
      </c>
      <c r="L72">
        <v>1339</v>
      </c>
      <c r="N72">
        <v>1007</v>
      </c>
      <c r="O72" t="s">
        <v>61</v>
      </c>
      <c r="P72" t="s">
        <v>61</v>
      </c>
      <c r="Q72">
        <v>1</v>
      </c>
      <c r="X72">
        <v>0.51</v>
      </c>
      <c r="Y72">
        <v>2.44</v>
      </c>
      <c r="Z72">
        <v>0</v>
      </c>
      <c r="AA72">
        <v>0</v>
      </c>
      <c r="AB72">
        <v>0</v>
      </c>
      <c r="AC72">
        <v>0</v>
      </c>
      <c r="AD72">
        <v>1</v>
      </c>
      <c r="AE72">
        <v>0</v>
      </c>
      <c r="AF72" t="s">
        <v>6</v>
      </c>
      <c r="AG72">
        <v>0.51</v>
      </c>
      <c r="AH72">
        <v>2</v>
      </c>
      <c r="AI72">
        <v>16807786</v>
      </c>
      <c r="AJ72">
        <v>77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ROW(Source!A62)</f>
        <v>62</v>
      </c>
      <c r="B73">
        <v>16807787</v>
      </c>
      <c r="C73">
        <v>16807780</v>
      </c>
      <c r="D73">
        <v>15163028</v>
      </c>
      <c r="E73">
        <v>17</v>
      </c>
      <c r="F73">
        <v>1</v>
      </c>
      <c r="G73">
        <v>1</v>
      </c>
      <c r="H73">
        <v>3</v>
      </c>
      <c r="I73" t="s">
        <v>172</v>
      </c>
      <c r="J73" t="s">
        <v>6</v>
      </c>
      <c r="K73" t="s">
        <v>173</v>
      </c>
      <c r="L73">
        <v>1348</v>
      </c>
      <c r="N73">
        <v>1009</v>
      </c>
      <c r="O73" t="s">
        <v>65</v>
      </c>
      <c r="P73" t="s">
        <v>65</v>
      </c>
      <c r="Q73">
        <v>1000</v>
      </c>
      <c r="X73">
        <v>0.85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 t="s">
        <v>6</v>
      </c>
      <c r="AG73">
        <v>0.85</v>
      </c>
      <c r="AH73">
        <v>2</v>
      </c>
      <c r="AI73">
        <v>16807787</v>
      </c>
      <c r="AJ73">
        <v>79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ROW(Source!A62)</f>
        <v>62</v>
      </c>
      <c r="B74">
        <v>16807788</v>
      </c>
      <c r="C74">
        <v>16807780</v>
      </c>
      <c r="D74">
        <v>15162572</v>
      </c>
      <c r="E74">
        <v>17</v>
      </c>
      <c r="F74">
        <v>1</v>
      </c>
      <c r="G74">
        <v>1</v>
      </c>
      <c r="H74">
        <v>3</v>
      </c>
      <c r="I74" t="s">
        <v>219</v>
      </c>
      <c r="J74" t="s">
        <v>6</v>
      </c>
      <c r="K74" t="s">
        <v>220</v>
      </c>
      <c r="L74">
        <v>1348</v>
      </c>
      <c r="N74">
        <v>1009</v>
      </c>
      <c r="O74" t="s">
        <v>65</v>
      </c>
      <c r="P74" t="s">
        <v>65</v>
      </c>
      <c r="Q74">
        <v>1000</v>
      </c>
      <c r="X74">
        <v>0</v>
      </c>
      <c r="Y74">
        <v>0</v>
      </c>
      <c r="Z74">
        <v>0</v>
      </c>
      <c r="AA74">
        <v>0</v>
      </c>
      <c r="AB74">
        <v>0</v>
      </c>
      <c r="AC74">
        <v>1</v>
      </c>
      <c r="AD74">
        <v>0</v>
      </c>
      <c r="AE74">
        <v>0</v>
      </c>
      <c r="AF74" t="s">
        <v>6</v>
      </c>
      <c r="AG74">
        <v>0</v>
      </c>
      <c r="AH74">
        <v>3</v>
      </c>
      <c r="AI74">
        <v>-1</v>
      </c>
      <c r="AJ74" t="s">
        <v>6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ROW(Source!A66)</f>
        <v>66</v>
      </c>
      <c r="B75">
        <v>16807814</v>
      </c>
      <c r="C75">
        <v>16807813</v>
      </c>
      <c r="D75">
        <v>15430767</v>
      </c>
      <c r="E75">
        <v>1</v>
      </c>
      <c r="F75">
        <v>1</v>
      </c>
      <c r="G75">
        <v>1</v>
      </c>
      <c r="H75">
        <v>1</v>
      </c>
      <c r="I75" t="s">
        <v>667</v>
      </c>
      <c r="J75" t="s">
        <v>6</v>
      </c>
      <c r="K75" t="s">
        <v>668</v>
      </c>
      <c r="L75">
        <v>1191</v>
      </c>
      <c r="N75">
        <v>1013</v>
      </c>
      <c r="O75" t="s">
        <v>660</v>
      </c>
      <c r="P75" t="s">
        <v>660</v>
      </c>
      <c r="Q75">
        <v>1</v>
      </c>
      <c r="X75">
        <v>3.1</v>
      </c>
      <c r="Y75">
        <v>0</v>
      </c>
      <c r="Z75">
        <v>0</v>
      </c>
      <c r="AA75">
        <v>0</v>
      </c>
      <c r="AB75">
        <v>8.5299999999999994</v>
      </c>
      <c r="AC75">
        <v>0</v>
      </c>
      <c r="AD75">
        <v>1</v>
      </c>
      <c r="AE75">
        <v>1</v>
      </c>
      <c r="AF75" t="s">
        <v>190</v>
      </c>
      <c r="AG75">
        <v>35.65</v>
      </c>
      <c r="AH75">
        <v>2</v>
      </c>
      <c r="AI75">
        <v>16807814</v>
      </c>
      <c r="AJ75">
        <v>81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ROW(Source!A66)</f>
        <v>66</v>
      </c>
      <c r="B76">
        <v>16807815</v>
      </c>
      <c r="C76">
        <v>16807813</v>
      </c>
      <c r="D76">
        <v>15430395</v>
      </c>
      <c r="E76">
        <v>1</v>
      </c>
      <c r="F76">
        <v>1</v>
      </c>
      <c r="G76">
        <v>1</v>
      </c>
      <c r="H76">
        <v>1</v>
      </c>
      <c r="I76" t="s">
        <v>661</v>
      </c>
      <c r="J76" t="s">
        <v>6</v>
      </c>
      <c r="K76" t="s">
        <v>662</v>
      </c>
      <c r="L76">
        <v>1191</v>
      </c>
      <c r="N76">
        <v>1013</v>
      </c>
      <c r="O76" t="s">
        <v>660</v>
      </c>
      <c r="P76" t="s">
        <v>660</v>
      </c>
      <c r="Q76">
        <v>1</v>
      </c>
      <c r="X76">
        <v>0.09</v>
      </c>
      <c r="Y76">
        <v>0</v>
      </c>
      <c r="Z76">
        <v>0</v>
      </c>
      <c r="AA76">
        <v>0</v>
      </c>
      <c r="AB76">
        <v>0</v>
      </c>
      <c r="AC76">
        <v>0</v>
      </c>
      <c r="AD76">
        <v>1</v>
      </c>
      <c r="AE76">
        <v>2</v>
      </c>
      <c r="AF76" t="s">
        <v>189</v>
      </c>
      <c r="AG76">
        <v>1.125</v>
      </c>
      <c r="AH76">
        <v>2</v>
      </c>
      <c r="AI76">
        <v>16807815</v>
      </c>
      <c r="AJ76">
        <v>82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ROW(Source!A66)</f>
        <v>66</v>
      </c>
      <c r="B77">
        <v>16807816</v>
      </c>
      <c r="C77">
        <v>16807813</v>
      </c>
      <c r="D77">
        <v>15247905</v>
      </c>
      <c r="E77">
        <v>1</v>
      </c>
      <c r="F77">
        <v>1</v>
      </c>
      <c r="G77">
        <v>1</v>
      </c>
      <c r="H77">
        <v>2</v>
      </c>
      <c r="I77" t="s">
        <v>712</v>
      </c>
      <c r="J77" t="s">
        <v>713</v>
      </c>
      <c r="K77" t="s">
        <v>714</v>
      </c>
      <c r="L77">
        <v>1368</v>
      </c>
      <c r="N77">
        <v>1011</v>
      </c>
      <c r="O77" t="s">
        <v>666</v>
      </c>
      <c r="P77" t="s">
        <v>666</v>
      </c>
      <c r="Q77">
        <v>1</v>
      </c>
      <c r="X77">
        <v>2E-3</v>
      </c>
      <c r="Y77">
        <v>0</v>
      </c>
      <c r="Z77">
        <v>89.99</v>
      </c>
      <c r="AA77">
        <v>10.06</v>
      </c>
      <c r="AB77">
        <v>0</v>
      </c>
      <c r="AC77">
        <v>0</v>
      </c>
      <c r="AD77">
        <v>1</v>
      </c>
      <c r="AE77">
        <v>0</v>
      </c>
      <c r="AF77" t="s">
        <v>189</v>
      </c>
      <c r="AG77">
        <v>2.5000000000000001E-2</v>
      </c>
      <c r="AH77">
        <v>2</v>
      </c>
      <c r="AI77">
        <v>16807816</v>
      </c>
      <c r="AJ77">
        <v>83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ROW(Source!A66)</f>
        <v>66</v>
      </c>
      <c r="B78">
        <v>16807817</v>
      </c>
      <c r="C78">
        <v>16807813</v>
      </c>
      <c r="D78">
        <v>15247974</v>
      </c>
      <c r="E78">
        <v>1</v>
      </c>
      <c r="F78">
        <v>1</v>
      </c>
      <c r="G78">
        <v>1</v>
      </c>
      <c r="H78">
        <v>2</v>
      </c>
      <c r="I78" t="s">
        <v>663</v>
      </c>
      <c r="J78" t="s">
        <v>664</v>
      </c>
      <c r="K78" t="s">
        <v>665</v>
      </c>
      <c r="L78">
        <v>1368</v>
      </c>
      <c r="N78">
        <v>1011</v>
      </c>
      <c r="O78" t="s">
        <v>666</v>
      </c>
      <c r="P78" t="s">
        <v>666</v>
      </c>
      <c r="Q78">
        <v>1</v>
      </c>
      <c r="X78">
        <v>0.02</v>
      </c>
      <c r="Y78">
        <v>0</v>
      </c>
      <c r="Z78">
        <v>31.26</v>
      </c>
      <c r="AA78">
        <v>13.5</v>
      </c>
      <c r="AB78">
        <v>0</v>
      </c>
      <c r="AC78">
        <v>0</v>
      </c>
      <c r="AD78">
        <v>1</v>
      </c>
      <c r="AE78">
        <v>0</v>
      </c>
      <c r="AF78" t="s">
        <v>189</v>
      </c>
      <c r="AG78">
        <v>0.25</v>
      </c>
      <c r="AH78">
        <v>2</v>
      </c>
      <c r="AI78">
        <v>16807817</v>
      </c>
      <c r="AJ78">
        <v>84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ROW(Source!A66)</f>
        <v>66</v>
      </c>
      <c r="B79">
        <v>16807818</v>
      </c>
      <c r="C79">
        <v>16807813</v>
      </c>
      <c r="D79">
        <v>15248143</v>
      </c>
      <c r="E79">
        <v>1</v>
      </c>
      <c r="F79">
        <v>1</v>
      </c>
      <c r="G79">
        <v>1</v>
      </c>
      <c r="H79">
        <v>2</v>
      </c>
      <c r="I79" t="s">
        <v>715</v>
      </c>
      <c r="J79" t="s">
        <v>716</v>
      </c>
      <c r="K79" t="s">
        <v>717</v>
      </c>
      <c r="L79">
        <v>1368</v>
      </c>
      <c r="N79">
        <v>1011</v>
      </c>
      <c r="O79" t="s">
        <v>666</v>
      </c>
      <c r="P79" t="s">
        <v>666</v>
      </c>
      <c r="Q79">
        <v>1</v>
      </c>
      <c r="X79">
        <v>7.0000000000000007E-2</v>
      </c>
      <c r="Y79">
        <v>0</v>
      </c>
      <c r="Z79">
        <v>12.39</v>
      </c>
      <c r="AA79">
        <v>10.06</v>
      </c>
      <c r="AB79">
        <v>0</v>
      </c>
      <c r="AC79">
        <v>0</v>
      </c>
      <c r="AD79">
        <v>1</v>
      </c>
      <c r="AE79">
        <v>0</v>
      </c>
      <c r="AF79" t="s">
        <v>189</v>
      </c>
      <c r="AG79">
        <v>0.87500000000000011</v>
      </c>
      <c r="AH79">
        <v>2</v>
      </c>
      <c r="AI79">
        <v>16807818</v>
      </c>
      <c r="AJ79">
        <v>85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ROW(Source!A66)</f>
        <v>66</v>
      </c>
      <c r="B80">
        <v>16807819</v>
      </c>
      <c r="C80">
        <v>16807813</v>
      </c>
      <c r="D80">
        <v>15167286</v>
      </c>
      <c r="E80">
        <v>1</v>
      </c>
      <c r="F80">
        <v>1</v>
      </c>
      <c r="G80">
        <v>1</v>
      </c>
      <c r="H80">
        <v>3</v>
      </c>
      <c r="I80" t="s">
        <v>669</v>
      </c>
      <c r="J80" t="s">
        <v>670</v>
      </c>
      <c r="K80" t="s">
        <v>671</v>
      </c>
      <c r="L80">
        <v>1339</v>
      </c>
      <c r="N80">
        <v>1007</v>
      </c>
      <c r="O80" t="s">
        <v>61</v>
      </c>
      <c r="P80" t="s">
        <v>61</v>
      </c>
      <c r="Q80">
        <v>1</v>
      </c>
      <c r="X80">
        <v>5.0999999999999997E-2</v>
      </c>
      <c r="Y80">
        <v>2.44</v>
      </c>
      <c r="Z80">
        <v>0</v>
      </c>
      <c r="AA80">
        <v>0</v>
      </c>
      <c r="AB80">
        <v>0</v>
      </c>
      <c r="AC80">
        <v>0</v>
      </c>
      <c r="AD80">
        <v>1</v>
      </c>
      <c r="AE80">
        <v>0</v>
      </c>
      <c r="AF80" t="s">
        <v>188</v>
      </c>
      <c r="AG80">
        <v>0.51</v>
      </c>
      <c r="AH80">
        <v>2</v>
      </c>
      <c r="AI80">
        <v>16807819</v>
      </c>
      <c r="AJ80">
        <v>86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ROW(Source!A66)</f>
        <v>66</v>
      </c>
      <c r="B81">
        <v>16807820</v>
      </c>
      <c r="C81">
        <v>16807813</v>
      </c>
      <c r="D81">
        <v>15163028</v>
      </c>
      <c r="E81">
        <v>17</v>
      </c>
      <c r="F81">
        <v>1</v>
      </c>
      <c r="G81">
        <v>1</v>
      </c>
      <c r="H81">
        <v>3</v>
      </c>
      <c r="I81" t="s">
        <v>172</v>
      </c>
      <c r="J81" t="s">
        <v>6</v>
      </c>
      <c r="K81" t="s">
        <v>173</v>
      </c>
      <c r="L81">
        <v>1348</v>
      </c>
      <c r="N81">
        <v>1009</v>
      </c>
      <c r="O81" t="s">
        <v>65</v>
      </c>
      <c r="P81" t="s">
        <v>65</v>
      </c>
      <c r="Q81">
        <v>1000</v>
      </c>
      <c r="X81">
        <v>8.5000000000000006E-2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 t="s">
        <v>188</v>
      </c>
      <c r="AG81">
        <v>0.85000000000000009</v>
      </c>
      <c r="AH81">
        <v>2</v>
      </c>
      <c r="AI81">
        <v>16807820</v>
      </c>
      <c r="AJ81">
        <v>88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ROW(Source!A69)</f>
        <v>69</v>
      </c>
      <c r="B82">
        <v>16802685</v>
      </c>
      <c r="C82">
        <v>16802679</v>
      </c>
      <c r="D82">
        <v>15430397</v>
      </c>
      <c r="E82">
        <v>1</v>
      </c>
      <c r="F82">
        <v>1</v>
      </c>
      <c r="G82">
        <v>1</v>
      </c>
      <c r="H82">
        <v>1</v>
      </c>
      <c r="I82" t="s">
        <v>718</v>
      </c>
      <c r="J82" t="s">
        <v>6</v>
      </c>
      <c r="K82" t="s">
        <v>719</v>
      </c>
      <c r="L82">
        <v>1191</v>
      </c>
      <c r="N82">
        <v>1013</v>
      </c>
      <c r="O82" t="s">
        <v>660</v>
      </c>
      <c r="P82" t="s">
        <v>660</v>
      </c>
      <c r="Q82">
        <v>1</v>
      </c>
      <c r="X82">
        <v>102.46</v>
      </c>
      <c r="Y82">
        <v>0</v>
      </c>
      <c r="Z82">
        <v>0</v>
      </c>
      <c r="AA82">
        <v>0</v>
      </c>
      <c r="AB82">
        <v>9.4</v>
      </c>
      <c r="AC82">
        <v>0</v>
      </c>
      <c r="AD82">
        <v>1</v>
      </c>
      <c r="AE82">
        <v>1</v>
      </c>
      <c r="AF82" t="s">
        <v>72</v>
      </c>
      <c r="AG82">
        <v>117.82899999999998</v>
      </c>
      <c r="AH82">
        <v>2</v>
      </c>
      <c r="AI82">
        <v>16802680</v>
      </c>
      <c r="AJ82">
        <v>89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ROW(Source!A69)</f>
        <v>69</v>
      </c>
      <c r="B83">
        <v>16802686</v>
      </c>
      <c r="C83">
        <v>16802679</v>
      </c>
      <c r="D83">
        <v>15430395</v>
      </c>
      <c r="E83">
        <v>1</v>
      </c>
      <c r="F83">
        <v>1</v>
      </c>
      <c r="G83">
        <v>1</v>
      </c>
      <c r="H83">
        <v>1</v>
      </c>
      <c r="I83" t="s">
        <v>661</v>
      </c>
      <c r="J83" t="s">
        <v>6</v>
      </c>
      <c r="K83" t="s">
        <v>662</v>
      </c>
      <c r="L83">
        <v>1191</v>
      </c>
      <c r="N83">
        <v>1013</v>
      </c>
      <c r="O83" t="s">
        <v>660</v>
      </c>
      <c r="P83" t="s">
        <v>660</v>
      </c>
      <c r="Q83">
        <v>1</v>
      </c>
      <c r="X83">
        <v>5.34</v>
      </c>
      <c r="Y83">
        <v>0</v>
      </c>
      <c r="Z83">
        <v>0</v>
      </c>
      <c r="AA83">
        <v>0</v>
      </c>
      <c r="AB83">
        <v>0</v>
      </c>
      <c r="AC83">
        <v>0</v>
      </c>
      <c r="AD83">
        <v>1</v>
      </c>
      <c r="AE83">
        <v>2</v>
      </c>
      <c r="AF83" t="s">
        <v>71</v>
      </c>
      <c r="AG83">
        <v>6.6749999999999998</v>
      </c>
      <c r="AH83">
        <v>2</v>
      </c>
      <c r="AI83">
        <v>16802681</v>
      </c>
      <c r="AJ83">
        <v>90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ROW(Source!A69)</f>
        <v>69</v>
      </c>
      <c r="B84">
        <v>16802687</v>
      </c>
      <c r="C84">
        <v>16802679</v>
      </c>
      <c r="D84">
        <v>15247974</v>
      </c>
      <c r="E84">
        <v>1</v>
      </c>
      <c r="F84">
        <v>1</v>
      </c>
      <c r="G84">
        <v>1</v>
      </c>
      <c r="H84">
        <v>2</v>
      </c>
      <c r="I84" t="s">
        <v>663</v>
      </c>
      <c r="J84" t="s">
        <v>664</v>
      </c>
      <c r="K84" t="s">
        <v>665</v>
      </c>
      <c r="L84">
        <v>1368</v>
      </c>
      <c r="N84">
        <v>1011</v>
      </c>
      <c r="O84" t="s">
        <v>666</v>
      </c>
      <c r="P84" t="s">
        <v>666</v>
      </c>
      <c r="Q84">
        <v>1</v>
      </c>
      <c r="X84">
        <v>0.76</v>
      </c>
      <c r="Y84">
        <v>0</v>
      </c>
      <c r="Z84">
        <v>31.26</v>
      </c>
      <c r="AA84">
        <v>13.5</v>
      </c>
      <c r="AB84">
        <v>0</v>
      </c>
      <c r="AC84">
        <v>0</v>
      </c>
      <c r="AD84">
        <v>1</v>
      </c>
      <c r="AE84">
        <v>0</v>
      </c>
      <c r="AF84" t="s">
        <v>71</v>
      </c>
      <c r="AG84">
        <v>0.95</v>
      </c>
      <c r="AH84">
        <v>2</v>
      </c>
      <c r="AI84">
        <v>16802682</v>
      </c>
      <c r="AJ84">
        <v>91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ROW(Source!A69)</f>
        <v>69</v>
      </c>
      <c r="B85">
        <v>16802688</v>
      </c>
      <c r="C85">
        <v>16802679</v>
      </c>
      <c r="D85">
        <v>15249073</v>
      </c>
      <c r="E85">
        <v>1</v>
      </c>
      <c r="F85">
        <v>1</v>
      </c>
      <c r="G85">
        <v>1</v>
      </c>
      <c r="H85">
        <v>2</v>
      </c>
      <c r="I85" t="s">
        <v>684</v>
      </c>
      <c r="J85" t="s">
        <v>685</v>
      </c>
      <c r="K85" t="s">
        <v>686</v>
      </c>
      <c r="L85">
        <v>1368</v>
      </c>
      <c r="N85">
        <v>1011</v>
      </c>
      <c r="O85" t="s">
        <v>666</v>
      </c>
      <c r="P85" t="s">
        <v>666</v>
      </c>
      <c r="Q85">
        <v>1</v>
      </c>
      <c r="X85">
        <v>4.58</v>
      </c>
      <c r="Y85">
        <v>0</v>
      </c>
      <c r="Z85">
        <v>65.709999999999994</v>
      </c>
      <c r="AA85">
        <v>11.6</v>
      </c>
      <c r="AB85">
        <v>0</v>
      </c>
      <c r="AC85">
        <v>0</v>
      </c>
      <c r="AD85">
        <v>1</v>
      </c>
      <c r="AE85">
        <v>0</v>
      </c>
      <c r="AF85" t="s">
        <v>71</v>
      </c>
      <c r="AG85">
        <v>5.7249999999999996</v>
      </c>
      <c r="AH85">
        <v>2</v>
      </c>
      <c r="AI85">
        <v>16802683</v>
      </c>
      <c r="AJ85">
        <v>92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ROW(Source!A69)</f>
        <v>69</v>
      </c>
      <c r="B86">
        <v>16802689</v>
      </c>
      <c r="C86">
        <v>16802679</v>
      </c>
      <c r="D86">
        <v>15167143</v>
      </c>
      <c r="E86">
        <v>1</v>
      </c>
      <c r="F86">
        <v>1</v>
      </c>
      <c r="G86">
        <v>1</v>
      </c>
      <c r="H86">
        <v>3</v>
      </c>
      <c r="I86" t="s">
        <v>720</v>
      </c>
      <c r="J86" t="s">
        <v>721</v>
      </c>
      <c r="K86" t="s">
        <v>722</v>
      </c>
      <c r="L86">
        <v>1327</v>
      </c>
      <c r="N86">
        <v>1005</v>
      </c>
      <c r="O86" t="s">
        <v>95</v>
      </c>
      <c r="P86" t="s">
        <v>95</v>
      </c>
      <c r="Q86">
        <v>1</v>
      </c>
      <c r="X86">
        <v>103</v>
      </c>
      <c r="Y86">
        <v>51.8</v>
      </c>
      <c r="Z86">
        <v>0</v>
      </c>
      <c r="AA86">
        <v>0</v>
      </c>
      <c r="AB86">
        <v>0</v>
      </c>
      <c r="AC86">
        <v>0</v>
      </c>
      <c r="AD86">
        <v>1</v>
      </c>
      <c r="AE86">
        <v>0</v>
      </c>
      <c r="AF86" t="s">
        <v>6</v>
      </c>
      <c r="AG86">
        <v>103</v>
      </c>
      <c r="AH86">
        <v>2</v>
      </c>
      <c r="AI86">
        <v>16802684</v>
      </c>
      <c r="AJ86">
        <v>93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ROW(Source!A70)</f>
        <v>70</v>
      </c>
      <c r="B87">
        <v>16807804</v>
      </c>
      <c r="C87">
        <v>16807803</v>
      </c>
      <c r="D87">
        <v>15435487</v>
      </c>
      <c r="E87">
        <v>1</v>
      </c>
      <c r="F87">
        <v>1</v>
      </c>
      <c r="G87">
        <v>1</v>
      </c>
      <c r="H87">
        <v>1</v>
      </c>
      <c r="I87" t="s">
        <v>723</v>
      </c>
      <c r="J87" t="s">
        <v>6</v>
      </c>
      <c r="K87" t="s">
        <v>724</v>
      </c>
      <c r="L87">
        <v>1191</v>
      </c>
      <c r="N87">
        <v>1013</v>
      </c>
      <c r="O87" t="s">
        <v>660</v>
      </c>
      <c r="P87" t="s">
        <v>660</v>
      </c>
      <c r="Q87">
        <v>1</v>
      </c>
      <c r="X87">
        <v>50.4</v>
      </c>
      <c r="Y87">
        <v>0</v>
      </c>
      <c r="Z87">
        <v>0</v>
      </c>
      <c r="AA87">
        <v>0</v>
      </c>
      <c r="AB87">
        <v>8.3800000000000008</v>
      </c>
      <c r="AC87">
        <v>0</v>
      </c>
      <c r="AD87">
        <v>1</v>
      </c>
      <c r="AE87">
        <v>1</v>
      </c>
      <c r="AF87" t="s">
        <v>72</v>
      </c>
      <c r="AG87">
        <v>57.959999999999994</v>
      </c>
      <c r="AH87">
        <v>2</v>
      </c>
      <c r="AI87">
        <v>16807804</v>
      </c>
      <c r="AJ87">
        <v>94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ROW(Source!A70)</f>
        <v>70</v>
      </c>
      <c r="B88">
        <v>16807805</v>
      </c>
      <c r="C88">
        <v>16807803</v>
      </c>
      <c r="D88">
        <v>15430395</v>
      </c>
      <c r="E88">
        <v>1</v>
      </c>
      <c r="F88">
        <v>1</v>
      </c>
      <c r="G88">
        <v>1</v>
      </c>
      <c r="H88">
        <v>1</v>
      </c>
      <c r="I88" t="s">
        <v>661</v>
      </c>
      <c r="J88" t="s">
        <v>6</v>
      </c>
      <c r="K88" t="s">
        <v>662</v>
      </c>
      <c r="L88">
        <v>1191</v>
      </c>
      <c r="N88">
        <v>1013</v>
      </c>
      <c r="O88" t="s">
        <v>660</v>
      </c>
      <c r="P88" t="s">
        <v>660</v>
      </c>
      <c r="Q88">
        <v>1</v>
      </c>
      <c r="X88">
        <v>0.57999999999999996</v>
      </c>
      <c r="Y88">
        <v>0</v>
      </c>
      <c r="Z88">
        <v>0</v>
      </c>
      <c r="AA88">
        <v>0</v>
      </c>
      <c r="AB88">
        <v>0</v>
      </c>
      <c r="AC88">
        <v>0</v>
      </c>
      <c r="AD88">
        <v>1</v>
      </c>
      <c r="AE88">
        <v>2</v>
      </c>
      <c r="AF88" t="s">
        <v>6</v>
      </c>
      <c r="AG88">
        <v>0.57999999999999996</v>
      </c>
      <c r="AH88">
        <v>2</v>
      </c>
      <c r="AI88">
        <v>16807805</v>
      </c>
      <c r="AJ88">
        <v>95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ROW(Source!A70)</f>
        <v>70</v>
      </c>
      <c r="B89">
        <v>16807806</v>
      </c>
      <c r="C89">
        <v>16807803</v>
      </c>
      <c r="D89">
        <v>15247974</v>
      </c>
      <c r="E89">
        <v>1</v>
      </c>
      <c r="F89">
        <v>1</v>
      </c>
      <c r="G89">
        <v>1</v>
      </c>
      <c r="H89">
        <v>2</v>
      </c>
      <c r="I89" t="s">
        <v>663</v>
      </c>
      <c r="J89" t="s">
        <v>664</v>
      </c>
      <c r="K89" t="s">
        <v>665</v>
      </c>
      <c r="L89">
        <v>1368</v>
      </c>
      <c r="N89">
        <v>1011</v>
      </c>
      <c r="O89" t="s">
        <v>666</v>
      </c>
      <c r="P89" t="s">
        <v>666</v>
      </c>
      <c r="Q89">
        <v>1</v>
      </c>
      <c r="X89">
        <v>0.57999999999999996</v>
      </c>
      <c r="Y89">
        <v>0</v>
      </c>
      <c r="Z89">
        <v>31.26</v>
      </c>
      <c r="AA89">
        <v>13.5</v>
      </c>
      <c r="AB89">
        <v>0</v>
      </c>
      <c r="AC89">
        <v>0</v>
      </c>
      <c r="AD89">
        <v>1</v>
      </c>
      <c r="AE89">
        <v>0</v>
      </c>
      <c r="AF89" t="s">
        <v>6</v>
      </c>
      <c r="AG89">
        <v>0.57999999999999996</v>
      </c>
      <c r="AH89">
        <v>2</v>
      </c>
      <c r="AI89">
        <v>16807806</v>
      </c>
      <c r="AJ89">
        <v>96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ROW(Source!A70)</f>
        <v>70</v>
      </c>
      <c r="B90">
        <v>16807807</v>
      </c>
      <c r="C90">
        <v>16807803</v>
      </c>
      <c r="D90">
        <v>15167286</v>
      </c>
      <c r="E90">
        <v>1</v>
      </c>
      <c r="F90">
        <v>1</v>
      </c>
      <c r="G90">
        <v>1</v>
      </c>
      <c r="H90">
        <v>3</v>
      </c>
      <c r="I90" t="s">
        <v>669</v>
      </c>
      <c r="J90" t="s">
        <v>670</v>
      </c>
      <c r="K90" t="s">
        <v>671</v>
      </c>
      <c r="L90">
        <v>1339</v>
      </c>
      <c r="N90">
        <v>1007</v>
      </c>
      <c r="O90" t="s">
        <v>61</v>
      </c>
      <c r="P90" t="s">
        <v>61</v>
      </c>
      <c r="Q90">
        <v>1</v>
      </c>
      <c r="X90">
        <v>0.35</v>
      </c>
      <c r="Y90">
        <v>2.44</v>
      </c>
      <c r="Z90">
        <v>0</v>
      </c>
      <c r="AA90">
        <v>0</v>
      </c>
      <c r="AB90">
        <v>0</v>
      </c>
      <c r="AC90">
        <v>0</v>
      </c>
      <c r="AD90">
        <v>1</v>
      </c>
      <c r="AE90">
        <v>0</v>
      </c>
      <c r="AF90" t="s">
        <v>6</v>
      </c>
      <c r="AG90">
        <v>0.35</v>
      </c>
      <c r="AH90">
        <v>2</v>
      </c>
      <c r="AI90">
        <v>16807807</v>
      </c>
      <c r="AJ90">
        <v>97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ROW(Source!A70)</f>
        <v>70</v>
      </c>
      <c r="B91">
        <v>16807808</v>
      </c>
      <c r="C91">
        <v>16807803</v>
      </c>
      <c r="D91">
        <v>15167717</v>
      </c>
      <c r="E91">
        <v>1</v>
      </c>
      <c r="F91">
        <v>1</v>
      </c>
      <c r="G91">
        <v>1</v>
      </c>
      <c r="H91">
        <v>3</v>
      </c>
      <c r="I91" t="s">
        <v>725</v>
      </c>
      <c r="J91" t="s">
        <v>726</v>
      </c>
      <c r="K91" t="s">
        <v>727</v>
      </c>
      <c r="L91">
        <v>1348</v>
      </c>
      <c r="N91">
        <v>1009</v>
      </c>
      <c r="O91" t="s">
        <v>65</v>
      </c>
      <c r="P91" t="s">
        <v>65</v>
      </c>
      <c r="Q91">
        <v>1000</v>
      </c>
      <c r="X91">
        <v>5.0599999999999999E-2</v>
      </c>
      <c r="Y91">
        <v>16385</v>
      </c>
      <c r="Z91">
        <v>0</v>
      </c>
      <c r="AA91">
        <v>0</v>
      </c>
      <c r="AB91">
        <v>0</v>
      </c>
      <c r="AC91">
        <v>0</v>
      </c>
      <c r="AD91">
        <v>1</v>
      </c>
      <c r="AE91">
        <v>0</v>
      </c>
      <c r="AF91" t="s">
        <v>6</v>
      </c>
      <c r="AG91">
        <v>5.0599999999999999E-2</v>
      </c>
      <c r="AH91">
        <v>2</v>
      </c>
      <c r="AI91">
        <v>16807808</v>
      </c>
      <c r="AJ91">
        <v>98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ROW(Source!A70)</f>
        <v>70</v>
      </c>
      <c r="B92">
        <v>16807809</v>
      </c>
      <c r="C92">
        <v>16807803</v>
      </c>
      <c r="D92">
        <v>15163834</v>
      </c>
      <c r="E92">
        <v>17</v>
      </c>
      <c r="F92">
        <v>1</v>
      </c>
      <c r="G92">
        <v>1</v>
      </c>
      <c r="H92">
        <v>3</v>
      </c>
      <c r="I92" t="s">
        <v>945</v>
      </c>
      <c r="J92" t="s">
        <v>6</v>
      </c>
      <c r="K92" t="s">
        <v>946</v>
      </c>
      <c r="L92">
        <v>1348</v>
      </c>
      <c r="N92">
        <v>1009</v>
      </c>
      <c r="O92" t="s">
        <v>65</v>
      </c>
      <c r="P92" t="s">
        <v>65</v>
      </c>
      <c r="Q92">
        <v>1000</v>
      </c>
      <c r="X92">
        <v>1.135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 t="s">
        <v>6</v>
      </c>
      <c r="AG92">
        <v>1.135</v>
      </c>
      <c r="AH92">
        <v>3</v>
      </c>
      <c r="AI92">
        <v>-1</v>
      </c>
      <c r="AJ92" t="s">
        <v>6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ROW(Source!A72)</f>
        <v>72</v>
      </c>
      <c r="B93">
        <v>16802728</v>
      </c>
      <c r="C93">
        <v>16802718</v>
      </c>
      <c r="D93">
        <v>15435609</v>
      </c>
      <c r="E93">
        <v>1</v>
      </c>
      <c r="F93">
        <v>1</v>
      </c>
      <c r="G93">
        <v>1</v>
      </c>
      <c r="H93">
        <v>1</v>
      </c>
      <c r="I93" t="s">
        <v>728</v>
      </c>
      <c r="J93" t="s">
        <v>6</v>
      </c>
      <c r="K93" t="s">
        <v>729</v>
      </c>
      <c r="L93">
        <v>1191</v>
      </c>
      <c r="N93">
        <v>1013</v>
      </c>
      <c r="O93" t="s">
        <v>660</v>
      </c>
      <c r="P93" t="s">
        <v>660</v>
      </c>
      <c r="Q93">
        <v>1</v>
      </c>
      <c r="X93">
        <v>42.9</v>
      </c>
      <c r="Y93">
        <v>0</v>
      </c>
      <c r="Z93">
        <v>0</v>
      </c>
      <c r="AA93">
        <v>0</v>
      </c>
      <c r="AB93">
        <v>8.9700000000000006</v>
      </c>
      <c r="AC93">
        <v>0</v>
      </c>
      <c r="AD93">
        <v>1</v>
      </c>
      <c r="AE93">
        <v>1</v>
      </c>
      <c r="AF93" t="s">
        <v>72</v>
      </c>
      <c r="AG93">
        <v>49.334999999999994</v>
      </c>
      <c r="AH93">
        <v>2</v>
      </c>
      <c r="AI93">
        <v>16802719</v>
      </c>
      <c r="AJ93">
        <v>100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ROW(Source!A72)</f>
        <v>72</v>
      </c>
      <c r="B94">
        <v>16802729</v>
      </c>
      <c r="C94">
        <v>16802718</v>
      </c>
      <c r="D94">
        <v>15430395</v>
      </c>
      <c r="E94">
        <v>1</v>
      </c>
      <c r="F94">
        <v>1</v>
      </c>
      <c r="G94">
        <v>1</v>
      </c>
      <c r="H94">
        <v>1</v>
      </c>
      <c r="I94" t="s">
        <v>661</v>
      </c>
      <c r="J94" t="s">
        <v>6</v>
      </c>
      <c r="K94" t="s">
        <v>662</v>
      </c>
      <c r="L94">
        <v>1191</v>
      </c>
      <c r="N94">
        <v>1013</v>
      </c>
      <c r="O94" t="s">
        <v>660</v>
      </c>
      <c r="P94" t="s">
        <v>660</v>
      </c>
      <c r="Q94">
        <v>1</v>
      </c>
      <c r="X94">
        <v>0.17</v>
      </c>
      <c r="Y94">
        <v>0</v>
      </c>
      <c r="Z94">
        <v>0</v>
      </c>
      <c r="AA94">
        <v>0</v>
      </c>
      <c r="AB94">
        <v>0</v>
      </c>
      <c r="AC94">
        <v>0</v>
      </c>
      <c r="AD94">
        <v>1</v>
      </c>
      <c r="AE94">
        <v>2</v>
      </c>
      <c r="AF94" t="s">
        <v>71</v>
      </c>
      <c r="AG94">
        <v>0.21250000000000002</v>
      </c>
      <c r="AH94">
        <v>2</v>
      </c>
      <c r="AI94">
        <v>16802720</v>
      </c>
      <c r="AJ94">
        <v>101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ROW(Source!A72)</f>
        <v>72</v>
      </c>
      <c r="B95">
        <v>16802730</v>
      </c>
      <c r="C95">
        <v>16802718</v>
      </c>
      <c r="D95">
        <v>15247974</v>
      </c>
      <c r="E95">
        <v>1</v>
      </c>
      <c r="F95">
        <v>1</v>
      </c>
      <c r="G95">
        <v>1</v>
      </c>
      <c r="H95">
        <v>2</v>
      </c>
      <c r="I95" t="s">
        <v>663</v>
      </c>
      <c r="J95" t="s">
        <v>664</v>
      </c>
      <c r="K95" t="s">
        <v>665</v>
      </c>
      <c r="L95">
        <v>1368</v>
      </c>
      <c r="N95">
        <v>1011</v>
      </c>
      <c r="O95" t="s">
        <v>666</v>
      </c>
      <c r="P95" t="s">
        <v>666</v>
      </c>
      <c r="Q95">
        <v>1</v>
      </c>
      <c r="X95">
        <v>0.02</v>
      </c>
      <c r="Y95">
        <v>0</v>
      </c>
      <c r="Z95">
        <v>31.26</v>
      </c>
      <c r="AA95">
        <v>13.5</v>
      </c>
      <c r="AB95">
        <v>0</v>
      </c>
      <c r="AC95">
        <v>0</v>
      </c>
      <c r="AD95">
        <v>1</v>
      </c>
      <c r="AE95">
        <v>0</v>
      </c>
      <c r="AF95" t="s">
        <v>71</v>
      </c>
      <c r="AG95">
        <v>2.5000000000000001E-2</v>
      </c>
      <c r="AH95">
        <v>2</v>
      </c>
      <c r="AI95">
        <v>16802721</v>
      </c>
      <c r="AJ95">
        <v>102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ROW(Source!A72)</f>
        <v>72</v>
      </c>
      <c r="B96">
        <v>16802731</v>
      </c>
      <c r="C96">
        <v>16802718</v>
      </c>
      <c r="D96">
        <v>15249073</v>
      </c>
      <c r="E96">
        <v>1</v>
      </c>
      <c r="F96">
        <v>1</v>
      </c>
      <c r="G96">
        <v>1</v>
      </c>
      <c r="H96">
        <v>2</v>
      </c>
      <c r="I96" t="s">
        <v>684</v>
      </c>
      <c r="J96" t="s">
        <v>685</v>
      </c>
      <c r="K96" t="s">
        <v>686</v>
      </c>
      <c r="L96">
        <v>1368</v>
      </c>
      <c r="N96">
        <v>1011</v>
      </c>
      <c r="O96" t="s">
        <v>666</v>
      </c>
      <c r="P96" t="s">
        <v>666</v>
      </c>
      <c r="Q96">
        <v>1</v>
      </c>
      <c r="X96">
        <v>0.15</v>
      </c>
      <c r="Y96">
        <v>0</v>
      </c>
      <c r="Z96">
        <v>65.709999999999994</v>
      </c>
      <c r="AA96">
        <v>11.6</v>
      </c>
      <c r="AB96">
        <v>0</v>
      </c>
      <c r="AC96">
        <v>0</v>
      </c>
      <c r="AD96">
        <v>1</v>
      </c>
      <c r="AE96">
        <v>0</v>
      </c>
      <c r="AF96" t="s">
        <v>71</v>
      </c>
      <c r="AG96">
        <v>0.1875</v>
      </c>
      <c r="AH96">
        <v>2</v>
      </c>
      <c r="AI96">
        <v>16802722</v>
      </c>
      <c r="AJ96">
        <v>103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ROW(Source!A72)</f>
        <v>72</v>
      </c>
      <c r="B97">
        <v>16802732</v>
      </c>
      <c r="C97">
        <v>16802718</v>
      </c>
      <c r="D97">
        <v>15170682</v>
      </c>
      <c r="E97">
        <v>1</v>
      </c>
      <c r="F97">
        <v>1</v>
      </c>
      <c r="G97">
        <v>1</v>
      </c>
      <c r="H97">
        <v>3</v>
      </c>
      <c r="I97" t="s">
        <v>730</v>
      </c>
      <c r="J97" t="s">
        <v>731</v>
      </c>
      <c r="K97" t="s">
        <v>732</v>
      </c>
      <c r="L97">
        <v>1327</v>
      </c>
      <c r="N97">
        <v>1005</v>
      </c>
      <c r="O97" t="s">
        <v>95</v>
      </c>
      <c r="P97" t="s">
        <v>95</v>
      </c>
      <c r="Q97">
        <v>1</v>
      </c>
      <c r="X97">
        <v>0.84</v>
      </c>
      <c r="Y97">
        <v>72.319999999999993</v>
      </c>
      <c r="Z97">
        <v>0</v>
      </c>
      <c r="AA97">
        <v>0</v>
      </c>
      <c r="AB97">
        <v>0</v>
      </c>
      <c r="AC97">
        <v>0</v>
      </c>
      <c r="AD97">
        <v>1</v>
      </c>
      <c r="AE97">
        <v>0</v>
      </c>
      <c r="AF97" t="s">
        <v>6</v>
      </c>
      <c r="AG97">
        <v>0.84</v>
      </c>
      <c r="AH97">
        <v>2</v>
      </c>
      <c r="AI97">
        <v>16802723</v>
      </c>
      <c r="AJ97">
        <v>104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ROW(Source!A72)</f>
        <v>72</v>
      </c>
      <c r="B98">
        <v>16802733</v>
      </c>
      <c r="C98">
        <v>16802718</v>
      </c>
      <c r="D98">
        <v>15171018</v>
      </c>
      <c r="E98">
        <v>1</v>
      </c>
      <c r="F98">
        <v>1</v>
      </c>
      <c r="G98">
        <v>1</v>
      </c>
      <c r="H98">
        <v>3</v>
      </c>
      <c r="I98" t="s">
        <v>698</v>
      </c>
      <c r="J98" t="s">
        <v>699</v>
      </c>
      <c r="K98" t="s">
        <v>700</v>
      </c>
      <c r="L98">
        <v>1346</v>
      </c>
      <c r="N98">
        <v>1009</v>
      </c>
      <c r="O98" t="s">
        <v>103</v>
      </c>
      <c r="P98" t="s">
        <v>103</v>
      </c>
      <c r="Q98">
        <v>1</v>
      </c>
      <c r="X98">
        <v>0.31</v>
      </c>
      <c r="Y98">
        <v>1.82</v>
      </c>
      <c r="Z98">
        <v>0</v>
      </c>
      <c r="AA98">
        <v>0</v>
      </c>
      <c r="AB98">
        <v>0</v>
      </c>
      <c r="AC98">
        <v>0</v>
      </c>
      <c r="AD98">
        <v>1</v>
      </c>
      <c r="AE98">
        <v>0</v>
      </c>
      <c r="AF98" t="s">
        <v>6</v>
      </c>
      <c r="AG98">
        <v>0.31</v>
      </c>
      <c r="AH98">
        <v>2</v>
      </c>
      <c r="AI98">
        <v>16802724</v>
      </c>
      <c r="AJ98">
        <v>105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ROW(Source!A72)</f>
        <v>72</v>
      </c>
      <c r="B99">
        <v>16802734</v>
      </c>
      <c r="C99">
        <v>16802718</v>
      </c>
      <c r="D99">
        <v>15163054</v>
      </c>
      <c r="E99">
        <v>17</v>
      </c>
      <c r="F99">
        <v>1</v>
      </c>
      <c r="G99">
        <v>1</v>
      </c>
      <c r="H99">
        <v>3</v>
      </c>
      <c r="I99" t="s">
        <v>208</v>
      </c>
      <c r="J99" t="s">
        <v>6</v>
      </c>
      <c r="K99" t="s">
        <v>209</v>
      </c>
      <c r="L99">
        <v>1348</v>
      </c>
      <c r="N99">
        <v>1009</v>
      </c>
      <c r="O99" t="s">
        <v>65</v>
      </c>
      <c r="P99" t="s">
        <v>65</v>
      </c>
      <c r="Q99">
        <v>1000</v>
      </c>
      <c r="X99">
        <v>6.3E-2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 t="s">
        <v>6</v>
      </c>
      <c r="AG99">
        <v>6.3E-2</v>
      </c>
      <c r="AH99">
        <v>2</v>
      </c>
      <c r="AI99">
        <v>16802725</v>
      </c>
      <c r="AJ99">
        <v>106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ROW(Source!A72)</f>
        <v>72</v>
      </c>
      <c r="B100">
        <v>16802735</v>
      </c>
      <c r="C100">
        <v>16802718</v>
      </c>
      <c r="D100">
        <v>15204729</v>
      </c>
      <c r="E100">
        <v>1</v>
      </c>
      <c r="F100">
        <v>1</v>
      </c>
      <c r="G100">
        <v>1</v>
      </c>
      <c r="H100">
        <v>3</v>
      </c>
      <c r="I100" t="s">
        <v>733</v>
      </c>
      <c r="J100" t="s">
        <v>734</v>
      </c>
      <c r="K100" t="s">
        <v>735</v>
      </c>
      <c r="L100">
        <v>1348</v>
      </c>
      <c r="N100">
        <v>1009</v>
      </c>
      <c r="O100" t="s">
        <v>65</v>
      </c>
      <c r="P100" t="s">
        <v>65</v>
      </c>
      <c r="Q100">
        <v>1000</v>
      </c>
      <c r="X100">
        <v>5.0999999999999997E-2</v>
      </c>
      <c r="Y100">
        <v>4294</v>
      </c>
      <c r="Z100">
        <v>0</v>
      </c>
      <c r="AA100">
        <v>0</v>
      </c>
      <c r="AB100">
        <v>0</v>
      </c>
      <c r="AC100">
        <v>0</v>
      </c>
      <c r="AD100">
        <v>1</v>
      </c>
      <c r="AE100">
        <v>0</v>
      </c>
      <c r="AF100" t="s">
        <v>6</v>
      </c>
      <c r="AG100">
        <v>5.0999999999999997E-2</v>
      </c>
      <c r="AH100">
        <v>2</v>
      </c>
      <c r="AI100">
        <v>16802727</v>
      </c>
      <c r="AJ100">
        <v>108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ROW(Source!A75)</f>
        <v>75</v>
      </c>
      <c r="B101">
        <v>16807825</v>
      </c>
      <c r="C101">
        <v>16807824</v>
      </c>
      <c r="D101">
        <v>15436556</v>
      </c>
      <c r="E101">
        <v>1</v>
      </c>
      <c r="F101">
        <v>1</v>
      </c>
      <c r="G101">
        <v>1</v>
      </c>
      <c r="H101">
        <v>1</v>
      </c>
      <c r="I101" t="s">
        <v>736</v>
      </c>
      <c r="J101" t="s">
        <v>6</v>
      </c>
      <c r="K101" t="s">
        <v>737</v>
      </c>
      <c r="L101">
        <v>1191</v>
      </c>
      <c r="N101">
        <v>1013</v>
      </c>
      <c r="O101" t="s">
        <v>660</v>
      </c>
      <c r="P101" t="s">
        <v>660</v>
      </c>
      <c r="Q101">
        <v>1</v>
      </c>
      <c r="X101">
        <v>6.55</v>
      </c>
      <c r="Y101">
        <v>0</v>
      </c>
      <c r="Z101">
        <v>0</v>
      </c>
      <c r="AA101">
        <v>0</v>
      </c>
      <c r="AB101">
        <v>9.6199999999999992</v>
      </c>
      <c r="AC101">
        <v>0</v>
      </c>
      <c r="AD101">
        <v>1</v>
      </c>
      <c r="AE101">
        <v>1</v>
      </c>
      <c r="AF101" t="s">
        <v>72</v>
      </c>
      <c r="AG101">
        <v>7.5324999999999989</v>
      </c>
      <c r="AH101">
        <v>2</v>
      </c>
      <c r="AI101">
        <v>16807825</v>
      </c>
      <c r="AJ101">
        <v>109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ROW(Source!A75)</f>
        <v>75</v>
      </c>
      <c r="B102">
        <v>16807826</v>
      </c>
      <c r="C102">
        <v>16807824</v>
      </c>
      <c r="D102">
        <v>15430395</v>
      </c>
      <c r="E102">
        <v>1</v>
      </c>
      <c r="F102">
        <v>1</v>
      </c>
      <c r="G102">
        <v>1</v>
      </c>
      <c r="H102">
        <v>1</v>
      </c>
      <c r="I102" t="s">
        <v>661</v>
      </c>
      <c r="J102" t="s">
        <v>6</v>
      </c>
      <c r="K102" t="s">
        <v>662</v>
      </c>
      <c r="L102">
        <v>1191</v>
      </c>
      <c r="N102">
        <v>1013</v>
      </c>
      <c r="O102" t="s">
        <v>660</v>
      </c>
      <c r="P102" t="s">
        <v>660</v>
      </c>
      <c r="Q102">
        <v>1</v>
      </c>
      <c r="X102">
        <v>0.02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1</v>
      </c>
      <c r="AE102">
        <v>2</v>
      </c>
      <c r="AF102" t="s">
        <v>71</v>
      </c>
      <c r="AG102">
        <v>2.5000000000000001E-2</v>
      </c>
      <c r="AH102">
        <v>2</v>
      </c>
      <c r="AI102">
        <v>16807826</v>
      </c>
      <c r="AJ102">
        <v>110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ROW(Source!A75)</f>
        <v>75</v>
      </c>
      <c r="B103">
        <v>16807827</v>
      </c>
      <c r="C103">
        <v>16807824</v>
      </c>
      <c r="D103">
        <v>15247974</v>
      </c>
      <c r="E103">
        <v>1</v>
      </c>
      <c r="F103">
        <v>1</v>
      </c>
      <c r="G103">
        <v>1</v>
      </c>
      <c r="H103">
        <v>2</v>
      </c>
      <c r="I103" t="s">
        <v>663</v>
      </c>
      <c r="J103" t="s">
        <v>664</v>
      </c>
      <c r="K103" t="s">
        <v>665</v>
      </c>
      <c r="L103">
        <v>1368</v>
      </c>
      <c r="N103">
        <v>1011</v>
      </c>
      <c r="O103" t="s">
        <v>666</v>
      </c>
      <c r="P103" t="s">
        <v>666</v>
      </c>
      <c r="Q103">
        <v>1</v>
      </c>
      <c r="X103">
        <v>0.01</v>
      </c>
      <c r="Y103">
        <v>0</v>
      </c>
      <c r="Z103">
        <v>31.26</v>
      </c>
      <c r="AA103">
        <v>13.5</v>
      </c>
      <c r="AB103">
        <v>0</v>
      </c>
      <c r="AC103">
        <v>0</v>
      </c>
      <c r="AD103">
        <v>1</v>
      </c>
      <c r="AE103">
        <v>0</v>
      </c>
      <c r="AF103" t="s">
        <v>71</v>
      </c>
      <c r="AG103">
        <v>1.2500000000000001E-2</v>
      </c>
      <c r="AH103">
        <v>2</v>
      </c>
      <c r="AI103">
        <v>16807827</v>
      </c>
      <c r="AJ103">
        <v>111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ROW(Source!A75)</f>
        <v>75</v>
      </c>
      <c r="B104">
        <v>16807828</v>
      </c>
      <c r="C104">
        <v>16807824</v>
      </c>
      <c r="D104">
        <v>15249073</v>
      </c>
      <c r="E104">
        <v>1</v>
      </c>
      <c r="F104">
        <v>1</v>
      </c>
      <c r="G104">
        <v>1</v>
      </c>
      <c r="H104">
        <v>2</v>
      </c>
      <c r="I104" t="s">
        <v>684</v>
      </c>
      <c r="J104" t="s">
        <v>685</v>
      </c>
      <c r="K104" t="s">
        <v>686</v>
      </c>
      <c r="L104">
        <v>1368</v>
      </c>
      <c r="N104">
        <v>1011</v>
      </c>
      <c r="O104" t="s">
        <v>666</v>
      </c>
      <c r="P104" t="s">
        <v>666</v>
      </c>
      <c r="Q104">
        <v>1</v>
      </c>
      <c r="X104">
        <v>0.01</v>
      </c>
      <c r="Y104">
        <v>0</v>
      </c>
      <c r="Z104">
        <v>65.709999999999994</v>
      </c>
      <c r="AA104">
        <v>11.6</v>
      </c>
      <c r="AB104">
        <v>0</v>
      </c>
      <c r="AC104">
        <v>0</v>
      </c>
      <c r="AD104">
        <v>1</v>
      </c>
      <c r="AE104">
        <v>0</v>
      </c>
      <c r="AF104" t="s">
        <v>71</v>
      </c>
      <c r="AG104">
        <v>1.2500000000000001E-2</v>
      </c>
      <c r="AH104">
        <v>2</v>
      </c>
      <c r="AI104">
        <v>16807828</v>
      </c>
      <c r="AJ104">
        <v>112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ROW(Source!A75)</f>
        <v>75</v>
      </c>
      <c r="B105">
        <v>16807829</v>
      </c>
      <c r="C105">
        <v>16807824</v>
      </c>
      <c r="D105">
        <v>15171018</v>
      </c>
      <c r="E105">
        <v>1</v>
      </c>
      <c r="F105">
        <v>1</v>
      </c>
      <c r="G105">
        <v>1</v>
      </c>
      <c r="H105">
        <v>3</v>
      </c>
      <c r="I105" t="s">
        <v>698</v>
      </c>
      <c r="J105" t="s">
        <v>699</v>
      </c>
      <c r="K105" t="s">
        <v>700</v>
      </c>
      <c r="L105">
        <v>1346</v>
      </c>
      <c r="N105">
        <v>1009</v>
      </c>
      <c r="O105" t="s">
        <v>103</v>
      </c>
      <c r="P105" t="s">
        <v>103</v>
      </c>
      <c r="Q105">
        <v>1</v>
      </c>
      <c r="X105">
        <v>0.1</v>
      </c>
      <c r="Y105">
        <v>1.82</v>
      </c>
      <c r="Z105">
        <v>0</v>
      </c>
      <c r="AA105">
        <v>0</v>
      </c>
      <c r="AB105">
        <v>0</v>
      </c>
      <c r="AC105">
        <v>0</v>
      </c>
      <c r="AD105">
        <v>1</v>
      </c>
      <c r="AE105">
        <v>0</v>
      </c>
      <c r="AF105" t="s">
        <v>6</v>
      </c>
      <c r="AG105">
        <v>0.1</v>
      </c>
      <c r="AH105">
        <v>2</v>
      </c>
      <c r="AI105">
        <v>16807829</v>
      </c>
      <c r="AJ105">
        <v>113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ROW(Source!A75)</f>
        <v>75</v>
      </c>
      <c r="B106">
        <v>16807830</v>
      </c>
      <c r="C106">
        <v>16807824</v>
      </c>
      <c r="D106">
        <v>15162572</v>
      </c>
      <c r="E106">
        <v>17</v>
      </c>
      <c r="F106">
        <v>1</v>
      </c>
      <c r="G106">
        <v>1</v>
      </c>
      <c r="H106">
        <v>3</v>
      </c>
      <c r="I106" t="s">
        <v>219</v>
      </c>
      <c r="J106" t="s">
        <v>6</v>
      </c>
      <c r="K106" t="s">
        <v>220</v>
      </c>
      <c r="L106">
        <v>1348</v>
      </c>
      <c r="N106">
        <v>1009</v>
      </c>
      <c r="O106" t="s">
        <v>65</v>
      </c>
      <c r="P106" t="s">
        <v>65</v>
      </c>
      <c r="Q106">
        <v>1000</v>
      </c>
      <c r="X106">
        <v>1.2999999999999999E-2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 t="s">
        <v>6</v>
      </c>
      <c r="AG106">
        <v>1.2999999999999999E-2</v>
      </c>
      <c r="AH106">
        <v>2</v>
      </c>
      <c r="AI106">
        <v>16807830</v>
      </c>
      <c r="AJ106">
        <v>115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ROW(Source!A78)</f>
        <v>78</v>
      </c>
      <c r="B107">
        <v>16802765</v>
      </c>
      <c r="C107">
        <v>16802755</v>
      </c>
      <c r="D107">
        <v>15435721</v>
      </c>
      <c r="E107">
        <v>1</v>
      </c>
      <c r="F107">
        <v>1</v>
      </c>
      <c r="G107">
        <v>1</v>
      </c>
      <c r="H107">
        <v>1</v>
      </c>
      <c r="I107" t="s">
        <v>738</v>
      </c>
      <c r="J107" t="s">
        <v>6</v>
      </c>
      <c r="K107" t="s">
        <v>739</v>
      </c>
      <c r="L107">
        <v>1191</v>
      </c>
      <c r="N107">
        <v>1013</v>
      </c>
      <c r="O107" t="s">
        <v>660</v>
      </c>
      <c r="P107" t="s">
        <v>660</v>
      </c>
      <c r="Q107">
        <v>1</v>
      </c>
      <c r="X107">
        <v>50.6</v>
      </c>
      <c r="Y107">
        <v>0</v>
      </c>
      <c r="Z107">
        <v>0</v>
      </c>
      <c r="AA107">
        <v>0</v>
      </c>
      <c r="AB107">
        <v>9.51</v>
      </c>
      <c r="AC107">
        <v>0</v>
      </c>
      <c r="AD107">
        <v>1</v>
      </c>
      <c r="AE107">
        <v>1</v>
      </c>
      <c r="AF107" t="s">
        <v>228</v>
      </c>
      <c r="AG107">
        <v>40.480000000000004</v>
      </c>
      <c r="AH107">
        <v>2</v>
      </c>
      <c r="AI107">
        <v>16802756</v>
      </c>
      <c r="AJ107">
        <v>116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ROW(Source!A78)</f>
        <v>78</v>
      </c>
      <c r="B108">
        <v>16802766</v>
      </c>
      <c r="C108">
        <v>16802755</v>
      </c>
      <c r="D108">
        <v>15430395</v>
      </c>
      <c r="E108">
        <v>1</v>
      </c>
      <c r="F108">
        <v>1</v>
      </c>
      <c r="G108">
        <v>1</v>
      </c>
      <c r="H108">
        <v>1</v>
      </c>
      <c r="I108" t="s">
        <v>661</v>
      </c>
      <c r="J108" t="s">
        <v>6</v>
      </c>
      <c r="K108" t="s">
        <v>662</v>
      </c>
      <c r="L108">
        <v>1191</v>
      </c>
      <c r="N108">
        <v>1013</v>
      </c>
      <c r="O108" t="s">
        <v>660</v>
      </c>
      <c r="P108" t="s">
        <v>660</v>
      </c>
      <c r="Q108">
        <v>1</v>
      </c>
      <c r="X108">
        <v>1.42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1</v>
      </c>
      <c r="AE108">
        <v>2</v>
      </c>
      <c r="AF108" t="s">
        <v>228</v>
      </c>
      <c r="AG108">
        <v>1.1359999999999999</v>
      </c>
      <c r="AH108">
        <v>2</v>
      </c>
      <c r="AI108">
        <v>16802757</v>
      </c>
      <c r="AJ108">
        <v>117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ROW(Source!A78)</f>
        <v>78</v>
      </c>
      <c r="B109">
        <v>16802767</v>
      </c>
      <c r="C109">
        <v>16802755</v>
      </c>
      <c r="D109">
        <v>15247974</v>
      </c>
      <c r="E109">
        <v>1</v>
      </c>
      <c r="F109">
        <v>1</v>
      </c>
      <c r="G109">
        <v>1</v>
      </c>
      <c r="H109">
        <v>2</v>
      </c>
      <c r="I109" t="s">
        <v>663</v>
      </c>
      <c r="J109" t="s">
        <v>664</v>
      </c>
      <c r="K109" t="s">
        <v>665</v>
      </c>
      <c r="L109">
        <v>1368</v>
      </c>
      <c r="N109">
        <v>1011</v>
      </c>
      <c r="O109" t="s">
        <v>666</v>
      </c>
      <c r="P109" t="s">
        <v>666</v>
      </c>
      <c r="Q109">
        <v>1</v>
      </c>
      <c r="X109">
        <v>0.22</v>
      </c>
      <c r="Y109">
        <v>0</v>
      </c>
      <c r="Z109">
        <v>31.26</v>
      </c>
      <c r="AA109">
        <v>13.5</v>
      </c>
      <c r="AB109">
        <v>0</v>
      </c>
      <c r="AC109">
        <v>0</v>
      </c>
      <c r="AD109">
        <v>1</v>
      </c>
      <c r="AE109">
        <v>0</v>
      </c>
      <c r="AF109" t="s">
        <v>228</v>
      </c>
      <c r="AG109">
        <v>0.17600000000000002</v>
      </c>
      <c r="AH109">
        <v>2</v>
      </c>
      <c r="AI109">
        <v>16802758</v>
      </c>
      <c r="AJ109">
        <v>118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ROW(Source!A78)</f>
        <v>78</v>
      </c>
      <c r="B110">
        <v>16802768</v>
      </c>
      <c r="C110">
        <v>16802755</v>
      </c>
      <c r="D110">
        <v>15249073</v>
      </c>
      <c r="E110">
        <v>1</v>
      </c>
      <c r="F110">
        <v>1</v>
      </c>
      <c r="G110">
        <v>1</v>
      </c>
      <c r="H110">
        <v>2</v>
      </c>
      <c r="I110" t="s">
        <v>684</v>
      </c>
      <c r="J110" t="s">
        <v>685</v>
      </c>
      <c r="K110" t="s">
        <v>686</v>
      </c>
      <c r="L110">
        <v>1368</v>
      </c>
      <c r="N110">
        <v>1011</v>
      </c>
      <c r="O110" t="s">
        <v>666</v>
      </c>
      <c r="P110" t="s">
        <v>666</v>
      </c>
      <c r="Q110">
        <v>1</v>
      </c>
      <c r="X110">
        <v>1.2</v>
      </c>
      <c r="Y110">
        <v>0</v>
      </c>
      <c r="Z110">
        <v>65.709999999999994</v>
      </c>
      <c r="AA110">
        <v>11.6</v>
      </c>
      <c r="AB110">
        <v>0</v>
      </c>
      <c r="AC110">
        <v>0</v>
      </c>
      <c r="AD110">
        <v>1</v>
      </c>
      <c r="AE110">
        <v>0</v>
      </c>
      <c r="AF110" t="s">
        <v>228</v>
      </c>
      <c r="AG110">
        <v>0.96</v>
      </c>
      <c r="AH110">
        <v>2</v>
      </c>
      <c r="AI110">
        <v>16802759</v>
      </c>
      <c r="AJ110">
        <v>119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ROW(Source!A78)</f>
        <v>78</v>
      </c>
      <c r="B111">
        <v>16802769</v>
      </c>
      <c r="C111">
        <v>16802755</v>
      </c>
      <c r="D111">
        <v>15167277</v>
      </c>
      <c r="E111">
        <v>1</v>
      </c>
      <c r="F111">
        <v>1</v>
      </c>
      <c r="G111">
        <v>1</v>
      </c>
      <c r="H111">
        <v>3</v>
      </c>
      <c r="I111" t="s">
        <v>740</v>
      </c>
      <c r="J111" t="s">
        <v>741</v>
      </c>
      <c r="K111" t="s">
        <v>742</v>
      </c>
      <c r="L111">
        <v>1348</v>
      </c>
      <c r="N111">
        <v>1009</v>
      </c>
      <c r="O111" t="s">
        <v>65</v>
      </c>
      <c r="P111" t="s">
        <v>65</v>
      </c>
      <c r="Q111">
        <v>1000</v>
      </c>
      <c r="X111">
        <v>0.01</v>
      </c>
      <c r="Y111">
        <v>5650</v>
      </c>
      <c r="Z111">
        <v>0</v>
      </c>
      <c r="AA111">
        <v>0</v>
      </c>
      <c r="AB111">
        <v>0</v>
      </c>
      <c r="AC111">
        <v>0</v>
      </c>
      <c r="AD111">
        <v>1</v>
      </c>
      <c r="AE111">
        <v>0</v>
      </c>
      <c r="AF111" t="s">
        <v>227</v>
      </c>
      <c r="AG111">
        <v>0</v>
      </c>
      <c r="AH111">
        <v>2</v>
      </c>
      <c r="AI111">
        <v>16802760</v>
      </c>
      <c r="AJ111">
        <v>120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ROW(Source!A78)</f>
        <v>78</v>
      </c>
      <c r="B112">
        <v>16802770</v>
      </c>
      <c r="C112">
        <v>16802755</v>
      </c>
      <c r="D112">
        <v>15170447</v>
      </c>
      <c r="E112">
        <v>1</v>
      </c>
      <c r="F112">
        <v>1</v>
      </c>
      <c r="G112">
        <v>1</v>
      </c>
      <c r="H112">
        <v>3</v>
      </c>
      <c r="I112" t="s">
        <v>743</v>
      </c>
      <c r="J112" t="s">
        <v>744</v>
      </c>
      <c r="K112" t="s">
        <v>745</v>
      </c>
      <c r="L112">
        <v>1348</v>
      </c>
      <c r="N112">
        <v>1009</v>
      </c>
      <c r="O112" t="s">
        <v>65</v>
      </c>
      <c r="P112" t="s">
        <v>65</v>
      </c>
      <c r="Q112">
        <v>1000</v>
      </c>
      <c r="X112">
        <v>8.4000000000000003E-4</v>
      </c>
      <c r="Y112">
        <v>11350</v>
      </c>
      <c r="Z112">
        <v>0</v>
      </c>
      <c r="AA112">
        <v>0</v>
      </c>
      <c r="AB112">
        <v>0</v>
      </c>
      <c r="AC112">
        <v>0</v>
      </c>
      <c r="AD112">
        <v>1</v>
      </c>
      <c r="AE112">
        <v>0</v>
      </c>
      <c r="AF112" t="s">
        <v>227</v>
      </c>
      <c r="AG112">
        <v>0</v>
      </c>
      <c r="AH112">
        <v>2</v>
      </c>
      <c r="AI112">
        <v>16802761</v>
      </c>
      <c r="AJ112">
        <v>121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ROW(Source!A78)</f>
        <v>78</v>
      </c>
      <c r="B113">
        <v>16802771</v>
      </c>
      <c r="C113">
        <v>16802755</v>
      </c>
      <c r="D113">
        <v>15171018</v>
      </c>
      <c r="E113">
        <v>1</v>
      </c>
      <c r="F113">
        <v>1</v>
      </c>
      <c r="G113">
        <v>1</v>
      </c>
      <c r="H113">
        <v>3</v>
      </c>
      <c r="I113" t="s">
        <v>698</v>
      </c>
      <c r="J113" t="s">
        <v>699</v>
      </c>
      <c r="K113" t="s">
        <v>700</v>
      </c>
      <c r="L113">
        <v>1346</v>
      </c>
      <c r="N113">
        <v>1009</v>
      </c>
      <c r="O113" t="s">
        <v>103</v>
      </c>
      <c r="P113" t="s">
        <v>103</v>
      </c>
      <c r="Q113">
        <v>1</v>
      </c>
      <c r="X113">
        <v>0.2</v>
      </c>
      <c r="Y113">
        <v>1.82</v>
      </c>
      <c r="Z113">
        <v>0</v>
      </c>
      <c r="AA113">
        <v>0</v>
      </c>
      <c r="AB113">
        <v>0</v>
      </c>
      <c r="AC113">
        <v>0</v>
      </c>
      <c r="AD113">
        <v>1</v>
      </c>
      <c r="AE113">
        <v>0</v>
      </c>
      <c r="AF113" t="s">
        <v>227</v>
      </c>
      <c r="AG113">
        <v>0</v>
      </c>
      <c r="AH113">
        <v>2</v>
      </c>
      <c r="AI113">
        <v>16802762</v>
      </c>
      <c r="AJ113">
        <v>122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ROW(Source!A78)</f>
        <v>78</v>
      </c>
      <c r="B114">
        <v>16802772</v>
      </c>
      <c r="C114">
        <v>16802755</v>
      </c>
      <c r="D114">
        <v>15162988</v>
      </c>
      <c r="E114">
        <v>17</v>
      </c>
      <c r="F114">
        <v>1</v>
      </c>
      <c r="G114">
        <v>1</v>
      </c>
      <c r="H114">
        <v>3</v>
      </c>
      <c r="I114" t="s">
        <v>947</v>
      </c>
      <c r="J114" t="s">
        <v>6</v>
      </c>
      <c r="K114" t="s">
        <v>948</v>
      </c>
      <c r="L114">
        <v>1327</v>
      </c>
      <c r="N114">
        <v>1005</v>
      </c>
      <c r="O114" t="s">
        <v>95</v>
      </c>
      <c r="P114" t="s">
        <v>95</v>
      </c>
      <c r="Q114">
        <v>1</v>
      </c>
      <c r="X114">
        <v>102.5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 t="s">
        <v>227</v>
      </c>
      <c r="AG114">
        <v>0</v>
      </c>
      <c r="AH114">
        <v>3</v>
      </c>
      <c r="AI114">
        <v>-1</v>
      </c>
      <c r="AJ114" t="s">
        <v>6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ROW(Source!A78)</f>
        <v>78</v>
      </c>
      <c r="B115">
        <v>16802773</v>
      </c>
      <c r="C115">
        <v>16802755</v>
      </c>
      <c r="D115">
        <v>15203980</v>
      </c>
      <c r="E115">
        <v>1</v>
      </c>
      <c r="F115">
        <v>1</v>
      </c>
      <c r="G115">
        <v>1</v>
      </c>
      <c r="H115">
        <v>3</v>
      </c>
      <c r="I115" t="s">
        <v>746</v>
      </c>
      <c r="J115" t="s">
        <v>747</v>
      </c>
      <c r="K115" t="s">
        <v>748</v>
      </c>
      <c r="L115">
        <v>1348</v>
      </c>
      <c r="N115">
        <v>1009</v>
      </c>
      <c r="O115" t="s">
        <v>65</v>
      </c>
      <c r="P115" t="s">
        <v>65</v>
      </c>
      <c r="Q115">
        <v>1000</v>
      </c>
      <c r="X115">
        <v>1.1000000000000001E-3</v>
      </c>
      <c r="Y115">
        <v>33640</v>
      </c>
      <c r="Z115">
        <v>0</v>
      </c>
      <c r="AA115">
        <v>0</v>
      </c>
      <c r="AB115">
        <v>0</v>
      </c>
      <c r="AC115">
        <v>0</v>
      </c>
      <c r="AD115">
        <v>1</v>
      </c>
      <c r="AE115">
        <v>0</v>
      </c>
      <c r="AF115" t="s">
        <v>227</v>
      </c>
      <c r="AG115">
        <v>0</v>
      </c>
      <c r="AH115">
        <v>2</v>
      </c>
      <c r="AI115">
        <v>16802763</v>
      </c>
      <c r="AJ115">
        <v>123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ROW(Source!A78)</f>
        <v>78</v>
      </c>
      <c r="B116">
        <v>16802774</v>
      </c>
      <c r="C116">
        <v>16802755</v>
      </c>
      <c r="D116">
        <v>15204665</v>
      </c>
      <c r="E116">
        <v>1</v>
      </c>
      <c r="F116">
        <v>1</v>
      </c>
      <c r="G116">
        <v>1</v>
      </c>
      <c r="H116">
        <v>3</v>
      </c>
      <c r="I116" t="s">
        <v>749</v>
      </c>
      <c r="J116" t="s">
        <v>750</v>
      </c>
      <c r="K116" t="s">
        <v>751</v>
      </c>
      <c r="L116">
        <v>1348</v>
      </c>
      <c r="N116">
        <v>1009</v>
      </c>
      <c r="O116" t="s">
        <v>65</v>
      </c>
      <c r="P116" t="s">
        <v>65</v>
      </c>
      <c r="Q116">
        <v>1000</v>
      </c>
      <c r="X116">
        <v>3.0000000000000001E-3</v>
      </c>
      <c r="Y116">
        <v>5479.9</v>
      </c>
      <c r="Z116">
        <v>0</v>
      </c>
      <c r="AA116">
        <v>0</v>
      </c>
      <c r="AB116">
        <v>0</v>
      </c>
      <c r="AC116">
        <v>0</v>
      </c>
      <c r="AD116">
        <v>1</v>
      </c>
      <c r="AE116">
        <v>0</v>
      </c>
      <c r="AF116" t="s">
        <v>227</v>
      </c>
      <c r="AG116">
        <v>0</v>
      </c>
      <c r="AH116">
        <v>2</v>
      </c>
      <c r="AI116">
        <v>16802764</v>
      </c>
      <c r="AJ116">
        <v>124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ROW(Source!A79)</f>
        <v>79</v>
      </c>
      <c r="B117">
        <v>16802786</v>
      </c>
      <c r="C117">
        <v>16802776</v>
      </c>
      <c r="D117">
        <v>15435721</v>
      </c>
      <c r="E117">
        <v>1</v>
      </c>
      <c r="F117">
        <v>1</v>
      </c>
      <c r="G117">
        <v>1</v>
      </c>
      <c r="H117">
        <v>1</v>
      </c>
      <c r="I117" t="s">
        <v>738</v>
      </c>
      <c r="J117" t="s">
        <v>6</v>
      </c>
      <c r="K117" t="s">
        <v>739</v>
      </c>
      <c r="L117">
        <v>1191</v>
      </c>
      <c r="N117">
        <v>1013</v>
      </c>
      <c r="O117" t="s">
        <v>660</v>
      </c>
      <c r="P117" t="s">
        <v>660</v>
      </c>
      <c r="Q117">
        <v>1</v>
      </c>
      <c r="X117">
        <v>50.6</v>
      </c>
      <c r="Y117">
        <v>0</v>
      </c>
      <c r="Z117">
        <v>0</v>
      </c>
      <c r="AA117">
        <v>0</v>
      </c>
      <c r="AB117">
        <v>9.51</v>
      </c>
      <c r="AC117">
        <v>0</v>
      </c>
      <c r="AD117">
        <v>1</v>
      </c>
      <c r="AE117">
        <v>1</v>
      </c>
      <c r="AF117" t="s">
        <v>228</v>
      </c>
      <c r="AG117">
        <v>40.480000000000004</v>
      </c>
      <c r="AH117">
        <v>2</v>
      </c>
      <c r="AI117">
        <v>16802777</v>
      </c>
      <c r="AJ117">
        <v>125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ROW(Source!A79)</f>
        <v>79</v>
      </c>
      <c r="B118">
        <v>16802787</v>
      </c>
      <c r="C118">
        <v>16802776</v>
      </c>
      <c r="D118">
        <v>15430395</v>
      </c>
      <c r="E118">
        <v>1</v>
      </c>
      <c r="F118">
        <v>1</v>
      </c>
      <c r="G118">
        <v>1</v>
      </c>
      <c r="H118">
        <v>1</v>
      </c>
      <c r="I118" t="s">
        <v>661</v>
      </c>
      <c r="J118" t="s">
        <v>6</v>
      </c>
      <c r="K118" t="s">
        <v>662</v>
      </c>
      <c r="L118">
        <v>1191</v>
      </c>
      <c r="N118">
        <v>1013</v>
      </c>
      <c r="O118" t="s">
        <v>660</v>
      </c>
      <c r="P118" t="s">
        <v>660</v>
      </c>
      <c r="Q118">
        <v>1</v>
      </c>
      <c r="X118">
        <v>1.42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1</v>
      </c>
      <c r="AE118">
        <v>2</v>
      </c>
      <c r="AF118" t="s">
        <v>228</v>
      </c>
      <c r="AG118">
        <v>1.1359999999999999</v>
      </c>
      <c r="AH118">
        <v>2</v>
      </c>
      <c r="AI118">
        <v>16802778</v>
      </c>
      <c r="AJ118">
        <v>126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ROW(Source!A79)</f>
        <v>79</v>
      </c>
      <c r="B119">
        <v>16802788</v>
      </c>
      <c r="C119">
        <v>16802776</v>
      </c>
      <c r="D119">
        <v>15247974</v>
      </c>
      <c r="E119">
        <v>1</v>
      </c>
      <c r="F119">
        <v>1</v>
      </c>
      <c r="G119">
        <v>1</v>
      </c>
      <c r="H119">
        <v>2</v>
      </c>
      <c r="I119" t="s">
        <v>663</v>
      </c>
      <c r="J119" t="s">
        <v>664</v>
      </c>
      <c r="K119" t="s">
        <v>665</v>
      </c>
      <c r="L119">
        <v>1368</v>
      </c>
      <c r="N119">
        <v>1011</v>
      </c>
      <c r="O119" t="s">
        <v>666</v>
      </c>
      <c r="P119" t="s">
        <v>666</v>
      </c>
      <c r="Q119">
        <v>1</v>
      </c>
      <c r="X119">
        <v>0.22</v>
      </c>
      <c r="Y119">
        <v>0</v>
      </c>
      <c r="Z119">
        <v>31.26</v>
      </c>
      <c r="AA119">
        <v>13.5</v>
      </c>
      <c r="AB119">
        <v>0</v>
      </c>
      <c r="AC119">
        <v>0</v>
      </c>
      <c r="AD119">
        <v>1</v>
      </c>
      <c r="AE119">
        <v>0</v>
      </c>
      <c r="AF119" t="s">
        <v>228</v>
      </c>
      <c r="AG119">
        <v>0.17600000000000002</v>
      </c>
      <c r="AH119">
        <v>2</v>
      </c>
      <c r="AI119">
        <v>16802779</v>
      </c>
      <c r="AJ119">
        <v>127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ROW(Source!A79)</f>
        <v>79</v>
      </c>
      <c r="B120">
        <v>16802789</v>
      </c>
      <c r="C120">
        <v>16802776</v>
      </c>
      <c r="D120">
        <v>15249073</v>
      </c>
      <c r="E120">
        <v>1</v>
      </c>
      <c r="F120">
        <v>1</v>
      </c>
      <c r="G120">
        <v>1</v>
      </c>
      <c r="H120">
        <v>2</v>
      </c>
      <c r="I120" t="s">
        <v>684</v>
      </c>
      <c r="J120" t="s">
        <v>685</v>
      </c>
      <c r="K120" t="s">
        <v>686</v>
      </c>
      <c r="L120">
        <v>1368</v>
      </c>
      <c r="N120">
        <v>1011</v>
      </c>
      <c r="O120" t="s">
        <v>666</v>
      </c>
      <c r="P120" t="s">
        <v>666</v>
      </c>
      <c r="Q120">
        <v>1</v>
      </c>
      <c r="X120">
        <v>1.2</v>
      </c>
      <c r="Y120">
        <v>0</v>
      </c>
      <c r="Z120">
        <v>65.709999999999994</v>
      </c>
      <c r="AA120">
        <v>11.6</v>
      </c>
      <c r="AB120">
        <v>0</v>
      </c>
      <c r="AC120">
        <v>0</v>
      </c>
      <c r="AD120">
        <v>1</v>
      </c>
      <c r="AE120">
        <v>0</v>
      </c>
      <c r="AF120" t="s">
        <v>228</v>
      </c>
      <c r="AG120">
        <v>0.96</v>
      </c>
      <c r="AH120">
        <v>2</v>
      </c>
      <c r="AI120">
        <v>16802780</v>
      </c>
      <c r="AJ120">
        <v>128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ROW(Source!A79)</f>
        <v>79</v>
      </c>
      <c r="B121">
        <v>16802790</v>
      </c>
      <c r="C121">
        <v>16802776</v>
      </c>
      <c r="D121">
        <v>15167277</v>
      </c>
      <c r="E121">
        <v>1</v>
      </c>
      <c r="F121">
        <v>1</v>
      </c>
      <c r="G121">
        <v>1</v>
      </c>
      <c r="H121">
        <v>3</v>
      </c>
      <c r="I121" t="s">
        <v>740</v>
      </c>
      <c r="J121" t="s">
        <v>741</v>
      </c>
      <c r="K121" t="s">
        <v>742</v>
      </c>
      <c r="L121">
        <v>1348</v>
      </c>
      <c r="N121">
        <v>1009</v>
      </c>
      <c r="O121" t="s">
        <v>65</v>
      </c>
      <c r="P121" t="s">
        <v>65</v>
      </c>
      <c r="Q121">
        <v>1000</v>
      </c>
      <c r="X121">
        <v>0.01</v>
      </c>
      <c r="Y121">
        <v>5650</v>
      </c>
      <c r="Z121">
        <v>0</v>
      </c>
      <c r="AA121">
        <v>0</v>
      </c>
      <c r="AB121">
        <v>0</v>
      </c>
      <c r="AC121">
        <v>0</v>
      </c>
      <c r="AD121">
        <v>1</v>
      </c>
      <c r="AE121">
        <v>0</v>
      </c>
      <c r="AF121" t="s">
        <v>227</v>
      </c>
      <c r="AG121">
        <v>0</v>
      </c>
      <c r="AH121">
        <v>2</v>
      </c>
      <c r="AI121">
        <v>16802781</v>
      </c>
      <c r="AJ121">
        <v>129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ROW(Source!A79)</f>
        <v>79</v>
      </c>
      <c r="B122">
        <v>16802791</v>
      </c>
      <c r="C122">
        <v>16802776</v>
      </c>
      <c r="D122">
        <v>15170447</v>
      </c>
      <c r="E122">
        <v>1</v>
      </c>
      <c r="F122">
        <v>1</v>
      </c>
      <c r="G122">
        <v>1</v>
      </c>
      <c r="H122">
        <v>3</v>
      </c>
      <c r="I122" t="s">
        <v>743</v>
      </c>
      <c r="J122" t="s">
        <v>744</v>
      </c>
      <c r="K122" t="s">
        <v>745</v>
      </c>
      <c r="L122">
        <v>1348</v>
      </c>
      <c r="N122">
        <v>1009</v>
      </c>
      <c r="O122" t="s">
        <v>65</v>
      </c>
      <c r="P122" t="s">
        <v>65</v>
      </c>
      <c r="Q122">
        <v>1000</v>
      </c>
      <c r="X122">
        <v>8.4000000000000003E-4</v>
      </c>
      <c r="Y122">
        <v>11350</v>
      </c>
      <c r="Z122">
        <v>0</v>
      </c>
      <c r="AA122">
        <v>0</v>
      </c>
      <c r="AB122">
        <v>0</v>
      </c>
      <c r="AC122">
        <v>0</v>
      </c>
      <c r="AD122">
        <v>1</v>
      </c>
      <c r="AE122">
        <v>0</v>
      </c>
      <c r="AF122" t="s">
        <v>227</v>
      </c>
      <c r="AG122">
        <v>0</v>
      </c>
      <c r="AH122">
        <v>2</v>
      </c>
      <c r="AI122">
        <v>16802782</v>
      </c>
      <c r="AJ122">
        <v>130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ROW(Source!A79)</f>
        <v>79</v>
      </c>
      <c r="B123">
        <v>16802792</v>
      </c>
      <c r="C123">
        <v>16802776</v>
      </c>
      <c r="D123">
        <v>15171018</v>
      </c>
      <c r="E123">
        <v>1</v>
      </c>
      <c r="F123">
        <v>1</v>
      </c>
      <c r="G123">
        <v>1</v>
      </c>
      <c r="H123">
        <v>3</v>
      </c>
      <c r="I123" t="s">
        <v>698</v>
      </c>
      <c r="J123" t="s">
        <v>699</v>
      </c>
      <c r="K123" t="s">
        <v>700</v>
      </c>
      <c r="L123">
        <v>1346</v>
      </c>
      <c r="N123">
        <v>1009</v>
      </c>
      <c r="O123" t="s">
        <v>103</v>
      </c>
      <c r="P123" t="s">
        <v>103</v>
      </c>
      <c r="Q123">
        <v>1</v>
      </c>
      <c r="X123">
        <v>0.2</v>
      </c>
      <c r="Y123">
        <v>1.82</v>
      </c>
      <c r="Z123">
        <v>0</v>
      </c>
      <c r="AA123">
        <v>0</v>
      </c>
      <c r="AB123">
        <v>0</v>
      </c>
      <c r="AC123">
        <v>0</v>
      </c>
      <c r="AD123">
        <v>1</v>
      </c>
      <c r="AE123">
        <v>0</v>
      </c>
      <c r="AF123" t="s">
        <v>227</v>
      </c>
      <c r="AG123">
        <v>0</v>
      </c>
      <c r="AH123">
        <v>2</v>
      </c>
      <c r="AI123">
        <v>16802783</v>
      </c>
      <c r="AJ123">
        <v>131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ROW(Source!A79)</f>
        <v>79</v>
      </c>
      <c r="B124">
        <v>16802793</v>
      </c>
      <c r="C124">
        <v>16802776</v>
      </c>
      <c r="D124">
        <v>15162988</v>
      </c>
      <c r="E124">
        <v>17</v>
      </c>
      <c r="F124">
        <v>1</v>
      </c>
      <c r="G124">
        <v>1</v>
      </c>
      <c r="H124">
        <v>3</v>
      </c>
      <c r="I124" t="s">
        <v>947</v>
      </c>
      <c r="J124" t="s">
        <v>6</v>
      </c>
      <c r="K124" t="s">
        <v>948</v>
      </c>
      <c r="L124">
        <v>1327</v>
      </c>
      <c r="N124">
        <v>1005</v>
      </c>
      <c r="O124" t="s">
        <v>95</v>
      </c>
      <c r="P124" t="s">
        <v>95</v>
      </c>
      <c r="Q124">
        <v>1</v>
      </c>
      <c r="X124">
        <v>102.5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 t="s">
        <v>227</v>
      </c>
      <c r="AG124">
        <v>0</v>
      </c>
      <c r="AH124">
        <v>3</v>
      </c>
      <c r="AI124">
        <v>-1</v>
      </c>
      <c r="AJ124" t="s">
        <v>6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ROW(Source!A79)</f>
        <v>79</v>
      </c>
      <c r="B125">
        <v>16802794</v>
      </c>
      <c r="C125">
        <v>16802776</v>
      </c>
      <c r="D125">
        <v>15203980</v>
      </c>
      <c r="E125">
        <v>1</v>
      </c>
      <c r="F125">
        <v>1</v>
      </c>
      <c r="G125">
        <v>1</v>
      </c>
      <c r="H125">
        <v>3</v>
      </c>
      <c r="I125" t="s">
        <v>746</v>
      </c>
      <c r="J125" t="s">
        <v>747</v>
      </c>
      <c r="K125" t="s">
        <v>748</v>
      </c>
      <c r="L125">
        <v>1348</v>
      </c>
      <c r="N125">
        <v>1009</v>
      </c>
      <c r="O125" t="s">
        <v>65</v>
      </c>
      <c r="P125" t="s">
        <v>65</v>
      </c>
      <c r="Q125">
        <v>1000</v>
      </c>
      <c r="X125">
        <v>1.1000000000000001E-3</v>
      </c>
      <c r="Y125">
        <v>33640</v>
      </c>
      <c r="Z125">
        <v>0</v>
      </c>
      <c r="AA125">
        <v>0</v>
      </c>
      <c r="AB125">
        <v>0</v>
      </c>
      <c r="AC125">
        <v>0</v>
      </c>
      <c r="AD125">
        <v>1</v>
      </c>
      <c r="AE125">
        <v>0</v>
      </c>
      <c r="AF125" t="s">
        <v>227</v>
      </c>
      <c r="AG125">
        <v>0</v>
      </c>
      <c r="AH125">
        <v>2</v>
      </c>
      <c r="AI125">
        <v>16802784</v>
      </c>
      <c r="AJ125">
        <v>132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ROW(Source!A79)</f>
        <v>79</v>
      </c>
      <c r="B126">
        <v>16802795</v>
      </c>
      <c r="C126">
        <v>16802776</v>
      </c>
      <c r="D126">
        <v>15204665</v>
      </c>
      <c r="E126">
        <v>1</v>
      </c>
      <c r="F126">
        <v>1</v>
      </c>
      <c r="G126">
        <v>1</v>
      </c>
      <c r="H126">
        <v>3</v>
      </c>
      <c r="I126" t="s">
        <v>749</v>
      </c>
      <c r="J126" t="s">
        <v>750</v>
      </c>
      <c r="K126" t="s">
        <v>751</v>
      </c>
      <c r="L126">
        <v>1348</v>
      </c>
      <c r="N126">
        <v>1009</v>
      </c>
      <c r="O126" t="s">
        <v>65</v>
      </c>
      <c r="P126" t="s">
        <v>65</v>
      </c>
      <c r="Q126">
        <v>1000</v>
      </c>
      <c r="X126">
        <v>3.0000000000000001E-3</v>
      </c>
      <c r="Y126">
        <v>5479.9</v>
      </c>
      <c r="Z126">
        <v>0</v>
      </c>
      <c r="AA126">
        <v>0</v>
      </c>
      <c r="AB126">
        <v>0</v>
      </c>
      <c r="AC126">
        <v>0</v>
      </c>
      <c r="AD126">
        <v>1</v>
      </c>
      <c r="AE126">
        <v>0</v>
      </c>
      <c r="AF126" t="s">
        <v>227</v>
      </c>
      <c r="AG126">
        <v>0</v>
      </c>
      <c r="AH126">
        <v>2</v>
      </c>
      <c r="AI126">
        <v>16802785</v>
      </c>
      <c r="AJ126">
        <v>133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ROW(Source!A80)</f>
        <v>80</v>
      </c>
      <c r="B127">
        <v>16802800</v>
      </c>
      <c r="C127">
        <v>16802797</v>
      </c>
      <c r="D127">
        <v>15436556</v>
      </c>
      <c r="E127">
        <v>1</v>
      </c>
      <c r="F127">
        <v>1</v>
      </c>
      <c r="G127">
        <v>1</v>
      </c>
      <c r="H127">
        <v>1</v>
      </c>
      <c r="I127" t="s">
        <v>736</v>
      </c>
      <c r="J127" t="s">
        <v>6</v>
      </c>
      <c r="K127" t="s">
        <v>737</v>
      </c>
      <c r="L127">
        <v>1191</v>
      </c>
      <c r="N127">
        <v>1013</v>
      </c>
      <c r="O127" t="s">
        <v>660</v>
      </c>
      <c r="P127" t="s">
        <v>660</v>
      </c>
      <c r="Q127">
        <v>1</v>
      </c>
      <c r="X127">
        <v>2.8</v>
      </c>
      <c r="Y127">
        <v>0</v>
      </c>
      <c r="Z127">
        <v>0</v>
      </c>
      <c r="AA127">
        <v>0</v>
      </c>
      <c r="AB127">
        <v>9.6199999999999992</v>
      </c>
      <c r="AC127">
        <v>0</v>
      </c>
      <c r="AD127">
        <v>1</v>
      </c>
      <c r="AE127">
        <v>1</v>
      </c>
      <c r="AF127" t="s">
        <v>238</v>
      </c>
      <c r="AG127">
        <v>1.1199999999999999</v>
      </c>
      <c r="AH127">
        <v>2</v>
      </c>
      <c r="AI127">
        <v>16802798</v>
      </c>
      <c r="AJ127">
        <v>134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ROW(Source!A80)</f>
        <v>80</v>
      </c>
      <c r="B128">
        <v>16802801</v>
      </c>
      <c r="C128">
        <v>16802797</v>
      </c>
      <c r="D128">
        <v>15163011</v>
      </c>
      <c r="E128">
        <v>17</v>
      </c>
      <c r="F128">
        <v>1</v>
      </c>
      <c r="G128">
        <v>1</v>
      </c>
      <c r="H128">
        <v>3</v>
      </c>
      <c r="I128" t="s">
        <v>949</v>
      </c>
      <c r="J128" t="s">
        <v>6</v>
      </c>
      <c r="K128" t="s">
        <v>950</v>
      </c>
      <c r="L128">
        <v>1358</v>
      </c>
      <c r="N128">
        <v>1010</v>
      </c>
      <c r="O128" t="s">
        <v>435</v>
      </c>
      <c r="P128" t="s">
        <v>435</v>
      </c>
      <c r="Q128">
        <v>10</v>
      </c>
      <c r="X128">
        <v>2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 t="s">
        <v>227</v>
      </c>
      <c r="AG128">
        <v>0</v>
      </c>
      <c r="AH128">
        <v>3</v>
      </c>
      <c r="AI128">
        <v>-1</v>
      </c>
      <c r="AJ128" t="s">
        <v>6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ROW(Source!A80)</f>
        <v>80</v>
      </c>
      <c r="B129">
        <v>16802802</v>
      </c>
      <c r="C129">
        <v>16802797</v>
      </c>
      <c r="D129">
        <v>15162072</v>
      </c>
      <c r="E129">
        <v>17</v>
      </c>
      <c r="F129">
        <v>1</v>
      </c>
      <c r="G129">
        <v>1</v>
      </c>
      <c r="H129">
        <v>3</v>
      </c>
      <c r="I129" t="s">
        <v>951</v>
      </c>
      <c r="J129" t="s">
        <v>6</v>
      </c>
      <c r="K129" t="s">
        <v>952</v>
      </c>
      <c r="L129">
        <v>1348</v>
      </c>
      <c r="N129">
        <v>1009</v>
      </c>
      <c r="O129" t="s">
        <v>65</v>
      </c>
      <c r="P129" t="s">
        <v>65</v>
      </c>
      <c r="Q129">
        <v>1000</v>
      </c>
      <c r="X129">
        <v>1.3999999999999999E-4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 t="s">
        <v>227</v>
      </c>
      <c r="AG129">
        <v>0</v>
      </c>
      <c r="AH129">
        <v>3</v>
      </c>
      <c r="AI129">
        <v>-1</v>
      </c>
      <c r="AJ129" t="s">
        <v>6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ROW(Source!A80)</f>
        <v>80</v>
      </c>
      <c r="B130">
        <v>16802803</v>
      </c>
      <c r="C130">
        <v>16802797</v>
      </c>
      <c r="D130">
        <v>15189796</v>
      </c>
      <c r="E130">
        <v>1</v>
      </c>
      <c r="F130">
        <v>1</v>
      </c>
      <c r="G130">
        <v>1</v>
      </c>
      <c r="H130">
        <v>3</v>
      </c>
      <c r="I130" t="s">
        <v>752</v>
      </c>
      <c r="J130" t="s">
        <v>753</v>
      </c>
      <c r="K130" t="s">
        <v>754</v>
      </c>
      <c r="L130">
        <v>1348</v>
      </c>
      <c r="N130">
        <v>1009</v>
      </c>
      <c r="O130" t="s">
        <v>65</v>
      </c>
      <c r="P130" t="s">
        <v>65</v>
      </c>
      <c r="Q130">
        <v>1000</v>
      </c>
      <c r="X130">
        <v>1E-4</v>
      </c>
      <c r="Y130">
        <v>5989</v>
      </c>
      <c r="Z130">
        <v>0</v>
      </c>
      <c r="AA130">
        <v>0</v>
      </c>
      <c r="AB130">
        <v>0</v>
      </c>
      <c r="AC130">
        <v>0</v>
      </c>
      <c r="AD130">
        <v>1</v>
      </c>
      <c r="AE130">
        <v>0</v>
      </c>
      <c r="AF130" t="s">
        <v>227</v>
      </c>
      <c r="AG130">
        <v>0</v>
      </c>
      <c r="AH130">
        <v>2</v>
      </c>
      <c r="AI130">
        <v>16802799</v>
      </c>
      <c r="AJ130">
        <v>135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ROW(Source!A80)</f>
        <v>80</v>
      </c>
      <c r="B131">
        <v>16802804</v>
      </c>
      <c r="C131">
        <v>16802797</v>
      </c>
      <c r="D131">
        <v>15163210</v>
      </c>
      <c r="E131">
        <v>17</v>
      </c>
      <c r="F131">
        <v>1</v>
      </c>
      <c r="G131">
        <v>1</v>
      </c>
      <c r="H131">
        <v>3</v>
      </c>
      <c r="I131" t="s">
        <v>953</v>
      </c>
      <c r="J131" t="s">
        <v>6</v>
      </c>
      <c r="K131" t="s">
        <v>954</v>
      </c>
      <c r="L131">
        <v>1354</v>
      </c>
      <c r="N131">
        <v>1010</v>
      </c>
      <c r="O131" t="s">
        <v>42</v>
      </c>
      <c r="P131" t="s">
        <v>42</v>
      </c>
      <c r="Q131">
        <v>1</v>
      </c>
      <c r="X131">
        <v>10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 t="s">
        <v>227</v>
      </c>
      <c r="AG131">
        <v>0</v>
      </c>
      <c r="AH131">
        <v>3</v>
      </c>
      <c r="AI131">
        <v>-1</v>
      </c>
      <c r="AJ131" t="s">
        <v>6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ROW(Source!A81)</f>
        <v>81</v>
      </c>
      <c r="B132">
        <v>16802810</v>
      </c>
      <c r="C132">
        <v>16802805</v>
      </c>
      <c r="D132">
        <v>15436556</v>
      </c>
      <c r="E132">
        <v>1</v>
      </c>
      <c r="F132">
        <v>1</v>
      </c>
      <c r="G132">
        <v>1</v>
      </c>
      <c r="H132">
        <v>1</v>
      </c>
      <c r="I132" t="s">
        <v>736</v>
      </c>
      <c r="J132" t="s">
        <v>6</v>
      </c>
      <c r="K132" t="s">
        <v>737</v>
      </c>
      <c r="L132">
        <v>1191</v>
      </c>
      <c r="N132">
        <v>1013</v>
      </c>
      <c r="O132" t="s">
        <v>660</v>
      </c>
      <c r="P132" t="s">
        <v>660</v>
      </c>
      <c r="Q132">
        <v>1</v>
      </c>
      <c r="X132">
        <v>2.8</v>
      </c>
      <c r="Y132">
        <v>0</v>
      </c>
      <c r="Z132">
        <v>0</v>
      </c>
      <c r="AA132">
        <v>0</v>
      </c>
      <c r="AB132">
        <v>9.6199999999999992</v>
      </c>
      <c r="AC132">
        <v>0</v>
      </c>
      <c r="AD132">
        <v>1</v>
      </c>
      <c r="AE132">
        <v>1</v>
      </c>
      <c r="AF132" t="s">
        <v>6</v>
      </c>
      <c r="AG132">
        <v>2.8</v>
      </c>
      <c r="AH132">
        <v>2</v>
      </c>
      <c r="AI132">
        <v>16802806</v>
      </c>
      <c r="AJ132">
        <v>136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ROW(Source!A81)</f>
        <v>81</v>
      </c>
      <c r="B133">
        <v>16802811</v>
      </c>
      <c r="C133">
        <v>16802805</v>
      </c>
      <c r="D133">
        <v>15163011</v>
      </c>
      <c r="E133">
        <v>17</v>
      </c>
      <c r="F133">
        <v>1</v>
      </c>
      <c r="G133">
        <v>1</v>
      </c>
      <c r="H133">
        <v>3</v>
      </c>
      <c r="I133" t="s">
        <v>949</v>
      </c>
      <c r="J133" t="s">
        <v>6</v>
      </c>
      <c r="K133" t="s">
        <v>950</v>
      </c>
      <c r="L133">
        <v>1358</v>
      </c>
      <c r="N133">
        <v>1010</v>
      </c>
      <c r="O133" t="s">
        <v>435</v>
      </c>
      <c r="P133" t="s">
        <v>435</v>
      </c>
      <c r="Q133">
        <v>10</v>
      </c>
      <c r="X133">
        <v>2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 t="s">
        <v>6</v>
      </c>
      <c r="AG133">
        <v>2</v>
      </c>
      <c r="AH133">
        <v>3</v>
      </c>
      <c r="AI133">
        <v>-1</v>
      </c>
      <c r="AJ133" t="s">
        <v>6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ROW(Source!A81)</f>
        <v>81</v>
      </c>
      <c r="B134">
        <v>16802812</v>
      </c>
      <c r="C134">
        <v>16802805</v>
      </c>
      <c r="D134">
        <v>15162072</v>
      </c>
      <c r="E134">
        <v>17</v>
      </c>
      <c r="F134">
        <v>1</v>
      </c>
      <c r="G134">
        <v>1</v>
      </c>
      <c r="H134">
        <v>3</v>
      </c>
      <c r="I134" t="s">
        <v>951</v>
      </c>
      <c r="J134" t="s">
        <v>6</v>
      </c>
      <c r="K134" t="s">
        <v>952</v>
      </c>
      <c r="L134">
        <v>1348</v>
      </c>
      <c r="N134">
        <v>1009</v>
      </c>
      <c r="O134" t="s">
        <v>65</v>
      </c>
      <c r="P134" t="s">
        <v>65</v>
      </c>
      <c r="Q134">
        <v>1000</v>
      </c>
      <c r="X134">
        <v>1.3999999999999999E-4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 t="s">
        <v>6</v>
      </c>
      <c r="AG134">
        <v>1.3999999999999999E-4</v>
      </c>
      <c r="AH134">
        <v>3</v>
      </c>
      <c r="AI134">
        <v>-1</v>
      </c>
      <c r="AJ134" t="s">
        <v>6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ROW(Source!A81)</f>
        <v>81</v>
      </c>
      <c r="B135">
        <v>16802813</v>
      </c>
      <c r="C135">
        <v>16802805</v>
      </c>
      <c r="D135">
        <v>15189796</v>
      </c>
      <c r="E135">
        <v>1</v>
      </c>
      <c r="F135">
        <v>1</v>
      </c>
      <c r="G135">
        <v>1</v>
      </c>
      <c r="H135">
        <v>3</v>
      </c>
      <c r="I135" t="s">
        <v>752</v>
      </c>
      <c r="J135" t="s">
        <v>753</v>
      </c>
      <c r="K135" t="s">
        <v>754</v>
      </c>
      <c r="L135">
        <v>1348</v>
      </c>
      <c r="N135">
        <v>1009</v>
      </c>
      <c r="O135" t="s">
        <v>65</v>
      </c>
      <c r="P135" t="s">
        <v>65</v>
      </c>
      <c r="Q135">
        <v>1000</v>
      </c>
      <c r="X135">
        <v>1E-4</v>
      </c>
      <c r="Y135">
        <v>5989</v>
      </c>
      <c r="Z135">
        <v>0</v>
      </c>
      <c r="AA135">
        <v>0</v>
      </c>
      <c r="AB135">
        <v>0</v>
      </c>
      <c r="AC135">
        <v>0</v>
      </c>
      <c r="AD135">
        <v>1</v>
      </c>
      <c r="AE135">
        <v>0</v>
      </c>
      <c r="AF135" t="s">
        <v>6</v>
      </c>
      <c r="AG135">
        <v>1E-4</v>
      </c>
      <c r="AH135">
        <v>2</v>
      </c>
      <c r="AI135">
        <v>16802807</v>
      </c>
      <c r="AJ135">
        <v>137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ROW(Source!A81)</f>
        <v>81</v>
      </c>
      <c r="B136">
        <v>16802814</v>
      </c>
      <c r="C136">
        <v>16802805</v>
      </c>
      <c r="D136">
        <v>15163210</v>
      </c>
      <c r="E136">
        <v>17</v>
      </c>
      <c r="F136">
        <v>1</v>
      </c>
      <c r="G136">
        <v>1</v>
      </c>
      <c r="H136">
        <v>3</v>
      </c>
      <c r="I136" t="s">
        <v>953</v>
      </c>
      <c r="J136" t="s">
        <v>6</v>
      </c>
      <c r="K136" t="s">
        <v>954</v>
      </c>
      <c r="L136">
        <v>1354</v>
      </c>
      <c r="N136">
        <v>1010</v>
      </c>
      <c r="O136" t="s">
        <v>42</v>
      </c>
      <c r="P136" t="s">
        <v>42</v>
      </c>
      <c r="Q136">
        <v>1</v>
      </c>
      <c r="X136">
        <v>10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 t="s">
        <v>6</v>
      </c>
      <c r="AG136">
        <v>10</v>
      </c>
      <c r="AH136">
        <v>3</v>
      </c>
      <c r="AI136">
        <v>-1</v>
      </c>
      <c r="AJ136" t="s">
        <v>6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ROW(Source!A83)</f>
        <v>83</v>
      </c>
      <c r="B137">
        <v>16802832</v>
      </c>
      <c r="C137">
        <v>16802817</v>
      </c>
      <c r="D137">
        <v>15430447</v>
      </c>
      <c r="E137">
        <v>1</v>
      </c>
      <c r="F137">
        <v>1</v>
      </c>
      <c r="G137">
        <v>1</v>
      </c>
      <c r="H137">
        <v>1</v>
      </c>
      <c r="I137" t="s">
        <v>755</v>
      </c>
      <c r="J137" t="s">
        <v>6</v>
      </c>
      <c r="K137" t="s">
        <v>756</v>
      </c>
      <c r="L137">
        <v>1191</v>
      </c>
      <c r="N137">
        <v>1013</v>
      </c>
      <c r="O137" t="s">
        <v>660</v>
      </c>
      <c r="P137" t="s">
        <v>660</v>
      </c>
      <c r="Q137">
        <v>1</v>
      </c>
      <c r="X137">
        <v>505</v>
      </c>
      <c r="Y137">
        <v>0</v>
      </c>
      <c r="Z137">
        <v>0</v>
      </c>
      <c r="AA137">
        <v>0</v>
      </c>
      <c r="AB137">
        <v>9.07</v>
      </c>
      <c r="AC137">
        <v>0</v>
      </c>
      <c r="AD137">
        <v>1</v>
      </c>
      <c r="AE137">
        <v>1</v>
      </c>
      <c r="AF137" t="s">
        <v>6</v>
      </c>
      <c r="AG137">
        <v>505</v>
      </c>
      <c r="AH137">
        <v>2</v>
      </c>
      <c r="AI137">
        <v>16802828</v>
      </c>
      <c r="AJ137">
        <v>139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ROW(Source!A83)</f>
        <v>83</v>
      </c>
      <c r="B138">
        <v>16802833</v>
      </c>
      <c r="C138">
        <v>16802817</v>
      </c>
      <c r="D138">
        <v>15430395</v>
      </c>
      <c r="E138">
        <v>1</v>
      </c>
      <c r="F138">
        <v>1</v>
      </c>
      <c r="G138">
        <v>1</v>
      </c>
      <c r="H138">
        <v>1</v>
      </c>
      <c r="I138" t="s">
        <v>661</v>
      </c>
      <c r="J138" t="s">
        <v>6</v>
      </c>
      <c r="K138" t="s">
        <v>662</v>
      </c>
      <c r="L138">
        <v>1191</v>
      </c>
      <c r="N138">
        <v>1013</v>
      </c>
      <c r="O138" t="s">
        <v>660</v>
      </c>
      <c r="P138" t="s">
        <v>660</v>
      </c>
      <c r="Q138">
        <v>1</v>
      </c>
      <c r="X138">
        <v>0.13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1</v>
      </c>
      <c r="AE138">
        <v>2</v>
      </c>
      <c r="AF138" t="s">
        <v>6</v>
      </c>
      <c r="AG138">
        <v>0.13</v>
      </c>
      <c r="AH138">
        <v>2</v>
      </c>
      <c r="AI138">
        <v>16802829</v>
      </c>
      <c r="AJ138">
        <v>140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ROW(Source!A83)</f>
        <v>83</v>
      </c>
      <c r="B139">
        <v>16802834</v>
      </c>
      <c r="C139">
        <v>16802817</v>
      </c>
      <c r="D139">
        <v>15249073</v>
      </c>
      <c r="E139">
        <v>1</v>
      </c>
      <c r="F139">
        <v>1</v>
      </c>
      <c r="G139">
        <v>1</v>
      </c>
      <c r="H139">
        <v>2</v>
      </c>
      <c r="I139" t="s">
        <v>684</v>
      </c>
      <c r="J139" t="s">
        <v>685</v>
      </c>
      <c r="K139" t="s">
        <v>686</v>
      </c>
      <c r="L139">
        <v>1368</v>
      </c>
      <c r="N139">
        <v>1011</v>
      </c>
      <c r="O139" t="s">
        <v>666</v>
      </c>
      <c r="P139" t="s">
        <v>666</v>
      </c>
      <c r="Q139">
        <v>1</v>
      </c>
      <c r="X139">
        <v>0.13</v>
      </c>
      <c r="Y139">
        <v>0</v>
      </c>
      <c r="Z139">
        <v>65.709999999999994</v>
      </c>
      <c r="AA139">
        <v>11.6</v>
      </c>
      <c r="AB139">
        <v>0</v>
      </c>
      <c r="AC139">
        <v>0</v>
      </c>
      <c r="AD139">
        <v>1</v>
      </c>
      <c r="AE139">
        <v>0</v>
      </c>
      <c r="AF139" t="s">
        <v>6</v>
      </c>
      <c r="AG139">
        <v>0.13</v>
      </c>
      <c r="AH139">
        <v>2</v>
      </c>
      <c r="AI139">
        <v>16802830</v>
      </c>
      <c r="AJ139">
        <v>141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ROW(Source!A83)</f>
        <v>83</v>
      </c>
      <c r="B140">
        <v>16802835</v>
      </c>
      <c r="C140">
        <v>16802817</v>
      </c>
      <c r="D140">
        <v>15165390</v>
      </c>
      <c r="E140">
        <v>1</v>
      </c>
      <c r="F140">
        <v>1</v>
      </c>
      <c r="G140">
        <v>1</v>
      </c>
      <c r="H140">
        <v>3</v>
      </c>
      <c r="I140" t="s">
        <v>757</v>
      </c>
      <c r="J140" t="s">
        <v>758</v>
      </c>
      <c r="K140" t="s">
        <v>759</v>
      </c>
      <c r="L140">
        <v>1348</v>
      </c>
      <c r="N140">
        <v>1009</v>
      </c>
      <c r="O140" t="s">
        <v>65</v>
      </c>
      <c r="P140" t="s">
        <v>65</v>
      </c>
      <c r="Q140">
        <v>1000</v>
      </c>
      <c r="X140">
        <v>2E-3</v>
      </c>
      <c r="Y140">
        <v>3390</v>
      </c>
      <c r="Z140">
        <v>0</v>
      </c>
      <c r="AA140">
        <v>0</v>
      </c>
      <c r="AB140">
        <v>0</v>
      </c>
      <c r="AC140">
        <v>0</v>
      </c>
      <c r="AD140">
        <v>1</v>
      </c>
      <c r="AE140">
        <v>0</v>
      </c>
      <c r="AF140" t="s">
        <v>6</v>
      </c>
      <c r="AG140">
        <v>2E-3</v>
      </c>
      <c r="AH140">
        <v>2</v>
      </c>
      <c r="AI140">
        <v>16802831</v>
      </c>
      <c r="AJ140">
        <v>142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ROW(Source!A83)</f>
        <v>83</v>
      </c>
      <c r="B141">
        <v>16802836</v>
      </c>
      <c r="C141">
        <v>16802817</v>
      </c>
      <c r="D141">
        <v>15167286</v>
      </c>
      <c r="E141">
        <v>1</v>
      </c>
      <c r="F141">
        <v>1</v>
      </c>
      <c r="G141">
        <v>1</v>
      </c>
      <c r="H141">
        <v>3</v>
      </c>
      <c r="I141" t="s">
        <v>669</v>
      </c>
      <c r="J141" t="s">
        <v>670</v>
      </c>
      <c r="K141" t="s">
        <v>671</v>
      </c>
      <c r="L141">
        <v>1339</v>
      </c>
      <c r="N141">
        <v>1007</v>
      </c>
      <c r="O141" t="s">
        <v>61</v>
      </c>
      <c r="P141" t="s">
        <v>61</v>
      </c>
      <c r="Q141">
        <v>1</v>
      </c>
      <c r="X141">
        <v>0.17</v>
      </c>
      <c r="Y141">
        <v>2.44</v>
      </c>
      <c r="Z141">
        <v>0</v>
      </c>
      <c r="AA141">
        <v>0</v>
      </c>
      <c r="AB141">
        <v>0</v>
      </c>
      <c r="AC141">
        <v>0</v>
      </c>
      <c r="AD141">
        <v>1</v>
      </c>
      <c r="AE141">
        <v>0</v>
      </c>
      <c r="AF141" t="s">
        <v>6</v>
      </c>
      <c r="AG141">
        <v>0.17</v>
      </c>
      <c r="AH141">
        <v>2</v>
      </c>
      <c r="AI141">
        <v>16802818</v>
      </c>
      <c r="AJ141">
        <v>143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ROW(Source!A83)</f>
        <v>83</v>
      </c>
      <c r="B142">
        <v>16802837</v>
      </c>
      <c r="C142">
        <v>16802817</v>
      </c>
      <c r="D142">
        <v>15164566</v>
      </c>
      <c r="E142">
        <v>17</v>
      </c>
      <c r="F142">
        <v>1</v>
      </c>
      <c r="G142">
        <v>1</v>
      </c>
      <c r="H142">
        <v>3</v>
      </c>
      <c r="I142" t="s">
        <v>939</v>
      </c>
      <c r="J142" t="s">
        <v>6</v>
      </c>
      <c r="K142" t="s">
        <v>940</v>
      </c>
      <c r="L142">
        <v>1348</v>
      </c>
      <c r="N142">
        <v>1009</v>
      </c>
      <c r="O142" t="s">
        <v>65</v>
      </c>
      <c r="P142" t="s">
        <v>65</v>
      </c>
      <c r="Q142">
        <v>1000</v>
      </c>
      <c r="X142">
        <v>0.59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 t="s">
        <v>6</v>
      </c>
      <c r="AG142">
        <v>0.59</v>
      </c>
      <c r="AH142">
        <v>3</v>
      </c>
      <c r="AI142">
        <v>-1</v>
      </c>
      <c r="AJ142" t="s">
        <v>6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ROW(Source!A83)</f>
        <v>83</v>
      </c>
      <c r="B143">
        <v>16802838</v>
      </c>
      <c r="C143">
        <v>16802817</v>
      </c>
      <c r="D143">
        <v>15170039</v>
      </c>
      <c r="E143">
        <v>1</v>
      </c>
      <c r="F143">
        <v>1</v>
      </c>
      <c r="G143">
        <v>1</v>
      </c>
      <c r="H143">
        <v>3</v>
      </c>
      <c r="I143" t="s">
        <v>760</v>
      </c>
      <c r="J143" t="s">
        <v>761</v>
      </c>
      <c r="K143" t="s">
        <v>762</v>
      </c>
      <c r="L143">
        <v>1348</v>
      </c>
      <c r="N143">
        <v>1009</v>
      </c>
      <c r="O143" t="s">
        <v>65</v>
      </c>
      <c r="P143" t="s">
        <v>65</v>
      </c>
      <c r="Q143">
        <v>1000</v>
      </c>
      <c r="X143">
        <v>4.0000000000000001E-3</v>
      </c>
      <c r="Y143">
        <v>11978</v>
      </c>
      <c r="Z143">
        <v>0</v>
      </c>
      <c r="AA143">
        <v>0</v>
      </c>
      <c r="AB143">
        <v>0</v>
      </c>
      <c r="AC143">
        <v>0</v>
      </c>
      <c r="AD143">
        <v>1</v>
      </c>
      <c r="AE143">
        <v>0</v>
      </c>
      <c r="AF143" t="s">
        <v>6</v>
      </c>
      <c r="AG143">
        <v>4.0000000000000001E-3</v>
      </c>
      <c r="AH143">
        <v>2</v>
      </c>
      <c r="AI143">
        <v>16802819</v>
      </c>
      <c r="AJ143">
        <v>144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ROW(Source!A83)</f>
        <v>83</v>
      </c>
      <c r="B144">
        <v>16802839</v>
      </c>
      <c r="C144">
        <v>16802817</v>
      </c>
      <c r="D144">
        <v>15170437</v>
      </c>
      <c r="E144">
        <v>1</v>
      </c>
      <c r="F144">
        <v>1</v>
      </c>
      <c r="G144">
        <v>1</v>
      </c>
      <c r="H144">
        <v>3</v>
      </c>
      <c r="I144" t="s">
        <v>763</v>
      </c>
      <c r="J144" t="s">
        <v>764</v>
      </c>
      <c r="K144" t="s">
        <v>765</v>
      </c>
      <c r="L144">
        <v>1348</v>
      </c>
      <c r="N144">
        <v>1009</v>
      </c>
      <c r="O144" t="s">
        <v>65</v>
      </c>
      <c r="P144" t="s">
        <v>65</v>
      </c>
      <c r="Q144">
        <v>1000</v>
      </c>
      <c r="X144">
        <v>2.2399999999999998E-3</v>
      </c>
      <c r="Y144">
        <v>16974</v>
      </c>
      <c r="Z144">
        <v>0</v>
      </c>
      <c r="AA144">
        <v>0</v>
      </c>
      <c r="AB144">
        <v>0</v>
      </c>
      <c r="AC144">
        <v>0</v>
      </c>
      <c r="AD144">
        <v>1</v>
      </c>
      <c r="AE144">
        <v>0</v>
      </c>
      <c r="AF144" t="s">
        <v>6</v>
      </c>
      <c r="AG144">
        <v>2.2399999999999998E-3</v>
      </c>
      <c r="AH144">
        <v>2</v>
      </c>
      <c r="AI144">
        <v>16802820</v>
      </c>
      <c r="AJ144">
        <v>145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ROW(Source!A83)</f>
        <v>83</v>
      </c>
      <c r="B145">
        <v>16802840</v>
      </c>
      <c r="C145">
        <v>16802817</v>
      </c>
      <c r="D145">
        <v>15171982</v>
      </c>
      <c r="E145">
        <v>1</v>
      </c>
      <c r="F145">
        <v>1</v>
      </c>
      <c r="G145">
        <v>1</v>
      </c>
      <c r="H145">
        <v>3</v>
      </c>
      <c r="I145" t="s">
        <v>672</v>
      </c>
      <c r="J145" t="s">
        <v>673</v>
      </c>
      <c r="K145" t="s">
        <v>674</v>
      </c>
      <c r="L145">
        <v>1348</v>
      </c>
      <c r="N145">
        <v>1009</v>
      </c>
      <c r="O145" t="s">
        <v>65</v>
      </c>
      <c r="P145" t="s">
        <v>65</v>
      </c>
      <c r="Q145">
        <v>1000</v>
      </c>
      <c r="X145">
        <v>0.16500000000000001</v>
      </c>
      <c r="Y145">
        <v>729.98</v>
      </c>
      <c r="Z145">
        <v>0</v>
      </c>
      <c r="AA145">
        <v>0</v>
      </c>
      <c r="AB145">
        <v>0</v>
      </c>
      <c r="AC145">
        <v>0</v>
      </c>
      <c r="AD145">
        <v>1</v>
      </c>
      <c r="AE145">
        <v>0</v>
      </c>
      <c r="AF145" t="s">
        <v>6</v>
      </c>
      <c r="AG145">
        <v>0.16500000000000001</v>
      </c>
      <c r="AH145">
        <v>2</v>
      </c>
      <c r="AI145">
        <v>16802823</v>
      </c>
      <c r="AJ145">
        <v>147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ROW(Source!A83)</f>
        <v>83</v>
      </c>
      <c r="B146">
        <v>16802841</v>
      </c>
      <c r="C146">
        <v>16802817</v>
      </c>
      <c r="D146">
        <v>15195805</v>
      </c>
      <c r="E146">
        <v>1</v>
      </c>
      <c r="F146">
        <v>1</v>
      </c>
      <c r="G146">
        <v>1</v>
      </c>
      <c r="H146">
        <v>3</v>
      </c>
      <c r="I146" t="s">
        <v>766</v>
      </c>
      <c r="J146" t="s">
        <v>767</v>
      </c>
      <c r="K146" t="s">
        <v>768</v>
      </c>
      <c r="L146">
        <v>1339</v>
      </c>
      <c r="N146">
        <v>1007</v>
      </c>
      <c r="O146" t="s">
        <v>61</v>
      </c>
      <c r="P146" t="s">
        <v>61</v>
      </c>
      <c r="Q146">
        <v>1</v>
      </c>
      <c r="X146">
        <v>0.54</v>
      </c>
      <c r="Y146">
        <v>1436.2</v>
      </c>
      <c r="Z146">
        <v>0</v>
      </c>
      <c r="AA146">
        <v>0</v>
      </c>
      <c r="AB146">
        <v>0</v>
      </c>
      <c r="AC146">
        <v>0</v>
      </c>
      <c r="AD146">
        <v>1</v>
      </c>
      <c r="AE146">
        <v>0</v>
      </c>
      <c r="AF146" t="s">
        <v>6</v>
      </c>
      <c r="AG146">
        <v>0.54</v>
      </c>
      <c r="AH146">
        <v>2</v>
      </c>
      <c r="AI146">
        <v>16802824</v>
      </c>
      <c r="AJ146">
        <v>148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ROW(Source!A83)</f>
        <v>83</v>
      </c>
      <c r="B147">
        <v>16802842</v>
      </c>
      <c r="C147">
        <v>16802817</v>
      </c>
      <c r="D147">
        <v>15198455</v>
      </c>
      <c r="E147">
        <v>1</v>
      </c>
      <c r="F147">
        <v>1</v>
      </c>
      <c r="G147">
        <v>1</v>
      </c>
      <c r="H147">
        <v>3</v>
      </c>
      <c r="I147" t="s">
        <v>769</v>
      </c>
      <c r="J147" t="s">
        <v>770</v>
      </c>
      <c r="K147" t="s">
        <v>771</v>
      </c>
      <c r="L147">
        <v>1327</v>
      </c>
      <c r="N147">
        <v>1005</v>
      </c>
      <c r="O147" t="s">
        <v>95</v>
      </c>
      <c r="P147" t="s">
        <v>95</v>
      </c>
      <c r="Q147">
        <v>1</v>
      </c>
      <c r="X147">
        <v>31.3</v>
      </c>
      <c r="Y147">
        <v>5.71</v>
      </c>
      <c r="Z147">
        <v>0</v>
      </c>
      <c r="AA147">
        <v>0</v>
      </c>
      <c r="AB147">
        <v>0</v>
      </c>
      <c r="AC147">
        <v>0</v>
      </c>
      <c r="AD147">
        <v>1</v>
      </c>
      <c r="AE147">
        <v>0</v>
      </c>
      <c r="AF147" t="s">
        <v>6</v>
      </c>
      <c r="AG147">
        <v>31.3</v>
      </c>
      <c r="AH147">
        <v>2</v>
      </c>
      <c r="AI147">
        <v>16802825</v>
      </c>
      <c r="AJ147">
        <v>149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ROW(Source!A83)</f>
        <v>83</v>
      </c>
      <c r="B148">
        <v>16802843</v>
      </c>
      <c r="C148">
        <v>16802817</v>
      </c>
      <c r="D148">
        <v>15202436</v>
      </c>
      <c r="E148">
        <v>1</v>
      </c>
      <c r="F148">
        <v>1</v>
      </c>
      <c r="G148">
        <v>1</v>
      </c>
      <c r="H148">
        <v>3</v>
      </c>
      <c r="I148" t="s">
        <v>772</v>
      </c>
      <c r="J148" t="s">
        <v>773</v>
      </c>
      <c r="K148" t="s">
        <v>774</v>
      </c>
      <c r="L148">
        <v>1346</v>
      </c>
      <c r="N148">
        <v>1009</v>
      </c>
      <c r="O148" t="s">
        <v>103</v>
      </c>
      <c r="P148" t="s">
        <v>103</v>
      </c>
      <c r="Q148">
        <v>1</v>
      </c>
      <c r="X148">
        <v>0.2</v>
      </c>
      <c r="Y148">
        <v>16.95</v>
      </c>
      <c r="Z148">
        <v>0</v>
      </c>
      <c r="AA148">
        <v>0</v>
      </c>
      <c r="AB148">
        <v>0</v>
      </c>
      <c r="AC148">
        <v>0</v>
      </c>
      <c r="AD148">
        <v>1</v>
      </c>
      <c r="AE148">
        <v>0</v>
      </c>
      <c r="AF148" t="s">
        <v>6</v>
      </c>
      <c r="AG148">
        <v>0.2</v>
      </c>
      <c r="AH148">
        <v>2</v>
      </c>
      <c r="AI148">
        <v>16802826</v>
      </c>
      <c r="AJ148">
        <v>150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ROW(Source!A83)</f>
        <v>83</v>
      </c>
      <c r="B149">
        <v>16802844</v>
      </c>
      <c r="C149">
        <v>16802817</v>
      </c>
      <c r="D149">
        <v>15204315</v>
      </c>
      <c r="E149">
        <v>1</v>
      </c>
      <c r="F149">
        <v>1</v>
      </c>
      <c r="G149">
        <v>1</v>
      </c>
      <c r="H149">
        <v>3</v>
      </c>
      <c r="I149" t="s">
        <v>775</v>
      </c>
      <c r="J149" t="s">
        <v>776</v>
      </c>
      <c r="K149" t="s">
        <v>777</v>
      </c>
      <c r="L149">
        <v>1296</v>
      </c>
      <c r="N149">
        <v>1002</v>
      </c>
      <c r="O149" t="s">
        <v>778</v>
      </c>
      <c r="P149" t="s">
        <v>778</v>
      </c>
      <c r="Q149">
        <v>1</v>
      </c>
      <c r="X149">
        <v>13.89</v>
      </c>
      <c r="Y149">
        <v>46.86</v>
      </c>
      <c r="Z149">
        <v>0</v>
      </c>
      <c r="AA149">
        <v>0</v>
      </c>
      <c r="AB149">
        <v>0</v>
      </c>
      <c r="AC149">
        <v>0</v>
      </c>
      <c r="AD149">
        <v>1</v>
      </c>
      <c r="AE149">
        <v>0</v>
      </c>
      <c r="AF149" t="s">
        <v>6</v>
      </c>
      <c r="AG149">
        <v>13.89</v>
      </c>
      <c r="AH149">
        <v>2</v>
      </c>
      <c r="AI149">
        <v>16802827</v>
      </c>
      <c r="AJ149">
        <v>151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ROW(Source!A85)</f>
        <v>85</v>
      </c>
      <c r="B150">
        <v>16802849</v>
      </c>
      <c r="C150">
        <v>16802846</v>
      </c>
      <c r="D150">
        <v>15433629</v>
      </c>
      <c r="E150">
        <v>1</v>
      </c>
      <c r="F150">
        <v>1</v>
      </c>
      <c r="G150">
        <v>1</v>
      </c>
      <c r="H150">
        <v>1</v>
      </c>
      <c r="I150" t="s">
        <v>779</v>
      </c>
      <c r="J150" t="s">
        <v>6</v>
      </c>
      <c r="K150" t="s">
        <v>780</v>
      </c>
      <c r="L150">
        <v>1191</v>
      </c>
      <c r="N150">
        <v>1013</v>
      </c>
      <c r="O150" t="s">
        <v>660</v>
      </c>
      <c r="P150" t="s">
        <v>660</v>
      </c>
      <c r="Q150">
        <v>1</v>
      </c>
      <c r="X150">
        <v>1.03</v>
      </c>
      <c r="Y150">
        <v>0</v>
      </c>
      <c r="Z150">
        <v>0</v>
      </c>
      <c r="AA150">
        <v>0</v>
      </c>
      <c r="AB150">
        <v>7.19</v>
      </c>
      <c r="AC150">
        <v>0</v>
      </c>
      <c r="AD150">
        <v>1</v>
      </c>
      <c r="AE150">
        <v>1</v>
      </c>
      <c r="AF150" t="s">
        <v>6</v>
      </c>
      <c r="AG150">
        <v>1.03</v>
      </c>
      <c r="AH150">
        <v>2</v>
      </c>
      <c r="AI150">
        <v>16802847</v>
      </c>
      <c r="AJ150">
        <v>152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ROW(Source!A85)</f>
        <v>85</v>
      </c>
      <c r="B151">
        <v>16802850</v>
      </c>
      <c r="C151">
        <v>16802846</v>
      </c>
      <c r="D151">
        <v>15170984</v>
      </c>
      <c r="E151">
        <v>1</v>
      </c>
      <c r="F151">
        <v>1</v>
      </c>
      <c r="G151">
        <v>1</v>
      </c>
      <c r="H151">
        <v>3</v>
      </c>
      <c r="I151" t="s">
        <v>781</v>
      </c>
      <c r="J151" t="s">
        <v>782</v>
      </c>
      <c r="K151" t="s">
        <v>783</v>
      </c>
      <c r="L151">
        <v>1355</v>
      </c>
      <c r="N151">
        <v>1010</v>
      </c>
      <c r="O151" t="s">
        <v>126</v>
      </c>
      <c r="P151" t="s">
        <v>126</v>
      </c>
      <c r="Q151">
        <v>100</v>
      </c>
      <c r="X151">
        <v>0.2</v>
      </c>
      <c r="Y151">
        <v>82</v>
      </c>
      <c r="Z151">
        <v>0</v>
      </c>
      <c r="AA151">
        <v>0</v>
      </c>
      <c r="AB151">
        <v>0</v>
      </c>
      <c r="AC151">
        <v>0</v>
      </c>
      <c r="AD151">
        <v>1</v>
      </c>
      <c r="AE151">
        <v>0</v>
      </c>
      <c r="AF151" t="s">
        <v>6</v>
      </c>
      <c r="AG151">
        <v>0.2</v>
      </c>
      <c r="AH151">
        <v>2</v>
      </c>
      <c r="AI151">
        <v>16802848</v>
      </c>
      <c r="AJ151">
        <v>153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ROW(Source!A122)</f>
        <v>122</v>
      </c>
      <c r="B152">
        <v>16802857</v>
      </c>
      <c r="C152">
        <v>16802853</v>
      </c>
      <c r="D152">
        <v>15431465</v>
      </c>
      <c r="E152">
        <v>1</v>
      </c>
      <c r="F152">
        <v>1</v>
      </c>
      <c r="G152">
        <v>1</v>
      </c>
      <c r="H152">
        <v>1</v>
      </c>
      <c r="I152" t="s">
        <v>784</v>
      </c>
      <c r="J152" t="s">
        <v>6</v>
      </c>
      <c r="K152" t="s">
        <v>785</v>
      </c>
      <c r="L152">
        <v>1191</v>
      </c>
      <c r="N152">
        <v>1013</v>
      </c>
      <c r="O152" t="s">
        <v>660</v>
      </c>
      <c r="P152" t="s">
        <v>660</v>
      </c>
      <c r="Q152">
        <v>1</v>
      </c>
      <c r="X152">
        <v>110</v>
      </c>
      <c r="Y152">
        <v>0</v>
      </c>
      <c r="Z152">
        <v>0</v>
      </c>
      <c r="AA152">
        <v>0</v>
      </c>
      <c r="AB152">
        <v>7.87</v>
      </c>
      <c r="AC152">
        <v>0</v>
      </c>
      <c r="AD152">
        <v>1</v>
      </c>
      <c r="AE152">
        <v>1</v>
      </c>
      <c r="AF152" t="s">
        <v>6</v>
      </c>
      <c r="AG152">
        <v>110</v>
      </c>
      <c r="AH152">
        <v>2</v>
      </c>
      <c r="AI152">
        <v>16802854</v>
      </c>
      <c r="AJ152">
        <v>154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ROW(Source!A122)</f>
        <v>122</v>
      </c>
      <c r="B153">
        <v>16802858</v>
      </c>
      <c r="C153">
        <v>16802853</v>
      </c>
      <c r="D153">
        <v>15430395</v>
      </c>
      <c r="E153">
        <v>1</v>
      </c>
      <c r="F153">
        <v>1</v>
      </c>
      <c r="G153">
        <v>1</v>
      </c>
      <c r="H153">
        <v>1</v>
      </c>
      <c r="I153" t="s">
        <v>661</v>
      </c>
      <c r="J153" t="s">
        <v>6</v>
      </c>
      <c r="K153" t="s">
        <v>662</v>
      </c>
      <c r="L153">
        <v>1191</v>
      </c>
      <c r="N153">
        <v>1013</v>
      </c>
      <c r="O153" t="s">
        <v>660</v>
      </c>
      <c r="P153" t="s">
        <v>660</v>
      </c>
      <c r="Q153">
        <v>1</v>
      </c>
      <c r="X153">
        <v>2.2400000000000002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1</v>
      </c>
      <c r="AE153">
        <v>2</v>
      </c>
      <c r="AF153" t="s">
        <v>6</v>
      </c>
      <c r="AG153">
        <v>2.2400000000000002</v>
      </c>
      <c r="AH153">
        <v>2</v>
      </c>
      <c r="AI153">
        <v>16802855</v>
      </c>
      <c r="AJ153">
        <v>155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ROW(Source!A122)</f>
        <v>122</v>
      </c>
      <c r="B154">
        <v>16802859</v>
      </c>
      <c r="C154">
        <v>16802853</v>
      </c>
      <c r="D154">
        <v>15247974</v>
      </c>
      <c r="E154">
        <v>1</v>
      </c>
      <c r="F154">
        <v>1</v>
      </c>
      <c r="G154">
        <v>1</v>
      </c>
      <c r="H154">
        <v>2</v>
      </c>
      <c r="I154" t="s">
        <v>663</v>
      </c>
      <c r="J154" t="s">
        <v>664</v>
      </c>
      <c r="K154" t="s">
        <v>665</v>
      </c>
      <c r="L154">
        <v>1368</v>
      </c>
      <c r="N154">
        <v>1011</v>
      </c>
      <c r="O154" t="s">
        <v>666</v>
      </c>
      <c r="P154" t="s">
        <v>666</v>
      </c>
      <c r="Q154">
        <v>1</v>
      </c>
      <c r="X154">
        <v>2.2400000000000002</v>
      </c>
      <c r="Y154">
        <v>0</v>
      </c>
      <c r="Z154">
        <v>31.26</v>
      </c>
      <c r="AA154">
        <v>13.5</v>
      </c>
      <c r="AB154">
        <v>0</v>
      </c>
      <c r="AC154">
        <v>0</v>
      </c>
      <c r="AD154">
        <v>1</v>
      </c>
      <c r="AE154">
        <v>0</v>
      </c>
      <c r="AF154" t="s">
        <v>6</v>
      </c>
      <c r="AG154">
        <v>2.2400000000000002</v>
      </c>
      <c r="AH154">
        <v>2</v>
      </c>
      <c r="AI154">
        <v>16802856</v>
      </c>
      <c r="AJ154">
        <v>156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ROW(Source!A123)</f>
        <v>123</v>
      </c>
      <c r="B155">
        <v>16802873</v>
      </c>
      <c r="C155">
        <v>16802860</v>
      </c>
      <c r="D155">
        <v>15435609</v>
      </c>
      <c r="E155">
        <v>1</v>
      </c>
      <c r="F155">
        <v>1</v>
      </c>
      <c r="G155">
        <v>1</v>
      </c>
      <c r="H155">
        <v>1</v>
      </c>
      <c r="I155" t="s">
        <v>728</v>
      </c>
      <c r="J155" t="s">
        <v>6</v>
      </c>
      <c r="K155" t="s">
        <v>729</v>
      </c>
      <c r="L155">
        <v>1191</v>
      </c>
      <c r="N155">
        <v>1013</v>
      </c>
      <c r="O155" t="s">
        <v>660</v>
      </c>
      <c r="P155" t="s">
        <v>660</v>
      </c>
      <c r="Q155">
        <v>1</v>
      </c>
      <c r="X155">
        <v>65.599999999999994</v>
      </c>
      <c r="Y155">
        <v>0</v>
      </c>
      <c r="Z155">
        <v>0</v>
      </c>
      <c r="AA155">
        <v>0</v>
      </c>
      <c r="AB155">
        <v>8.9700000000000006</v>
      </c>
      <c r="AC155">
        <v>0</v>
      </c>
      <c r="AD155">
        <v>1</v>
      </c>
      <c r="AE155">
        <v>1</v>
      </c>
      <c r="AF155" t="s">
        <v>6</v>
      </c>
      <c r="AG155">
        <v>65.599999999999994</v>
      </c>
      <c r="AH155">
        <v>2</v>
      </c>
      <c r="AI155">
        <v>16802861</v>
      </c>
      <c r="AJ155">
        <v>157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ROW(Source!A123)</f>
        <v>123</v>
      </c>
      <c r="B156">
        <v>16802874</v>
      </c>
      <c r="C156">
        <v>16802860</v>
      </c>
      <c r="D156">
        <v>15430395</v>
      </c>
      <c r="E156">
        <v>1</v>
      </c>
      <c r="F156">
        <v>1</v>
      </c>
      <c r="G156">
        <v>1</v>
      </c>
      <c r="H156">
        <v>1</v>
      </c>
      <c r="I156" t="s">
        <v>661</v>
      </c>
      <c r="J156" t="s">
        <v>6</v>
      </c>
      <c r="K156" t="s">
        <v>662</v>
      </c>
      <c r="L156">
        <v>1191</v>
      </c>
      <c r="N156">
        <v>1013</v>
      </c>
      <c r="O156" t="s">
        <v>660</v>
      </c>
      <c r="P156" t="s">
        <v>660</v>
      </c>
      <c r="Q156">
        <v>1</v>
      </c>
      <c r="X156">
        <v>3.13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1</v>
      </c>
      <c r="AE156">
        <v>2</v>
      </c>
      <c r="AF156" t="s">
        <v>6</v>
      </c>
      <c r="AG156">
        <v>3.13</v>
      </c>
      <c r="AH156">
        <v>2</v>
      </c>
      <c r="AI156">
        <v>16802862</v>
      </c>
      <c r="AJ156">
        <v>158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ROW(Source!A123)</f>
        <v>123</v>
      </c>
      <c r="B157">
        <v>16802875</v>
      </c>
      <c r="C157">
        <v>16802860</v>
      </c>
      <c r="D157">
        <v>15247680</v>
      </c>
      <c r="E157">
        <v>1</v>
      </c>
      <c r="F157">
        <v>1</v>
      </c>
      <c r="G157">
        <v>1</v>
      </c>
      <c r="H157">
        <v>2</v>
      </c>
      <c r="I157" t="s">
        <v>786</v>
      </c>
      <c r="J157" t="s">
        <v>787</v>
      </c>
      <c r="K157" t="s">
        <v>788</v>
      </c>
      <c r="L157">
        <v>1368</v>
      </c>
      <c r="N157">
        <v>1011</v>
      </c>
      <c r="O157" t="s">
        <v>666</v>
      </c>
      <c r="P157" t="s">
        <v>666</v>
      </c>
      <c r="Q157">
        <v>1</v>
      </c>
      <c r="X157">
        <v>0.09</v>
      </c>
      <c r="Y157">
        <v>0</v>
      </c>
      <c r="Z157">
        <v>111.99</v>
      </c>
      <c r="AA157">
        <v>13.5</v>
      </c>
      <c r="AB157">
        <v>0</v>
      </c>
      <c r="AC157">
        <v>0</v>
      </c>
      <c r="AD157">
        <v>1</v>
      </c>
      <c r="AE157">
        <v>0</v>
      </c>
      <c r="AF157" t="s">
        <v>6</v>
      </c>
      <c r="AG157">
        <v>0.09</v>
      </c>
      <c r="AH157">
        <v>2</v>
      </c>
      <c r="AI157">
        <v>16802863</v>
      </c>
      <c r="AJ157">
        <v>159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ROW(Source!A123)</f>
        <v>123</v>
      </c>
      <c r="B158">
        <v>16802876</v>
      </c>
      <c r="C158">
        <v>16802860</v>
      </c>
      <c r="D158">
        <v>15247974</v>
      </c>
      <c r="E158">
        <v>1</v>
      </c>
      <c r="F158">
        <v>1</v>
      </c>
      <c r="G158">
        <v>1</v>
      </c>
      <c r="H158">
        <v>2</v>
      </c>
      <c r="I158" t="s">
        <v>663</v>
      </c>
      <c r="J158" t="s">
        <v>664</v>
      </c>
      <c r="K158" t="s">
        <v>665</v>
      </c>
      <c r="L158">
        <v>1368</v>
      </c>
      <c r="N158">
        <v>1011</v>
      </c>
      <c r="O158" t="s">
        <v>666</v>
      </c>
      <c r="P158" t="s">
        <v>666</v>
      </c>
      <c r="Q158">
        <v>1</v>
      </c>
      <c r="X158">
        <v>1.19</v>
      </c>
      <c r="Y158">
        <v>0</v>
      </c>
      <c r="Z158">
        <v>31.26</v>
      </c>
      <c r="AA158">
        <v>13.5</v>
      </c>
      <c r="AB158">
        <v>0</v>
      </c>
      <c r="AC158">
        <v>0</v>
      </c>
      <c r="AD158">
        <v>1</v>
      </c>
      <c r="AE158">
        <v>0</v>
      </c>
      <c r="AF158" t="s">
        <v>6</v>
      </c>
      <c r="AG158">
        <v>1.19</v>
      </c>
      <c r="AH158">
        <v>2</v>
      </c>
      <c r="AI158">
        <v>16802864</v>
      </c>
      <c r="AJ158">
        <v>160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ROW(Source!A123)</f>
        <v>123</v>
      </c>
      <c r="B159">
        <v>16802877</v>
      </c>
      <c r="C159">
        <v>16802860</v>
      </c>
      <c r="D159">
        <v>15248793</v>
      </c>
      <c r="E159">
        <v>1</v>
      </c>
      <c r="F159">
        <v>1</v>
      </c>
      <c r="G159">
        <v>1</v>
      </c>
      <c r="H159">
        <v>2</v>
      </c>
      <c r="I159" t="s">
        <v>789</v>
      </c>
      <c r="J159" t="s">
        <v>790</v>
      </c>
      <c r="K159" t="s">
        <v>791</v>
      </c>
      <c r="L159">
        <v>1368</v>
      </c>
      <c r="N159">
        <v>1011</v>
      </c>
      <c r="O159" t="s">
        <v>666</v>
      </c>
      <c r="P159" t="s">
        <v>666</v>
      </c>
      <c r="Q159">
        <v>1</v>
      </c>
      <c r="X159">
        <v>0.8</v>
      </c>
      <c r="Y159">
        <v>0</v>
      </c>
      <c r="Z159">
        <v>29.67</v>
      </c>
      <c r="AA159">
        <v>0</v>
      </c>
      <c r="AB159">
        <v>0</v>
      </c>
      <c r="AC159">
        <v>0</v>
      </c>
      <c r="AD159">
        <v>1</v>
      </c>
      <c r="AE159">
        <v>0</v>
      </c>
      <c r="AF159" t="s">
        <v>6</v>
      </c>
      <c r="AG159">
        <v>0.8</v>
      </c>
      <c r="AH159">
        <v>2</v>
      </c>
      <c r="AI159">
        <v>16802865</v>
      </c>
      <c r="AJ159">
        <v>161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ROW(Source!A123)</f>
        <v>123</v>
      </c>
      <c r="B160">
        <v>16802878</v>
      </c>
      <c r="C160">
        <v>16802860</v>
      </c>
      <c r="D160">
        <v>15249073</v>
      </c>
      <c r="E160">
        <v>1</v>
      </c>
      <c r="F160">
        <v>1</v>
      </c>
      <c r="G160">
        <v>1</v>
      </c>
      <c r="H160">
        <v>2</v>
      </c>
      <c r="I160" t="s">
        <v>684</v>
      </c>
      <c r="J160" t="s">
        <v>685</v>
      </c>
      <c r="K160" t="s">
        <v>686</v>
      </c>
      <c r="L160">
        <v>1368</v>
      </c>
      <c r="N160">
        <v>1011</v>
      </c>
      <c r="O160" t="s">
        <v>666</v>
      </c>
      <c r="P160" t="s">
        <v>666</v>
      </c>
      <c r="Q160">
        <v>1</v>
      </c>
      <c r="X160">
        <v>1.85</v>
      </c>
      <c r="Y160">
        <v>0</v>
      </c>
      <c r="Z160">
        <v>65.709999999999994</v>
      </c>
      <c r="AA160">
        <v>11.6</v>
      </c>
      <c r="AB160">
        <v>0</v>
      </c>
      <c r="AC160">
        <v>0</v>
      </c>
      <c r="AD160">
        <v>1</v>
      </c>
      <c r="AE160">
        <v>0</v>
      </c>
      <c r="AF160" t="s">
        <v>6</v>
      </c>
      <c r="AG160">
        <v>1.85</v>
      </c>
      <c r="AH160">
        <v>2</v>
      </c>
      <c r="AI160">
        <v>16802866</v>
      </c>
      <c r="AJ160">
        <v>162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ROW(Source!A123)</f>
        <v>123</v>
      </c>
      <c r="B161">
        <v>16802879</v>
      </c>
      <c r="C161">
        <v>16802860</v>
      </c>
      <c r="D161">
        <v>15166084</v>
      </c>
      <c r="E161">
        <v>1</v>
      </c>
      <c r="F161">
        <v>1</v>
      </c>
      <c r="G161">
        <v>1</v>
      </c>
      <c r="H161">
        <v>3</v>
      </c>
      <c r="I161" t="s">
        <v>792</v>
      </c>
      <c r="J161" t="s">
        <v>793</v>
      </c>
      <c r="K161" t="s">
        <v>794</v>
      </c>
      <c r="L161">
        <v>1339</v>
      </c>
      <c r="N161">
        <v>1007</v>
      </c>
      <c r="O161" t="s">
        <v>61</v>
      </c>
      <c r="P161" t="s">
        <v>61</v>
      </c>
      <c r="Q161">
        <v>1</v>
      </c>
      <c r="X161">
        <v>0.67</v>
      </c>
      <c r="Y161">
        <v>45.83</v>
      </c>
      <c r="Z161">
        <v>0</v>
      </c>
      <c r="AA161">
        <v>0</v>
      </c>
      <c r="AB161">
        <v>0</v>
      </c>
      <c r="AC161">
        <v>0</v>
      </c>
      <c r="AD161">
        <v>1</v>
      </c>
      <c r="AE161">
        <v>0</v>
      </c>
      <c r="AF161" t="s">
        <v>6</v>
      </c>
      <c r="AG161">
        <v>0.67</v>
      </c>
      <c r="AH161">
        <v>2</v>
      </c>
      <c r="AI161">
        <v>16802867</v>
      </c>
      <c r="AJ161">
        <v>163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ROW(Source!A123)</f>
        <v>123</v>
      </c>
      <c r="B162">
        <v>16802880</v>
      </c>
      <c r="C162">
        <v>16802860</v>
      </c>
      <c r="D162">
        <v>15167286</v>
      </c>
      <c r="E162">
        <v>1</v>
      </c>
      <c r="F162">
        <v>1</v>
      </c>
      <c r="G162">
        <v>1</v>
      </c>
      <c r="H162">
        <v>3</v>
      </c>
      <c r="I162" t="s">
        <v>669</v>
      </c>
      <c r="J162" t="s">
        <v>670</v>
      </c>
      <c r="K162" t="s">
        <v>671</v>
      </c>
      <c r="L162">
        <v>1339</v>
      </c>
      <c r="N162">
        <v>1007</v>
      </c>
      <c r="O162" t="s">
        <v>61</v>
      </c>
      <c r="P162" t="s">
        <v>61</v>
      </c>
      <c r="Q162">
        <v>1</v>
      </c>
      <c r="X162">
        <v>15</v>
      </c>
      <c r="Y162">
        <v>2.44</v>
      </c>
      <c r="Z162">
        <v>0</v>
      </c>
      <c r="AA162">
        <v>0</v>
      </c>
      <c r="AB162">
        <v>0</v>
      </c>
      <c r="AC162">
        <v>0</v>
      </c>
      <c r="AD162">
        <v>1</v>
      </c>
      <c r="AE162">
        <v>0</v>
      </c>
      <c r="AF162" t="s">
        <v>6</v>
      </c>
      <c r="AG162">
        <v>15</v>
      </c>
      <c r="AH162">
        <v>2</v>
      </c>
      <c r="AI162">
        <v>16802868</v>
      </c>
      <c r="AJ162">
        <v>164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ROW(Source!A123)</f>
        <v>123</v>
      </c>
      <c r="B163">
        <v>16802881</v>
      </c>
      <c r="C163">
        <v>16802860</v>
      </c>
      <c r="D163">
        <v>15163011</v>
      </c>
      <c r="E163">
        <v>17</v>
      </c>
      <c r="F163">
        <v>1</v>
      </c>
      <c r="G163">
        <v>1</v>
      </c>
      <c r="H163">
        <v>3</v>
      </c>
      <c r="I163" t="s">
        <v>949</v>
      </c>
      <c r="J163" t="s">
        <v>6</v>
      </c>
      <c r="K163" t="s">
        <v>950</v>
      </c>
      <c r="L163">
        <v>1358</v>
      </c>
      <c r="N163">
        <v>1010</v>
      </c>
      <c r="O163" t="s">
        <v>435</v>
      </c>
      <c r="P163" t="s">
        <v>435</v>
      </c>
      <c r="Q163">
        <v>10</v>
      </c>
      <c r="X163">
        <v>8.9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 t="s">
        <v>6</v>
      </c>
      <c r="AG163">
        <v>8.9</v>
      </c>
      <c r="AH163">
        <v>3</v>
      </c>
      <c r="AI163">
        <v>-1</v>
      </c>
      <c r="AJ163" t="s">
        <v>6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ROW(Source!A123)</f>
        <v>123</v>
      </c>
      <c r="B164">
        <v>16802882</v>
      </c>
      <c r="C164">
        <v>16802860</v>
      </c>
      <c r="D164">
        <v>15162072</v>
      </c>
      <c r="E164">
        <v>17</v>
      </c>
      <c r="F164">
        <v>1</v>
      </c>
      <c r="G164">
        <v>1</v>
      </c>
      <c r="H164">
        <v>3</v>
      </c>
      <c r="I164" t="s">
        <v>951</v>
      </c>
      <c r="J164" t="s">
        <v>6</v>
      </c>
      <c r="K164" t="s">
        <v>952</v>
      </c>
      <c r="L164">
        <v>1348</v>
      </c>
      <c r="N164">
        <v>1009</v>
      </c>
      <c r="O164" t="s">
        <v>65</v>
      </c>
      <c r="P164" t="s">
        <v>65</v>
      </c>
      <c r="Q164">
        <v>1000</v>
      </c>
      <c r="X164">
        <v>4.4999999999999997E-3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 t="s">
        <v>6</v>
      </c>
      <c r="AG164">
        <v>4.4999999999999997E-3</v>
      </c>
      <c r="AH164">
        <v>3</v>
      </c>
      <c r="AI164">
        <v>-1</v>
      </c>
      <c r="AJ164" t="s">
        <v>6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ROW(Source!A123)</f>
        <v>123</v>
      </c>
      <c r="B165">
        <v>16802883</v>
      </c>
      <c r="C165">
        <v>16802860</v>
      </c>
      <c r="D165">
        <v>15212828</v>
      </c>
      <c r="E165">
        <v>1</v>
      </c>
      <c r="F165">
        <v>1</v>
      </c>
      <c r="G165">
        <v>1</v>
      </c>
      <c r="H165">
        <v>3</v>
      </c>
      <c r="I165" t="s">
        <v>795</v>
      </c>
      <c r="J165" t="s">
        <v>796</v>
      </c>
      <c r="K165" t="s">
        <v>797</v>
      </c>
      <c r="L165">
        <v>1035</v>
      </c>
      <c r="N165">
        <v>1013</v>
      </c>
      <c r="O165" t="s">
        <v>798</v>
      </c>
      <c r="P165" t="s">
        <v>798</v>
      </c>
      <c r="Q165">
        <v>1</v>
      </c>
      <c r="X165">
        <v>44.2</v>
      </c>
      <c r="Y165">
        <v>24.75</v>
      </c>
      <c r="Z165">
        <v>0</v>
      </c>
      <c r="AA165">
        <v>0</v>
      </c>
      <c r="AB165">
        <v>0</v>
      </c>
      <c r="AC165">
        <v>0</v>
      </c>
      <c r="AD165">
        <v>1</v>
      </c>
      <c r="AE165">
        <v>0</v>
      </c>
      <c r="AF165" t="s">
        <v>6</v>
      </c>
      <c r="AG165">
        <v>44.2</v>
      </c>
      <c r="AH165">
        <v>2</v>
      </c>
      <c r="AI165">
        <v>16802869</v>
      </c>
      <c r="AJ165">
        <v>165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ROW(Source!A123)</f>
        <v>123</v>
      </c>
      <c r="B166">
        <v>16802884</v>
      </c>
      <c r="C166">
        <v>16802860</v>
      </c>
      <c r="D166">
        <v>15163239</v>
      </c>
      <c r="E166">
        <v>17</v>
      </c>
      <c r="F166">
        <v>1</v>
      </c>
      <c r="G166">
        <v>1</v>
      </c>
      <c r="H166">
        <v>3</v>
      </c>
      <c r="I166" t="s">
        <v>349</v>
      </c>
      <c r="J166" t="s">
        <v>6</v>
      </c>
      <c r="K166" t="s">
        <v>350</v>
      </c>
      <c r="L166">
        <v>1033</v>
      </c>
      <c r="N166">
        <v>1013</v>
      </c>
      <c r="O166" t="s">
        <v>351</v>
      </c>
      <c r="P166" t="s">
        <v>351</v>
      </c>
      <c r="Q166">
        <v>1</v>
      </c>
      <c r="X166">
        <v>100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 t="s">
        <v>6</v>
      </c>
      <c r="AG166">
        <v>100</v>
      </c>
      <c r="AH166">
        <v>2</v>
      </c>
      <c r="AI166">
        <v>16802872</v>
      </c>
      <c r="AJ166">
        <v>167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ROW(Source!A126)</f>
        <v>126</v>
      </c>
      <c r="B167">
        <v>16802896</v>
      </c>
      <c r="C167">
        <v>16802887</v>
      </c>
      <c r="D167">
        <v>15430497</v>
      </c>
      <c r="E167">
        <v>1</v>
      </c>
      <c r="F167">
        <v>1</v>
      </c>
      <c r="G167">
        <v>1</v>
      </c>
      <c r="H167">
        <v>1</v>
      </c>
      <c r="I167" t="s">
        <v>799</v>
      </c>
      <c r="J167" t="s">
        <v>6</v>
      </c>
      <c r="K167" t="s">
        <v>800</v>
      </c>
      <c r="L167">
        <v>1191</v>
      </c>
      <c r="N167">
        <v>1013</v>
      </c>
      <c r="O167" t="s">
        <v>660</v>
      </c>
      <c r="P167" t="s">
        <v>660</v>
      </c>
      <c r="Q167">
        <v>1</v>
      </c>
      <c r="X167">
        <v>71.06</v>
      </c>
      <c r="Y167">
        <v>0</v>
      </c>
      <c r="Z167">
        <v>0</v>
      </c>
      <c r="AA167">
        <v>0</v>
      </c>
      <c r="AB167">
        <v>8.86</v>
      </c>
      <c r="AC167">
        <v>0</v>
      </c>
      <c r="AD167">
        <v>1</v>
      </c>
      <c r="AE167">
        <v>1</v>
      </c>
      <c r="AF167" t="s">
        <v>6</v>
      </c>
      <c r="AG167">
        <v>71.06</v>
      </c>
      <c r="AH167">
        <v>2</v>
      </c>
      <c r="AI167">
        <v>16802888</v>
      </c>
      <c r="AJ167">
        <v>168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ROW(Source!A126)</f>
        <v>126</v>
      </c>
      <c r="B168">
        <v>16802897</v>
      </c>
      <c r="C168">
        <v>16802887</v>
      </c>
      <c r="D168">
        <v>15430395</v>
      </c>
      <c r="E168">
        <v>1</v>
      </c>
      <c r="F168">
        <v>1</v>
      </c>
      <c r="G168">
        <v>1</v>
      </c>
      <c r="H168">
        <v>1</v>
      </c>
      <c r="I168" t="s">
        <v>661</v>
      </c>
      <c r="J168" t="s">
        <v>6</v>
      </c>
      <c r="K168" t="s">
        <v>662</v>
      </c>
      <c r="L168">
        <v>1191</v>
      </c>
      <c r="N168">
        <v>1013</v>
      </c>
      <c r="O168" t="s">
        <v>660</v>
      </c>
      <c r="P168" t="s">
        <v>660</v>
      </c>
      <c r="Q168">
        <v>1</v>
      </c>
      <c r="X168">
        <v>0.04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1</v>
      </c>
      <c r="AE168">
        <v>2</v>
      </c>
      <c r="AF168" t="s">
        <v>6</v>
      </c>
      <c r="AG168">
        <v>0.04</v>
      </c>
      <c r="AH168">
        <v>2</v>
      </c>
      <c r="AI168">
        <v>16802889</v>
      </c>
      <c r="AJ168">
        <v>169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ROW(Source!A126)</f>
        <v>126</v>
      </c>
      <c r="B169">
        <v>16802898</v>
      </c>
      <c r="C169">
        <v>16802887</v>
      </c>
      <c r="D169">
        <v>15247974</v>
      </c>
      <c r="E169">
        <v>1</v>
      </c>
      <c r="F169">
        <v>1</v>
      </c>
      <c r="G169">
        <v>1</v>
      </c>
      <c r="H169">
        <v>2</v>
      </c>
      <c r="I169" t="s">
        <v>663</v>
      </c>
      <c r="J169" t="s">
        <v>664</v>
      </c>
      <c r="K169" t="s">
        <v>665</v>
      </c>
      <c r="L169">
        <v>1368</v>
      </c>
      <c r="N169">
        <v>1011</v>
      </c>
      <c r="O169" t="s">
        <v>666</v>
      </c>
      <c r="P169" t="s">
        <v>666</v>
      </c>
      <c r="Q169">
        <v>1</v>
      </c>
      <c r="X169">
        <v>0.01</v>
      </c>
      <c r="Y169">
        <v>0</v>
      </c>
      <c r="Z169">
        <v>31.26</v>
      </c>
      <c r="AA169">
        <v>13.5</v>
      </c>
      <c r="AB169">
        <v>0</v>
      </c>
      <c r="AC169">
        <v>0</v>
      </c>
      <c r="AD169">
        <v>1</v>
      </c>
      <c r="AE169">
        <v>0</v>
      </c>
      <c r="AF169" t="s">
        <v>6</v>
      </c>
      <c r="AG169">
        <v>0.01</v>
      </c>
      <c r="AH169">
        <v>2</v>
      </c>
      <c r="AI169">
        <v>16802890</v>
      </c>
      <c r="AJ169">
        <v>170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ROW(Source!A126)</f>
        <v>126</v>
      </c>
      <c r="B170">
        <v>16802899</v>
      </c>
      <c r="C170">
        <v>16802887</v>
      </c>
      <c r="D170">
        <v>15249073</v>
      </c>
      <c r="E170">
        <v>1</v>
      </c>
      <c r="F170">
        <v>1</v>
      </c>
      <c r="G170">
        <v>1</v>
      </c>
      <c r="H170">
        <v>2</v>
      </c>
      <c r="I170" t="s">
        <v>684</v>
      </c>
      <c r="J170" t="s">
        <v>685</v>
      </c>
      <c r="K170" t="s">
        <v>686</v>
      </c>
      <c r="L170">
        <v>1368</v>
      </c>
      <c r="N170">
        <v>1011</v>
      </c>
      <c r="O170" t="s">
        <v>666</v>
      </c>
      <c r="P170" t="s">
        <v>666</v>
      </c>
      <c r="Q170">
        <v>1</v>
      </c>
      <c r="X170">
        <v>0.03</v>
      </c>
      <c r="Y170">
        <v>0</v>
      </c>
      <c r="Z170">
        <v>65.709999999999994</v>
      </c>
      <c r="AA170">
        <v>11.6</v>
      </c>
      <c r="AB170">
        <v>0</v>
      </c>
      <c r="AC170">
        <v>0</v>
      </c>
      <c r="AD170">
        <v>1</v>
      </c>
      <c r="AE170">
        <v>0</v>
      </c>
      <c r="AF170" t="s">
        <v>6</v>
      </c>
      <c r="AG170">
        <v>0.03</v>
      </c>
      <c r="AH170">
        <v>2</v>
      </c>
      <c r="AI170">
        <v>16802891</v>
      </c>
      <c r="AJ170">
        <v>171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ROW(Source!A126)</f>
        <v>126</v>
      </c>
      <c r="B171">
        <v>16802900</v>
      </c>
      <c r="C171">
        <v>16802887</v>
      </c>
      <c r="D171">
        <v>15171018</v>
      </c>
      <c r="E171">
        <v>1</v>
      </c>
      <c r="F171">
        <v>1</v>
      </c>
      <c r="G171">
        <v>1</v>
      </c>
      <c r="H171">
        <v>3</v>
      </c>
      <c r="I171" t="s">
        <v>698</v>
      </c>
      <c r="J171" t="s">
        <v>699</v>
      </c>
      <c r="K171" t="s">
        <v>700</v>
      </c>
      <c r="L171">
        <v>1346</v>
      </c>
      <c r="N171">
        <v>1009</v>
      </c>
      <c r="O171" t="s">
        <v>103</v>
      </c>
      <c r="P171" t="s">
        <v>103</v>
      </c>
      <c r="Q171">
        <v>1</v>
      </c>
      <c r="X171">
        <v>0.3</v>
      </c>
      <c r="Y171">
        <v>1.82</v>
      </c>
      <c r="Z171">
        <v>0</v>
      </c>
      <c r="AA171">
        <v>0</v>
      </c>
      <c r="AB171">
        <v>0</v>
      </c>
      <c r="AC171">
        <v>0</v>
      </c>
      <c r="AD171">
        <v>1</v>
      </c>
      <c r="AE171">
        <v>0</v>
      </c>
      <c r="AF171" t="s">
        <v>6</v>
      </c>
      <c r="AG171">
        <v>0.3</v>
      </c>
      <c r="AH171">
        <v>2</v>
      </c>
      <c r="AI171">
        <v>16802892</v>
      </c>
      <c r="AJ171">
        <v>172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ROW(Source!A126)</f>
        <v>126</v>
      </c>
      <c r="B172">
        <v>16802901</v>
      </c>
      <c r="C172">
        <v>16802887</v>
      </c>
      <c r="D172">
        <v>15163068</v>
      </c>
      <c r="E172">
        <v>17</v>
      </c>
      <c r="F172">
        <v>1</v>
      </c>
      <c r="G172">
        <v>1</v>
      </c>
      <c r="H172">
        <v>3</v>
      </c>
      <c r="I172" t="s">
        <v>357</v>
      </c>
      <c r="J172" t="s">
        <v>6</v>
      </c>
      <c r="K172" t="s">
        <v>358</v>
      </c>
      <c r="L172">
        <v>1348</v>
      </c>
      <c r="N172">
        <v>1009</v>
      </c>
      <c r="O172" t="s">
        <v>65</v>
      </c>
      <c r="P172" t="s">
        <v>65</v>
      </c>
      <c r="Q172">
        <v>1000</v>
      </c>
      <c r="X172">
        <v>2.46E-2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 t="s">
        <v>6</v>
      </c>
      <c r="AG172">
        <v>2.46E-2</v>
      </c>
      <c r="AH172">
        <v>2</v>
      </c>
      <c r="AI172">
        <v>16802893</v>
      </c>
      <c r="AJ172">
        <v>173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ROW(Source!A126)</f>
        <v>126</v>
      </c>
      <c r="B173">
        <v>16802902</v>
      </c>
      <c r="C173">
        <v>16802887</v>
      </c>
      <c r="D173">
        <v>15204471</v>
      </c>
      <c r="E173">
        <v>1</v>
      </c>
      <c r="F173">
        <v>1</v>
      </c>
      <c r="G173">
        <v>1</v>
      </c>
      <c r="H173">
        <v>3</v>
      </c>
      <c r="I173" t="s">
        <v>801</v>
      </c>
      <c r="J173" t="s">
        <v>802</v>
      </c>
      <c r="K173" t="s">
        <v>803</v>
      </c>
      <c r="L173">
        <v>1346</v>
      </c>
      <c r="N173">
        <v>1009</v>
      </c>
      <c r="O173" t="s">
        <v>103</v>
      </c>
      <c r="P173" t="s">
        <v>103</v>
      </c>
      <c r="Q173">
        <v>1</v>
      </c>
      <c r="X173">
        <v>2.7</v>
      </c>
      <c r="Y173">
        <v>32.6</v>
      </c>
      <c r="Z173">
        <v>0</v>
      </c>
      <c r="AA173">
        <v>0</v>
      </c>
      <c r="AB173">
        <v>0</v>
      </c>
      <c r="AC173">
        <v>0</v>
      </c>
      <c r="AD173">
        <v>1</v>
      </c>
      <c r="AE173">
        <v>0</v>
      </c>
      <c r="AF173" t="s">
        <v>6</v>
      </c>
      <c r="AG173">
        <v>2.7</v>
      </c>
      <c r="AH173">
        <v>2</v>
      </c>
      <c r="AI173">
        <v>16802895</v>
      </c>
      <c r="AJ173">
        <v>175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ROW(Source!A129)</f>
        <v>129</v>
      </c>
      <c r="B174">
        <v>16802914</v>
      </c>
      <c r="C174">
        <v>16802905</v>
      </c>
      <c r="D174">
        <v>15430447</v>
      </c>
      <c r="E174">
        <v>1</v>
      </c>
      <c r="F174">
        <v>1</v>
      </c>
      <c r="G174">
        <v>1</v>
      </c>
      <c r="H174">
        <v>1</v>
      </c>
      <c r="I174" t="s">
        <v>755</v>
      </c>
      <c r="J174" t="s">
        <v>6</v>
      </c>
      <c r="K174" t="s">
        <v>756</v>
      </c>
      <c r="L174">
        <v>1191</v>
      </c>
      <c r="N174">
        <v>1013</v>
      </c>
      <c r="O174" t="s">
        <v>660</v>
      </c>
      <c r="P174" t="s">
        <v>660</v>
      </c>
      <c r="Q174">
        <v>1</v>
      </c>
      <c r="X174">
        <v>1.47</v>
      </c>
      <c r="Y174">
        <v>0</v>
      </c>
      <c r="Z174">
        <v>0</v>
      </c>
      <c r="AA174">
        <v>0</v>
      </c>
      <c r="AB174">
        <v>9.07</v>
      </c>
      <c r="AC174">
        <v>0</v>
      </c>
      <c r="AD174">
        <v>1</v>
      </c>
      <c r="AE174">
        <v>1</v>
      </c>
      <c r="AF174" t="s">
        <v>6</v>
      </c>
      <c r="AG174">
        <v>1.47</v>
      </c>
      <c r="AH174">
        <v>2</v>
      </c>
      <c r="AI174">
        <v>16802906</v>
      </c>
      <c r="AJ174">
        <v>176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ROW(Source!A129)</f>
        <v>129</v>
      </c>
      <c r="B175">
        <v>16802915</v>
      </c>
      <c r="C175">
        <v>16802905</v>
      </c>
      <c r="D175">
        <v>15430395</v>
      </c>
      <c r="E175">
        <v>1</v>
      </c>
      <c r="F175">
        <v>1</v>
      </c>
      <c r="G175">
        <v>1</v>
      </c>
      <c r="H175">
        <v>1</v>
      </c>
      <c r="I175" t="s">
        <v>661</v>
      </c>
      <c r="J175" t="s">
        <v>6</v>
      </c>
      <c r="K175" t="s">
        <v>662</v>
      </c>
      <c r="L175">
        <v>1191</v>
      </c>
      <c r="N175">
        <v>1013</v>
      </c>
      <c r="O175" t="s">
        <v>660</v>
      </c>
      <c r="P175" t="s">
        <v>660</v>
      </c>
      <c r="Q175">
        <v>1</v>
      </c>
      <c r="X175">
        <v>0.01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1</v>
      </c>
      <c r="AE175">
        <v>2</v>
      </c>
      <c r="AF175" t="s">
        <v>6</v>
      </c>
      <c r="AG175">
        <v>0.01</v>
      </c>
      <c r="AH175">
        <v>2</v>
      </c>
      <c r="AI175">
        <v>16802907</v>
      </c>
      <c r="AJ175">
        <v>177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ROW(Source!A129)</f>
        <v>129</v>
      </c>
      <c r="B176">
        <v>16802916</v>
      </c>
      <c r="C176">
        <v>16802905</v>
      </c>
      <c r="D176">
        <v>15249073</v>
      </c>
      <c r="E176">
        <v>1</v>
      </c>
      <c r="F176">
        <v>1</v>
      </c>
      <c r="G176">
        <v>1</v>
      </c>
      <c r="H176">
        <v>2</v>
      </c>
      <c r="I176" t="s">
        <v>684</v>
      </c>
      <c r="J176" t="s">
        <v>685</v>
      </c>
      <c r="K176" t="s">
        <v>686</v>
      </c>
      <c r="L176">
        <v>1368</v>
      </c>
      <c r="N176">
        <v>1011</v>
      </c>
      <c r="O176" t="s">
        <v>666</v>
      </c>
      <c r="P176" t="s">
        <v>666</v>
      </c>
      <c r="Q176">
        <v>1</v>
      </c>
      <c r="X176">
        <v>0.01</v>
      </c>
      <c r="Y176">
        <v>0</v>
      </c>
      <c r="Z176">
        <v>65.709999999999994</v>
      </c>
      <c r="AA176">
        <v>11.6</v>
      </c>
      <c r="AB176">
        <v>0</v>
      </c>
      <c r="AC176">
        <v>0</v>
      </c>
      <c r="AD176">
        <v>1</v>
      </c>
      <c r="AE176">
        <v>0</v>
      </c>
      <c r="AF176" t="s">
        <v>6</v>
      </c>
      <c r="AG176">
        <v>0.01</v>
      </c>
      <c r="AH176">
        <v>2</v>
      </c>
      <c r="AI176">
        <v>16802908</v>
      </c>
      <c r="AJ176">
        <v>178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ROW(Source!A129)</f>
        <v>129</v>
      </c>
      <c r="B177">
        <v>16802917</v>
      </c>
      <c r="C177">
        <v>16802905</v>
      </c>
      <c r="D177">
        <v>15249377</v>
      </c>
      <c r="E177">
        <v>1</v>
      </c>
      <c r="F177">
        <v>1</v>
      </c>
      <c r="G177">
        <v>1</v>
      </c>
      <c r="H177">
        <v>2</v>
      </c>
      <c r="I177" t="s">
        <v>804</v>
      </c>
      <c r="J177" t="s">
        <v>805</v>
      </c>
      <c r="K177" t="s">
        <v>806</v>
      </c>
      <c r="L177">
        <v>1368</v>
      </c>
      <c r="N177">
        <v>1011</v>
      </c>
      <c r="O177" t="s">
        <v>666</v>
      </c>
      <c r="P177" t="s">
        <v>666</v>
      </c>
      <c r="Q177">
        <v>1</v>
      </c>
      <c r="X177">
        <v>0.35</v>
      </c>
      <c r="Y177">
        <v>0</v>
      </c>
      <c r="Z177">
        <v>8.1</v>
      </c>
      <c r="AA177">
        <v>0</v>
      </c>
      <c r="AB177">
        <v>0</v>
      </c>
      <c r="AC177">
        <v>0</v>
      </c>
      <c r="AD177">
        <v>1</v>
      </c>
      <c r="AE177">
        <v>0</v>
      </c>
      <c r="AF177" t="s">
        <v>6</v>
      </c>
      <c r="AG177">
        <v>0.35</v>
      </c>
      <c r="AH177">
        <v>2</v>
      </c>
      <c r="AI177">
        <v>16802909</v>
      </c>
      <c r="AJ177">
        <v>179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ROW(Source!A129)</f>
        <v>129</v>
      </c>
      <c r="B178">
        <v>16802918</v>
      </c>
      <c r="C178">
        <v>16802905</v>
      </c>
      <c r="D178">
        <v>15165267</v>
      </c>
      <c r="E178">
        <v>1</v>
      </c>
      <c r="F178">
        <v>1</v>
      </c>
      <c r="G178">
        <v>1</v>
      </c>
      <c r="H178">
        <v>3</v>
      </c>
      <c r="I178" t="s">
        <v>807</v>
      </c>
      <c r="J178" t="s">
        <v>808</v>
      </c>
      <c r="K178" t="s">
        <v>809</v>
      </c>
      <c r="L178">
        <v>1356</v>
      </c>
      <c r="N178">
        <v>1010</v>
      </c>
      <c r="O178" t="s">
        <v>709</v>
      </c>
      <c r="P178" t="s">
        <v>709</v>
      </c>
      <c r="Q178">
        <v>1000</v>
      </c>
      <c r="X178">
        <v>2E-3</v>
      </c>
      <c r="Y178">
        <v>3450</v>
      </c>
      <c r="Z178">
        <v>0</v>
      </c>
      <c r="AA178">
        <v>0</v>
      </c>
      <c r="AB178">
        <v>0</v>
      </c>
      <c r="AC178">
        <v>0</v>
      </c>
      <c r="AD178">
        <v>1</v>
      </c>
      <c r="AE178">
        <v>0</v>
      </c>
      <c r="AF178" t="s">
        <v>6</v>
      </c>
      <c r="AG178">
        <v>2E-3</v>
      </c>
      <c r="AH178">
        <v>2</v>
      </c>
      <c r="AI178">
        <v>16802910</v>
      </c>
      <c r="AJ178">
        <v>180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ROW(Source!A129)</f>
        <v>129</v>
      </c>
      <c r="B179">
        <v>16802919</v>
      </c>
      <c r="C179">
        <v>16802905</v>
      </c>
      <c r="D179">
        <v>15168763</v>
      </c>
      <c r="E179">
        <v>1</v>
      </c>
      <c r="F179">
        <v>1</v>
      </c>
      <c r="G179">
        <v>1</v>
      </c>
      <c r="H179">
        <v>3</v>
      </c>
      <c r="I179" t="s">
        <v>810</v>
      </c>
      <c r="J179" t="s">
        <v>811</v>
      </c>
      <c r="K179" t="s">
        <v>812</v>
      </c>
      <c r="L179">
        <v>1348</v>
      </c>
      <c r="N179">
        <v>1009</v>
      </c>
      <c r="O179" t="s">
        <v>65</v>
      </c>
      <c r="P179" t="s">
        <v>65</v>
      </c>
      <c r="Q179">
        <v>1000</v>
      </c>
      <c r="X179">
        <v>1.3999999999999999E-4</v>
      </c>
      <c r="Y179">
        <v>10362</v>
      </c>
      <c r="Z179">
        <v>0</v>
      </c>
      <c r="AA179">
        <v>0</v>
      </c>
      <c r="AB179">
        <v>0</v>
      </c>
      <c r="AC179">
        <v>0</v>
      </c>
      <c r="AD179">
        <v>1</v>
      </c>
      <c r="AE179">
        <v>0</v>
      </c>
      <c r="AF179" t="s">
        <v>6</v>
      </c>
      <c r="AG179">
        <v>1.3999999999999999E-4</v>
      </c>
      <c r="AH179">
        <v>2</v>
      </c>
      <c r="AI179">
        <v>16802911</v>
      </c>
      <c r="AJ179">
        <v>181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ROW(Source!A129)</f>
        <v>129</v>
      </c>
      <c r="B180">
        <v>16802920</v>
      </c>
      <c r="C180">
        <v>16802905</v>
      </c>
      <c r="D180">
        <v>15169923</v>
      </c>
      <c r="E180">
        <v>1</v>
      </c>
      <c r="F180">
        <v>1</v>
      </c>
      <c r="G180">
        <v>1</v>
      </c>
      <c r="H180">
        <v>3</v>
      </c>
      <c r="I180" t="s">
        <v>813</v>
      </c>
      <c r="J180" t="s">
        <v>814</v>
      </c>
      <c r="K180" t="s">
        <v>815</v>
      </c>
      <c r="L180">
        <v>1348</v>
      </c>
      <c r="N180">
        <v>1009</v>
      </c>
      <c r="O180" t="s">
        <v>65</v>
      </c>
      <c r="P180" t="s">
        <v>65</v>
      </c>
      <c r="Q180">
        <v>1000</v>
      </c>
      <c r="X180">
        <v>1.1000000000000001E-3</v>
      </c>
      <c r="Y180">
        <v>15323</v>
      </c>
      <c r="Z180">
        <v>0</v>
      </c>
      <c r="AA180">
        <v>0</v>
      </c>
      <c r="AB180">
        <v>0</v>
      </c>
      <c r="AC180">
        <v>0</v>
      </c>
      <c r="AD180">
        <v>1</v>
      </c>
      <c r="AE180">
        <v>0</v>
      </c>
      <c r="AF180" t="s">
        <v>6</v>
      </c>
      <c r="AG180">
        <v>1.1000000000000001E-3</v>
      </c>
      <c r="AH180">
        <v>2</v>
      </c>
      <c r="AI180">
        <v>16802912</v>
      </c>
      <c r="AJ180">
        <v>182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ROW(Source!A129)</f>
        <v>129</v>
      </c>
      <c r="B181">
        <v>16802921</v>
      </c>
      <c r="C181">
        <v>16802905</v>
      </c>
      <c r="D181">
        <v>15162883</v>
      </c>
      <c r="E181">
        <v>17</v>
      </c>
      <c r="F181">
        <v>1</v>
      </c>
      <c r="G181">
        <v>1</v>
      </c>
      <c r="H181">
        <v>3</v>
      </c>
      <c r="I181" t="s">
        <v>955</v>
      </c>
      <c r="J181" t="s">
        <v>6</v>
      </c>
      <c r="K181" t="s">
        <v>956</v>
      </c>
      <c r="L181">
        <v>1354</v>
      </c>
      <c r="N181">
        <v>1010</v>
      </c>
      <c r="O181" t="s">
        <v>42</v>
      </c>
      <c r="P181" t="s">
        <v>42</v>
      </c>
      <c r="Q181">
        <v>1</v>
      </c>
      <c r="X181">
        <v>1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 t="s">
        <v>6</v>
      </c>
      <c r="AG181">
        <v>1</v>
      </c>
      <c r="AH181">
        <v>3</v>
      </c>
      <c r="AI181">
        <v>-1</v>
      </c>
      <c r="AJ181" t="s">
        <v>6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ROW(Source!A129)</f>
        <v>129</v>
      </c>
      <c r="B182">
        <v>16802922</v>
      </c>
      <c r="C182">
        <v>16802905</v>
      </c>
      <c r="D182">
        <v>15161732</v>
      </c>
      <c r="E182">
        <v>17</v>
      </c>
      <c r="F182">
        <v>1</v>
      </c>
      <c r="G182">
        <v>1</v>
      </c>
      <c r="H182">
        <v>3</v>
      </c>
      <c r="I182" t="s">
        <v>957</v>
      </c>
      <c r="J182" t="s">
        <v>6</v>
      </c>
      <c r="K182" t="s">
        <v>958</v>
      </c>
      <c r="L182">
        <v>1354</v>
      </c>
      <c r="N182">
        <v>1010</v>
      </c>
      <c r="O182" t="s">
        <v>42</v>
      </c>
      <c r="P182" t="s">
        <v>42</v>
      </c>
      <c r="Q182">
        <v>1</v>
      </c>
      <c r="X182">
        <v>2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 t="s">
        <v>6</v>
      </c>
      <c r="AG182">
        <v>2</v>
      </c>
      <c r="AH182">
        <v>3</v>
      </c>
      <c r="AI182">
        <v>-1</v>
      </c>
      <c r="AJ182" t="s">
        <v>6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ROW(Source!A131)</f>
        <v>131</v>
      </c>
      <c r="B183">
        <v>16802926</v>
      </c>
      <c r="C183">
        <v>16802924</v>
      </c>
      <c r="D183">
        <v>15430767</v>
      </c>
      <c r="E183">
        <v>1</v>
      </c>
      <c r="F183">
        <v>1</v>
      </c>
      <c r="G183">
        <v>1</v>
      </c>
      <c r="H183">
        <v>1</v>
      </c>
      <c r="I183" t="s">
        <v>667</v>
      </c>
      <c r="J183" t="s">
        <v>6</v>
      </c>
      <c r="K183" t="s">
        <v>668</v>
      </c>
      <c r="L183">
        <v>1191</v>
      </c>
      <c r="N183">
        <v>1013</v>
      </c>
      <c r="O183" t="s">
        <v>660</v>
      </c>
      <c r="P183" t="s">
        <v>660</v>
      </c>
      <c r="Q183">
        <v>1</v>
      </c>
      <c r="X183">
        <v>15.73</v>
      </c>
      <c r="Y183">
        <v>0</v>
      </c>
      <c r="Z183">
        <v>0</v>
      </c>
      <c r="AA183">
        <v>0</v>
      </c>
      <c r="AB183">
        <v>8.5299999999999994</v>
      </c>
      <c r="AC183">
        <v>0</v>
      </c>
      <c r="AD183">
        <v>1</v>
      </c>
      <c r="AE183">
        <v>1</v>
      </c>
      <c r="AF183" t="s">
        <v>6</v>
      </c>
      <c r="AG183">
        <v>15.73</v>
      </c>
      <c r="AH183">
        <v>2</v>
      </c>
      <c r="AI183">
        <v>16802925</v>
      </c>
      <c r="AJ183">
        <v>184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ROW(Source!A168)</f>
        <v>168</v>
      </c>
      <c r="B184">
        <v>16802937</v>
      </c>
      <c r="C184">
        <v>16802929</v>
      </c>
      <c r="D184">
        <v>15446300</v>
      </c>
      <c r="E184">
        <v>1</v>
      </c>
      <c r="F184">
        <v>1</v>
      </c>
      <c r="G184">
        <v>1</v>
      </c>
      <c r="H184">
        <v>1</v>
      </c>
      <c r="I184" t="s">
        <v>816</v>
      </c>
      <c r="J184" t="s">
        <v>6</v>
      </c>
      <c r="K184" t="s">
        <v>817</v>
      </c>
      <c r="L184">
        <v>1191</v>
      </c>
      <c r="N184">
        <v>1013</v>
      </c>
      <c r="O184" t="s">
        <v>660</v>
      </c>
      <c r="P184" t="s">
        <v>660</v>
      </c>
      <c r="Q184">
        <v>1</v>
      </c>
      <c r="X184">
        <v>148</v>
      </c>
      <c r="Y184">
        <v>0</v>
      </c>
      <c r="Z184">
        <v>0</v>
      </c>
      <c r="AA184">
        <v>0</v>
      </c>
      <c r="AB184">
        <v>9.92</v>
      </c>
      <c r="AC184">
        <v>0</v>
      </c>
      <c r="AD184">
        <v>1</v>
      </c>
      <c r="AE184">
        <v>1</v>
      </c>
      <c r="AF184" t="s">
        <v>398</v>
      </c>
      <c r="AG184">
        <v>103.6</v>
      </c>
      <c r="AH184">
        <v>2</v>
      </c>
      <c r="AI184">
        <v>16802930</v>
      </c>
      <c r="AJ184">
        <v>185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ROW(Source!A168)</f>
        <v>168</v>
      </c>
      <c r="B185">
        <v>16802938</v>
      </c>
      <c r="C185">
        <v>16802929</v>
      </c>
      <c r="D185">
        <v>15430395</v>
      </c>
      <c r="E185">
        <v>1</v>
      </c>
      <c r="F185">
        <v>1</v>
      </c>
      <c r="G185">
        <v>1</v>
      </c>
      <c r="H185">
        <v>1</v>
      </c>
      <c r="I185" t="s">
        <v>661</v>
      </c>
      <c r="J185" t="s">
        <v>6</v>
      </c>
      <c r="K185" t="s">
        <v>662</v>
      </c>
      <c r="L185">
        <v>1191</v>
      </c>
      <c r="N185">
        <v>1013</v>
      </c>
      <c r="O185" t="s">
        <v>660</v>
      </c>
      <c r="P185" t="s">
        <v>660</v>
      </c>
      <c r="Q185">
        <v>1</v>
      </c>
      <c r="X185">
        <v>0.6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1</v>
      </c>
      <c r="AE185">
        <v>2</v>
      </c>
      <c r="AF185" t="s">
        <v>398</v>
      </c>
      <c r="AG185">
        <v>0.42</v>
      </c>
      <c r="AH185">
        <v>2</v>
      </c>
      <c r="AI185">
        <v>16802931</v>
      </c>
      <c r="AJ185">
        <v>186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ROW(Source!A168)</f>
        <v>168</v>
      </c>
      <c r="B186">
        <v>16802939</v>
      </c>
      <c r="C186">
        <v>16802929</v>
      </c>
      <c r="D186">
        <v>15247680</v>
      </c>
      <c r="E186">
        <v>1</v>
      </c>
      <c r="F186">
        <v>1</v>
      </c>
      <c r="G186">
        <v>1</v>
      </c>
      <c r="H186">
        <v>2</v>
      </c>
      <c r="I186" t="s">
        <v>786</v>
      </c>
      <c r="J186" t="s">
        <v>787</v>
      </c>
      <c r="K186" t="s">
        <v>788</v>
      </c>
      <c r="L186">
        <v>1368</v>
      </c>
      <c r="N186">
        <v>1011</v>
      </c>
      <c r="O186" t="s">
        <v>666</v>
      </c>
      <c r="P186" t="s">
        <v>666</v>
      </c>
      <c r="Q186">
        <v>1</v>
      </c>
      <c r="X186">
        <v>0.3</v>
      </c>
      <c r="Y186">
        <v>0</v>
      </c>
      <c r="Z186">
        <v>111.99</v>
      </c>
      <c r="AA186">
        <v>13.5</v>
      </c>
      <c r="AB186">
        <v>0</v>
      </c>
      <c r="AC186">
        <v>0</v>
      </c>
      <c r="AD186">
        <v>1</v>
      </c>
      <c r="AE186">
        <v>0</v>
      </c>
      <c r="AF186" t="s">
        <v>398</v>
      </c>
      <c r="AG186">
        <v>0.21</v>
      </c>
      <c r="AH186">
        <v>2</v>
      </c>
      <c r="AI186">
        <v>16802932</v>
      </c>
      <c r="AJ186">
        <v>187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ROW(Source!A168)</f>
        <v>168</v>
      </c>
      <c r="B187">
        <v>16802940</v>
      </c>
      <c r="C187">
        <v>16802929</v>
      </c>
      <c r="D187">
        <v>15249073</v>
      </c>
      <c r="E187">
        <v>1</v>
      </c>
      <c r="F187">
        <v>1</v>
      </c>
      <c r="G187">
        <v>1</v>
      </c>
      <c r="H187">
        <v>2</v>
      </c>
      <c r="I187" t="s">
        <v>684</v>
      </c>
      <c r="J187" t="s">
        <v>685</v>
      </c>
      <c r="K187" t="s">
        <v>686</v>
      </c>
      <c r="L187">
        <v>1368</v>
      </c>
      <c r="N187">
        <v>1011</v>
      </c>
      <c r="O187" t="s">
        <v>666</v>
      </c>
      <c r="P187" t="s">
        <v>666</v>
      </c>
      <c r="Q187">
        <v>1</v>
      </c>
      <c r="X187">
        <v>0.3</v>
      </c>
      <c r="Y187">
        <v>0</v>
      </c>
      <c r="Z187">
        <v>65.709999999999994</v>
      </c>
      <c r="AA187">
        <v>11.6</v>
      </c>
      <c r="AB187">
        <v>0</v>
      </c>
      <c r="AC187">
        <v>0</v>
      </c>
      <c r="AD187">
        <v>1</v>
      </c>
      <c r="AE187">
        <v>0</v>
      </c>
      <c r="AF187" t="s">
        <v>398</v>
      </c>
      <c r="AG187">
        <v>0.21</v>
      </c>
      <c r="AH187">
        <v>2</v>
      </c>
      <c r="AI187">
        <v>16802933</v>
      </c>
      <c r="AJ187">
        <v>188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ROW(Source!A168)</f>
        <v>168</v>
      </c>
      <c r="B188">
        <v>16802941</v>
      </c>
      <c r="C188">
        <v>16802929</v>
      </c>
      <c r="D188">
        <v>15171982</v>
      </c>
      <c r="E188">
        <v>1</v>
      </c>
      <c r="F188">
        <v>1</v>
      </c>
      <c r="G188">
        <v>1</v>
      </c>
      <c r="H188">
        <v>3</v>
      </c>
      <c r="I188" t="s">
        <v>672</v>
      </c>
      <c r="J188" t="s">
        <v>673</v>
      </c>
      <c r="K188" t="s">
        <v>674</v>
      </c>
      <c r="L188">
        <v>1348</v>
      </c>
      <c r="N188">
        <v>1009</v>
      </c>
      <c r="O188" t="s">
        <v>65</v>
      </c>
      <c r="P188" t="s">
        <v>65</v>
      </c>
      <c r="Q188">
        <v>1000</v>
      </c>
      <c r="X188">
        <v>3.15E-3</v>
      </c>
      <c r="Y188">
        <v>729.98</v>
      </c>
      <c r="Z188">
        <v>0</v>
      </c>
      <c r="AA188">
        <v>0</v>
      </c>
      <c r="AB188">
        <v>0</v>
      </c>
      <c r="AC188">
        <v>0</v>
      </c>
      <c r="AD188">
        <v>1</v>
      </c>
      <c r="AE188">
        <v>0</v>
      </c>
      <c r="AF188" t="s">
        <v>227</v>
      </c>
      <c r="AG188">
        <v>0</v>
      </c>
      <c r="AH188">
        <v>2</v>
      </c>
      <c r="AI188">
        <v>16802934</v>
      </c>
      <c r="AJ188">
        <v>189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ROW(Source!A168)</f>
        <v>168</v>
      </c>
      <c r="B189">
        <v>16802942</v>
      </c>
      <c r="C189">
        <v>16802929</v>
      </c>
      <c r="D189">
        <v>15233312</v>
      </c>
      <c r="E189">
        <v>1</v>
      </c>
      <c r="F189">
        <v>1</v>
      </c>
      <c r="G189">
        <v>1</v>
      </c>
      <c r="H189">
        <v>3</v>
      </c>
      <c r="I189" t="s">
        <v>818</v>
      </c>
      <c r="J189" t="s">
        <v>819</v>
      </c>
      <c r="K189" t="s">
        <v>820</v>
      </c>
      <c r="L189">
        <v>1346</v>
      </c>
      <c r="N189">
        <v>1009</v>
      </c>
      <c r="O189" t="s">
        <v>103</v>
      </c>
      <c r="P189" t="s">
        <v>103</v>
      </c>
      <c r="Q189">
        <v>1</v>
      </c>
      <c r="X189">
        <v>3.09</v>
      </c>
      <c r="Y189">
        <v>35.700000000000003</v>
      </c>
      <c r="Z189">
        <v>0</v>
      </c>
      <c r="AA189">
        <v>0</v>
      </c>
      <c r="AB189">
        <v>0</v>
      </c>
      <c r="AC189">
        <v>0</v>
      </c>
      <c r="AD189">
        <v>1</v>
      </c>
      <c r="AE189">
        <v>0</v>
      </c>
      <c r="AF189" t="s">
        <v>227</v>
      </c>
      <c r="AG189">
        <v>0</v>
      </c>
      <c r="AH189">
        <v>2</v>
      </c>
      <c r="AI189">
        <v>16802935</v>
      </c>
      <c r="AJ189">
        <v>190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ROW(Source!A168)</f>
        <v>168</v>
      </c>
      <c r="B190">
        <v>16802943</v>
      </c>
      <c r="C190">
        <v>16802929</v>
      </c>
      <c r="D190">
        <v>15164559</v>
      </c>
      <c r="E190">
        <v>17</v>
      </c>
      <c r="F190">
        <v>1</v>
      </c>
      <c r="G190">
        <v>1</v>
      </c>
      <c r="H190">
        <v>3</v>
      </c>
      <c r="I190" t="s">
        <v>821</v>
      </c>
      <c r="J190" t="s">
        <v>6</v>
      </c>
      <c r="K190" t="s">
        <v>822</v>
      </c>
      <c r="L190">
        <v>1374</v>
      </c>
      <c r="N190">
        <v>1013</v>
      </c>
      <c r="O190" t="s">
        <v>823</v>
      </c>
      <c r="P190" t="s">
        <v>823</v>
      </c>
      <c r="Q190">
        <v>1</v>
      </c>
      <c r="X190">
        <v>29.36</v>
      </c>
      <c r="Y190">
        <v>1</v>
      </c>
      <c r="Z190">
        <v>0</v>
      </c>
      <c r="AA190">
        <v>0</v>
      </c>
      <c r="AB190">
        <v>0</v>
      </c>
      <c r="AC190">
        <v>0</v>
      </c>
      <c r="AD190">
        <v>1</v>
      </c>
      <c r="AE190">
        <v>0</v>
      </c>
      <c r="AF190" t="s">
        <v>227</v>
      </c>
      <c r="AG190">
        <v>0</v>
      </c>
      <c r="AH190">
        <v>2</v>
      </c>
      <c r="AI190">
        <v>16802936</v>
      </c>
      <c r="AJ190">
        <v>191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ROW(Source!A169)</f>
        <v>169</v>
      </c>
      <c r="B191">
        <v>16802961</v>
      </c>
      <c r="C191">
        <v>16802945</v>
      </c>
      <c r="D191">
        <v>15435763</v>
      </c>
      <c r="E191">
        <v>1</v>
      </c>
      <c r="F191">
        <v>1</v>
      </c>
      <c r="G191">
        <v>1</v>
      </c>
      <c r="H191">
        <v>1</v>
      </c>
      <c r="I191" t="s">
        <v>824</v>
      </c>
      <c r="J191" t="s">
        <v>6</v>
      </c>
      <c r="K191" t="s">
        <v>825</v>
      </c>
      <c r="L191">
        <v>1191</v>
      </c>
      <c r="N191">
        <v>1013</v>
      </c>
      <c r="O191" t="s">
        <v>660</v>
      </c>
      <c r="P191" t="s">
        <v>660</v>
      </c>
      <c r="Q191">
        <v>1</v>
      </c>
      <c r="X191">
        <v>2.09</v>
      </c>
      <c r="Y191">
        <v>0</v>
      </c>
      <c r="Z191">
        <v>0</v>
      </c>
      <c r="AA191">
        <v>0</v>
      </c>
      <c r="AB191">
        <v>10.35</v>
      </c>
      <c r="AC191">
        <v>0</v>
      </c>
      <c r="AD191">
        <v>1</v>
      </c>
      <c r="AE191">
        <v>1</v>
      </c>
      <c r="AF191" t="s">
        <v>405</v>
      </c>
      <c r="AG191">
        <v>1.2539999999999998</v>
      </c>
      <c r="AH191">
        <v>2</v>
      </c>
      <c r="AI191">
        <v>16802946</v>
      </c>
      <c r="AJ191">
        <v>192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ROW(Source!A169)</f>
        <v>169</v>
      </c>
      <c r="B192">
        <v>16802962</v>
      </c>
      <c r="C192">
        <v>16802945</v>
      </c>
      <c r="D192">
        <v>15249377</v>
      </c>
      <c r="E192">
        <v>1</v>
      </c>
      <c r="F192">
        <v>1</v>
      </c>
      <c r="G192">
        <v>1</v>
      </c>
      <c r="H192">
        <v>2</v>
      </c>
      <c r="I192" t="s">
        <v>804</v>
      </c>
      <c r="J192" t="s">
        <v>805</v>
      </c>
      <c r="K192" t="s">
        <v>806</v>
      </c>
      <c r="L192">
        <v>1368</v>
      </c>
      <c r="N192">
        <v>1011</v>
      </c>
      <c r="O192" t="s">
        <v>666</v>
      </c>
      <c r="P192" t="s">
        <v>666</v>
      </c>
      <c r="Q192">
        <v>1</v>
      </c>
      <c r="X192">
        <v>0.06</v>
      </c>
      <c r="Y192">
        <v>0</v>
      </c>
      <c r="Z192">
        <v>8.1</v>
      </c>
      <c r="AA192">
        <v>0</v>
      </c>
      <c r="AB192">
        <v>0</v>
      </c>
      <c r="AC192">
        <v>0</v>
      </c>
      <c r="AD192">
        <v>1</v>
      </c>
      <c r="AE192">
        <v>0</v>
      </c>
      <c r="AF192" t="s">
        <v>405</v>
      </c>
      <c r="AG192">
        <v>3.5999999999999997E-2</v>
      </c>
      <c r="AH192">
        <v>2</v>
      </c>
      <c r="AI192">
        <v>16802947</v>
      </c>
      <c r="AJ192">
        <v>193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ROW(Source!A169)</f>
        <v>169</v>
      </c>
      <c r="B193">
        <v>16802963</v>
      </c>
      <c r="C193">
        <v>16802945</v>
      </c>
      <c r="D193">
        <v>15250043</v>
      </c>
      <c r="E193">
        <v>1</v>
      </c>
      <c r="F193">
        <v>1</v>
      </c>
      <c r="G193">
        <v>1</v>
      </c>
      <c r="H193">
        <v>2</v>
      </c>
      <c r="I193" t="s">
        <v>826</v>
      </c>
      <c r="J193" t="s">
        <v>827</v>
      </c>
      <c r="K193" t="s">
        <v>828</v>
      </c>
      <c r="L193">
        <v>1368</v>
      </c>
      <c r="N193">
        <v>1011</v>
      </c>
      <c r="O193" t="s">
        <v>666</v>
      </c>
      <c r="P193" t="s">
        <v>666</v>
      </c>
      <c r="Q193">
        <v>1</v>
      </c>
      <c r="X193">
        <v>0.09</v>
      </c>
      <c r="Y193">
        <v>0</v>
      </c>
      <c r="Z193">
        <v>1.1100000000000001</v>
      </c>
      <c r="AA193">
        <v>0</v>
      </c>
      <c r="AB193">
        <v>0</v>
      </c>
      <c r="AC193">
        <v>0</v>
      </c>
      <c r="AD193">
        <v>1</v>
      </c>
      <c r="AE193">
        <v>0</v>
      </c>
      <c r="AF193" t="s">
        <v>405</v>
      </c>
      <c r="AG193">
        <v>5.3999999999999999E-2</v>
      </c>
      <c r="AH193">
        <v>2</v>
      </c>
      <c r="AI193">
        <v>16802948</v>
      </c>
      <c r="AJ193">
        <v>194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ROW(Source!A169)</f>
        <v>169</v>
      </c>
      <c r="B194">
        <v>16802964</v>
      </c>
      <c r="C194">
        <v>16802945</v>
      </c>
      <c r="D194">
        <v>15165537</v>
      </c>
      <c r="E194">
        <v>1</v>
      </c>
      <c r="F194">
        <v>1</v>
      </c>
      <c r="G194">
        <v>1</v>
      </c>
      <c r="H194">
        <v>3</v>
      </c>
      <c r="I194" t="s">
        <v>829</v>
      </c>
      <c r="J194" t="s">
        <v>830</v>
      </c>
      <c r="K194" t="s">
        <v>831</v>
      </c>
      <c r="L194">
        <v>1346</v>
      </c>
      <c r="N194">
        <v>1009</v>
      </c>
      <c r="O194" t="s">
        <v>103</v>
      </c>
      <c r="P194" t="s">
        <v>103</v>
      </c>
      <c r="Q194">
        <v>1</v>
      </c>
      <c r="X194">
        <v>6.0000000000000001E-3</v>
      </c>
      <c r="Y194">
        <v>44.97</v>
      </c>
      <c r="Z194">
        <v>0</v>
      </c>
      <c r="AA194">
        <v>0</v>
      </c>
      <c r="AB194">
        <v>0</v>
      </c>
      <c r="AC194">
        <v>0</v>
      </c>
      <c r="AD194">
        <v>1</v>
      </c>
      <c r="AE194">
        <v>0</v>
      </c>
      <c r="AF194" t="s">
        <v>227</v>
      </c>
      <c r="AG194">
        <v>0</v>
      </c>
      <c r="AH194">
        <v>2</v>
      </c>
      <c r="AI194">
        <v>16802949</v>
      </c>
      <c r="AJ194">
        <v>195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ROW(Source!A169)</f>
        <v>169</v>
      </c>
      <c r="B195">
        <v>16802965</v>
      </c>
      <c r="C195">
        <v>16802945</v>
      </c>
      <c r="D195">
        <v>15167269</v>
      </c>
      <c r="E195">
        <v>1</v>
      </c>
      <c r="F195">
        <v>1</v>
      </c>
      <c r="G195">
        <v>1</v>
      </c>
      <c r="H195">
        <v>3</v>
      </c>
      <c r="I195" t="s">
        <v>832</v>
      </c>
      <c r="J195" t="s">
        <v>833</v>
      </c>
      <c r="K195" t="s">
        <v>834</v>
      </c>
      <c r="L195">
        <v>1346</v>
      </c>
      <c r="N195">
        <v>1009</v>
      </c>
      <c r="O195" t="s">
        <v>103</v>
      </c>
      <c r="P195" t="s">
        <v>103</v>
      </c>
      <c r="Q195">
        <v>1</v>
      </c>
      <c r="X195">
        <v>2E-3</v>
      </c>
      <c r="Y195">
        <v>11.5</v>
      </c>
      <c r="Z195">
        <v>0</v>
      </c>
      <c r="AA195">
        <v>0</v>
      </c>
      <c r="AB195">
        <v>0</v>
      </c>
      <c r="AC195">
        <v>0</v>
      </c>
      <c r="AD195">
        <v>1</v>
      </c>
      <c r="AE195">
        <v>0</v>
      </c>
      <c r="AF195" t="s">
        <v>227</v>
      </c>
      <c r="AG195">
        <v>0</v>
      </c>
      <c r="AH195">
        <v>2</v>
      </c>
      <c r="AI195">
        <v>16802950</v>
      </c>
      <c r="AJ195">
        <v>196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ROW(Source!A169)</f>
        <v>169</v>
      </c>
      <c r="B196">
        <v>16802966</v>
      </c>
      <c r="C196">
        <v>16802945</v>
      </c>
      <c r="D196">
        <v>15167588</v>
      </c>
      <c r="E196">
        <v>1</v>
      </c>
      <c r="F196">
        <v>1</v>
      </c>
      <c r="G196">
        <v>1</v>
      </c>
      <c r="H196">
        <v>3</v>
      </c>
      <c r="I196" t="s">
        <v>835</v>
      </c>
      <c r="J196" t="s">
        <v>836</v>
      </c>
      <c r="K196" t="s">
        <v>837</v>
      </c>
      <c r="L196">
        <v>1346</v>
      </c>
      <c r="N196">
        <v>1009</v>
      </c>
      <c r="O196" t="s">
        <v>103</v>
      </c>
      <c r="P196" t="s">
        <v>103</v>
      </c>
      <c r="Q196">
        <v>1</v>
      </c>
      <c r="X196">
        <v>2.4E-2</v>
      </c>
      <c r="Y196">
        <v>30.4</v>
      </c>
      <c r="Z196">
        <v>0</v>
      </c>
      <c r="AA196">
        <v>0</v>
      </c>
      <c r="AB196">
        <v>0</v>
      </c>
      <c r="AC196">
        <v>0</v>
      </c>
      <c r="AD196">
        <v>1</v>
      </c>
      <c r="AE196">
        <v>0</v>
      </c>
      <c r="AF196" t="s">
        <v>227</v>
      </c>
      <c r="AG196">
        <v>0</v>
      </c>
      <c r="AH196">
        <v>2</v>
      </c>
      <c r="AI196">
        <v>16802951</v>
      </c>
      <c r="AJ196">
        <v>197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ROW(Source!A169)</f>
        <v>169</v>
      </c>
      <c r="B197">
        <v>16802967</v>
      </c>
      <c r="C197">
        <v>16802945</v>
      </c>
      <c r="D197">
        <v>15168752</v>
      </c>
      <c r="E197">
        <v>1</v>
      </c>
      <c r="F197">
        <v>1</v>
      </c>
      <c r="G197">
        <v>1</v>
      </c>
      <c r="H197">
        <v>3</v>
      </c>
      <c r="I197" t="s">
        <v>838</v>
      </c>
      <c r="J197" t="s">
        <v>839</v>
      </c>
      <c r="K197" t="s">
        <v>840</v>
      </c>
      <c r="L197">
        <v>1346</v>
      </c>
      <c r="N197">
        <v>1009</v>
      </c>
      <c r="O197" t="s">
        <v>103</v>
      </c>
      <c r="P197" t="s">
        <v>103</v>
      </c>
      <c r="Q197">
        <v>1</v>
      </c>
      <c r="X197">
        <v>7.0000000000000007E-2</v>
      </c>
      <c r="Y197">
        <v>10.57</v>
      </c>
      <c r="Z197">
        <v>0</v>
      </c>
      <c r="AA197">
        <v>0</v>
      </c>
      <c r="AB197">
        <v>0</v>
      </c>
      <c r="AC197">
        <v>0</v>
      </c>
      <c r="AD197">
        <v>1</v>
      </c>
      <c r="AE197">
        <v>0</v>
      </c>
      <c r="AF197" t="s">
        <v>227</v>
      </c>
      <c r="AG197">
        <v>0</v>
      </c>
      <c r="AH197">
        <v>2</v>
      </c>
      <c r="AI197">
        <v>16802952</v>
      </c>
      <c r="AJ197">
        <v>198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ROW(Source!A169)</f>
        <v>169</v>
      </c>
      <c r="B198">
        <v>16802968</v>
      </c>
      <c r="C198">
        <v>16802945</v>
      </c>
      <c r="D198">
        <v>15169942</v>
      </c>
      <c r="E198">
        <v>1</v>
      </c>
      <c r="F198">
        <v>1</v>
      </c>
      <c r="G198">
        <v>1</v>
      </c>
      <c r="H198">
        <v>3</v>
      </c>
      <c r="I198" t="s">
        <v>841</v>
      </c>
      <c r="J198" t="s">
        <v>842</v>
      </c>
      <c r="K198" t="s">
        <v>843</v>
      </c>
      <c r="L198">
        <v>1346</v>
      </c>
      <c r="N198">
        <v>1009</v>
      </c>
      <c r="O198" t="s">
        <v>103</v>
      </c>
      <c r="P198" t="s">
        <v>103</v>
      </c>
      <c r="Q198">
        <v>1</v>
      </c>
      <c r="X198">
        <v>0.14000000000000001</v>
      </c>
      <c r="Y198">
        <v>9.0399999999999991</v>
      </c>
      <c r="Z198">
        <v>0</v>
      </c>
      <c r="AA198">
        <v>0</v>
      </c>
      <c r="AB198">
        <v>0</v>
      </c>
      <c r="AC198">
        <v>0</v>
      </c>
      <c r="AD198">
        <v>1</v>
      </c>
      <c r="AE198">
        <v>0</v>
      </c>
      <c r="AF198" t="s">
        <v>227</v>
      </c>
      <c r="AG198">
        <v>0</v>
      </c>
      <c r="AH198">
        <v>2</v>
      </c>
      <c r="AI198">
        <v>16802953</v>
      </c>
      <c r="AJ198">
        <v>199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ROW(Source!A169)</f>
        <v>169</v>
      </c>
      <c r="B199">
        <v>16802969</v>
      </c>
      <c r="C199">
        <v>16802945</v>
      </c>
      <c r="D199">
        <v>15170074</v>
      </c>
      <c r="E199">
        <v>1</v>
      </c>
      <c r="F199">
        <v>1</v>
      </c>
      <c r="G199">
        <v>1</v>
      </c>
      <c r="H199">
        <v>3</v>
      </c>
      <c r="I199" t="s">
        <v>844</v>
      </c>
      <c r="J199" t="s">
        <v>845</v>
      </c>
      <c r="K199" t="s">
        <v>846</v>
      </c>
      <c r="L199">
        <v>1355</v>
      </c>
      <c r="N199">
        <v>1010</v>
      </c>
      <c r="O199" t="s">
        <v>126</v>
      </c>
      <c r="P199" t="s">
        <v>126</v>
      </c>
      <c r="Q199">
        <v>100</v>
      </c>
      <c r="X199">
        <v>7.0000000000000001E-3</v>
      </c>
      <c r="Y199">
        <v>86</v>
      </c>
      <c r="Z199">
        <v>0</v>
      </c>
      <c r="AA199">
        <v>0</v>
      </c>
      <c r="AB199">
        <v>0</v>
      </c>
      <c r="AC199">
        <v>0</v>
      </c>
      <c r="AD199">
        <v>1</v>
      </c>
      <c r="AE199">
        <v>0</v>
      </c>
      <c r="AF199" t="s">
        <v>227</v>
      </c>
      <c r="AG199">
        <v>0</v>
      </c>
      <c r="AH199">
        <v>2</v>
      </c>
      <c r="AI199">
        <v>16802954</v>
      </c>
      <c r="AJ199">
        <v>200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ROW(Source!A169)</f>
        <v>169</v>
      </c>
      <c r="B200">
        <v>16802970</v>
      </c>
      <c r="C200">
        <v>16802945</v>
      </c>
      <c r="D200">
        <v>15170994</v>
      </c>
      <c r="E200">
        <v>1</v>
      </c>
      <c r="F200">
        <v>1</v>
      </c>
      <c r="G200">
        <v>1</v>
      </c>
      <c r="H200">
        <v>3</v>
      </c>
      <c r="I200" t="s">
        <v>847</v>
      </c>
      <c r="J200" t="s">
        <v>848</v>
      </c>
      <c r="K200" t="s">
        <v>849</v>
      </c>
      <c r="L200">
        <v>1346</v>
      </c>
      <c r="N200">
        <v>1009</v>
      </c>
      <c r="O200" t="s">
        <v>103</v>
      </c>
      <c r="P200" t="s">
        <v>103</v>
      </c>
      <c r="Q200">
        <v>1</v>
      </c>
      <c r="X200">
        <v>2E-3</v>
      </c>
      <c r="Y200">
        <v>133.05000000000001</v>
      </c>
      <c r="Z200">
        <v>0</v>
      </c>
      <c r="AA200">
        <v>0</v>
      </c>
      <c r="AB200">
        <v>0</v>
      </c>
      <c r="AC200">
        <v>0</v>
      </c>
      <c r="AD200">
        <v>1</v>
      </c>
      <c r="AE200">
        <v>0</v>
      </c>
      <c r="AF200" t="s">
        <v>227</v>
      </c>
      <c r="AG200">
        <v>0</v>
      </c>
      <c r="AH200">
        <v>2</v>
      </c>
      <c r="AI200">
        <v>16802955</v>
      </c>
      <c r="AJ200">
        <v>201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ROW(Source!A169)</f>
        <v>169</v>
      </c>
      <c r="B201">
        <v>16802971</v>
      </c>
      <c r="C201">
        <v>16802945</v>
      </c>
      <c r="D201">
        <v>15188647</v>
      </c>
      <c r="E201">
        <v>1</v>
      </c>
      <c r="F201">
        <v>1</v>
      </c>
      <c r="G201">
        <v>1</v>
      </c>
      <c r="H201">
        <v>3</v>
      </c>
      <c r="I201" t="s">
        <v>850</v>
      </c>
      <c r="J201" t="s">
        <v>851</v>
      </c>
      <c r="K201" t="s">
        <v>852</v>
      </c>
      <c r="L201">
        <v>1348</v>
      </c>
      <c r="N201">
        <v>1009</v>
      </c>
      <c r="O201" t="s">
        <v>65</v>
      </c>
      <c r="P201" t="s">
        <v>65</v>
      </c>
      <c r="Q201">
        <v>1000</v>
      </c>
      <c r="X201">
        <v>3.0000000000000001E-3</v>
      </c>
      <c r="Y201">
        <v>11500</v>
      </c>
      <c r="Z201">
        <v>0</v>
      </c>
      <c r="AA201">
        <v>0</v>
      </c>
      <c r="AB201">
        <v>0</v>
      </c>
      <c r="AC201">
        <v>0</v>
      </c>
      <c r="AD201">
        <v>1</v>
      </c>
      <c r="AE201">
        <v>0</v>
      </c>
      <c r="AF201" t="s">
        <v>227</v>
      </c>
      <c r="AG201">
        <v>0</v>
      </c>
      <c r="AH201">
        <v>2</v>
      </c>
      <c r="AI201">
        <v>16802956</v>
      </c>
      <c r="AJ201">
        <v>202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ROW(Source!A169)</f>
        <v>169</v>
      </c>
      <c r="B202">
        <v>16802972</v>
      </c>
      <c r="C202">
        <v>16802945</v>
      </c>
      <c r="D202">
        <v>15203834</v>
      </c>
      <c r="E202">
        <v>1</v>
      </c>
      <c r="F202">
        <v>1</v>
      </c>
      <c r="G202">
        <v>1</v>
      </c>
      <c r="H202">
        <v>3</v>
      </c>
      <c r="I202" t="s">
        <v>853</v>
      </c>
      <c r="J202" t="s">
        <v>854</v>
      </c>
      <c r="K202" t="s">
        <v>855</v>
      </c>
      <c r="L202">
        <v>1346</v>
      </c>
      <c r="N202">
        <v>1009</v>
      </c>
      <c r="O202" t="s">
        <v>103</v>
      </c>
      <c r="P202" t="s">
        <v>103</v>
      </c>
      <c r="Q202">
        <v>1</v>
      </c>
      <c r="X202">
        <v>1.7999999999999999E-2</v>
      </c>
      <c r="Y202">
        <v>28.6</v>
      </c>
      <c r="Z202">
        <v>0</v>
      </c>
      <c r="AA202">
        <v>0</v>
      </c>
      <c r="AB202">
        <v>0</v>
      </c>
      <c r="AC202">
        <v>0</v>
      </c>
      <c r="AD202">
        <v>1</v>
      </c>
      <c r="AE202">
        <v>0</v>
      </c>
      <c r="AF202" t="s">
        <v>227</v>
      </c>
      <c r="AG202">
        <v>0</v>
      </c>
      <c r="AH202">
        <v>2</v>
      </c>
      <c r="AI202">
        <v>16802957</v>
      </c>
      <c r="AJ202">
        <v>203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ROW(Source!A169)</f>
        <v>169</v>
      </c>
      <c r="B203">
        <v>16802973</v>
      </c>
      <c r="C203">
        <v>16802945</v>
      </c>
      <c r="D203">
        <v>15203987</v>
      </c>
      <c r="E203">
        <v>1</v>
      </c>
      <c r="F203">
        <v>1</v>
      </c>
      <c r="G203">
        <v>1</v>
      </c>
      <c r="H203">
        <v>3</v>
      </c>
      <c r="I203" t="s">
        <v>856</v>
      </c>
      <c r="J203" t="s">
        <v>857</v>
      </c>
      <c r="K203" t="s">
        <v>858</v>
      </c>
      <c r="L203">
        <v>1346</v>
      </c>
      <c r="N203">
        <v>1009</v>
      </c>
      <c r="O203" t="s">
        <v>103</v>
      </c>
      <c r="P203" t="s">
        <v>103</v>
      </c>
      <c r="Q203">
        <v>1</v>
      </c>
      <c r="X203">
        <v>8.9999999999999993E-3</v>
      </c>
      <c r="Y203">
        <v>35.630000000000003</v>
      </c>
      <c r="Z203">
        <v>0</v>
      </c>
      <c r="AA203">
        <v>0</v>
      </c>
      <c r="AB203">
        <v>0</v>
      </c>
      <c r="AC203">
        <v>0</v>
      </c>
      <c r="AD203">
        <v>1</v>
      </c>
      <c r="AE203">
        <v>0</v>
      </c>
      <c r="AF203" t="s">
        <v>227</v>
      </c>
      <c r="AG203">
        <v>0</v>
      </c>
      <c r="AH203">
        <v>2</v>
      </c>
      <c r="AI203">
        <v>16802958</v>
      </c>
      <c r="AJ203">
        <v>204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ROW(Source!A169)</f>
        <v>169</v>
      </c>
      <c r="B204">
        <v>16802974</v>
      </c>
      <c r="C204">
        <v>16802945</v>
      </c>
      <c r="D204">
        <v>15217463</v>
      </c>
      <c r="E204">
        <v>1</v>
      </c>
      <c r="F204">
        <v>1</v>
      </c>
      <c r="G204">
        <v>1</v>
      </c>
      <c r="H204">
        <v>3</v>
      </c>
      <c r="I204" t="s">
        <v>859</v>
      </c>
      <c r="J204" t="s">
        <v>860</v>
      </c>
      <c r="K204" t="s">
        <v>861</v>
      </c>
      <c r="L204">
        <v>1358</v>
      </c>
      <c r="N204">
        <v>1010</v>
      </c>
      <c r="O204" t="s">
        <v>435</v>
      </c>
      <c r="P204" t="s">
        <v>435</v>
      </c>
      <c r="Q204">
        <v>10</v>
      </c>
      <c r="X204">
        <v>0.1</v>
      </c>
      <c r="Y204">
        <v>39</v>
      </c>
      <c r="Z204">
        <v>0</v>
      </c>
      <c r="AA204">
        <v>0</v>
      </c>
      <c r="AB204">
        <v>0</v>
      </c>
      <c r="AC204">
        <v>0</v>
      </c>
      <c r="AD204">
        <v>1</v>
      </c>
      <c r="AE204">
        <v>0</v>
      </c>
      <c r="AF204" t="s">
        <v>227</v>
      </c>
      <c r="AG204">
        <v>0</v>
      </c>
      <c r="AH204">
        <v>2</v>
      </c>
      <c r="AI204">
        <v>16802959</v>
      </c>
      <c r="AJ204">
        <v>205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ROW(Source!A169)</f>
        <v>169</v>
      </c>
      <c r="B205">
        <v>16802975</v>
      </c>
      <c r="C205">
        <v>16802945</v>
      </c>
      <c r="D205">
        <v>15164559</v>
      </c>
      <c r="E205">
        <v>17</v>
      </c>
      <c r="F205">
        <v>1</v>
      </c>
      <c r="G205">
        <v>1</v>
      </c>
      <c r="H205">
        <v>3</v>
      </c>
      <c r="I205" t="s">
        <v>821</v>
      </c>
      <c r="J205" t="s">
        <v>6</v>
      </c>
      <c r="K205" t="s">
        <v>822</v>
      </c>
      <c r="L205">
        <v>1374</v>
      </c>
      <c r="N205">
        <v>1013</v>
      </c>
      <c r="O205" t="s">
        <v>823</v>
      </c>
      <c r="P205" t="s">
        <v>823</v>
      </c>
      <c r="Q205">
        <v>1</v>
      </c>
      <c r="X205">
        <v>0.43</v>
      </c>
      <c r="Y205">
        <v>1</v>
      </c>
      <c r="Z205">
        <v>0</v>
      </c>
      <c r="AA205">
        <v>0</v>
      </c>
      <c r="AB205">
        <v>0</v>
      </c>
      <c r="AC205">
        <v>0</v>
      </c>
      <c r="AD205">
        <v>1</v>
      </c>
      <c r="AE205">
        <v>0</v>
      </c>
      <c r="AF205" t="s">
        <v>227</v>
      </c>
      <c r="AG205">
        <v>0</v>
      </c>
      <c r="AH205">
        <v>2</v>
      </c>
      <c r="AI205">
        <v>16802960</v>
      </c>
      <c r="AJ205">
        <v>206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ROW(Source!A170)</f>
        <v>170</v>
      </c>
      <c r="B206">
        <v>16802993</v>
      </c>
      <c r="C206">
        <v>16802977</v>
      </c>
      <c r="D206">
        <v>15435763</v>
      </c>
      <c r="E206">
        <v>1</v>
      </c>
      <c r="F206">
        <v>1</v>
      </c>
      <c r="G206">
        <v>1</v>
      </c>
      <c r="H206">
        <v>1</v>
      </c>
      <c r="I206" t="s">
        <v>824</v>
      </c>
      <c r="J206" t="s">
        <v>6</v>
      </c>
      <c r="K206" t="s">
        <v>825</v>
      </c>
      <c r="L206">
        <v>1191</v>
      </c>
      <c r="N206">
        <v>1013</v>
      </c>
      <c r="O206" t="s">
        <v>660</v>
      </c>
      <c r="P206" t="s">
        <v>660</v>
      </c>
      <c r="Q206">
        <v>1</v>
      </c>
      <c r="X206">
        <v>2.09</v>
      </c>
      <c r="Y206">
        <v>0</v>
      </c>
      <c r="Z206">
        <v>0</v>
      </c>
      <c r="AA206">
        <v>0</v>
      </c>
      <c r="AB206">
        <v>10.35</v>
      </c>
      <c r="AC206">
        <v>0</v>
      </c>
      <c r="AD206">
        <v>1</v>
      </c>
      <c r="AE206">
        <v>1</v>
      </c>
      <c r="AF206" t="s">
        <v>6</v>
      </c>
      <c r="AG206">
        <v>2.09</v>
      </c>
      <c r="AH206">
        <v>2</v>
      </c>
      <c r="AI206">
        <v>16802978</v>
      </c>
      <c r="AJ206">
        <v>207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ROW(Source!A170)</f>
        <v>170</v>
      </c>
      <c r="B207">
        <v>16802994</v>
      </c>
      <c r="C207">
        <v>16802977</v>
      </c>
      <c r="D207">
        <v>15249377</v>
      </c>
      <c r="E207">
        <v>1</v>
      </c>
      <c r="F207">
        <v>1</v>
      </c>
      <c r="G207">
        <v>1</v>
      </c>
      <c r="H207">
        <v>2</v>
      </c>
      <c r="I207" t="s">
        <v>804</v>
      </c>
      <c r="J207" t="s">
        <v>805</v>
      </c>
      <c r="K207" t="s">
        <v>806</v>
      </c>
      <c r="L207">
        <v>1368</v>
      </c>
      <c r="N207">
        <v>1011</v>
      </c>
      <c r="O207" t="s">
        <v>666</v>
      </c>
      <c r="P207" t="s">
        <v>666</v>
      </c>
      <c r="Q207">
        <v>1</v>
      </c>
      <c r="X207">
        <v>0.06</v>
      </c>
      <c r="Y207">
        <v>0</v>
      </c>
      <c r="Z207">
        <v>8.1</v>
      </c>
      <c r="AA207">
        <v>0</v>
      </c>
      <c r="AB207">
        <v>0</v>
      </c>
      <c r="AC207">
        <v>0</v>
      </c>
      <c r="AD207">
        <v>1</v>
      </c>
      <c r="AE207">
        <v>0</v>
      </c>
      <c r="AF207" t="s">
        <v>6</v>
      </c>
      <c r="AG207">
        <v>0.06</v>
      </c>
      <c r="AH207">
        <v>2</v>
      </c>
      <c r="AI207">
        <v>16802979</v>
      </c>
      <c r="AJ207">
        <v>208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ROW(Source!A170)</f>
        <v>170</v>
      </c>
      <c r="B208">
        <v>16802995</v>
      </c>
      <c r="C208">
        <v>16802977</v>
      </c>
      <c r="D208">
        <v>15250043</v>
      </c>
      <c r="E208">
        <v>1</v>
      </c>
      <c r="F208">
        <v>1</v>
      </c>
      <c r="G208">
        <v>1</v>
      </c>
      <c r="H208">
        <v>2</v>
      </c>
      <c r="I208" t="s">
        <v>826</v>
      </c>
      <c r="J208" t="s">
        <v>827</v>
      </c>
      <c r="K208" t="s">
        <v>828</v>
      </c>
      <c r="L208">
        <v>1368</v>
      </c>
      <c r="N208">
        <v>1011</v>
      </c>
      <c r="O208" t="s">
        <v>666</v>
      </c>
      <c r="P208" t="s">
        <v>666</v>
      </c>
      <c r="Q208">
        <v>1</v>
      </c>
      <c r="X208">
        <v>0.09</v>
      </c>
      <c r="Y208">
        <v>0</v>
      </c>
      <c r="Z208">
        <v>1.1100000000000001</v>
      </c>
      <c r="AA208">
        <v>0</v>
      </c>
      <c r="AB208">
        <v>0</v>
      </c>
      <c r="AC208">
        <v>0</v>
      </c>
      <c r="AD208">
        <v>1</v>
      </c>
      <c r="AE208">
        <v>0</v>
      </c>
      <c r="AF208" t="s">
        <v>6</v>
      </c>
      <c r="AG208">
        <v>0.09</v>
      </c>
      <c r="AH208">
        <v>2</v>
      </c>
      <c r="AI208">
        <v>16802980</v>
      </c>
      <c r="AJ208">
        <v>209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ROW(Source!A170)</f>
        <v>170</v>
      </c>
      <c r="B209">
        <v>16802996</v>
      </c>
      <c r="C209">
        <v>16802977</v>
      </c>
      <c r="D209">
        <v>15165537</v>
      </c>
      <c r="E209">
        <v>1</v>
      </c>
      <c r="F209">
        <v>1</v>
      </c>
      <c r="G209">
        <v>1</v>
      </c>
      <c r="H209">
        <v>3</v>
      </c>
      <c r="I209" t="s">
        <v>829</v>
      </c>
      <c r="J209" t="s">
        <v>830</v>
      </c>
      <c r="K209" t="s">
        <v>831</v>
      </c>
      <c r="L209">
        <v>1346</v>
      </c>
      <c r="N209">
        <v>1009</v>
      </c>
      <c r="O209" t="s">
        <v>103</v>
      </c>
      <c r="P209" t="s">
        <v>103</v>
      </c>
      <c r="Q209">
        <v>1</v>
      </c>
      <c r="X209">
        <v>6.0000000000000001E-3</v>
      </c>
      <c r="Y209">
        <v>44.97</v>
      </c>
      <c r="Z209">
        <v>0</v>
      </c>
      <c r="AA209">
        <v>0</v>
      </c>
      <c r="AB209">
        <v>0</v>
      </c>
      <c r="AC209">
        <v>0</v>
      </c>
      <c r="AD209">
        <v>1</v>
      </c>
      <c r="AE209">
        <v>0</v>
      </c>
      <c r="AF209" t="s">
        <v>6</v>
      </c>
      <c r="AG209">
        <v>6.0000000000000001E-3</v>
      </c>
      <c r="AH209">
        <v>2</v>
      </c>
      <c r="AI209">
        <v>16802981</v>
      </c>
      <c r="AJ209">
        <v>210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ROW(Source!A170)</f>
        <v>170</v>
      </c>
      <c r="B210">
        <v>16802997</v>
      </c>
      <c r="C210">
        <v>16802977</v>
      </c>
      <c r="D210">
        <v>15167269</v>
      </c>
      <c r="E210">
        <v>1</v>
      </c>
      <c r="F210">
        <v>1</v>
      </c>
      <c r="G210">
        <v>1</v>
      </c>
      <c r="H210">
        <v>3</v>
      </c>
      <c r="I210" t="s">
        <v>832</v>
      </c>
      <c r="J210" t="s">
        <v>833</v>
      </c>
      <c r="K210" t="s">
        <v>834</v>
      </c>
      <c r="L210">
        <v>1346</v>
      </c>
      <c r="N210">
        <v>1009</v>
      </c>
      <c r="O210" t="s">
        <v>103</v>
      </c>
      <c r="P210" t="s">
        <v>103</v>
      </c>
      <c r="Q210">
        <v>1</v>
      </c>
      <c r="X210">
        <v>2E-3</v>
      </c>
      <c r="Y210">
        <v>11.5</v>
      </c>
      <c r="Z210">
        <v>0</v>
      </c>
      <c r="AA210">
        <v>0</v>
      </c>
      <c r="AB210">
        <v>0</v>
      </c>
      <c r="AC210">
        <v>0</v>
      </c>
      <c r="AD210">
        <v>1</v>
      </c>
      <c r="AE210">
        <v>0</v>
      </c>
      <c r="AF210" t="s">
        <v>6</v>
      </c>
      <c r="AG210">
        <v>2E-3</v>
      </c>
      <c r="AH210">
        <v>2</v>
      </c>
      <c r="AI210">
        <v>16802982</v>
      </c>
      <c r="AJ210">
        <v>211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ROW(Source!A170)</f>
        <v>170</v>
      </c>
      <c r="B211">
        <v>16802998</v>
      </c>
      <c r="C211">
        <v>16802977</v>
      </c>
      <c r="D211">
        <v>15167588</v>
      </c>
      <c r="E211">
        <v>1</v>
      </c>
      <c r="F211">
        <v>1</v>
      </c>
      <c r="G211">
        <v>1</v>
      </c>
      <c r="H211">
        <v>3</v>
      </c>
      <c r="I211" t="s">
        <v>835</v>
      </c>
      <c r="J211" t="s">
        <v>836</v>
      </c>
      <c r="K211" t="s">
        <v>837</v>
      </c>
      <c r="L211">
        <v>1346</v>
      </c>
      <c r="N211">
        <v>1009</v>
      </c>
      <c r="O211" t="s">
        <v>103</v>
      </c>
      <c r="P211" t="s">
        <v>103</v>
      </c>
      <c r="Q211">
        <v>1</v>
      </c>
      <c r="X211">
        <v>2.4E-2</v>
      </c>
      <c r="Y211">
        <v>30.4</v>
      </c>
      <c r="Z211">
        <v>0</v>
      </c>
      <c r="AA211">
        <v>0</v>
      </c>
      <c r="AB211">
        <v>0</v>
      </c>
      <c r="AC211">
        <v>0</v>
      </c>
      <c r="AD211">
        <v>1</v>
      </c>
      <c r="AE211">
        <v>0</v>
      </c>
      <c r="AF211" t="s">
        <v>6</v>
      </c>
      <c r="AG211">
        <v>2.4E-2</v>
      </c>
      <c r="AH211">
        <v>2</v>
      </c>
      <c r="AI211">
        <v>16802983</v>
      </c>
      <c r="AJ211">
        <v>212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ROW(Source!A170)</f>
        <v>170</v>
      </c>
      <c r="B212">
        <v>16802999</v>
      </c>
      <c r="C212">
        <v>16802977</v>
      </c>
      <c r="D212">
        <v>15168752</v>
      </c>
      <c r="E212">
        <v>1</v>
      </c>
      <c r="F212">
        <v>1</v>
      </c>
      <c r="G212">
        <v>1</v>
      </c>
      <c r="H212">
        <v>3</v>
      </c>
      <c r="I212" t="s">
        <v>838</v>
      </c>
      <c r="J212" t="s">
        <v>839</v>
      </c>
      <c r="K212" t="s">
        <v>840</v>
      </c>
      <c r="L212">
        <v>1346</v>
      </c>
      <c r="N212">
        <v>1009</v>
      </c>
      <c r="O212" t="s">
        <v>103</v>
      </c>
      <c r="P212" t="s">
        <v>103</v>
      </c>
      <c r="Q212">
        <v>1</v>
      </c>
      <c r="X212">
        <v>7.0000000000000007E-2</v>
      </c>
      <c r="Y212">
        <v>10.57</v>
      </c>
      <c r="Z212">
        <v>0</v>
      </c>
      <c r="AA212">
        <v>0</v>
      </c>
      <c r="AB212">
        <v>0</v>
      </c>
      <c r="AC212">
        <v>0</v>
      </c>
      <c r="AD212">
        <v>1</v>
      </c>
      <c r="AE212">
        <v>0</v>
      </c>
      <c r="AF212" t="s">
        <v>6</v>
      </c>
      <c r="AG212">
        <v>7.0000000000000007E-2</v>
      </c>
      <c r="AH212">
        <v>2</v>
      </c>
      <c r="AI212">
        <v>16802984</v>
      </c>
      <c r="AJ212">
        <v>213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ROW(Source!A170)</f>
        <v>170</v>
      </c>
      <c r="B213">
        <v>16803000</v>
      </c>
      <c r="C213">
        <v>16802977</v>
      </c>
      <c r="D213">
        <v>15169942</v>
      </c>
      <c r="E213">
        <v>1</v>
      </c>
      <c r="F213">
        <v>1</v>
      </c>
      <c r="G213">
        <v>1</v>
      </c>
      <c r="H213">
        <v>3</v>
      </c>
      <c r="I213" t="s">
        <v>841</v>
      </c>
      <c r="J213" t="s">
        <v>842</v>
      </c>
      <c r="K213" t="s">
        <v>843</v>
      </c>
      <c r="L213">
        <v>1346</v>
      </c>
      <c r="N213">
        <v>1009</v>
      </c>
      <c r="O213" t="s">
        <v>103</v>
      </c>
      <c r="P213" t="s">
        <v>103</v>
      </c>
      <c r="Q213">
        <v>1</v>
      </c>
      <c r="X213">
        <v>0.14000000000000001</v>
      </c>
      <c r="Y213">
        <v>9.0399999999999991</v>
      </c>
      <c r="Z213">
        <v>0</v>
      </c>
      <c r="AA213">
        <v>0</v>
      </c>
      <c r="AB213">
        <v>0</v>
      </c>
      <c r="AC213">
        <v>0</v>
      </c>
      <c r="AD213">
        <v>1</v>
      </c>
      <c r="AE213">
        <v>0</v>
      </c>
      <c r="AF213" t="s">
        <v>6</v>
      </c>
      <c r="AG213">
        <v>0.14000000000000001</v>
      </c>
      <c r="AH213">
        <v>2</v>
      </c>
      <c r="AI213">
        <v>16802985</v>
      </c>
      <c r="AJ213">
        <v>214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ROW(Source!A170)</f>
        <v>170</v>
      </c>
      <c r="B214">
        <v>16803001</v>
      </c>
      <c r="C214">
        <v>16802977</v>
      </c>
      <c r="D214">
        <v>15170074</v>
      </c>
      <c r="E214">
        <v>1</v>
      </c>
      <c r="F214">
        <v>1</v>
      </c>
      <c r="G214">
        <v>1</v>
      </c>
      <c r="H214">
        <v>3</v>
      </c>
      <c r="I214" t="s">
        <v>844</v>
      </c>
      <c r="J214" t="s">
        <v>845</v>
      </c>
      <c r="K214" t="s">
        <v>846</v>
      </c>
      <c r="L214">
        <v>1355</v>
      </c>
      <c r="N214">
        <v>1010</v>
      </c>
      <c r="O214" t="s">
        <v>126</v>
      </c>
      <c r="P214" t="s">
        <v>126</v>
      </c>
      <c r="Q214">
        <v>100</v>
      </c>
      <c r="X214">
        <v>7.0000000000000001E-3</v>
      </c>
      <c r="Y214">
        <v>86</v>
      </c>
      <c r="Z214">
        <v>0</v>
      </c>
      <c r="AA214">
        <v>0</v>
      </c>
      <c r="AB214">
        <v>0</v>
      </c>
      <c r="AC214">
        <v>0</v>
      </c>
      <c r="AD214">
        <v>1</v>
      </c>
      <c r="AE214">
        <v>0</v>
      </c>
      <c r="AF214" t="s">
        <v>6</v>
      </c>
      <c r="AG214">
        <v>7.0000000000000001E-3</v>
      </c>
      <c r="AH214">
        <v>2</v>
      </c>
      <c r="AI214">
        <v>16802986</v>
      </c>
      <c r="AJ214">
        <v>215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ROW(Source!A170)</f>
        <v>170</v>
      </c>
      <c r="B215">
        <v>16803002</v>
      </c>
      <c r="C215">
        <v>16802977</v>
      </c>
      <c r="D215">
        <v>15170994</v>
      </c>
      <c r="E215">
        <v>1</v>
      </c>
      <c r="F215">
        <v>1</v>
      </c>
      <c r="G215">
        <v>1</v>
      </c>
      <c r="H215">
        <v>3</v>
      </c>
      <c r="I215" t="s">
        <v>847</v>
      </c>
      <c r="J215" t="s">
        <v>848</v>
      </c>
      <c r="K215" t="s">
        <v>849</v>
      </c>
      <c r="L215">
        <v>1346</v>
      </c>
      <c r="N215">
        <v>1009</v>
      </c>
      <c r="O215" t="s">
        <v>103</v>
      </c>
      <c r="P215" t="s">
        <v>103</v>
      </c>
      <c r="Q215">
        <v>1</v>
      </c>
      <c r="X215">
        <v>2E-3</v>
      </c>
      <c r="Y215">
        <v>133.05000000000001</v>
      </c>
      <c r="Z215">
        <v>0</v>
      </c>
      <c r="AA215">
        <v>0</v>
      </c>
      <c r="AB215">
        <v>0</v>
      </c>
      <c r="AC215">
        <v>0</v>
      </c>
      <c r="AD215">
        <v>1</v>
      </c>
      <c r="AE215">
        <v>0</v>
      </c>
      <c r="AF215" t="s">
        <v>6</v>
      </c>
      <c r="AG215">
        <v>2E-3</v>
      </c>
      <c r="AH215">
        <v>2</v>
      </c>
      <c r="AI215">
        <v>16802987</v>
      </c>
      <c r="AJ215">
        <v>216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ROW(Source!A170)</f>
        <v>170</v>
      </c>
      <c r="B216">
        <v>16803003</v>
      </c>
      <c r="C216">
        <v>16802977</v>
      </c>
      <c r="D216">
        <v>15188647</v>
      </c>
      <c r="E216">
        <v>1</v>
      </c>
      <c r="F216">
        <v>1</v>
      </c>
      <c r="G216">
        <v>1</v>
      </c>
      <c r="H216">
        <v>3</v>
      </c>
      <c r="I216" t="s">
        <v>850</v>
      </c>
      <c r="J216" t="s">
        <v>851</v>
      </c>
      <c r="K216" t="s">
        <v>852</v>
      </c>
      <c r="L216">
        <v>1348</v>
      </c>
      <c r="N216">
        <v>1009</v>
      </c>
      <c r="O216" t="s">
        <v>65</v>
      </c>
      <c r="P216" t="s">
        <v>65</v>
      </c>
      <c r="Q216">
        <v>1000</v>
      </c>
      <c r="X216">
        <v>3.0000000000000001E-3</v>
      </c>
      <c r="Y216">
        <v>11500</v>
      </c>
      <c r="Z216">
        <v>0</v>
      </c>
      <c r="AA216">
        <v>0</v>
      </c>
      <c r="AB216">
        <v>0</v>
      </c>
      <c r="AC216">
        <v>0</v>
      </c>
      <c r="AD216">
        <v>1</v>
      </c>
      <c r="AE216">
        <v>0</v>
      </c>
      <c r="AF216" t="s">
        <v>6</v>
      </c>
      <c r="AG216">
        <v>3.0000000000000001E-3</v>
      </c>
      <c r="AH216">
        <v>2</v>
      </c>
      <c r="AI216">
        <v>16802988</v>
      </c>
      <c r="AJ216">
        <v>217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ROW(Source!A170)</f>
        <v>170</v>
      </c>
      <c r="B217">
        <v>16803004</v>
      </c>
      <c r="C217">
        <v>16802977</v>
      </c>
      <c r="D217">
        <v>15203834</v>
      </c>
      <c r="E217">
        <v>1</v>
      </c>
      <c r="F217">
        <v>1</v>
      </c>
      <c r="G217">
        <v>1</v>
      </c>
      <c r="H217">
        <v>3</v>
      </c>
      <c r="I217" t="s">
        <v>853</v>
      </c>
      <c r="J217" t="s">
        <v>854</v>
      </c>
      <c r="K217" t="s">
        <v>855</v>
      </c>
      <c r="L217">
        <v>1346</v>
      </c>
      <c r="N217">
        <v>1009</v>
      </c>
      <c r="O217" t="s">
        <v>103</v>
      </c>
      <c r="P217" t="s">
        <v>103</v>
      </c>
      <c r="Q217">
        <v>1</v>
      </c>
      <c r="X217">
        <v>1.7999999999999999E-2</v>
      </c>
      <c r="Y217">
        <v>28.6</v>
      </c>
      <c r="Z217">
        <v>0</v>
      </c>
      <c r="AA217">
        <v>0</v>
      </c>
      <c r="AB217">
        <v>0</v>
      </c>
      <c r="AC217">
        <v>0</v>
      </c>
      <c r="AD217">
        <v>1</v>
      </c>
      <c r="AE217">
        <v>0</v>
      </c>
      <c r="AF217" t="s">
        <v>6</v>
      </c>
      <c r="AG217">
        <v>1.7999999999999999E-2</v>
      </c>
      <c r="AH217">
        <v>2</v>
      </c>
      <c r="AI217">
        <v>16802989</v>
      </c>
      <c r="AJ217">
        <v>218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ROW(Source!A170)</f>
        <v>170</v>
      </c>
      <c r="B218">
        <v>16803005</v>
      </c>
      <c r="C218">
        <v>16802977</v>
      </c>
      <c r="D218">
        <v>15203987</v>
      </c>
      <c r="E218">
        <v>1</v>
      </c>
      <c r="F218">
        <v>1</v>
      </c>
      <c r="G218">
        <v>1</v>
      </c>
      <c r="H218">
        <v>3</v>
      </c>
      <c r="I218" t="s">
        <v>856</v>
      </c>
      <c r="J218" t="s">
        <v>857</v>
      </c>
      <c r="K218" t="s">
        <v>858</v>
      </c>
      <c r="L218">
        <v>1346</v>
      </c>
      <c r="N218">
        <v>1009</v>
      </c>
      <c r="O218" t="s">
        <v>103</v>
      </c>
      <c r="P218" t="s">
        <v>103</v>
      </c>
      <c r="Q218">
        <v>1</v>
      </c>
      <c r="X218">
        <v>8.9999999999999993E-3</v>
      </c>
      <c r="Y218">
        <v>35.630000000000003</v>
      </c>
      <c r="Z218">
        <v>0</v>
      </c>
      <c r="AA218">
        <v>0</v>
      </c>
      <c r="AB218">
        <v>0</v>
      </c>
      <c r="AC218">
        <v>0</v>
      </c>
      <c r="AD218">
        <v>1</v>
      </c>
      <c r="AE218">
        <v>0</v>
      </c>
      <c r="AF218" t="s">
        <v>6</v>
      </c>
      <c r="AG218">
        <v>8.9999999999999993E-3</v>
      </c>
      <c r="AH218">
        <v>2</v>
      </c>
      <c r="AI218">
        <v>16802990</v>
      </c>
      <c r="AJ218">
        <v>219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ROW(Source!A170)</f>
        <v>170</v>
      </c>
      <c r="B219">
        <v>16803006</v>
      </c>
      <c r="C219">
        <v>16802977</v>
      </c>
      <c r="D219">
        <v>15217463</v>
      </c>
      <c r="E219">
        <v>1</v>
      </c>
      <c r="F219">
        <v>1</v>
      </c>
      <c r="G219">
        <v>1</v>
      </c>
      <c r="H219">
        <v>3</v>
      </c>
      <c r="I219" t="s">
        <v>859</v>
      </c>
      <c r="J219" t="s">
        <v>860</v>
      </c>
      <c r="K219" t="s">
        <v>861</v>
      </c>
      <c r="L219">
        <v>1358</v>
      </c>
      <c r="N219">
        <v>1010</v>
      </c>
      <c r="O219" t="s">
        <v>435</v>
      </c>
      <c r="P219" t="s">
        <v>435</v>
      </c>
      <c r="Q219">
        <v>10</v>
      </c>
      <c r="X219">
        <v>0.1</v>
      </c>
      <c r="Y219">
        <v>39</v>
      </c>
      <c r="Z219">
        <v>0</v>
      </c>
      <c r="AA219">
        <v>0</v>
      </c>
      <c r="AB219">
        <v>0</v>
      </c>
      <c r="AC219">
        <v>0</v>
      </c>
      <c r="AD219">
        <v>1</v>
      </c>
      <c r="AE219">
        <v>0</v>
      </c>
      <c r="AF219" t="s">
        <v>6</v>
      </c>
      <c r="AG219">
        <v>0.1</v>
      </c>
      <c r="AH219">
        <v>2</v>
      </c>
      <c r="AI219">
        <v>16802991</v>
      </c>
      <c r="AJ219">
        <v>220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ROW(Source!A170)</f>
        <v>170</v>
      </c>
      <c r="B220">
        <v>16803007</v>
      </c>
      <c r="C220">
        <v>16802977</v>
      </c>
      <c r="D220">
        <v>15164559</v>
      </c>
      <c r="E220">
        <v>17</v>
      </c>
      <c r="F220">
        <v>1</v>
      </c>
      <c r="G220">
        <v>1</v>
      </c>
      <c r="H220">
        <v>3</v>
      </c>
      <c r="I220" t="s">
        <v>821</v>
      </c>
      <c r="J220" t="s">
        <v>6</v>
      </c>
      <c r="K220" t="s">
        <v>822</v>
      </c>
      <c r="L220">
        <v>1374</v>
      </c>
      <c r="N220">
        <v>1013</v>
      </c>
      <c r="O220" t="s">
        <v>823</v>
      </c>
      <c r="P220" t="s">
        <v>823</v>
      </c>
      <c r="Q220">
        <v>1</v>
      </c>
      <c r="X220">
        <v>0.43</v>
      </c>
      <c r="Y220">
        <v>1</v>
      </c>
      <c r="Z220">
        <v>0</v>
      </c>
      <c r="AA220">
        <v>0</v>
      </c>
      <c r="AB220">
        <v>0</v>
      </c>
      <c r="AC220">
        <v>0</v>
      </c>
      <c r="AD220">
        <v>1</v>
      </c>
      <c r="AE220">
        <v>0</v>
      </c>
      <c r="AF220" t="s">
        <v>6</v>
      </c>
      <c r="AG220">
        <v>0.43</v>
      </c>
      <c r="AH220">
        <v>2</v>
      </c>
      <c r="AI220">
        <v>16802992</v>
      </c>
      <c r="AJ220">
        <v>221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ROW(Source!A172)</f>
        <v>172</v>
      </c>
      <c r="B221">
        <v>16803011</v>
      </c>
      <c r="C221">
        <v>16803009</v>
      </c>
      <c r="D221">
        <v>15430517</v>
      </c>
      <c r="E221">
        <v>1</v>
      </c>
      <c r="F221">
        <v>1</v>
      </c>
      <c r="G221">
        <v>1</v>
      </c>
      <c r="H221">
        <v>1</v>
      </c>
      <c r="I221" t="s">
        <v>658</v>
      </c>
      <c r="J221" t="s">
        <v>6</v>
      </c>
      <c r="K221" t="s">
        <v>659</v>
      </c>
      <c r="L221">
        <v>1191</v>
      </c>
      <c r="N221">
        <v>1013</v>
      </c>
      <c r="O221" t="s">
        <v>660</v>
      </c>
      <c r="P221" t="s">
        <v>660</v>
      </c>
      <c r="Q221">
        <v>1</v>
      </c>
      <c r="X221">
        <v>85.5</v>
      </c>
      <c r="Y221">
        <v>0</v>
      </c>
      <c r="Z221">
        <v>0</v>
      </c>
      <c r="AA221">
        <v>0</v>
      </c>
      <c r="AB221">
        <v>7.8</v>
      </c>
      <c r="AC221">
        <v>0</v>
      </c>
      <c r="AD221">
        <v>1</v>
      </c>
      <c r="AE221">
        <v>1</v>
      </c>
      <c r="AF221" t="s">
        <v>6</v>
      </c>
      <c r="AG221">
        <v>85.5</v>
      </c>
      <c r="AH221">
        <v>2</v>
      </c>
      <c r="AI221">
        <v>16803010</v>
      </c>
      <c r="AJ221">
        <v>222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ROW(Source!A172)</f>
        <v>172</v>
      </c>
      <c r="B222">
        <v>16803012</v>
      </c>
      <c r="C222">
        <v>16803009</v>
      </c>
      <c r="D222">
        <v>15164566</v>
      </c>
      <c r="E222">
        <v>17</v>
      </c>
      <c r="F222">
        <v>1</v>
      </c>
      <c r="G222">
        <v>1</v>
      </c>
      <c r="H222">
        <v>3</v>
      </c>
      <c r="I222" t="s">
        <v>939</v>
      </c>
      <c r="J222" t="s">
        <v>6</v>
      </c>
      <c r="K222" t="s">
        <v>940</v>
      </c>
      <c r="L222">
        <v>1348</v>
      </c>
      <c r="N222">
        <v>1009</v>
      </c>
      <c r="O222" t="s">
        <v>65</v>
      </c>
      <c r="P222" t="s">
        <v>65</v>
      </c>
      <c r="Q222">
        <v>1000</v>
      </c>
      <c r="X222">
        <v>0.11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 t="s">
        <v>6</v>
      </c>
      <c r="AG222">
        <v>0.11</v>
      </c>
      <c r="AH222">
        <v>3</v>
      </c>
      <c r="AI222">
        <v>-1</v>
      </c>
      <c r="AJ222" t="s">
        <v>6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ROW(Source!A173)</f>
        <v>173</v>
      </c>
      <c r="B223">
        <v>16803026</v>
      </c>
      <c r="C223">
        <v>16803014</v>
      </c>
      <c r="D223">
        <v>15430397</v>
      </c>
      <c r="E223">
        <v>1</v>
      </c>
      <c r="F223">
        <v>1</v>
      </c>
      <c r="G223">
        <v>1</v>
      </c>
      <c r="H223">
        <v>1</v>
      </c>
      <c r="I223" t="s">
        <v>718</v>
      </c>
      <c r="J223" t="s">
        <v>6</v>
      </c>
      <c r="K223" t="s">
        <v>719</v>
      </c>
      <c r="L223">
        <v>1191</v>
      </c>
      <c r="N223">
        <v>1013</v>
      </c>
      <c r="O223" t="s">
        <v>660</v>
      </c>
      <c r="P223" t="s">
        <v>660</v>
      </c>
      <c r="Q223">
        <v>1</v>
      </c>
      <c r="X223">
        <v>15.28</v>
      </c>
      <c r="Y223">
        <v>0</v>
      </c>
      <c r="Z223">
        <v>0</v>
      </c>
      <c r="AA223">
        <v>0</v>
      </c>
      <c r="AB223">
        <v>9.4</v>
      </c>
      <c r="AC223">
        <v>0</v>
      </c>
      <c r="AD223">
        <v>1</v>
      </c>
      <c r="AE223">
        <v>1</v>
      </c>
      <c r="AF223" t="s">
        <v>6</v>
      </c>
      <c r="AG223">
        <v>15.28</v>
      </c>
      <c r="AH223">
        <v>2</v>
      </c>
      <c r="AI223">
        <v>16803015</v>
      </c>
      <c r="AJ223">
        <v>223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ROW(Source!A173)</f>
        <v>173</v>
      </c>
      <c r="B224">
        <v>16803027</v>
      </c>
      <c r="C224">
        <v>16803014</v>
      </c>
      <c r="D224">
        <v>15430395</v>
      </c>
      <c r="E224">
        <v>1</v>
      </c>
      <c r="F224">
        <v>1</v>
      </c>
      <c r="G224">
        <v>1</v>
      </c>
      <c r="H224">
        <v>1</v>
      </c>
      <c r="I224" t="s">
        <v>661</v>
      </c>
      <c r="J224" t="s">
        <v>6</v>
      </c>
      <c r="K224" t="s">
        <v>662</v>
      </c>
      <c r="L224">
        <v>1191</v>
      </c>
      <c r="N224">
        <v>1013</v>
      </c>
      <c r="O224" t="s">
        <v>660</v>
      </c>
      <c r="P224" t="s">
        <v>660</v>
      </c>
      <c r="Q224">
        <v>1</v>
      </c>
      <c r="X224">
        <v>0.22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1</v>
      </c>
      <c r="AE224">
        <v>2</v>
      </c>
      <c r="AF224" t="s">
        <v>6</v>
      </c>
      <c r="AG224">
        <v>0.22</v>
      </c>
      <c r="AH224">
        <v>2</v>
      </c>
      <c r="AI224">
        <v>16803016</v>
      </c>
      <c r="AJ224">
        <v>224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ROW(Source!A173)</f>
        <v>173</v>
      </c>
      <c r="B225">
        <v>16803028</v>
      </c>
      <c r="C225">
        <v>16803014</v>
      </c>
      <c r="D225">
        <v>15247680</v>
      </c>
      <c r="E225">
        <v>1</v>
      </c>
      <c r="F225">
        <v>1</v>
      </c>
      <c r="G225">
        <v>1</v>
      </c>
      <c r="H225">
        <v>2</v>
      </c>
      <c r="I225" t="s">
        <v>786</v>
      </c>
      <c r="J225" t="s">
        <v>787</v>
      </c>
      <c r="K225" t="s">
        <v>788</v>
      </c>
      <c r="L225">
        <v>1368</v>
      </c>
      <c r="N225">
        <v>1011</v>
      </c>
      <c r="O225" t="s">
        <v>666</v>
      </c>
      <c r="P225" t="s">
        <v>666</v>
      </c>
      <c r="Q225">
        <v>1</v>
      </c>
      <c r="X225">
        <v>0.11</v>
      </c>
      <c r="Y225">
        <v>0</v>
      </c>
      <c r="Z225">
        <v>111.99</v>
      </c>
      <c r="AA225">
        <v>13.5</v>
      </c>
      <c r="AB225">
        <v>0</v>
      </c>
      <c r="AC225">
        <v>0</v>
      </c>
      <c r="AD225">
        <v>1</v>
      </c>
      <c r="AE225">
        <v>0</v>
      </c>
      <c r="AF225" t="s">
        <v>6</v>
      </c>
      <c r="AG225">
        <v>0.11</v>
      </c>
      <c r="AH225">
        <v>2</v>
      </c>
      <c r="AI225">
        <v>16803017</v>
      </c>
      <c r="AJ225">
        <v>225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ROW(Source!A173)</f>
        <v>173</v>
      </c>
      <c r="B226">
        <v>16803029</v>
      </c>
      <c r="C226">
        <v>16803014</v>
      </c>
      <c r="D226">
        <v>15249073</v>
      </c>
      <c r="E226">
        <v>1</v>
      </c>
      <c r="F226">
        <v>1</v>
      </c>
      <c r="G226">
        <v>1</v>
      </c>
      <c r="H226">
        <v>2</v>
      </c>
      <c r="I226" t="s">
        <v>684</v>
      </c>
      <c r="J226" t="s">
        <v>685</v>
      </c>
      <c r="K226" t="s">
        <v>686</v>
      </c>
      <c r="L226">
        <v>1368</v>
      </c>
      <c r="N226">
        <v>1011</v>
      </c>
      <c r="O226" t="s">
        <v>666</v>
      </c>
      <c r="P226" t="s">
        <v>666</v>
      </c>
      <c r="Q226">
        <v>1</v>
      </c>
      <c r="X226">
        <v>0.11</v>
      </c>
      <c r="Y226">
        <v>0</v>
      </c>
      <c r="Z226">
        <v>65.709999999999994</v>
      </c>
      <c r="AA226">
        <v>11.6</v>
      </c>
      <c r="AB226">
        <v>0</v>
      </c>
      <c r="AC226">
        <v>0</v>
      </c>
      <c r="AD226">
        <v>1</v>
      </c>
      <c r="AE226">
        <v>0</v>
      </c>
      <c r="AF226" t="s">
        <v>6</v>
      </c>
      <c r="AG226">
        <v>0.11</v>
      </c>
      <c r="AH226">
        <v>2</v>
      </c>
      <c r="AI226">
        <v>16803018</v>
      </c>
      <c r="AJ226">
        <v>226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ROW(Source!A173)</f>
        <v>173</v>
      </c>
      <c r="B227">
        <v>16803030</v>
      </c>
      <c r="C227">
        <v>16803014</v>
      </c>
      <c r="D227">
        <v>15172838</v>
      </c>
      <c r="E227">
        <v>1</v>
      </c>
      <c r="F227">
        <v>1</v>
      </c>
      <c r="G227">
        <v>1</v>
      </c>
      <c r="H227">
        <v>3</v>
      </c>
      <c r="I227" t="s">
        <v>862</v>
      </c>
      <c r="J227" t="s">
        <v>863</v>
      </c>
      <c r="K227" t="s">
        <v>864</v>
      </c>
      <c r="L227">
        <v>1339</v>
      </c>
      <c r="N227">
        <v>1007</v>
      </c>
      <c r="O227" t="s">
        <v>61</v>
      </c>
      <c r="P227" t="s">
        <v>61</v>
      </c>
      <c r="Q227">
        <v>1</v>
      </c>
      <c r="X227">
        <v>2.1000000000000001E-2</v>
      </c>
      <c r="Y227">
        <v>600</v>
      </c>
      <c r="Z227">
        <v>0</v>
      </c>
      <c r="AA227">
        <v>0</v>
      </c>
      <c r="AB227">
        <v>0</v>
      </c>
      <c r="AC227">
        <v>0</v>
      </c>
      <c r="AD227">
        <v>1</v>
      </c>
      <c r="AE227">
        <v>0</v>
      </c>
      <c r="AF227" t="s">
        <v>6</v>
      </c>
      <c r="AG227">
        <v>2.1000000000000001E-2</v>
      </c>
      <c r="AH227">
        <v>2</v>
      </c>
      <c r="AI227">
        <v>16803019</v>
      </c>
      <c r="AJ227">
        <v>227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ROW(Source!A173)</f>
        <v>173</v>
      </c>
      <c r="B228">
        <v>16803031</v>
      </c>
      <c r="C228">
        <v>16803014</v>
      </c>
      <c r="D228">
        <v>15202442</v>
      </c>
      <c r="E228">
        <v>1</v>
      </c>
      <c r="F228">
        <v>1</v>
      </c>
      <c r="G228">
        <v>1</v>
      </c>
      <c r="H228">
        <v>3</v>
      </c>
      <c r="I228" t="s">
        <v>865</v>
      </c>
      <c r="J228" t="s">
        <v>866</v>
      </c>
      <c r="K228" t="s">
        <v>867</v>
      </c>
      <c r="L228">
        <v>1346</v>
      </c>
      <c r="N228">
        <v>1009</v>
      </c>
      <c r="O228" t="s">
        <v>103</v>
      </c>
      <c r="P228" t="s">
        <v>103</v>
      </c>
      <c r="Q228">
        <v>1</v>
      </c>
      <c r="X228">
        <v>0.4</v>
      </c>
      <c r="Y228">
        <v>25.8</v>
      </c>
      <c r="Z228">
        <v>0</v>
      </c>
      <c r="AA228">
        <v>0</v>
      </c>
      <c r="AB228">
        <v>0</v>
      </c>
      <c r="AC228">
        <v>0</v>
      </c>
      <c r="AD228">
        <v>1</v>
      </c>
      <c r="AE228">
        <v>0</v>
      </c>
      <c r="AF228" t="s">
        <v>6</v>
      </c>
      <c r="AG228">
        <v>0.4</v>
      </c>
      <c r="AH228">
        <v>2</v>
      </c>
      <c r="AI228">
        <v>16803020</v>
      </c>
      <c r="AJ228">
        <v>228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ROW(Source!A173)</f>
        <v>173</v>
      </c>
      <c r="B229">
        <v>16803032</v>
      </c>
      <c r="C229">
        <v>16803014</v>
      </c>
      <c r="D229">
        <v>15217585</v>
      </c>
      <c r="E229">
        <v>1</v>
      </c>
      <c r="F229">
        <v>1</v>
      </c>
      <c r="G229">
        <v>1</v>
      </c>
      <c r="H229">
        <v>3</v>
      </c>
      <c r="I229" t="s">
        <v>868</v>
      </c>
      <c r="J229" t="s">
        <v>869</v>
      </c>
      <c r="K229" t="s">
        <v>870</v>
      </c>
      <c r="L229">
        <v>1356</v>
      </c>
      <c r="N229">
        <v>1010</v>
      </c>
      <c r="O229" t="s">
        <v>709</v>
      </c>
      <c r="P229" t="s">
        <v>709</v>
      </c>
      <c r="Q229">
        <v>1000</v>
      </c>
      <c r="X229">
        <v>3.2000000000000001E-2</v>
      </c>
      <c r="Y229">
        <v>270</v>
      </c>
      <c r="Z229">
        <v>0</v>
      </c>
      <c r="AA229">
        <v>0</v>
      </c>
      <c r="AB229">
        <v>0</v>
      </c>
      <c r="AC229">
        <v>0</v>
      </c>
      <c r="AD229">
        <v>1</v>
      </c>
      <c r="AE229">
        <v>0</v>
      </c>
      <c r="AF229" t="s">
        <v>6</v>
      </c>
      <c r="AG229">
        <v>3.2000000000000001E-2</v>
      </c>
      <c r="AH229">
        <v>2</v>
      </c>
      <c r="AI229">
        <v>16803021</v>
      </c>
      <c r="AJ229">
        <v>229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ROW(Source!A173)</f>
        <v>173</v>
      </c>
      <c r="B230">
        <v>16803033</v>
      </c>
      <c r="C230">
        <v>16803014</v>
      </c>
      <c r="D230">
        <v>15217593</v>
      </c>
      <c r="E230">
        <v>1</v>
      </c>
      <c r="F230">
        <v>1</v>
      </c>
      <c r="G230">
        <v>1</v>
      </c>
      <c r="H230">
        <v>3</v>
      </c>
      <c r="I230" t="s">
        <v>871</v>
      </c>
      <c r="J230" t="s">
        <v>872</v>
      </c>
      <c r="K230" t="s">
        <v>873</v>
      </c>
      <c r="L230">
        <v>1358</v>
      </c>
      <c r="N230">
        <v>1010</v>
      </c>
      <c r="O230" t="s">
        <v>435</v>
      </c>
      <c r="P230" t="s">
        <v>435</v>
      </c>
      <c r="Q230">
        <v>10</v>
      </c>
      <c r="X230">
        <v>1</v>
      </c>
      <c r="Y230">
        <v>19.899999999999999</v>
      </c>
      <c r="Z230">
        <v>0</v>
      </c>
      <c r="AA230">
        <v>0</v>
      </c>
      <c r="AB230">
        <v>0</v>
      </c>
      <c r="AC230">
        <v>0</v>
      </c>
      <c r="AD230">
        <v>1</v>
      </c>
      <c r="AE230">
        <v>0</v>
      </c>
      <c r="AF230" t="s">
        <v>6</v>
      </c>
      <c r="AG230">
        <v>1</v>
      </c>
      <c r="AH230">
        <v>2</v>
      </c>
      <c r="AI230">
        <v>16803022</v>
      </c>
      <c r="AJ230">
        <v>230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ROW(Source!A173)</f>
        <v>173</v>
      </c>
      <c r="B231">
        <v>16803034</v>
      </c>
      <c r="C231">
        <v>16803014</v>
      </c>
      <c r="D231">
        <v>15218939</v>
      </c>
      <c r="E231">
        <v>1</v>
      </c>
      <c r="F231">
        <v>1</v>
      </c>
      <c r="G231">
        <v>1</v>
      </c>
      <c r="H231">
        <v>3</v>
      </c>
      <c r="I231" t="s">
        <v>874</v>
      </c>
      <c r="J231" t="s">
        <v>875</v>
      </c>
      <c r="K231" t="s">
        <v>876</v>
      </c>
      <c r="L231">
        <v>1354</v>
      </c>
      <c r="N231">
        <v>1010</v>
      </c>
      <c r="O231" t="s">
        <v>42</v>
      </c>
      <c r="P231" t="s">
        <v>42</v>
      </c>
      <c r="Q231">
        <v>1</v>
      </c>
      <c r="X231">
        <v>0.5</v>
      </c>
      <c r="Y231">
        <v>66.819999999999993</v>
      </c>
      <c r="Z231">
        <v>0</v>
      </c>
      <c r="AA231">
        <v>0</v>
      </c>
      <c r="AB231">
        <v>0</v>
      </c>
      <c r="AC231">
        <v>0</v>
      </c>
      <c r="AD231">
        <v>1</v>
      </c>
      <c r="AE231">
        <v>0</v>
      </c>
      <c r="AF231" t="s">
        <v>6</v>
      </c>
      <c r="AG231">
        <v>0.5</v>
      </c>
      <c r="AH231">
        <v>2</v>
      </c>
      <c r="AI231">
        <v>16803023</v>
      </c>
      <c r="AJ231">
        <v>231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ROW(Source!A173)</f>
        <v>173</v>
      </c>
      <c r="B232">
        <v>16803035</v>
      </c>
      <c r="C232">
        <v>16803014</v>
      </c>
      <c r="D232">
        <v>15164559</v>
      </c>
      <c r="E232">
        <v>17</v>
      </c>
      <c r="F232">
        <v>1</v>
      </c>
      <c r="G232">
        <v>1</v>
      </c>
      <c r="H232">
        <v>3</v>
      </c>
      <c r="I232" t="s">
        <v>821</v>
      </c>
      <c r="J232" t="s">
        <v>6</v>
      </c>
      <c r="K232" t="s">
        <v>822</v>
      </c>
      <c r="L232">
        <v>1374</v>
      </c>
      <c r="N232">
        <v>1013</v>
      </c>
      <c r="O232" t="s">
        <v>823</v>
      </c>
      <c r="P232" t="s">
        <v>823</v>
      </c>
      <c r="Q232">
        <v>1</v>
      </c>
      <c r="X232">
        <v>2.87</v>
      </c>
      <c r="Y232">
        <v>1</v>
      </c>
      <c r="Z232">
        <v>0</v>
      </c>
      <c r="AA232">
        <v>0</v>
      </c>
      <c r="AB232">
        <v>0</v>
      </c>
      <c r="AC232">
        <v>0</v>
      </c>
      <c r="AD232">
        <v>1</v>
      </c>
      <c r="AE232">
        <v>0</v>
      </c>
      <c r="AF232" t="s">
        <v>6</v>
      </c>
      <c r="AG232">
        <v>2.87</v>
      </c>
      <c r="AH232">
        <v>2</v>
      </c>
      <c r="AI232">
        <v>16803024</v>
      </c>
      <c r="AJ232">
        <v>233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ROW(Source!A175)</f>
        <v>175</v>
      </c>
      <c r="B233">
        <v>16803045</v>
      </c>
      <c r="C233">
        <v>16803037</v>
      </c>
      <c r="D233">
        <v>15447742</v>
      </c>
      <c r="E233">
        <v>1</v>
      </c>
      <c r="F233">
        <v>1</v>
      </c>
      <c r="G233">
        <v>1</v>
      </c>
      <c r="H233">
        <v>1</v>
      </c>
      <c r="I233" t="s">
        <v>877</v>
      </c>
      <c r="J233" t="s">
        <v>6</v>
      </c>
      <c r="K233" t="s">
        <v>878</v>
      </c>
      <c r="L233">
        <v>1191</v>
      </c>
      <c r="N233">
        <v>1013</v>
      </c>
      <c r="O233" t="s">
        <v>660</v>
      </c>
      <c r="P233" t="s">
        <v>660</v>
      </c>
      <c r="Q233">
        <v>1</v>
      </c>
      <c r="X233">
        <v>0.5</v>
      </c>
      <c r="Y233">
        <v>0</v>
      </c>
      <c r="Z233">
        <v>0</v>
      </c>
      <c r="AA233">
        <v>0</v>
      </c>
      <c r="AB233">
        <v>9.76</v>
      </c>
      <c r="AC233">
        <v>0</v>
      </c>
      <c r="AD233">
        <v>1</v>
      </c>
      <c r="AE233">
        <v>1</v>
      </c>
      <c r="AF233" t="s">
        <v>6</v>
      </c>
      <c r="AG233">
        <v>0.5</v>
      </c>
      <c r="AH233">
        <v>2</v>
      </c>
      <c r="AI233">
        <v>16803040</v>
      </c>
      <c r="AJ233">
        <v>234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ROW(Source!A175)</f>
        <v>175</v>
      </c>
      <c r="B234">
        <v>16803046</v>
      </c>
      <c r="C234">
        <v>16803037</v>
      </c>
      <c r="D234">
        <v>15170438</v>
      </c>
      <c r="E234">
        <v>1</v>
      </c>
      <c r="F234">
        <v>1</v>
      </c>
      <c r="G234">
        <v>1</v>
      </c>
      <c r="H234">
        <v>3</v>
      </c>
      <c r="I234" t="s">
        <v>879</v>
      </c>
      <c r="J234" t="s">
        <v>880</v>
      </c>
      <c r="K234" t="s">
        <v>881</v>
      </c>
      <c r="L234">
        <v>1348</v>
      </c>
      <c r="N234">
        <v>1009</v>
      </c>
      <c r="O234" t="s">
        <v>65</v>
      </c>
      <c r="P234" t="s">
        <v>65</v>
      </c>
      <c r="Q234">
        <v>1000</v>
      </c>
      <c r="X234">
        <v>1.0000000000000001E-5</v>
      </c>
      <c r="Y234">
        <v>12430</v>
      </c>
      <c r="Z234">
        <v>0</v>
      </c>
      <c r="AA234">
        <v>0</v>
      </c>
      <c r="AB234">
        <v>0</v>
      </c>
      <c r="AC234">
        <v>0</v>
      </c>
      <c r="AD234">
        <v>1</v>
      </c>
      <c r="AE234">
        <v>0</v>
      </c>
      <c r="AF234" t="s">
        <v>6</v>
      </c>
      <c r="AG234">
        <v>1.0000000000000001E-5</v>
      </c>
      <c r="AH234">
        <v>2</v>
      </c>
      <c r="AI234">
        <v>16803041</v>
      </c>
      <c r="AJ234">
        <v>235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ROW(Source!A175)</f>
        <v>175</v>
      </c>
      <c r="B235">
        <v>16803047</v>
      </c>
      <c r="C235">
        <v>16803037</v>
      </c>
      <c r="D235">
        <v>15171982</v>
      </c>
      <c r="E235">
        <v>1</v>
      </c>
      <c r="F235">
        <v>1</v>
      </c>
      <c r="G235">
        <v>1</v>
      </c>
      <c r="H235">
        <v>3</v>
      </c>
      <c r="I235" t="s">
        <v>672</v>
      </c>
      <c r="J235" t="s">
        <v>673</v>
      </c>
      <c r="K235" t="s">
        <v>674</v>
      </c>
      <c r="L235">
        <v>1348</v>
      </c>
      <c r="N235">
        <v>1009</v>
      </c>
      <c r="O235" t="s">
        <v>65</v>
      </c>
      <c r="P235" t="s">
        <v>65</v>
      </c>
      <c r="Q235">
        <v>1000</v>
      </c>
      <c r="X235">
        <v>5.0000000000000002E-5</v>
      </c>
      <c r="Y235">
        <v>729.98</v>
      </c>
      <c r="Z235">
        <v>0</v>
      </c>
      <c r="AA235">
        <v>0</v>
      </c>
      <c r="AB235">
        <v>0</v>
      </c>
      <c r="AC235">
        <v>0</v>
      </c>
      <c r="AD235">
        <v>1</v>
      </c>
      <c r="AE235">
        <v>0</v>
      </c>
      <c r="AF235" t="s">
        <v>6</v>
      </c>
      <c r="AG235">
        <v>5.0000000000000002E-5</v>
      </c>
      <c r="AH235">
        <v>2</v>
      </c>
      <c r="AI235">
        <v>16803042</v>
      </c>
      <c r="AJ235">
        <v>236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ROW(Source!A175)</f>
        <v>175</v>
      </c>
      <c r="B236">
        <v>16803048</v>
      </c>
      <c r="C236">
        <v>16803037</v>
      </c>
      <c r="D236">
        <v>15191144</v>
      </c>
      <c r="E236">
        <v>1</v>
      </c>
      <c r="F236">
        <v>1</v>
      </c>
      <c r="G236">
        <v>1</v>
      </c>
      <c r="H236">
        <v>3</v>
      </c>
      <c r="I236" t="s">
        <v>882</v>
      </c>
      <c r="J236" t="s">
        <v>883</v>
      </c>
      <c r="K236" t="s">
        <v>884</v>
      </c>
      <c r="L236">
        <v>1348</v>
      </c>
      <c r="N236">
        <v>1009</v>
      </c>
      <c r="O236" t="s">
        <v>65</v>
      </c>
      <c r="P236" t="s">
        <v>65</v>
      </c>
      <c r="Q236">
        <v>1000</v>
      </c>
      <c r="X236">
        <v>1.0000000000000001E-5</v>
      </c>
      <c r="Y236">
        <v>14690</v>
      </c>
      <c r="Z236">
        <v>0</v>
      </c>
      <c r="AA236">
        <v>0</v>
      </c>
      <c r="AB236">
        <v>0</v>
      </c>
      <c r="AC236">
        <v>0</v>
      </c>
      <c r="AD236">
        <v>1</v>
      </c>
      <c r="AE236">
        <v>0</v>
      </c>
      <c r="AF236" t="s">
        <v>6</v>
      </c>
      <c r="AG236">
        <v>1.0000000000000001E-5</v>
      </c>
      <c r="AH236">
        <v>2</v>
      </c>
      <c r="AI236">
        <v>16803043</v>
      </c>
      <c r="AJ236">
        <v>237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ROW(Source!A175)</f>
        <v>175</v>
      </c>
      <c r="B237">
        <v>16803049</v>
      </c>
      <c r="C237">
        <v>16803037</v>
      </c>
      <c r="D237">
        <v>15164559</v>
      </c>
      <c r="E237">
        <v>17</v>
      </c>
      <c r="F237">
        <v>1</v>
      </c>
      <c r="G237">
        <v>1</v>
      </c>
      <c r="H237">
        <v>3</v>
      </c>
      <c r="I237" t="s">
        <v>821</v>
      </c>
      <c r="J237" t="s">
        <v>6</v>
      </c>
      <c r="K237" t="s">
        <v>822</v>
      </c>
      <c r="L237">
        <v>1374</v>
      </c>
      <c r="N237">
        <v>1013</v>
      </c>
      <c r="O237" t="s">
        <v>823</v>
      </c>
      <c r="P237" t="s">
        <v>823</v>
      </c>
      <c r="Q237">
        <v>1</v>
      </c>
      <c r="X237">
        <v>0.1</v>
      </c>
      <c r="Y237">
        <v>1</v>
      </c>
      <c r="Z237">
        <v>0</v>
      </c>
      <c r="AA237">
        <v>0</v>
      </c>
      <c r="AB237">
        <v>0</v>
      </c>
      <c r="AC237">
        <v>0</v>
      </c>
      <c r="AD237">
        <v>1</v>
      </c>
      <c r="AE237">
        <v>0</v>
      </c>
      <c r="AF237" t="s">
        <v>6</v>
      </c>
      <c r="AG237">
        <v>0.1</v>
      </c>
      <c r="AH237">
        <v>2</v>
      </c>
      <c r="AI237">
        <v>16803044</v>
      </c>
      <c r="AJ237">
        <v>239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ROW(Source!A177)</f>
        <v>177</v>
      </c>
      <c r="B238">
        <v>16803059</v>
      </c>
      <c r="C238">
        <v>16803051</v>
      </c>
      <c r="D238">
        <v>15435721</v>
      </c>
      <c r="E238">
        <v>1</v>
      </c>
      <c r="F238">
        <v>1</v>
      </c>
      <c r="G238">
        <v>1</v>
      </c>
      <c r="H238">
        <v>1</v>
      </c>
      <c r="I238" t="s">
        <v>738</v>
      </c>
      <c r="J238" t="s">
        <v>6</v>
      </c>
      <c r="K238" t="s">
        <v>739</v>
      </c>
      <c r="L238">
        <v>1191</v>
      </c>
      <c r="N238">
        <v>1013</v>
      </c>
      <c r="O238" t="s">
        <v>660</v>
      </c>
      <c r="P238" t="s">
        <v>660</v>
      </c>
      <c r="Q238">
        <v>1</v>
      </c>
      <c r="X238">
        <v>20.329999999999998</v>
      </c>
      <c r="Y238">
        <v>0</v>
      </c>
      <c r="Z238">
        <v>0</v>
      </c>
      <c r="AA238">
        <v>0</v>
      </c>
      <c r="AB238">
        <v>9.51</v>
      </c>
      <c r="AC238">
        <v>0</v>
      </c>
      <c r="AD238">
        <v>1</v>
      </c>
      <c r="AE238">
        <v>1</v>
      </c>
      <c r="AF238" t="s">
        <v>6</v>
      </c>
      <c r="AG238">
        <v>20.329999999999998</v>
      </c>
      <c r="AH238">
        <v>2</v>
      </c>
      <c r="AI238">
        <v>16803052</v>
      </c>
      <c r="AJ238">
        <v>240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ROW(Source!A177)</f>
        <v>177</v>
      </c>
      <c r="B239">
        <v>16803060</v>
      </c>
      <c r="C239">
        <v>16803051</v>
      </c>
      <c r="D239">
        <v>15430395</v>
      </c>
      <c r="E239">
        <v>1</v>
      </c>
      <c r="F239">
        <v>1</v>
      </c>
      <c r="G239">
        <v>1</v>
      </c>
      <c r="H239">
        <v>1</v>
      </c>
      <c r="I239" t="s">
        <v>661</v>
      </c>
      <c r="J239" t="s">
        <v>6</v>
      </c>
      <c r="K239" t="s">
        <v>662</v>
      </c>
      <c r="L239">
        <v>1191</v>
      </c>
      <c r="N239">
        <v>1013</v>
      </c>
      <c r="O239" t="s">
        <v>660</v>
      </c>
      <c r="P239" t="s">
        <v>660</v>
      </c>
      <c r="Q239">
        <v>1</v>
      </c>
      <c r="X239">
        <v>0.01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1</v>
      </c>
      <c r="AE239">
        <v>2</v>
      </c>
      <c r="AF239" t="s">
        <v>6</v>
      </c>
      <c r="AG239">
        <v>0.01</v>
      </c>
      <c r="AH239">
        <v>2</v>
      </c>
      <c r="AI239">
        <v>16803053</v>
      </c>
      <c r="AJ239">
        <v>241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ROW(Source!A177)</f>
        <v>177</v>
      </c>
      <c r="B240">
        <v>16803061</v>
      </c>
      <c r="C240">
        <v>16803051</v>
      </c>
      <c r="D240">
        <v>15247974</v>
      </c>
      <c r="E240">
        <v>1</v>
      </c>
      <c r="F240">
        <v>1</v>
      </c>
      <c r="G240">
        <v>1</v>
      </c>
      <c r="H240">
        <v>2</v>
      </c>
      <c r="I240" t="s">
        <v>663</v>
      </c>
      <c r="J240" t="s">
        <v>664</v>
      </c>
      <c r="K240" t="s">
        <v>665</v>
      </c>
      <c r="L240">
        <v>1368</v>
      </c>
      <c r="N240">
        <v>1011</v>
      </c>
      <c r="O240" t="s">
        <v>666</v>
      </c>
      <c r="P240" t="s">
        <v>666</v>
      </c>
      <c r="Q240">
        <v>1</v>
      </c>
      <c r="X240">
        <v>0.01</v>
      </c>
      <c r="Y240">
        <v>0</v>
      </c>
      <c r="Z240">
        <v>31.26</v>
      </c>
      <c r="AA240">
        <v>13.5</v>
      </c>
      <c r="AB240">
        <v>0</v>
      </c>
      <c r="AC240">
        <v>0</v>
      </c>
      <c r="AD240">
        <v>1</v>
      </c>
      <c r="AE240">
        <v>0</v>
      </c>
      <c r="AF240" t="s">
        <v>6</v>
      </c>
      <c r="AG240">
        <v>0.01</v>
      </c>
      <c r="AH240">
        <v>2</v>
      </c>
      <c r="AI240">
        <v>16803054</v>
      </c>
      <c r="AJ240">
        <v>242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">
      <c r="A241">
        <f>ROW(Source!A177)</f>
        <v>177</v>
      </c>
      <c r="B241">
        <v>16803062</v>
      </c>
      <c r="C241">
        <v>16803051</v>
      </c>
      <c r="D241">
        <v>15170076</v>
      </c>
      <c r="E241">
        <v>1</v>
      </c>
      <c r="F241">
        <v>1</v>
      </c>
      <c r="G241">
        <v>1</v>
      </c>
      <c r="H241">
        <v>3</v>
      </c>
      <c r="I241" t="s">
        <v>885</v>
      </c>
      <c r="J241" t="s">
        <v>886</v>
      </c>
      <c r="K241" t="s">
        <v>887</v>
      </c>
      <c r="L241">
        <v>1356</v>
      </c>
      <c r="N241">
        <v>1010</v>
      </c>
      <c r="O241" t="s">
        <v>709</v>
      </c>
      <c r="P241" t="s">
        <v>709</v>
      </c>
      <c r="Q241">
        <v>1000</v>
      </c>
      <c r="X241">
        <v>0.4</v>
      </c>
      <c r="Y241">
        <v>180</v>
      </c>
      <c r="Z241">
        <v>0</v>
      </c>
      <c r="AA241">
        <v>0</v>
      </c>
      <c r="AB241">
        <v>0</v>
      </c>
      <c r="AC241">
        <v>0</v>
      </c>
      <c r="AD241">
        <v>1</v>
      </c>
      <c r="AE241">
        <v>0</v>
      </c>
      <c r="AF241" t="s">
        <v>6</v>
      </c>
      <c r="AG241">
        <v>0.4</v>
      </c>
      <c r="AH241">
        <v>2</v>
      </c>
      <c r="AI241">
        <v>16803055</v>
      </c>
      <c r="AJ241">
        <v>243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">
      <c r="A242">
        <f>ROW(Source!A177)</f>
        <v>177</v>
      </c>
      <c r="B242">
        <v>16803063</v>
      </c>
      <c r="C242">
        <v>16803051</v>
      </c>
      <c r="D242">
        <v>15170438</v>
      </c>
      <c r="E242">
        <v>1</v>
      </c>
      <c r="F242">
        <v>1</v>
      </c>
      <c r="G242">
        <v>1</v>
      </c>
      <c r="H242">
        <v>3</v>
      </c>
      <c r="I242" t="s">
        <v>879</v>
      </c>
      <c r="J242" t="s">
        <v>880</v>
      </c>
      <c r="K242" t="s">
        <v>881</v>
      </c>
      <c r="L242">
        <v>1348</v>
      </c>
      <c r="N242">
        <v>1009</v>
      </c>
      <c r="O242" t="s">
        <v>65</v>
      </c>
      <c r="P242" t="s">
        <v>65</v>
      </c>
      <c r="Q242">
        <v>1000</v>
      </c>
      <c r="X242">
        <v>1.4E-3</v>
      </c>
      <c r="Y242">
        <v>12430</v>
      </c>
      <c r="Z242">
        <v>0</v>
      </c>
      <c r="AA242">
        <v>0</v>
      </c>
      <c r="AB242">
        <v>0</v>
      </c>
      <c r="AC242">
        <v>0</v>
      </c>
      <c r="AD242">
        <v>1</v>
      </c>
      <c r="AE242">
        <v>0</v>
      </c>
      <c r="AF242" t="s">
        <v>6</v>
      </c>
      <c r="AG242">
        <v>1.4E-3</v>
      </c>
      <c r="AH242">
        <v>2</v>
      </c>
      <c r="AI242">
        <v>16803056</v>
      </c>
      <c r="AJ242">
        <v>244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">
      <c r="A243">
        <f>ROW(Source!A177)</f>
        <v>177</v>
      </c>
      <c r="B243">
        <v>16803064</v>
      </c>
      <c r="C243">
        <v>16803051</v>
      </c>
      <c r="D243">
        <v>15164559</v>
      </c>
      <c r="E243">
        <v>17</v>
      </c>
      <c r="F243">
        <v>1</v>
      </c>
      <c r="G243">
        <v>1</v>
      </c>
      <c r="H243">
        <v>3</v>
      </c>
      <c r="I243" t="s">
        <v>821</v>
      </c>
      <c r="J243" t="s">
        <v>6</v>
      </c>
      <c r="K243" t="s">
        <v>822</v>
      </c>
      <c r="L243">
        <v>1374</v>
      </c>
      <c r="N243">
        <v>1013</v>
      </c>
      <c r="O243" t="s">
        <v>823</v>
      </c>
      <c r="P243" t="s">
        <v>823</v>
      </c>
      <c r="Q243">
        <v>1</v>
      </c>
      <c r="X243">
        <v>3.87</v>
      </c>
      <c r="Y243">
        <v>1</v>
      </c>
      <c r="Z243">
        <v>0</v>
      </c>
      <c r="AA243">
        <v>0</v>
      </c>
      <c r="AB243">
        <v>0</v>
      </c>
      <c r="AC243">
        <v>0</v>
      </c>
      <c r="AD243">
        <v>1</v>
      </c>
      <c r="AE243">
        <v>0</v>
      </c>
      <c r="AF243" t="s">
        <v>6</v>
      </c>
      <c r="AG243">
        <v>3.87</v>
      </c>
      <c r="AH243">
        <v>2</v>
      </c>
      <c r="AI243">
        <v>16803057</v>
      </c>
      <c r="AJ243">
        <v>246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">
      <c r="A244">
        <f>ROW(Source!A179)</f>
        <v>179</v>
      </c>
      <c r="B244">
        <v>16803071</v>
      </c>
      <c r="C244">
        <v>16803066</v>
      </c>
      <c r="D244">
        <v>15438286</v>
      </c>
      <c r="E244">
        <v>1</v>
      </c>
      <c r="F244">
        <v>1</v>
      </c>
      <c r="G244">
        <v>1</v>
      </c>
      <c r="H244">
        <v>1</v>
      </c>
      <c r="I244" t="s">
        <v>693</v>
      </c>
      <c r="J244" t="s">
        <v>6</v>
      </c>
      <c r="K244" t="s">
        <v>694</v>
      </c>
      <c r="L244">
        <v>1191</v>
      </c>
      <c r="N244">
        <v>1013</v>
      </c>
      <c r="O244" t="s">
        <v>660</v>
      </c>
      <c r="P244" t="s">
        <v>660</v>
      </c>
      <c r="Q244">
        <v>1</v>
      </c>
      <c r="X244">
        <v>15.2</v>
      </c>
      <c r="Y244">
        <v>0</v>
      </c>
      <c r="Z244">
        <v>0</v>
      </c>
      <c r="AA244">
        <v>0</v>
      </c>
      <c r="AB244">
        <v>9.18</v>
      </c>
      <c r="AC244">
        <v>0</v>
      </c>
      <c r="AD244">
        <v>1</v>
      </c>
      <c r="AE244">
        <v>1</v>
      </c>
      <c r="AF244" t="s">
        <v>6</v>
      </c>
      <c r="AG244">
        <v>15.2</v>
      </c>
      <c r="AH244">
        <v>2</v>
      </c>
      <c r="AI244">
        <v>16803067</v>
      </c>
      <c r="AJ244">
        <v>247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>
        <f>ROW(Source!A179)</f>
        <v>179</v>
      </c>
      <c r="B245">
        <v>16803072</v>
      </c>
      <c r="C245">
        <v>16803066</v>
      </c>
      <c r="D245">
        <v>15170155</v>
      </c>
      <c r="E245">
        <v>1</v>
      </c>
      <c r="F245">
        <v>1</v>
      </c>
      <c r="G245">
        <v>1</v>
      </c>
      <c r="H245">
        <v>3</v>
      </c>
      <c r="I245" t="s">
        <v>888</v>
      </c>
      <c r="J245" t="s">
        <v>889</v>
      </c>
      <c r="K245" t="s">
        <v>890</v>
      </c>
      <c r="L245">
        <v>1355</v>
      </c>
      <c r="N245">
        <v>1010</v>
      </c>
      <c r="O245" t="s">
        <v>126</v>
      </c>
      <c r="P245" t="s">
        <v>126</v>
      </c>
      <c r="Q245">
        <v>100</v>
      </c>
      <c r="X245">
        <v>1.75</v>
      </c>
      <c r="Y245">
        <v>8</v>
      </c>
      <c r="Z245">
        <v>0</v>
      </c>
      <c r="AA245">
        <v>0</v>
      </c>
      <c r="AB245">
        <v>0</v>
      </c>
      <c r="AC245">
        <v>0</v>
      </c>
      <c r="AD245">
        <v>1</v>
      </c>
      <c r="AE245">
        <v>0</v>
      </c>
      <c r="AF245" t="s">
        <v>6</v>
      </c>
      <c r="AG245">
        <v>1.75</v>
      </c>
      <c r="AH245">
        <v>2</v>
      </c>
      <c r="AI245">
        <v>16803068</v>
      </c>
      <c r="AJ245">
        <v>248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">
      <c r="A246">
        <f>ROW(Source!A179)</f>
        <v>179</v>
      </c>
      <c r="B246">
        <v>16803073</v>
      </c>
      <c r="C246">
        <v>16803066</v>
      </c>
      <c r="D246">
        <v>15164559</v>
      </c>
      <c r="E246">
        <v>17</v>
      </c>
      <c r="F246">
        <v>1</v>
      </c>
      <c r="G246">
        <v>1</v>
      </c>
      <c r="H246">
        <v>3</v>
      </c>
      <c r="I246" t="s">
        <v>821</v>
      </c>
      <c r="J246" t="s">
        <v>6</v>
      </c>
      <c r="K246" t="s">
        <v>822</v>
      </c>
      <c r="L246">
        <v>1374</v>
      </c>
      <c r="N246">
        <v>1013</v>
      </c>
      <c r="O246" t="s">
        <v>823</v>
      </c>
      <c r="P246" t="s">
        <v>823</v>
      </c>
      <c r="Q246">
        <v>1</v>
      </c>
      <c r="X246">
        <v>2.79</v>
      </c>
      <c r="Y246">
        <v>1</v>
      </c>
      <c r="Z246">
        <v>0</v>
      </c>
      <c r="AA246">
        <v>0</v>
      </c>
      <c r="AB246">
        <v>0</v>
      </c>
      <c r="AC246">
        <v>0</v>
      </c>
      <c r="AD246">
        <v>1</v>
      </c>
      <c r="AE246">
        <v>0</v>
      </c>
      <c r="AF246" t="s">
        <v>6</v>
      </c>
      <c r="AG246">
        <v>2.79</v>
      </c>
      <c r="AH246">
        <v>2</v>
      </c>
      <c r="AI246">
        <v>16803069</v>
      </c>
      <c r="AJ246">
        <v>250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">
      <c r="A247">
        <f>ROW(Source!A181)</f>
        <v>181</v>
      </c>
      <c r="B247">
        <v>16803085</v>
      </c>
      <c r="C247">
        <v>16803075</v>
      </c>
      <c r="D247">
        <v>15430397</v>
      </c>
      <c r="E247">
        <v>1</v>
      </c>
      <c r="F247">
        <v>1</v>
      </c>
      <c r="G247">
        <v>1</v>
      </c>
      <c r="H247">
        <v>1</v>
      </c>
      <c r="I247" t="s">
        <v>718</v>
      </c>
      <c r="J247" t="s">
        <v>6</v>
      </c>
      <c r="K247" t="s">
        <v>719</v>
      </c>
      <c r="L247">
        <v>1191</v>
      </c>
      <c r="N247">
        <v>1013</v>
      </c>
      <c r="O247" t="s">
        <v>660</v>
      </c>
      <c r="P247" t="s">
        <v>660</v>
      </c>
      <c r="Q247">
        <v>1</v>
      </c>
      <c r="X247">
        <v>3.76</v>
      </c>
      <c r="Y247">
        <v>0</v>
      </c>
      <c r="Z247">
        <v>0</v>
      </c>
      <c r="AA247">
        <v>0</v>
      </c>
      <c r="AB247">
        <v>9.4</v>
      </c>
      <c r="AC247">
        <v>0</v>
      </c>
      <c r="AD247">
        <v>1</v>
      </c>
      <c r="AE247">
        <v>1</v>
      </c>
      <c r="AF247" t="s">
        <v>6</v>
      </c>
      <c r="AG247">
        <v>3.76</v>
      </c>
      <c r="AH247">
        <v>2</v>
      </c>
      <c r="AI247">
        <v>16803076</v>
      </c>
      <c r="AJ247">
        <v>251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">
      <c r="A248">
        <f>ROW(Source!A181)</f>
        <v>181</v>
      </c>
      <c r="B248">
        <v>16803086</v>
      </c>
      <c r="C248">
        <v>16803075</v>
      </c>
      <c r="D248">
        <v>15430395</v>
      </c>
      <c r="E248">
        <v>1</v>
      </c>
      <c r="F248">
        <v>1</v>
      </c>
      <c r="G248">
        <v>1</v>
      </c>
      <c r="H248">
        <v>1</v>
      </c>
      <c r="I248" t="s">
        <v>661</v>
      </c>
      <c r="J248" t="s">
        <v>6</v>
      </c>
      <c r="K248" t="s">
        <v>662</v>
      </c>
      <c r="L248">
        <v>1191</v>
      </c>
      <c r="N248">
        <v>1013</v>
      </c>
      <c r="O248" t="s">
        <v>660</v>
      </c>
      <c r="P248" t="s">
        <v>660</v>
      </c>
      <c r="Q248">
        <v>1</v>
      </c>
      <c r="X248">
        <v>0.02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1</v>
      </c>
      <c r="AE248">
        <v>2</v>
      </c>
      <c r="AF248" t="s">
        <v>6</v>
      </c>
      <c r="AG248">
        <v>0.02</v>
      </c>
      <c r="AH248">
        <v>2</v>
      </c>
      <c r="AI248">
        <v>16803077</v>
      </c>
      <c r="AJ248">
        <v>252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">
      <c r="A249">
        <f>ROW(Source!A181)</f>
        <v>181</v>
      </c>
      <c r="B249">
        <v>16803087</v>
      </c>
      <c r="C249">
        <v>16803075</v>
      </c>
      <c r="D249">
        <v>15247680</v>
      </c>
      <c r="E249">
        <v>1</v>
      </c>
      <c r="F249">
        <v>1</v>
      </c>
      <c r="G249">
        <v>1</v>
      </c>
      <c r="H249">
        <v>2</v>
      </c>
      <c r="I249" t="s">
        <v>786</v>
      </c>
      <c r="J249" t="s">
        <v>787</v>
      </c>
      <c r="K249" t="s">
        <v>788</v>
      </c>
      <c r="L249">
        <v>1368</v>
      </c>
      <c r="N249">
        <v>1011</v>
      </c>
      <c r="O249" t="s">
        <v>666</v>
      </c>
      <c r="P249" t="s">
        <v>666</v>
      </c>
      <c r="Q249">
        <v>1</v>
      </c>
      <c r="X249">
        <v>0.01</v>
      </c>
      <c r="Y249">
        <v>0</v>
      </c>
      <c r="Z249">
        <v>111.99</v>
      </c>
      <c r="AA249">
        <v>13.5</v>
      </c>
      <c r="AB249">
        <v>0</v>
      </c>
      <c r="AC249">
        <v>0</v>
      </c>
      <c r="AD249">
        <v>1</v>
      </c>
      <c r="AE249">
        <v>0</v>
      </c>
      <c r="AF249" t="s">
        <v>6</v>
      </c>
      <c r="AG249">
        <v>0.01</v>
      </c>
      <c r="AH249">
        <v>2</v>
      </c>
      <c r="AI249">
        <v>16803078</v>
      </c>
      <c r="AJ249">
        <v>253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">
      <c r="A250">
        <f>ROW(Source!A181)</f>
        <v>181</v>
      </c>
      <c r="B250">
        <v>16803088</v>
      </c>
      <c r="C250">
        <v>16803075</v>
      </c>
      <c r="D250">
        <v>15249073</v>
      </c>
      <c r="E250">
        <v>1</v>
      </c>
      <c r="F250">
        <v>1</v>
      </c>
      <c r="G250">
        <v>1</v>
      </c>
      <c r="H250">
        <v>2</v>
      </c>
      <c r="I250" t="s">
        <v>684</v>
      </c>
      <c r="J250" t="s">
        <v>685</v>
      </c>
      <c r="K250" t="s">
        <v>686</v>
      </c>
      <c r="L250">
        <v>1368</v>
      </c>
      <c r="N250">
        <v>1011</v>
      </c>
      <c r="O250" t="s">
        <v>666</v>
      </c>
      <c r="P250" t="s">
        <v>666</v>
      </c>
      <c r="Q250">
        <v>1</v>
      </c>
      <c r="X250">
        <v>0.01</v>
      </c>
      <c r="Y250">
        <v>0</v>
      </c>
      <c r="Z250">
        <v>65.709999999999994</v>
      </c>
      <c r="AA250">
        <v>11.6</v>
      </c>
      <c r="AB250">
        <v>0</v>
      </c>
      <c r="AC250">
        <v>0</v>
      </c>
      <c r="AD250">
        <v>1</v>
      </c>
      <c r="AE250">
        <v>0</v>
      </c>
      <c r="AF250" t="s">
        <v>6</v>
      </c>
      <c r="AG250">
        <v>0.01</v>
      </c>
      <c r="AH250">
        <v>2</v>
      </c>
      <c r="AI250">
        <v>16803079</v>
      </c>
      <c r="AJ250">
        <v>254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">
      <c r="A251">
        <f>ROW(Source!A181)</f>
        <v>181</v>
      </c>
      <c r="B251">
        <v>16803089</v>
      </c>
      <c r="C251">
        <v>16803075</v>
      </c>
      <c r="D251">
        <v>15167588</v>
      </c>
      <c r="E251">
        <v>1</v>
      </c>
      <c r="F251">
        <v>1</v>
      </c>
      <c r="G251">
        <v>1</v>
      </c>
      <c r="H251">
        <v>3</v>
      </c>
      <c r="I251" t="s">
        <v>835</v>
      </c>
      <c r="J251" t="s">
        <v>836</v>
      </c>
      <c r="K251" t="s">
        <v>837</v>
      </c>
      <c r="L251">
        <v>1346</v>
      </c>
      <c r="N251">
        <v>1009</v>
      </c>
      <c r="O251" t="s">
        <v>103</v>
      </c>
      <c r="P251" t="s">
        <v>103</v>
      </c>
      <c r="Q251">
        <v>1</v>
      </c>
      <c r="X251">
        <v>0.16</v>
      </c>
      <c r="Y251">
        <v>30.4</v>
      </c>
      <c r="Z251">
        <v>0</v>
      </c>
      <c r="AA251">
        <v>0</v>
      </c>
      <c r="AB251">
        <v>0</v>
      </c>
      <c r="AC251">
        <v>0</v>
      </c>
      <c r="AD251">
        <v>1</v>
      </c>
      <c r="AE251">
        <v>0</v>
      </c>
      <c r="AF251" t="s">
        <v>6</v>
      </c>
      <c r="AG251">
        <v>0.16</v>
      </c>
      <c r="AH251">
        <v>2</v>
      </c>
      <c r="AI251">
        <v>16803080</v>
      </c>
      <c r="AJ251">
        <v>255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">
      <c r="A252">
        <f>ROW(Source!A181)</f>
        <v>181</v>
      </c>
      <c r="B252">
        <v>16803090</v>
      </c>
      <c r="C252">
        <v>16803075</v>
      </c>
      <c r="D252">
        <v>15167600</v>
      </c>
      <c r="E252">
        <v>1</v>
      </c>
      <c r="F252">
        <v>1</v>
      </c>
      <c r="G252">
        <v>1</v>
      </c>
      <c r="H252">
        <v>3</v>
      </c>
      <c r="I252" t="s">
        <v>891</v>
      </c>
      <c r="J252" t="s">
        <v>892</v>
      </c>
      <c r="K252" t="s">
        <v>893</v>
      </c>
      <c r="L252">
        <v>1308</v>
      </c>
      <c r="N252">
        <v>1003</v>
      </c>
      <c r="O252" t="s">
        <v>18</v>
      </c>
      <c r="P252" t="s">
        <v>18</v>
      </c>
      <c r="Q252">
        <v>100</v>
      </c>
      <c r="X252">
        <v>5.5E-2</v>
      </c>
      <c r="Y252">
        <v>120</v>
      </c>
      <c r="Z252">
        <v>0</v>
      </c>
      <c r="AA252">
        <v>0</v>
      </c>
      <c r="AB252">
        <v>0</v>
      </c>
      <c r="AC252">
        <v>0</v>
      </c>
      <c r="AD252">
        <v>1</v>
      </c>
      <c r="AE252">
        <v>0</v>
      </c>
      <c r="AF252" t="s">
        <v>6</v>
      </c>
      <c r="AG252">
        <v>5.5E-2</v>
      </c>
      <c r="AH252">
        <v>2</v>
      </c>
      <c r="AI252">
        <v>16803081</v>
      </c>
      <c r="AJ252">
        <v>256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">
      <c r="A253">
        <f>ROW(Source!A181)</f>
        <v>181</v>
      </c>
      <c r="B253">
        <v>16803091</v>
      </c>
      <c r="C253">
        <v>16803075</v>
      </c>
      <c r="D253">
        <v>15203834</v>
      </c>
      <c r="E253">
        <v>1</v>
      </c>
      <c r="F253">
        <v>1</v>
      </c>
      <c r="G253">
        <v>1</v>
      </c>
      <c r="H253">
        <v>3</v>
      </c>
      <c r="I253" t="s">
        <v>853</v>
      </c>
      <c r="J253" t="s">
        <v>854</v>
      </c>
      <c r="K253" t="s">
        <v>855</v>
      </c>
      <c r="L253">
        <v>1346</v>
      </c>
      <c r="N253">
        <v>1009</v>
      </c>
      <c r="O253" t="s">
        <v>103</v>
      </c>
      <c r="P253" t="s">
        <v>103</v>
      </c>
      <c r="Q253">
        <v>1</v>
      </c>
      <c r="X253">
        <v>0.05</v>
      </c>
      <c r="Y253">
        <v>28.6</v>
      </c>
      <c r="Z253">
        <v>0</v>
      </c>
      <c r="AA253">
        <v>0</v>
      </c>
      <c r="AB253">
        <v>0</v>
      </c>
      <c r="AC253">
        <v>0</v>
      </c>
      <c r="AD253">
        <v>1</v>
      </c>
      <c r="AE253">
        <v>0</v>
      </c>
      <c r="AF253" t="s">
        <v>6</v>
      </c>
      <c r="AG253">
        <v>0.05</v>
      </c>
      <c r="AH253">
        <v>2</v>
      </c>
      <c r="AI253">
        <v>16803082</v>
      </c>
      <c r="AJ253">
        <v>257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">
      <c r="A254">
        <f>ROW(Source!A181)</f>
        <v>181</v>
      </c>
      <c r="B254">
        <v>16803092</v>
      </c>
      <c r="C254">
        <v>16803075</v>
      </c>
      <c r="D254">
        <v>15164559</v>
      </c>
      <c r="E254">
        <v>17</v>
      </c>
      <c r="F254">
        <v>1</v>
      </c>
      <c r="G254">
        <v>1</v>
      </c>
      <c r="H254">
        <v>3</v>
      </c>
      <c r="I254" t="s">
        <v>821</v>
      </c>
      <c r="J254" t="s">
        <v>6</v>
      </c>
      <c r="K254" t="s">
        <v>822</v>
      </c>
      <c r="L254">
        <v>1374</v>
      </c>
      <c r="N254">
        <v>1013</v>
      </c>
      <c r="O254" t="s">
        <v>823</v>
      </c>
      <c r="P254" t="s">
        <v>823</v>
      </c>
      <c r="Q254">
        <v>1</v>
      </c>
      <c r="X254">
        <v>0.71</v>
      </c>
      <c r="Y254">
        <v>1</v>
      </c>
      <c r="Z254">
        <v>0</v>
      </c>
      <c r="AA254">
        <v>0</v>
      </c>
      <c r="AB254">
        <v>0</v>
      </c>
      <c r="AC254">
        <v>0</v>
      </c>
      <c r="AD254">
        <v>1</v>
      </c>
      <c r="AE254">
        <v>0</v>
      </c>
      <c r="AF254" t="s">
        <v>6</v>
      </c>
      <c r="AG254">
        <v>0.71</v>
      </c>
      <c r="AH254">
        <v>2</v>
      </c>
      <c r="AI254">
        <v>16803083</v>
      </c>
      <c r="AJ254">
        <v>259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">
      <c r="A255">
        <f>ROW(Source!A183)</f>
        <v>183</v>
      </c>
      <c r="B255">
        <v>16803106</v>
      </c>
      <c r="C255">
        <v>16803094</v>
      </c>
      <c r="D255">
        <v>15430397</v>
      </c>
      <c r="E255">
        <v>1</v>
      </c>
      <c r="F255">
        <v>1</v>
      </c>
      <c r="G255">
        <v>1</v>
      </c>
      <c r="H255">
        <v>1</v>
      </c>
      <c r="I255" t="s">
        <v>718</v>
      </c>
      <c r="J255" t="s">
        <v>6</v>
      </c>
      <c r="K255" t="s">
        <v>719</v>
      </c>
      <c r="L255">
        <v>1191</v>
      </c>
      <c r="N255">
        <v>1013</v>
      </c>
      <c r="O255" t="s">
        <v>660</v>
      </c>
      <c r="P255" t="s">
        <v>660</v>
      </c>
      <c r="Q255">
        <v>1</v>
      </c>
      <c r="X255">
        <v>6.29</v>
      </c>
      <c r="Y255">
        <v>0</v>
      </c>
      <c r="Z255">
        <v>0</v>
      </c>
      <c r="AA255">
        <v>0</v>
      </c>
      <c r="AB255">
        <v>9.4</v>
      </c>
      <c r="AC255">
        <v>0</v>
      </c>
      <c r="AD255">
        <v>1</v>
      </c>
      <c r="AE255">
        <v>1</v>
      </c>
      <c r="AF255" t="s">
        <v>6</v>
      </c>
      <c r="AG255">
        <v>6.29</v>
      </c>
      <c r="AH255">
        <v>2</v>
      </c>
      <c r="AI255">
        <v>16803095</v>
      </c>
      <c r="AJ255">
        <v>260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">
      <c r="A256">
        <f>ROW(Source!A183)</f>
        <v>183</v>
      </c>
      <c r="B256">
        <v>16803107</v>
      </c>
      <c r="C256">
        <v>16803094</v>
      </c>
      <c r="D256">
        <v>15430395</v>
      </c>
      <c r="E256">
        <v>1</v>
      </c>
      <c r="F256">
        <v>1</v>
      </c>
      <c r="G256">
        <v>1</v>
      </c>
      <c r="H256">
        <v>1</v>
      </c>
      <c r="I256" t="s">
        <v>661</v>
      </c>
      <c r="J256" t="s">
        <v>6</v>
      </c>
      <c r="K256" t="s">
        <v>662</v>
      </c>
      <c r="L256">
        <v>1191</v>
      </c>
      <c r="N256">
        <v>1013</v>
      </c>
      <c r="O256" t="s">
        <v>660</v>
      </c>
      <c r="P256" t="s">
        <v>660</v>
      </c>
      <c r="Q256">
        <v>1</v>
      </c>
      <c r="X256">
        <v>0.06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1</v>
      </c>
      <c r="AE256">
        <v>2</v>
      </c>
      <c r="AF256" t="s">
        <v>6</v>
      </c>
      <c r="AG256">
        <v>0.06</v>
      </c>
      <c r="AH256">
        <v>2</v>
      </c>
      <c r="AI256">
        <v>16803096</v>
      </c>
      <c r="AJ256">
        <v>261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">
      <c r="A257">
        <f>ROW(Source!A183)</f>
        <v>183</v>
      </c>
      <c r="B257">
        <v>16803108</v>
      </c>
      <c r="C257">
        <v>16803094</v>
      </c>
      <c r="D257">
        <v>15247680</v>
      </c>
      <c r="E257">
        <v>1</v>
      </c>
      <c r="F257">
        <v>1</v>
      </c>
      <c r="G257">
        <v>1</v>
      </c>
      <c r="H257">
        <v>2</v>
      </c>
      <c r="I257" t="s">
        <v>786</v>
      </c>
      <c r="J257" t="s">
        <v>787</v>
      </c>
      <c r="K257" t="s">
        <v>788</v>
      </c>
      <c r="L257">
        <v>1368</v>
      </c>
      <c r="N257">
        <v>1011</v>
      </c>
      <c r="O257" t="s">
        <v>666</v>
      </c>
      <c r="P257" t="s">
        <v>666</v>
      </c>
      <c r="Q257">
        <v>1</v>
      </c>
      <c r="X257">
        <v>0.03</v>
      </c>
      <c r="Y257">
        <v>0</v>
      </c>
      <c r="Z257">
        <v>111.99</v>
      </c>
      <c r="AA257">
        <v>13.5</v>
      </c>
      <c r="AB257">
        <v>0</v>
      </c>
      <c r="AC257">
        <v>0</v>
      </c>
      <c r="AD257">
        <v>1</v>
      </c>
      <c r="AE257">
        <v>0</v>
      </c>
      <c r="AF257" t="s">
        <v>6</v>
      </c>
      <c r="AG257">
        <v>0.03</v>
      </c>
      <c r="AH257">
        <v>2</v>
      </c>
      <c r="AI257">
        <v>16803097</v>
      </c>
      <c r="AJ257">
        <v>262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">
      <c r="A258">
        <f>ROW(Source!A183)</f>
        <v>183</v>
      </c>
      <c r="B258">
        <v>16803109</v>
      </c>
      <c r="C258">
        <v>16803094</v>
      </c>
      <c r="D258">
        <v>15249073</v>
      </c>
      <c r="E258">
        <v>1</v>
      </c>
      <c r="F258">
        <v>1</v>
      </c>
      <c r="G258">
        <v>1</v>
      </c>
      <c r="H258">
        <v>2</v>
      </c>
      <c r="I258" t="s">
        <v>684</v>
      </c>
      <c r="J258" t="s">
        <v>685</v>
      </c>
      <c r="K258" t="s">
        <v>686</v>
      </c>
      <c r="L258">
        <v>1368</v>
      </c>
      <c r="N258">
        <v>1011</v>
      </c>
      <c r="O258" t="s">
        <v>666</v>
      </c>
      <c r="P258" t="s">
        <v>666</v>
      </c>
      <c r="Q258">
        <v>1</v>
      </c>
      <c r="X258">
        <v>0.03</v>
      </c>
      <c r="Y258">
        <v>0</v>
      </c>
      <c r="Z258">
        <v>65.709999999999994</v>
      </c>
      <c r="AA258">
        <v>11.6</v>
      </c>
      <c r="AB258">
        <v>0</v>
      </c>
      <c r="AC258">
        <v>0</v>
      </c>
      <c r="AD258">
        <v>1</v>
      </c>
      <c r="AE258">
        <v>0</v>
      </c>
      <c r="AF258" t="s">
        <v>6</v>
      </c>
      <c r="AG258">
        <v>0.03</v>
      </c>
      <c r="AH258">
        <v>2</v>
      </c>
      <c r="AI258">
        <v>16803098</v>
      </c>
      <c r="AJ258">
        <v>263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">
      <c r="A259">
        <f>ROW(Source!A183)</f>
        <v>183</v>
      </c>
      <c r="B259">
        <v>16803110</v>
      </c>
      <c r="C259">
        <v>16803094</v>
      </c>
      <c r="D259">
        <v>15167588</v>
      </c>
      <c r="E259">
        <v>1</v>
      </c>
      <c r="F259">
        <v>1</v>
      </c>
      <c r="G259">
        <v>1</v>
      </c>
      <c r="H259">
        <v>3</v>
      </c>
      <c r="I259" t="s">
        <v>835</v>
      </c>
      <c r="J259" t="s">
        <v>836</v>
      </c>
      <c r="K259" t="s">
        <v>837</v>
      </c>
      <c r="L259">
        <v>1346</v>
      </c>
      <c r="N259">
        <v>1009</v>
      </c>
      <c r="O259" t="s">
        <v>103</v>
      </c>
      <c r="P259" t="s">
        <v>103</v>
      </c>
      <c r="Q259">
        <v>1</v>
      </c>
      <c r="X259">
        <v>0.32</v>
      </c>
      <c r="Y259">
        <v>30.4</v>
      </c>
      <c r="Z259">
        <v>0</v>
      </c>
      <c r="AA259">
        <v>0</v>
      </c>
      <c r="AB259">
        <v>0</v>
      </c>
      <c r="AC259">
        <v>0</v>
      </c>
      <c r="AD259">
        <v>1</v>
      </c>
      <c r="AE259">
        <v>0</v>
      </c>
      <c r="AF259" t="s">
        <v>6</v>
      </c>
      <c r="AG259">
        <v>0.32</v>
      </c>
      <c r="AH259">
        <v>2</v>
      </c>
      <c r="AI259">
        <v>16803099</v>
      </c>
      <c r="AJ259">
        <v>264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">
      <c r="A260">
        <f>ROW(Source!A183)</f>
        <v>183</v>
      </c>
      <c r="B260">
        <v>16803111</v>
      </c>
      <c r="C260">
        <v>16803094</v>
      </c>
      <c r="D260">
        <v>15167867</v>
      </c>
      <c r="E260">
        <v>1</v>
      </c>
      <c r="F260">
        <v>1</v>
      </c>
      <c r="G260">
        <v>1</v>
      </c>
      <c r="H260">
        <v>3</v>
      </c>
      <c r="I260" t="s">
        <v>894</v>
      </c>
      <c r="J260" t="s">
        <v>895</v>
      </c>
      <c r="K260" t="s">
        <v>896</v>
      </c>
      <c r="L260">
        <v>1348</v>
      </c>
      <c r="N260">
        <v>1009</v>
      </c>
      <c r="O260" t="s">
        <v>65</v>
      </c>
      <c r="P260" t="s">
        <v>65</v>
      </c>
      <c r="Q260">
        <v>1000</v>
      </c>
      <c r="X260">
        <v>1.0499999999999999E-3</v>
      </c>
      <c r="Y260">
        <v>1820</v>
      </c>
      <c r="Z260">
        <v>0</v>
      </c>
      <c r="AA260">
        <v>0</v>
      </c>
      <c r="AB260">
        <v>0</v>
      </c>
      <c r="AC260">
        <v>0</v>
      </c>
      <c r="AD260">
        <v>1</v>
      </c>
      <c r="AE260">
        <v>0</v>
      </c>
      <c r="AF260" t="s">
        <v>6</v>
      </c>
      <c r="AG260">
        <v>1.0499999999999999E-3</v>
      </c>
      <c r="AH260">
        <v>2</v>
      </c>
      <c r="AI260">
        <v>16803100</v>
      </c>
      <c r="AJ260">
        <v>265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">
      <c r="A261">
        <f>ROW(Source!A183)</f>
        <v>183</v>
      </c>
      <c r="B261">
        <v>16803112</v>
      </c>
      <c r="C261">
        <v>16803094</v>
      </c>
      <c r="D261">
        <v>15203834</v>
      </c>
      <c r="E261">
        <v>1</v>
      </c>
      <c r="F261">
        <v>1</v>
      </c>
      <c r="G261">
        <v>1</v>
      </c>
      <c r="H261">
        <v>3</v>
      </c>
      <c r="I261" t="s">
        <v>853</v>
      </c>
      <c r="J261" t="s">
        <v>854</v>
      </c>
      <c r="K261" t="s">
        <v>855</v>
      </c>
      <c r="L261">
        <v>1346</v>
      </c>
      <c r="N261">
        <v>1009</v>
      </c>
      <c r="O261" t="s">
        <v>103</v>
      </c>
      <c r="P261" t="s">
        <v>103</v>
      </c>
      <c r="Q261">
        <v>1</v>
      </c>
      <c r="X261">
        <v>0.02</v>
      </c>
      <c r="Y261">
        <v>28.6</v>
      </c>
      <c r="Z261">
        <v>0</v>
      </c>
      <c r="AA261">
        <v>0</v>
      </c>
      <c r="AB261">
        <v>0</v>
      </c>
      <c r="AC261">
        <v>0</v>
      </c>
      <c r="AD261">
        <v>1</v>
      </c>
      <c r="AE261">
        <v>0</v>
      </c>
      <c r="AF261" t="s">
        <v>6</v>
      </c>
      <c r="AG261">
        <v>0.02</v>
      </c>
      <c r="AH261">
        <v>2</v>
      </c>
      <c r="AI261">
        <v>16803101</v>
      </c>
      <c r="AJ261">
        <v>266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">
      <c r="A262">
        <f>ROW(Source!A183)</f>
        <v>183</v>
      </c>
      <c r="B262">
        <v>16803113</v>
      </c>
      <c r="C262">
        <v>16803094</v>
      </c>
      <c r="D262">
        <v>15217529</v>
      </c>
      <c r="E262">
        <v>1</v>
      </c>
      <c r="F262">
        <v>1</v>
      </c>
      <c r="G262">
        <v>1</v>
      </c>
      <c r="H262">
        <v>3</v>
      </c>
      <c r="I262" t="s">
        <v>897</v>
      </c>
      <c r="J262" t="s">
        <v>898</v>
      </c>
      <c r="K262" t="s">
        <v>899</v>
      </c>
      <c r="L262">
        <v>1355</v>
      </c>
      <c r="N262">
        <v>1010</v>
      </c>
      <c r="O262" t="s">
        <v>126</v>
      </c>
      <c r="P262" t="s">
        <v>126</v>
      </c>
      <c r="Q262">
        <v>100</v>
      </c>
      <c r="X262">
        <v>0.05</v>
      </c>
      <c r="Y262">
        <v>143</v>
      </c>
      <c r="Z262">
        <v>0</v>
      </c>
      <c r="AA262">
        <v>0</v>
      </c>
      <c r="AB262">
        <v>0</v>
      </c>
      <c r="AC262">
        <v>0</v>
      </c>
      <c r="AD262">
        <v>1</v>
      </c>
      <c r="AE262">
        <v>0</v>
      </c>
      <c r="AF262" t="s">
        <v>6</v>
      </c>
      <c r="AG262">
        <v>0.05</v>
      </c>
      <c r="AH262">
        <v>2</v>
      </c>
      <c r="AI262">
        <v>16803102</v>
      </c>
      <c r="AJ262">
        <v>267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">
      <c r="A263">
        <f>ROW(Source!A183)</f>
        <v>183</v>
      </c>
      <c r="B263">
        <v>16803114</v>
      </c>
      <c r="C263">
        <v>16803094</v>
      </c>
      <c r="D263">
        <v>15217579</v>
      </c>
      <c r="E263">
        <v>1</v>
      </c>
      <c r="F263">
        <v>1</v>
      </c>
      <c r="G263">
        <v>1</v>
      </c>
      <c r="H263">
        <v>3</v>
      </c>
      <c r="I263" t="s">
        <v>900</v>
      </c>
      <c r="J263" t="s">
        <v>901</v>
      </c>
      <c r="K263" t="s">
        <v>902</v>
      </c>
      <c r="L263">
        <v>1356</v>
      </c>
      <c r="N263">
        <v>1010</v>
      </c>
      <c r="O263" t="s">
        <v>709</v>
      </c>
      <c r="P263" t="s">
        <v>709</v>
      </c>
      <c r="Q263">
        <v>1000</v>
      </c>
      <c r="X263">
        <v>1.2200000000000001E-2</v>
      </c>
      <c r="Y263">
        <v>176.21</v>
      </c>
      <c r="Z263">
        <v>0</v>
      </c>
      <c r="AA263">
        <v>0</v>
      </c>
      <c r="AB263">
        <v>0</v>
      </c>
      <c r="AC263">
        <v>0</v>
      </c>
      <c r="AD263">
        <v>1</v>
      </c>
      <c r="AE263">
        <v>0</v>
      </c>
      <c r="AF263" t="s">
        <v>6</v>
      </c>
      <c r="AG263">
        <v>1.2200000000000001E-2</v>
      </c>
      <c r="AH263">
        <v>2</v>
      </c>
      <c r="AI263">
        <v>16803103</v>
      </c>
      <c r="AJ263">
        <v>268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">
      <c r="A264">
        <f>ROW(Source!A183)</f>
        <v>183</v>
      </c>
      <c r="B264">
        <v>16803115</v>
      </c>
      <c r="C264">
        <v>16803094</v>
      </c>
      <c r="D264">
        <v>15164559</v>
      </c>
      <c r="E264">
        <v>17</v>
      </c>
      <c r="F264">
        <v>1</v>
      </c>
      <c r="G264">
        <v>1</v>
      </c>
      <c r="H264">
        <v>3</v>
      </c>
      <c r="I264" t="s">
        <v>821</v>
      </c>
      <c r="J264" t="s">
        <v>6</v>
      </c>
      <c r="K264" t="s">
        <v>822</v>
      </c>
      <c r="L264">
        <v>1374</v>
      </c>
      <c r="N264">
        <v>1013</v>
      </c>
      <c r="O264" t="s">
        <v>823</v>
      </c>
      <c r="P264" t="s">
        <v>823</v>
      </c>
      <c r="Q264">
        <v>1</v>
      </c>
      <c r="X264">
        <v>1.18</v>
      </c>
      <c r="Y264">
        <v>1</v>
      </c>
      <c r="Z264">
        <v>0</v>
      </c>
      <c r="AA264">
        <v>0</v>
      </c>
      <c r="AB264">
        <v>0</v>
      </c>
      <c r="AC264">
        <v>0</v>
      </c>
      <c r="AD264">
        <v>1</v>
      </c>
      <c r="AE264">
        <v>0</v>
      </c>
      <c r="AF264" t="s">
        <v>6</v>
      </c>
      <c r="AG264">
        <v>1.18</v>
      </c>
      <c r="AH264">
        <v>2</v>
      </c>
      <c r="AI264">
        <v>16803104</v>
      </c>
      <c r="AJ264">
        <v>270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">
      <c r="A265">
        <f>ROW(Source!A185)</f>
        <v>185</v>
      </c>
      <c r="B265">
        <v>16803128</v>
      </c>
      <c r="C265">
        <v>16803117</v>
      </c>
      <c r="D265">
        <v>15446300</v>
      </c>
      <c r="E265">
        <v>1</v>
      </c>
      <c r="F265">
        <v>1</v>
      </c>
      <c r="G265">
        <v>1</v>
      </c>
      <c r="H265">
        <v>1</v>
      </c>
      <c r="I265" t="s">
        <v>816</v>
      </c>
      <c r="J265" t="s">
        <v>6</v>
      </c>
      <c r="K265" t="s">
        <v>817</v>
      </c>
      <c r="L265">
        <v>1191</v>
      </c>
      <c r="N265">
        <v>1013</v>
      </c>
      <c r="O265" t="s">
        <v>660</v>
      </c>
      <c r="P265" t="s">
        <v>660</v>
      </c>
      <c r="Q265">
        <v>1</v>
      </c>
      <c r="X265">
        <v>35.130000000000003</v>
      </c>
      <c r="Y265">
        <v>0</v>
      </c>
      <c r="Z265">
        <v>0</v>
      </c>
      <c r="AA265">
        <v>0</v>
      </c>
      <c r="AB265">
        <v>9.92</v>
      </c>
      <c r="AC265">
        <v>0</v>
      </c>
      <c r="AD265">
        <v>1</v>
      </c>
      <c r="AE265">
        <v>1</v>
      </c>
      <c r="AF265" t="s">
        <v>6</v>
      </c>
      <c r="AG265">
        <v>35.130000000000003</v>
      </c>
      <c r="AH265">
        <v>2</v>
      </c>
      <c r="AI265">
        <v>16803118</v>
      </c>
      <c r="AJ265">
        <v>271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">
      <c r="A266">
        <f>ROW(Source!A185)</f>
        <v>185</v>
      </c>
      <c r="B266">
        <v>16803129</v>
      </c>
      <c r="C266">
        <v>16803117</v>
      </c>
      <c r="D266">
        <v>15430395</v>
      </c>
      <c r="E266">
        <v>1</v>
      </c>
      <c r="F266">
        <v>1</v>
      </c>
      <c r="G266">
        <v>1</v>
      </c>
      <c r="H266">
        <v>1</v>
      </c>
      <c r="I266" t="s">
        <v>661</v>
      </c>
      <c r="J266" t="s">
        <v>6</v>
      </c>
      <c r="K266" t="s">
        <v>662</v>
      </c>
      <c r="L266">
        <v>1191</v>
      </c>
      <c r="N266">
        <v>1013</v>
      </c>
      <c r="O266" t="s">
        <v>660</v>
      </c>
      <c r="P266" t="s">
        <v>660</v>
      </c>
      <c r="Q266">
        <v>1</v>
      </c>
      <c r="X266">
        <v>0.05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1</v>
      </c>
      <c r="AE266">
        <v>2</v>
      </c>
      <c r="AF266" t="s">
        <v>6</v>
      </c>
      <c r="AG266">
        <v>0.05</v>
      </c>
      <c r="AH266">
        <v>2</v>
      </c>
      <c r="AI266">
        <v>16803119</v>
      </c>
      <c r="AJ266">
        <v>272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">
      <c r="A267">
        <f>ROW(Source!A185)</f>
        <v>185</v>
      </c>
      <c r="B267">
        <v>16803130</v>
      </c>
      <c r="C267">
        <v>16803117</v>
      </c>
      <c r="D267">
        <v>15247680</v>
      </c>
      <c r="E267">
        <v>1</v>
      </c>
      <c r="F267">
        <v>1</v>
      </c>
      <c r="G267">
        <v>1</v>
      </c>
      <c r="H267">
        <v>2</v>
      </c>
      <c r="I267" t="s">
        <v>786</v>
      </c>
      <c r="J267" t="s">
        <v>787</v>
      </c>
      <c r="K267" t="s">
        <v>788</v>
      </c>
      <c r="L267">
        <v>1368</v>
      </c>
      <c r="N267">
        <v>1011</v>
      </c>
      <c r="O267" t="s">
        <v>666</v>
      </c>
      <c r="P267" t="s">
        <v>666</v>
      </c>
      <c r="Q267">
        <v>1</v>
      </c>
      <c r="X267">
        <v>0.03</v>
      </c>
      <c r="Y267">
        <v>0</v>
      </c>
      <c r="Z267">
        <v>111.99</v>
      </c>
      <c r="AA267">
        <v>13.5</v>
      </c>
      <c r="AB267">
        <v>0</v>
      </c>
      <c r="AC267">
        <v>0</v>
      </c>
      <c r="AD267">
        <v>1</v>
      </c>
      <c r="AE267">
        <v>0</v>
      </c>
      <c r="AF267" t="s">
        <v>6</v>
      </c>
      <c r="AG267">
        <v>0.03</v>
      </c>
      <c r="AH267">
        <v>2</v>
      </c>
      <c r="AI267">
        <v>16803120</v>
      </c>
      <c r="AJ267">
        <v>273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">
      <c r="A268">
        <f>ROW(Source!A185)</f>
        <v>185</v>
      </c>
      <c r="B268">
        <v>16803131</v>
      </c>
      <c r="C268">
        <v>16803117</v>
      </c>
      <c r="D268">
        <v>15249073</v>
      </c>
      <c r="E268">
        <v>1</v>
      </c>
      <c r="F268">
        <v>1</v>
      </c>
      <c r="G268">
        <v>1</v>
      </c>
      <c r="H268">
        <v>2</v>
      </c>
      <c r="I268" t="s">
        <v>684</v>
      </c>
      <c r="J268" t="s">
        <v>685</v>
      </c>
      <c r="K268" t="s">
        <v>686</v>
      </c>
      <c r="L268">
        <v>1368</v>
      </c>
      <c r="N268">
        <v>1011</v>
      </c>
      <c r="O268" t="s">
        <v>666</v>
      </c>
      <c r="P268" t="s">
        <v>666</v>
      </c>
      <c r="Q268">
        <v>1</v>
      </c>
      <c r="X268">
        <v>0.02</v>
      </c>
      <c r="Y268">
        <v>0</v>
      </c>
      <c r="Z268">
        <v>65.709999999999994</v>
      </c>
      <c r="AA268">
        <v>11.6</v>
      </c>
      <c r="AB268">
        <v>0</v>
      </c>
      <c r="AC268">
        <v>0</v>
      </c>
      <c r="AD268">
        <v>1</v>
      </c>
      <c r="AE268">
        <v>0</v>
      </c>
      <c r="AF268" t="s">
        <v>6</v>
      </c>
      <c r="AG268">
        <v>0.02</v>
      </c>
      <c r="AH268">
        <v>2</v>
      </c>
      <c r="AI268">
        <v>16803121</v>
      </c>
      <c r="AJ268">
        <v>274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 x14ac:dyDescent="0.2">
      <c r="A269">
        <f>ROW(Source!A185)</f>
        <v>185</v>
      </c>
      <c r="B269">
        <v>16803132</v>
      </c>
      <c r="C269">
        <v>16803117</v>
      </c>
      <c r="D269">
        <v>15170074</v>
      </c>
      <c r="E269">
        <v>1</v>
      </c>
      <c r="F269">
        <v>1</v>
      </c>
      <c r="G269">
        <v>1</v>
      </c>
      <c r="H269">
        <v>3</v>
      </c>
      <c r="I269" t="s">
        <v>844</v>
      </c>
      <c r="J269" t="s">
        <v>845</v>
      </c>
      <c r="K269" t="s">
        <v>846</v>
      </c>
      <c r="L269">
        <v>1355</v>
      </c>
      <c r="N269">
        <v>1010</v>
      </c>
      <c r="O269" t="s">
        <v>126</v>
      </c>
      <c r="P269" t="s">
        <v>126</v>
      </c>
      <c r="Q269">
        <v>100</v>
      </c>
      <c r="X269">
        <v>1.02</v>
      </c>
      <c r="Y269">
        <v>86</v>
      </c>
      <c r="Z269">
        <v>0</v>
      </c>
      <c r="AA269">
        <v>0</v>
      </c>
      <c r="AB269">
        <v>0</v>
      </c>
      <c r="AC269">
        <v>0</v>
      </c>
      <c r="AD269">
        <v>1</v>
      </c>
      <c r="AE269">
        <v>0</v>
      </c>
      <c r="AF269" t="s">
        <v>6</v>
      </c>
      <c r="AG269">
        <v>1.02</v>
      </c>
      <c r="AH269">
        <v>2</v>
      </c>
      <c r="AI269">
        <v>16803122</v>
      </c>
      <c r="AJ269">
        <v>275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 x14ac:dyDescent="0.2">
      <c r="A270">
        <f>ROW(Source!A185)</f>
        <v>185</v>
      </c>
      <c r="B270">
        <v>16803133</v>
      </c>
      <c r="C270">
        <v>16803117</v>
      </c>
      <c r="D270">
        <v>15170434</v>
      </c>
      <c r="E270">
        <v>1</v>
      </c>
      <c r="F270">
        <v>1</v>
      </c>
      <c r="G270">
        <v>1</v>
      </c>
      <c r="H270">
        <v>3</v>
      </c>
      <c r="I270" t="s">
        <v>903</v>
      </c>
      <c r="J270" t="s">
        <v>904</v>
      </c>
      <c r="K270" t="s">
        <v>905</v>
      </c>
      <c r="L270">
        <v>1348</v>
      </c>
      <c r="N270">
        <v>1009</v>
      </c>
      <c r="O270" t="s">
        <v>65</v>
      </c>
      <c r="P270" t="s">
        <v>65</v>
      </c>
      <c r="Q270">
        <v>1000</v>
      </c>
      <c r="X270">
        <v>1.6000000000000001E-4</v>
      </c>
      <c r="Y270">
        <v>29800</v>
      </c>
      <c r="Z270">
        <v>0</v>
      </c>
      <c r="AA270">
        <v>0</v>
      </c>
      <c r="AB270">
        <v>0</v>
      </c>
      <c r="AC270">
        <v>0</v>
      </c>
      <c r="AD270">
        <v>1</v>
      </c>
      <c r="AE270">
        <v>0</v>
      </c>
      <c r="AF270" t="s">
        <v>6</v>
      </c>
      <c r="AG270">
        <v>1.6000000000000001E-4</v>
      </c>
      <c r="AH270">
        <v>2</v>
      </c>
      <c r="AI270">
        <v>16803123</v>
      </c>
      <c r="AJ270">
        <v>276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 x14ac:dyDescent="0.2">
      <c r="A271">
        <f>ROW(Source!A185)</f>
        <v>185</v>
      </c>
      <c r="B271">
        <v>16803134</v>
      </c>
      <c r="C271">
        <v>16803117</v>
      </c>
      <c r="D271">
        <v>15170438</v>
      </c>
      <c r="E271">
        <v>1</v>
      </c>
      <c r="F271">
        <v>1</v>
      </c>
      <c r="G271">
        <v>1</v>
      </c>
      <c r="H271">
        <v>3</v>
      </c>
      <c r="I271" t="s">
        <v>879</v>
      </c>
      <c r="J271" t="s">
        <v>880</v>
      </c>
      <c r="K271" t="s">
        <v>881</v>
      </c>
      <c r="L271">
        <v>1348</v>
      </c>
      <c r="N271">
        <v>1009</v>
      </c>
      <c r="O271" t="s">
        <v>65</v>
      </c>
      <c r="P271" t="s">
        <v>65</v>
      </c>
      <c r="Q271">
        <v>1000</v>
      </c>
      <c r="X271">
        <v>2.9999999999999997E-4</v>
      </c>
      <c r="Y271">
        <v>12430</v>
      </c>
      <c r="Z271">
        <v>0</v>
      </c>
      <c r="AA271">
        <v>0</v>
      </c>
      <c r="AB271">
        <v>0</v>
      </c>
      <c r="AC271">
        <v>0</v>
      </c>
      <c r="AD271">
        <v>1</v>
      </c>
      <c r="AE271">
        <v>0</v>
      </c>
      <c r="AF271" t="s">
        <v>6</v>
      </c>
      <c r="AG271">
        <v>2.9999999999999997E-4</v>
      </c>
      <c r="AH271">
        <v>2</v>
      </c>
      <c r="AI271">
        <v>16803124</v>
      </c>
      <c r="AJ271">
        <v>277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 x14ac:dyDescent="0.2">
      <c r="A272">
        <f>ROW(Source!A185)</f>
        <v>185</v>
      </c>
      <c r="B272">
        <v>16803135</v>
      </c>
      <c r="C272">
        <v>16803117</v>
      </c>
      <c r="D272">
        <v>15164559</v>
      </c>
      <c r="E272">
        <v>17</v>
      </c>
      <c r="F272">
        <v>1</v>
      </c>
      <c r="G272">
        <v>1</v>
      </c>
      <c r="H272">
        <v>3</v>
      </c>
      <c r="I272" t="s">
        <v>821</v>
      </c>
      <c r="J272" t="s">
        <v>6</v>
      </c>
      <c r="K272" t="s">
        <v>822</v>
      </c>
      <c r="L272">
        <v>1374</v>
      </c>
      <c r="N272">
        <v>1013</v>
      </c>
      <c r="O272" t="s">
        <v>823</v>
      </c>
      <c r="P272" t="s">
        <v>823</v>
      </c>
      <c r="Q272">
        <v>1</v>
      </c>
      <c r="X272">
        <v>6.97</v>
      </c>
      <c r="Y272">
        <v>1</v>
      </c>
      <c r="Z272">
        <v>0</v>
      </c>
      <c r="AA272">
        <v>0</v>
      </c>
      <c r="AB272">
        <v>0</v>
      </c>
      <c r="AC272">
        <v>0</v>
      </c>
      <c r="AD272">
        <v>1</v>
      </c>
      <c r="AE272">
        <v>0</v>
      </c>
      <c r="AF272" t="s">
        <v>6</v>
      </c>
      <c r="AG272">
        <v>6.97</v>
      </c>
      <c r="AH272">
        <v>2</v>
      </c>
      <c r="AI272">
        <v>16803125</v>
      </c>
      <c r="AJ272">
        <v>279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 x14ac:dyDescent="0.2">
      <c r="A273">
        <f>ROW(Source!A187)</f>
        <v>187</v>
      </c>
      <c r="B273">
        <v>16803151</v>
      </c>
      <c r="C273">
        <v>16803137</v>
      </c>
      <c r="D273">
        <v>15446300</v>
      </c>
      <c r="E273">
        <v>1</v>
      </c>
      <c r="F273">
        <v>1</v>
      </c>
      <c r="G273">
        <v>1</v>
      </c>
      <c r="H273">
        <v>1</v>
      </c>
      <c r="I273" t="s">
        <v>816</v>
      </c>
      <c r="J273" t="s">
        <v>6</v>
      </c>
      <c r="K273" t="s">
        <v>817</v>
      </c>
      <c r="L273">
        <v>1191</v>
      </c>
      <c r="N273">
        <v>1013</v>
      </c>
      <c r="O273" t="s">
        <v>660</v>
      </c>
      <c r="P273" t="s">
        <v>660</v>
      </c>
      <c r="Q273">
        <v>1</v>
      </c>
      <c r="X273">
        <v>34.56</v>
      </c>
      <c r="Y273">
        <v>0</v>
      </c>
      <c r="Z273">
        <v>0</v>
      </c>
      <c r="AA273">
        <v>0</v>
      </c>
      <c r="AB273">
        <v>9.92</v>
      </c>
      <c r="AC273">
        <v>0</v>
      </c>
      <c r="AD273">
        <v>1</v>
      </c>
      <c r="AE273">
        <v>1</v>
      </c>
      <c r="AF273" t="s">
        <v>6</v>
      </c>
      <c r="AG273">
        <v>34.56</v>
      </c>
      <c r="AH273">
        <v>2</v>
      </c>
      <c r="AI273">
        <v>16803138</v>
      </c>
      <c r="AJ273">
        <v>280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 x14ac:dyDescent="0.2">
      <c r="A274">
        <f>ROW(Source!A187)</f>
        <v>187</v>
      </c>
      <c r="B274">
        <v>16803152</v>
      </c>
      <c r="C274">
        <v>16803137</v>
      </c>
      <c r="D274">
        <v>15430395</v>
      </c>
      <c r="E274">
        <v>1</v>
      </c>
      <c r="F274">
        <v>1</v>
      </c>
      <c r="G274">
        <v>1</v>
      </c>
      <c r="H274">
        <v>1</v>
      </c>
      <c r="I274" t="s">
        <v>661</v>
      </c>
      <c r="J274" t="s">
        <v>6</v>
      </c>
      <c r="K274" t="s">
        <v>662</v>
      </c>
      <c r="L274">
        <v>1191</v>
      </c>
      <c r="N274">
        <v>1013</v>
      </c>
      <c r="O274" t="s">
        <v>660</v>
      </c>
      <c r="P274" t="s">
        <v>660</v>
      </c>
      <c r="Q274">
        <v>1</v>
      </c>
      <c r="X274">
        <v>0.05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1</v>
      </c>
      <c r="AE274">
        <v>2</v>
      </c>
      <c r="AF274" t="s">
        <v>6</v>
      </c>
      <c r="AG274">
        <v>0.05</v>
      </c>
      <c r="AH274">
        <v>2</v>
      </c>
      <c r="AI274">
        <v>16803139</v>
      </c>
      <c r="AJ274">
        <v>281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 x14ac:dyDescent="0.2">
      <c r="A275">
        <f>ROW(Source!A187)</f>
        <v>187</v>
      </c>
      <c r="B275">
        <v>16803153</v>
      </c>
      <c r="C275">
        <v>16803137</v>
      </c>
      <c r="D275">
        <v>15247680</v>
      </c>
      <c r="E275">
        <v>1</v>
      </c>
      <c r="F275">
        <v>1</v>
      </c>
      <c r="G275">
        <v>1</v>
      </c>
      <c r="H275">
        <v>2</v>
      </c>
      <c r="I275" t="s">
        <v>786</v>
      </c>
      <c r="J275" t="s">
        <v>787</v>
      </c>
      <c r="K275" t="s">
        <v>788</v>
      </c>
      <c r="L275">
        <v>1368</v>
      </c>
      <c r="N275">
        <v>1011</v>
      </c>
      <c r="O275" t="s">
        <v>666</v>
      </c>
      <c r="P275" t="s">
        <v>666</v>
      </c>
      <c r="Q275">
        <v>1</v>
      </c>
      <c r="X275">
        <v>0.03</v>
      </c>
      <c r="Y275">
        <v>0</v>
      </c>
      <c r="Z275">
        <v>111.99</v>
      </c>
      <c r="AA275">
        <v>13.5</v>
      </c>
      <c r="AB275">
        <v>0</v>
      </c>
      <c r="AC275">
        <v>0</v>
      </c>
      <c r="AD275">
        <v>1</v>
      </c>
      <c r="AE275">
        <v>0</v>
      </c>
      <c r="AF275" t="s">
        <v>6</v>
      </c>
      <c r="AG275">
        <v>0.03</v>
      </c>
      <c r="AH275">
        <v>2</v>
      </c>
      <c r="AI275">
        <v>16803140</v>
      </c>
      <c r="AJ275">
        <v>282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 x14ac:dyDescent="0.2">
      <c r="A276">
        <f>ROW(Source!A187)</f>
        <v>187</v>
      </c>
      <c r="B276">
        <v>16803154</v>
      </c>
      <c r="C276">
        <v>16803137</v>
      </c>
      <c r="D276">
        <v>15249073</v>
      </c>
      <c r="E276">
        <v>1</v>
      </c>
      <c r="F276">
        <v>1</v>
      </c>
      <c r="G276">
        <v>1</v>
      </c>
      <c r="H276">
        <v>2</v>
      </c>
      <c r="I276" t="s">
        <v>684</v>
      </c>
      <c r="J276" t="s">
        <v>685</v>
      </c>
      <c r="K276" t="s">
        <v>686</v>
      </c>
      <c r="L276">
        <v>1368</v>
      </c>
      <c r="N276">
        <v>1011</v>
      </c>
      <c r="O276" t="s">
        <v>666</v>
      </c>
      <c r="P276" t="s">
        <v>666</v>
      </c>
      <c r="Q276">
        <v>1</v>
      </c>
      <c r="X276">
        <v>0.02</v>
      </c>
      <c r="Y276">
        <v>0</v>
      </c>
      <c r="Z276">
        <v>65.709999999999994</v>
      </c>
      <c r="AA276">
        <v>11.6</v>
      </c>
      <c r="AB276">
        <v>0</v>
      </c>
      <c r="AC276">
        <v>0</v>
      </c>
      <c r="AD276">
        <v>1</v>
      </c>
      <c r="AE276">
        <v>0</v>
      </c>
      <c r="AF276" t="s">
        <v>6</v>
      </c>
      <c r="AG276">
        <v>0.02</v>
      </c>
      <c r="AH276">
        <v>2</v>
      </c>
      <c r="AI276">
        <v>16803141</v>
      </c>
      <c r="AJ276">
        <v>283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 x14ac:dyDescent="0.2">
      <c r="A277">
        <f>ROW(Source!A187)</f>
        <v>187</v>
      </c>
      <c r="B277">
        <v>16803155</v>
      </c>
      <c r="C277">
        <v>16803137</v>
      </c>
      <c r="D277">
        <v>15167588</v>
      </c>
      <c r="E277">
        <v>1</v>
      </c>
      <c r="F277">
        <v>1</v>
      </c>
      <c r="G277">
        <v>1</v>
      </c>
      <c r="H277">
        <v>3</v>
      </c>
      <c r="I277" t="s">
        <v>835</v>
      </c>
      <c r="J277" t="s">
        <v>836</v>
      </c>
      <c r="K277" t="s">
        <v>837</v>
      </c>
      <c r="L277">
        <v>1346</v>
      </c>
      <c r="N277">
        <v>1009</v>
      </c>
      <c r="O277" t="s">
        <v>103</v>
      </c>
      <c r="P277" t="s">
        <v>103</v>
      </c>
      <c r="Q277">
        <v>1</v>
      </c>
      <c r="X277">
        <v>0.11</v>
      </c>
      <c r="Y277">
        <v>30.4</v>
      </c>
      <c r="Z277">
        <v>0</v>
      </c>
      <c r="AA277">
        <v>0</v>
      </c>
      <c r="AB277">
        <v>0</v>
      </c>
      <c r="AC277">
        <v>0</v>
      </c>
      <c r="AD277">
        <v>1</v>
      </c>
      <c r="AE277">
        <v>0</v>
      </c>
      <c r="AF277" t="s">
        <v>6</v>
      </c>
      <c r="AG277">
        <v>0.11</v>
      </c>
      <c r="AH277">
        <v>2</v>
      </c>
      <c r="AI277">
        <v>16803142</v>
      </c>
      <c r="AJ277">
        <v>284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 x14ac:dyDescent="0.2">
      <c r="A278">
        <f>ROW(Source!A187)</f>
        <v>187</v>
      </c>
      <c r="B278">
        <v>16803156</v>
      </c>
      <c r="C278">
        <v>16803137</v>
      </c>
      <c r="D278">
        <v>15170074</v>
      </c>
      <c r="E278">
        <v>1</v>
      </c>
      <c r="F278">
        <v>1</v>
      </c>
      <c r="G278">
        <v>1</v>
      </c>
      <c r="H278">
        <v>3</v>
      </c>
      <c r="I278" t="s">
        <v>844</v>
      </c>
      <c r="J278" t="s">
        <v>845</v>
      </c>
      <c r="K278" t="s">
        <v>846</v>
      </c>
      <c r="L278">
        <v>1355</v>
      </c>
      <c r="N278">
        <v>1010</v>
      </c>
      <c r="O278" t="s">
        <v>126</v>
      </c>
      <c r="P278" t="s">
        <v>126</v>
      </c>
      <c r="Q278">
        <v>100</v>
      </c>
      <c r="X278">
        <v>1.02</v>
      </c>
      <c r="Y278">
        <v>86</v>
      </c>
      <c r="Z278">
        <v>0</v>
      </c>
      <c r="AA278">
        <v>0</v>
      </c>
      <c r="AB278">
        <v>0</v>
      </c>
      <c r="AC278">
        <v>0</v>
      </c>
      <c r="AD278">
        <v>1</v>
      </c>
      <c r="AE278">
        <v>0</v>
      </c>
      <c r="AF278" t="s">
        <v>6</v>
      </c>
      <c r="AG278">
        <v>1.02</v>
      </c>
      <c r="AH278">
        <v>2</v>
      </c>
      <c r="AI278">
        <v>16803143</v>
      </c>
      <c r="AJ278">
        <v>285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 x14ac:dyDescent="0.2">
      <c r="A279">
        <f>ROW(Source!A187)</f>
        <v>187</v>
      </c>
      <c r="B279">
        <v>16803157</v>
      </c>
      <c r="C279">
        <v>16803137</v>
      </c>
      <c r="D279">
        <v>15170434</v>
      </c>
      <c r="E279">
        <v>1</v>
      </c>
      <c r="F279">
        <v>1</v>
      </c>
      <c r="G279">
        <v>1</v>
      </c>
      <c r="H279">
        <v>3</v>
      </c>
      <c r="I279" t="s">
        <v>903</v>
      </c>
      <c r="J279" t="s">
        <v>904</v>
      </c>
      <c r="K279" t="s">
        <v>905</v>
      </c>
      <c r="L279">
        <v>1348</v>
      </c>
      <c r="N279">
        <v>1009</v>
      </c>
      <c r="O279" t="s">
        <v>65</v>
      </c>
      <c r="P279" t="s">
        <v>65</v>
      </c>
      <c r="Q279">
        <v>1000</v>
      </c>
      <c r="X279">
        <v>1.6000000000000001E-4</v>
      </c>
      <c r="Y279">
        <v>29800</v>
      </c>
      <c r="Z279">
        <v>0</v>
      </c>
      <c r="AA279">
        <v>0</v>
      </c>
      <c r="AB279">
        <v>0</v>
      </c>
      <c r="AC279">
        <v>0</v>
      </c>
      <c r="AD279">
        <v>1</v>
      </c>
      <c r="AE279">
        <v>0</v>
      </c>
      <c r="AF279" t="s">
        <v>6</v>
      </c>
      <c r="AG279">
        <v>1.6000000000000001E-4</v>
      </c>
      <c r="AH279">
        <v>2</v>
      </c>
      <c r="AI279">
        <v>16803144</v>
      </c>
      <c r="AJ279">
        <v>286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 x14ac:dyDescent="0.2">
      <c r="A280">
        <f>ROW(Source!A187)</f>
        <v>187</v>
      </c>
      <c r="B280">
        <v>16803158</v>
      </c>
      <c r="C280">
        <v>16803137</v>
      </c>
      <c r="D280">
        <v>15170438</v>
      </c>
      <c r="E280">
        <v>1</v>
      </c>
      <c r="F280">
        <v>1</v>
      </c>
      <c r="G280">
        <v>1</v>
      </c>
      <c r="H280">
        <v>3</v>
      </c>
      <c r="I280" t="s">
        <v>879</v>
      </c>
      <c r="J280" t="s">
        <v>880</v>
      </c>
      <c r="K280" t="s">
        <v>881</v>
      </c>
      <c r="L280">
        <v>1348</v>
      </c>
      <c r="N280">
        <v>1009</v>
      </c>
      <c r="O280" t="s">
        <v>65</v>
      </c>
      <c r="P280" t="s">
        <v>65</v>
      </c>
      <c r="Q280">
        <v>1000</v>
      </c>
      <c r="X280">
        <v>2.9999999999999997E-4</v>
      </c>
      <c r="Y280">
        <v>12430</v>
      </c>
      <c r="Z280">
        <v>0</v>
      </c>
      <c r="AA280">
        <v>0</v>
      </c>
      <c r="AB280">
        <v>0</v>
      </c>
      <c r="AC280">
        <v>0</v>
      </c>
      <c r="AD280">
        <v>1</v>
      </c>
      <c r="AE280">
        <v>0</v>
      </c>
      <c r="AF280" t="s">
        <v>6</v>
      </c>
      <c r="AG280">
        <v>2.9999999999999997E-4</v>
      </c>
      <c r="AH280">
        <v>2</v>
      </c>
      <c r="AI280">
        <v>16803145</v>
      </c>
      <c r="AJ280">
        <v>287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 x14ac:dyDescent="0.2">
      <c r="A281">
        <f>ROW(Source!A187)</f>
        <v>187</v>
      </c>
      <c r="B281">
        <v>16803159</v>
      </c>
      <c r="C281">
        <v>16803137</v>
      </c>
      <c r="D281">
        <v>15164559</v>
      </c>
      <c r="E281">
        <v>17</v>
      </c>
      <c r="F281">
        <v>1</v>
      </c>
      <c r="G281">
        <v>1</v>
      </c>
      <c r="H281">
        <v>3</v>
      </c>
      <c r="I281" t="s">
        <v>821</v>
      </c>
      <c r="J281" t="s">
        <v>6</v>
      </c>
      <c r="K281" t="s">
        <v>822</v>
      </c>
      <c r="L281">
        <v>1374</v>
      </c>
      <c r="N281">
        <v>1013</v>
      </c>
      <c r="O281" t="s">
        <v>823</v>
      </c>
      <c r="P281" t="s">
        <v>823</v>
      </c>
      <c r="Q281">
        <v>1</v>
      </c>
      <c r="X281">
        <v>6.86</v>
      </c>
      <c r="Y281">
        <v>1</v>
      </c>
      <c r="Z281">
        <v>0</v>
      </c>
      <c r="AA281">
        <v>0</v>
      </c>
      <c r="AB281">
        <v>0</v>
      </c>
      <c r="AC281">
        <v>0</v>
      </c>
      <c r="AD281">
        <v>1</v>
      </c>
      <c r="AE281">
        <v>0</v>
      </c>
      <c r="AF281" t="s">
        <v>6</v>
      </c>
      <c r="AG281">
        <v>6.86</v>
      </c>
      <c r="AH281">
        <v>2</v>
      </c>
      <c r="AI281">
        <v>16803146</v>
      </c>
      <c r="AJ281">
        <v>290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 x14ac:dyDescent="0.2">
      <c r="A282">
        <f>ROW(Source!A190)</f>
        <v>190</v>
      </c>
      <c r="B282">
        <v>16803173</v>
      </c>
      <c r="C282">
        <v>16803162</v>
      </c>
      <c r="D282">
        <v>15442878</v>
      </c>
      <c r="E282">
        <v>1</v>
      </c>
      <c r="F282">
        <v>1</v>
      </c>
      <c r="G282">
        <v>1</v>
      </c>
      <c r="H282">
        <v>1</v>
      </c>
      <c r="I282" t="s">
        <v>906</v>
      </c>
      <c r="J282" t="s">
        <v>6</v>
      </c>
      <c r="K282" t="s">
        <v>907</v>
      </c>
      <c r="L282">
        <v>1191</v>
      </c>
      <c r="N282">
        <v>1013</v>
      </c>
      <c r="O282" t="s">
        <v>660</v>
      </c>
      <c r="P282" t="s">
        <v>660</v>
      </c>
      <c r="Q282">
        <v>1</v>
      </c>
      <c r="X282">
        <v>0.9</v>
      </c>
      <c r="Y282">
        <v>0</v>
      </c>
      <c r="Z282">
        <v>0</v>
      </c>
      <c r="AA282">
        <v>0</v>
      </c>
      <c r="AB282">
        <v>10.5</v>
      </c>
      <c r="AC282">
        <v>0</v>
      </c>
      <c r="AD282">
        <v>1</v>
      </c>
      <c r="AE282">
        <v>1</v>
      </c>
      <c r="AF282" t="s">
        <v>6</v>
      </c>
      <c r="AG282">
        <v>0.9</v>
      </c>
      <c r="AH282">
        <v>2</v>
      </c>
      <c r="AI282">
        <v>16803163</v>
      </c>
      <c r="AJ282">
        <v>291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 x14ac:dyDescent="0.2">
      <c r="A283">
        <f>ROW(Source!A190)</f>
        <v>190</v>
      </c>
      <c r="B283">
        <v>16803174</v>
      </c>
      <c r="C283">
        <v>16803162</v>
      </c>
      <c r="D283">
        <v>15430395</v>
      </c>
      <c r="E283">
        <v>1</v>
      </c>
      <c r="F283">
        <v>1</v>
      </c>
      <c r="G283">
        <v>1</v>
      </c>
      <c r="H283">
        <v>1</v>
      </c>
      <c r="I283" t="s">
        <v>661</v>
      </c>
      <c r="J283" t="s">
        <v>6</v>
      </c>
      <c r="K283" t="s">
        <v>662</v>
      </c>
      <c r="L283">
        <v>1191</v>
      </c>
      <c r="N283">
        <v>1013</v>
      </c>
      <c r="O283" t="s">
        <v>660</v>
      </c>
      <c r="P283" t="s">
        <v>660</v>
      </c>
      <c r="Q283">
        <v>1</v>
      </c>
      <c r="X283">
        <v>0.2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1</v>
      </c>
      <c r="AE283">
        <v>2</v>
      </c>
      <c r="AF283" t="s">
        <v>6</v>
      </c>
      <c r="AG283">
        <v>0.2</v>
      </c>
      <c r="AH283">
        <v>2</v>
      </c>
      <c r="AI283">
        <v>16803164</v>
      </c>
      <c r="AJ283">
        <v>292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 x14ac:dyDescent="0.2">
      <c r="A284">
        <f>ROW(Source!A190)</f>
        <v>190</v>
      </c>
      <c r="B284">
        <v>16803175</v>
      </c>
      <c r="C284">
        <v>16803162</v>
      </c>
      <c r="D284">
        <v>15247680</v>
      </c>
      <c r="E284">
        <v>1</v>
      </c>
      <c r="F284">
        <v>1</v>
      </c>
      <c r="G284">
        <v>1</v>
      </c>
      <c r="H284">
        <v>2</v>
      </c>
      <c r="I284" t="s">
        <v>786</v>
      </c>
      <c r="J284" t="s">
        <v>787</v>
      </c>
      <c r="K284" t="s">
        <v>788</v>
      </c>
      <c r="L284">
        <v>1368</v>
      </c>
      <c r="N284">
        <v>1011</v>
      </c>
      <c r="O284" t="s">
        <v>666</v>
      </c>
      <c r="P284" t="s">
        <v>666</v>
      </c>
      <c r="Q284">
        <v>1</v>
      </c>
      <c r="X284">
        <v>0.1</v>
      </c>
      <c r="Y284">
        <v>0</v>
      </c>
      <c r="Z284">
        <v>111.99</v>
      </c>
      <c r="AA284">
        <v>13.5</v>
      </c>
      <c r="AB284">
        <v>0</v>
      </c>
      <c r="AC284">
        <v>0</v>
      </c>
      <c r="AD284">
        <v>1</v>
      </c>
      <c r="AE284">
        <v>0</v>
      </c>
      <c r="AF284" t="s">
        <v>6</v>
      </c>
      <c r="AG284">
        <v>0.1</v>
      </c>
      <c r="AH284">
        <v>2</v>
      </c>
      <c r="AI284">
        <v>16803165</v>
      </c>
      <c r="AJ284">
        <v>293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 x14ac:dyDescent="0.2">
      <c r="A285">
        <f>ROW(Source!A190)</f>
        <v>190</v>
      </c>
      <c r="B285">
        <v>16803176</v>
      </c>
      <c r="C285">
        <v>16803162</v>
      </c>
      <c r="D285">
        <v>15249073</v>
      </c>
      <c r="E285">
        <v>1</v>
      </c>
      <c r="F285">
        <v>1</v>
      </c>
      <c r="G285">
        <v>1</v>
      </c>
      <c r="H285">
        <v>2</v>
      </c>
      <c r="I285" t="s">
        <v>684</v>
      </c>
      <c r="J285" t="s">
        <v>685</v>
      </c>
      <c r="K285" t="s">
        <v>686</v>
      </c>
      <c r="L285">
        <v>1368</v>
      </c>
      <c r="N285">
        <v>1011</v>
      </c>
      <c r="O285" t="s">
        <v>666</v>
      </c>
      <c r="P285" t="s">
        <v>666</v>
      </c>
      <c r="Q285">
        <v>1</v>
      </c>
      <c r="X285">
        <v>0.1</v>
      </c>
      <c r="Y285">
        <v>0</v>
      </c>
      <c r="Z285">
        <v>65.709999999999994</v>
      </c>
      <c r="AA285">
        <v>11.6</v>
      </c>
      <c r="AB285">
        <v>0</v>
      </c>
      <c r="AC285">
        <v>0</v>
      </c>
      <c r="AD285">
        <v>1</v>
      </c>
      <c r="AE285">
        <v>0</v>
      </c>
      <c r="AF285" t="s">
        <v>6</v>
      </c>
      <c r="AG285">
        <v>0.1</v>
      </c>
      <c r="AH285">
        <v>2</v>
      </c>
      <c r="AI285">
        <v>16803166</v>
      </c>
      <c r="AJ285">
        <v>294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 x14ac:dyDescent="0.2">
      <c r="A286">
        <f>ROW(Source!A190)</f>
        <v>190</v>
      </c>
      <c r="B286">
        <v>16803177</v>
      </c>
      <c r="C286">
        <v>16803162</v>
      </c>
      <c r="D286">
        <v>15167588</v>
      </c>
      <c r="E286">
        <v>1</v>
      </c>
      <c r="F286">
        <v>1</v>
      </c>
      <c r="G286">
        <v>1</v>
      </c>
      <c r="H286">
        <v>3</v>
      </c>
      <c r="I286" t="s">
        <v>835</v>
      </c>
      <c r="J286" t="s">
        <v>836</v>
      </c>
      <c r="K286" t="s">
        <v>837</v>
      </c>
      <c r="L286">
        <v>1346</v>
      </c>
      <c r="N286">
        <v>1009</v>
      </c>
      <c r="O286" t="s">
        <v>103</v>
      </c>
      <c r="P286" t="s">
        <v>103</v>
      </c>
      <c r="Q286">
        <v>1</v>
      </c>
      <c r="X286">
        <v>0.01</v>
      </c>
      <c r="Y286">
        <v>30.4</v>
      </c>
      <c r="Z286">
        <v>0</v>
      </c>
      <c r="AA286">
        <v>0</v>
      </c>
      <c r="AB286">
        <v>0</v>
      </c>
      <c r="AC286">
        <v>0</v>
      </c>
      <c r="AD286">
        <v>1</v>
      </c>
      <c r="AE286">
        <v>0</v>
      </c>
      <c r="AF286" t="s">
        <v>6</v>
      </c>
      <c r="AG286">
        <v>0.01</v>
      </c>
      <c r="AH286">
        <v>2</v>
      </c>
      <c r="AI286">
        <v>16803167</v>
      </c>
      <c r="AJ286">
        <v>295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 x14ac:dyDescent="0.2">
      <c r="A287">
        <f>ROW(Source!A190)</f>
        <v>190</v>
      </c>
      <c r="B287">
        <v>16803178</v>
      </c>
      <c r="C287">
        <v>16803162</v>
      </c>
      <c r="D287">
        <v>15169942</v>
      </c>
      <c r="E287">
        <v>1</v>
      </c>
      <c r="F287">
        <v>1</v>
      </c>
      <c r="G287">
        <v>1</v>
      </c>
      <c r="H287">
        <v>3</v>
      </c>
      <c r="I287" t="s">
        <v>841</v>
      </c>
      <c r="J287" t="s">
        <v>842</v>
      </c>
      <c r="K287" t="s">
        <v>843</v>
      </c>
      <c r="L287">
        <v>1346</v>
      </c>
      <c r="N287">
        <v>1009</v>
      </c>
      <c r="O287" t="s">
        <v>103</v>
      </c>
      <c r="P287" t="s">
        <v>103</v>
      </c>
      <c r="Q287">
        <v>1</v>
      </c>
      <c r="X287">
        <v>0.3</v>
      </c>
      <c r="Y287">
        <v>9.0399999999999991</v>
      </c>
      <c r="Z287">
        <v>0</v>
      </c>
      <c r="AA287">
        <v>0</v>
      </c>
      <c r="AB287">
        <v>0</v>
      </c>
      <c r="AC287">
        <v>0</v>
      </c>
      <c r="AD287">
        <v>1</v>
      </c>
      <c r="AE287">
        <v>0</v>
      </c>
      <c r="AF287" t="s">
        <v>6</v>
      </c>
      <c r="AG287">
        <v>0.3</v>
      </c>
      <c r="AH287">
        <v>2</v>
      </c>
      <c r="AI287">
        <v>16803168</v>
      </c>
      <c r="AJ287">
        <v>296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 x14ac:dyDescent="0.2">
      <c r="A288">
        <f>ROW(Source!A190)</f>
        <v>190</v>
      </c>
      <c r="B288">
        <v>16803179</v>
      </c>
      <c r="C288">
        <v>16803162</v>
      </c>
      <c r="D288">
        <v>15191488</v>
      </c>
      <c r="E288">
        <v>1</v>
      </c>
      <c r="F288">
        <v>1</v>
      </c>
      <c r="G288">
        <v>1</v>
      </c>
      <c r="H288">
        <v>3</v>
      </c>
      <c r="I288" t="s">
        <v>908</v>
      </c>
      <c r="J288" t="s">
        <v>909</v>
      </c>
      <c r="K288" t="s">
        <v>910</v>
      </c>
      <c r="L288">
        <v>1348</v>
      </c>
      <c r="N288">
        <v>1009</v>
      </c>
      <c r="O288" t="s">
        <v>65</v>
      </c>
      <c r="P288" t="s">
        <v>65</v>
      </c>
      <c r="Q288">
        <v>1000</v>
      </c>
      <c r="X288">
        <v>5.9999999999999995E-4</v>
      </c>
      <c r="Y288">
        <v>5000</v>
      </c>
      <c r="Z288">
        <v>0</v>
      </c>
      <c r="AA288">
        <v>0</v>
      </c>
      <c r="AB288">
        <v>0</v>
      </c>
      <c r="AC288">
        <v>0</v>
      </c>
      <c r="AD288">
        <v>1</v>
      </c>
      <c r="AE288">
        <v>0</v>
      </c>
      <c r="AF288" t="s">
        <v>6</v>
      </c>
      <c r="AG288">
        <v>5.9999999999999995E-4</v>
      </c>
      <c r="AH288">
        <v>2</v>
      </c>
      <c r="AI288">
        <v>16803169</v>
      </c>
      <c r="AJ288">
        <v>297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 x14ac:dyDescent="0.2">
      <c r="A289">
        <f>ROW(Source!A190)</f>
        <v>190</v>
      </c>
      <c r="B289">
        <v>16803180</v>
      </c>
      <c r="C289">
        <v>16803162</v>
      </c>
      <c r="D289">
        <v>15164559</v>
      </c>
      <c r="E289">
        <v>17</v>
      </c>
      <c r="F289">
        <v>1</v>
      </c>
      <c r="G289">
        <v>1</v>
      </c>
      <c r="H289">
        <v>3</v>
      </c>
      <c r="I289" t="s">
        <v>821</v>
      </c>
      <c r="J289" t="s">
        <v>6</v>
      </c>
      <c r="K289" t="s">
        <v>822</v>
      </c>
      <c r="L289">
        <v>1374</v>
      </c>
      <c r="N289">
        <v>1013</v>
      </c>
      <c r="O289" t="s">
        <v>823</v>
      </c>
      <c r="P289" t="s">
        <v>823</v>
      </c>
      <c r="Q289">
        <v>1</v>
      </c>
      <c r="X289">
        <v>0.19</v>
      </c>
      <c r="Y289">
        <v>1</v>
      </c>
      <c r="Z289">
        <v>0</v>
      </c>
      <c r="AA289">
        <v>0</v>
      </c>
      <c r="AB289">
        <v>0</v>
      </c>
      <c r="AC289">
        <v>0</v>
      </c>
      <c r="AD289">
        <v>1</v>
      </c>
      <c r="AE289">
        <v>0</v>
      </c>
      <c r="AF289" t="s">
        <v>6</v>
      </c>
      <c r="AG289">
        <v>0.19</v>
      </c>
      <c r="AH289">
        <v>2</v>
      </c>
      <c r="AI289">
        <v>16803170</v>
      </c>
      <c r="AJ289">
        <v>299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 x14ac:dyDescent="0.2">
      <c r="A290">
        <f>ROW(Source!A192)</f>
        <v>192</v>
      </c>
      <c r="B290">
        <v>16803206</v>
      </c>
      <c r="C290">
        <v>16803182</v>
      </c>
      <c r="D290">
        <v>15435721</v>
      </c>
      <c r="E290">
        <v>1</v>
      </c>
      <c r="F290">
        <v>1</v>
      </c>
      <c r="G290">
        <v>1</v>
      </c>
      <c r="H290">
        <v>1</v>
      </c>
      <c r="I290" t="s">
        <v>738</v>
      </c>
      <c r="J290" t="s">
        <v>6</v>
      </c>
      <c r="K290" t="s">
        <v>739</v>
      </c>
      <c r="L290">
        <v>1191</v>
      </c>
      <c r="N290">
        <v>1013</v>
      </c>
      <c r="O290" t="s">
        <v>660</v>
      </c>
      <c r="P290" t="s">
        <v>660</v>
      </c>
      <c r="Q290">
        <v>1</v>
      </c>
      <c r="X290">
        <v>1.56</v>
      </c>
      <c r="Y290">
        <v>0</v>
      </c>
      <c r="Z290">
        <v>0</v>
      </c>
      <c r="AA290">
        <v>0</v>
      </c>
      <c r="AB290">
        <v>9.51</v>
      </c>
      <c r="AC290">
        <v>0</v>
      </c>
      <c r="AD290">
        <v>1</v>
      </c>
      <c r="AE290">
        <v>1</v>
      </c>
      <c r="AF290" t="s">
        <v>6</v>
      </c>
      <c r="AG290">
        <v>1.56</v>
      </c>
      <c r="AH290">
        <v>2</v>
      </c>
      <c r="AI290">
        <v>16803183</v>
      </c>
      <c r="AJ290">
        <v>300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 x14ac:dyDescent="0.2">
      <c r="A291">
        <f>ROW(Source!A192)</f>
        <v>192</v>
      </c>
      <c r="B291">
        <v>16803207</v>
      </c>
      <c r="C291">
        <v>16803182</v>
      </c>
      <c r="D291">
        <v>15249377</v>
      </c>
      <c r="E291">
        <v>1</v>
      </c>
      <c r="F291">
        <v>1</v>
      </c>
      <c r="G291">
        <v>1</v>
      </c>
      <c r="H291">
        <v>2</v>
      </c>
      <c r="I291" t="s">
        <v>804</v>
      </c>
      <c r="J291" t="s">
        <v>805</v>
      </c>
      <c r="K291" t="s">
        <v>806</v>
      </c>
      <c r="L291">
        <v>1368</v>
      </c>
      <c r="N291">
        <v>1011</v>
      </c>
      <c r="O291" t="s">
        <v>666</v>
      </c>
      <c r="P291" t="s">
        <v>666</v>
      </c>
      <c r="Q291">
        <v>1</v>
      </c>
      <c r="X291">
        <v>0.13</v>
      </c>
      <c r="Y291">
        <v>0</v>
      </c>
      <c r="Z291">
        <v>8.1</v>
      </c>
      <c r="AA291">
        <v>0</v>
      </c>
      <c r="AB291">
        <v>0</v>
      </c>
      <c r="AC291">
        <v>0</v>
      </c>
      <c r="AD291">
        <v>1</v>
      </c>
      <c r="AE291">
        <v>0</v>
      </c>
      <c r="AF291" t="s">
        <v>6</v>
      </c>
      <c r="AG291">
        <v>0.13</v>
      </c>
      <c r="AH291">
        <v>2</v>
      </c>
      <c r="AI291">
        <v>16803184</v>
      </c>
      <c r="AJ291">
        <v>301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 x14ac:dyDescent="0.2">
      <c r="A292">
        <f>ROW(Source!A192)</f>
        <v>192</v>
      </c>
      <c r="B292">
        <v>16803208</v>
      </c>
      <c r="C292">
        <v>16803182</v>
      </c>
      <c r="D292">
        <v>15165537</v>
      </c>
      <c r="E292">
        <v>1</v>
      </c>
      <c r="F292">
        <v>1</v>
      </c>
      <c r="G292">
        <v>1</v>
      </c>
      <c r="H292">
        <v>3</v>
      </c>
      <c r="I292" t="s">
        <v>829</v>
      </c>
      <c r="J292" t="s">
        <v>830</v>
      </c>
      <c r="K292" t="s">
        <v>831</v>
      </c>
      <c r="L292">
        <v>1346</v>
      </c>
      <c r="N292">
        <v>1009</v>
      </c>
      <c r="O292" t="s">
        <v>103</v>
      </c>
      <c r="P292" t="s">
        <v>103</v>
      </c>
      <c r="Q292">
        <v>1</v>
      </c>
      <c r="X292">
        <v>6.0000000000000001E-3</v>
      </c>
      <c r="Y292">
        <v>44.97</v>
      </c>
      <c r="Z292">
        <v>0</v>
      </c>
      <c r="AA292">
        <v>0</v>
      </c>
      <c r="AB292">
        <v>0</v>
      </c>
      <c r="AC292">
        <v>0</v>
      </c>
      <c r="AD292">
        <v>1</v>
      </c>
      <c r="AE292">
        <v>0</v>
      </c>
      <c r="AF292" t="s">
        <v>6</v>
      </c>
      <c r="AG292">
        <v>6.0000000000000001E-3</v>
      </c>
      <c r="AH292">
        <v>2</v>
      </c>
      <c r="AI292">
        <v>16803185</v>
      </c>
      <c r="AJ292">
        <v>302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 x14ac:dyDescent="0.2">
      <c r="A293">
        <f>ROW(Source!A192)</f>
        <v>192</v>
      </c>
      <c r="B293">
        <v>16803209</v>
      </c>
      <c r="C293">
        <v>16803182</v>
      </c>
      <c r="D293">
        <v>15167269</v>
      </c>
      <c r="E293">
        <v>1</v>
      </c>
      <c r="F293">
        <v>1</v>
      </c>
      <c r="G293">
        <v>1</v>
      </c>
      <c r="H293">
        <v>3</v>
      </c>
      <c r="I293" t="s">
        <v>832</v>
      </c>
      <c r="J293" t="s">
        <v>833</v>
      </c>
      <c r="K293" t="s">
        <v>834</v>
      </c>
      <c r="L293">
        <v>1346</v>
      </c>
      <c r="N293">
        <v>1009</v>
      </c>
      <c r="O293" t="s">
        <v>103</v>
      </c>
      <c r="P293" t="s">
        <v>103</v>
      </c>
      <c r="Q293">
        <v>1</v>
      </c>
      <c r="X293">
        <v>1E-3</v>
      </c>
      <c r="Y293">
        <v>11.5</v>
      </c>
      <c r="Z293">
        <v>0</v>
      </c>
      <c r="AA293">
        <v>0</v>
      </c>
      <c r="AB293">
        <v>0</v>
      </c>
      <c r="AC293">
        <v>0</v>
      </c>
      <c r="AD293">
        <v>1</v>
      </c>
      <c r="AE293">
        <v>0</v>
      </c>
      <c r="AF293" t="s">
        <v>6</v>
      </c>
      <c r="AG293">
        <v>1E-3</v>
      </c>
      <c r="AH293">
        <v>2</v>
      </c>
      <c r="AI293">
        <v>16803186</v>
      </c>
      <c r="AJ293">
        <v>303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 x14ac:dyDescent="0.2">
      <c r="A294">
        <f>ROW(Source!A192)</f>
        <v>192</v>
      </c>
      <c r="B294">
        <v>16803210</v>
      </c>
      <c r="C294">
        <v>16803182</v>
      </c>
      <c r="D294">
        <v>15167588</v>
      </c>
      <c r="E294">
        <v>1</v>
      </c>
      <c r="F294">
        <v>1</v>
      </c>
      <c r="G294">
        <v>1</v>
      </c>
      <c r="H294">
        <v>3</v>
      </c>
      <c r="I294" t="s">
        <v>835</v>
      </c>
      <c r="J294" t="s">
        <v>836</v>
      </c>
      <c r="K294" t="s">
        <v>837</v>
      </c>
      <c r="L294">
        <v>1346</v>
      </c>
      <c r="N294">
        <v>1009</v>
      </c>
      <c r="O294" t="s">
        <v>103</v>
      </c>
      <c r="P294" t="s">
        <v>103</v>
      </c>
      <c r="Q294">
        <v>1</v>
      </c>
      <c r="X294">
        <v>1.2E-2</v>
      </c>
      <c r="Y294">
        <v>30.4</v>
      </c>
      <c r="Z294">
        <v>0</v>
      </c>
      <c r="AA294">
        <v>0</v>
      </c>
      <c r="AB294">
        <v>0</v>
      </c>
      <c r="AC294">
        <v>0</v>
      </c>
      <c r="AD294">
        <v>1</v>
      </c>
      <c r="AE294">
        <v>0</v>
      </c>
      <c r="AF294" t="s">
        <v>6</v>
      </c>
      <c r="AG294">
        <v>1.2E-2</v>
      </c>
      <c r="AH294">
        <v>2</v>
      </c>
      <c r="AI294">
        <v>16803187</v>
      </c>
      <c r="AJ294">
        <v>304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 x14ac:dyDescent="0.2">
      <c r="A295">
        <f>ROW(Source!A192)</f>
        <v>192</v>
      </c>
      <c r="B295">
        <v>16803211</v>
      </c>
      <c r="C295">
        <v>16803182</v>
      </c>
      <c r="D295">
        <v>15168752</v>
      </c>
      <c r="E295">
        <v>1</v>
      </c>
      <c r="F295">
        <v>1</v>
      </c>
      <c r="G295">
        <v>1</v>
      </c>
      <c r="H295">
        <v>3</v>
      </c>
      <c r="I295" t="s">
        <v>838</v>
      </c>
      <c r="J295" t="s">
        <v>839</v>
      </c>
      <c r="K295" t="s">
        <v>840</v>
      </c>
      <c r="L295">
        <v>1346</v>
      </c>
      <c r="N295">
        <v>1009</v>
      </c>
      <c r="O295" t="s">
        <v>103</v>
      </c>
      <c r="P295" t="s">
        <v>103</v>
      </c>
      <c r="Q295">
        <v>1</v>
      </c>
      <c r="X295">
        <v>7.0000000000000007E-2</v>
      </c>
      <c r="Y295">
        <v>10.57</v>
      </c>
      <c r="Z295">
        <v>0</v>
      </c>
      <c r="AA295">
        <v>0</v>
      </c>
      <c r="AB295">
        <v>0</v>
      </c>
      <c r="AC295">
        <v>0</v>
      </c>
      <c r="AD295">
        <v>1</v>
      </c>
      <c r="AE295">
        <v>0</v>
      </c>
      <c r="AF295" t="s">
        <v>6</v>
      </c>
      <c r="AG295">
        <v>7.0000000000000007E-2</v>
      </c>
      <c r="AH295">
        <v>2</v>
      </c>
      <c r="AI295">
        <v>16803188</v>
      </c>
      <c r="AJ295">
        <v>305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 x14ac:dyDescent="0.2">
      <c r="A296">
        <f>ROW(Source!A192)</f>
        <v>192</v>
      </c>
      <c r="B296">
        <v>16803212</v>
      </c>
      <c r="C296">
        <v>16803182</v>
      </c>
      <c r="D296">
        <v>15169942</v>
      </c>
      <c r="E296">
        <v>1</v>
      </c>
      <c r="F296">
        <v>1</v>
      </c>
      <c r="G296">
        <v>1</v>
      </c>
      <c r="H296">
        <v>3</v>
      </c>
      <c r="I296" t="s">
        <v>841</v>
      </c>
      <c r="J296" t="s">
        <v>842</v>
      </c>
      <c r="K296" t="s">
        <v>843</v>
      </c>
      <c r="L296">
        <v>1346</v>
      </c>
      <c r="N296">
        <v>1009</v>
      </c>
      <c r="O296" t="s">
        <v>103</v>
      </c>
      <c r="P296" t="s">
        <v>103</v>
      </c>
      <c r="Q296">
        <v>1</v>
      </c>
      <c r="X296">
        <v>4.9000000000000002E-2</v>
      </c>
      <c r="Y296">
        <v>9.0399999999999991</v>
      </c>
      <c r="Z296">
        <v>0</v>
      </c>
      <c r="AA296">
        <v>0</v>
      </c>
      <c r="AB296">
        <v>0</v>
      </c>
      <c r="AC296">
        <v>0</v>
      </c>
      <c r="AD296">
        <v>1</v>
      </c>
      <c r="AE296">
        <v>0</v>
      </c>
      <c r="AF296" t="s">
        <v>6</v>
      </c>
      <c r="AG296">
        <v>4.9000000000000002E-2</v>
      </c>
      <c r="AH296">
        <v>2</v>
      </c>
      <c r="AI296">
        <v>16803189</v>
      </c>
      <c r="AJ296">
        <v>306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 x14ac:dyDescent="0.2">
      <c r="A297">
        <f>ROW(Source!A192)</f>
        <v>192</v>
      </c>
      <c r="B297">
        <v>16803213</v>
      </c>
      <c r="C297">
        <v>16803182</v>
      </c>
      <c r="D297">
        <v>15170074</v>
      </c>
      <c r="E297">
        <v>1</v>
      </c>
      <c r="F297">
        <v>1</v>
      </c>
      <c r="G297">
        <v>1</v>
      </c>
      <c r="H297">
        <v>3</v>
      </c>
      <c r="I297" t="s">
        <v>844</v>
      </c>
      <c r="J297" t="s">
        <v>845</v>
      </c>
      <c r="K297" t="s">
        <v>846</v>
      </c>
      <c r="L297">
        <v>1355</v>
      </c>
      <c r="N297">
        <v>1010</v>
      </c>
      <c r="O297" t="s">
        <v>126</v>
      </c>
      <c r="P297" t="s">
        <v>126</v>
      </c>
      <c r="Q297">
        <v>100</v>
      </c>
      <c r="X297">
        <v>1.4E-2</v>
      </c>
      <c r="Y297">
        <v>86</v>
      </c>
      <c r="Z297">
        <v>0</v>
      </c>
      <c r="AA297">
        <v>0</v>
      </c>
      <c r="AB297">
        <v>0</v>
      </c>
      <c r="AC297">
        <v>0</v>
      </c>
      <c r="AD297">
        <v>1</v>
      </c>
      <c r="AE297">
        <v>0</v>
      </c>
      <c r="AF297" t="s">
        <v>6</v>
      </c>
      <c r="AG297">
        <v>1.4E-2</v>
      </c>
      <c r="AH297">
        <v>2</v>
      </c>
      <c r="AI297">
        <v>16803190</v>
      </c>
      <c r="AJ297">
        <v>307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 x14ac:dyDescent="0.2">
      <c r="A298">
        <f>ROW(Source!A192)</f>
        <v>192</v>
      </c>
      <c r="B298">
        <v>16803214</v>
      </c>
      <c r="C298">
        <v>16803182</v>
      </c>
      <c r="D298">
        <v>15170994</v>
      </c>
      <c r="E298">
        <v>1</v>
      </c>
      <c r="F298">
        <v>1</v>
      </c>
      <c r="G298">
        <v>1</v>
      </c>
      <c r="H298">
        <v>3</v>
      </c>
      <c r="I298" t="s">
        <v>847</v>
      </c>
      <c r="J298" t="s">
        <v>848</v>
      </c>
      <c r="K298" t="s">
        <v>849</v>
      </c>
      <c r="L298">
        <v>1346</v>
      </c>
      <c r="N298">
        <v>1009</v>
      </c>
      <c r="O298" t="s">
        <v>103</v>
      </c>
      <c r="P298" t="s">
        <v>103</v>
      </c>
      <c r="Q298">
        <v>1</v>
      </c>
      <c r="X298">
        <v>1E-3</v>
      </c>
      <c r="Y298">
        <v>133.05000000000001</v>
      </c>
      <c r="Z298">
        <v>0</v>
      </c>
      <c r="AA298">
        <v>0</v>
      </c>
      <c r="AB298">
        <v>0</v>
      </c>
      <c r="AC298">
        <v>0</v>
      </c>
      <c r="AD298">
        <v>1</v>
      </c>
      <c r="AE298">
        <v>0</v>
      </c>
      <c r="AF298" t="s">
        <v>6</v>
      </c>
      <c r="AG298">
        <v>1E-3</v>
      </c>
      <c r="AH298">
        <v>2</v>
      </c>
      <c r="AI298">
        <v>16803191</v>
      </c>
      <c r="AJ298">
        <v>308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 x14ac:dyDescent="0.2">
      <c r="A299">
        <f>ROW(Source!A192)</f>
        <v>192</v>
      </c>
      <c r="B299">
        <v>16803215</v>
      </c>
      <c r="C299">
        <v>16803182</v>
      </c>
      <c r="D299">
        <v>15188647</v>
      </c>
      <c r="E299">
        <v>1</v>
      </c>
      <c r="F299">
        <v>1</v>
      </c>
      <c r="G299">
        <v>1</v>
      </c>
      <c r="H299">
        <v>3</v>
      </c>
      <c r="I299" t="s">
        <v>850</v>
      </c>
      <c r="J299" t="s">
        <v>851</v>
      </c>
      <c r="K299" t="s">
        <v>852</v>
      </c>
      <c r="L299">
        <v>1348</v>
      </c>
      <c r="N299">
        <v>1009</v>
      </c>
      <c r="O299" t="s">
        <v>65</v>
      </c>
      <c r="P299" t="s">
        <v>65</v>
      </c>
      <c r="Q299">
        <v>1000</v>
      </c>
      <c r="X299">
        <v>1E-3</v>
      </c>
      <c r="Y299">
        <v>11500</v>
      </c>
      <c r="Z299">
        <v>0</v>
      </c>
      <c r="AA299">
        <v>0</v>
      </c>
      <c r="AB299">
        <v>0</v>
      </c>
      <c r="AC299">
        <v>0</v>
      </c>
      <c r="AD299">
        <v>1</v>
      </c>
      <c r="AE299">
        <v>0</v>
      </c>
      <c r="AF299" t="s">
        <v>6</v>
      </c>
      <c r="AG299">
        <v>1E-3</v>
      </c>
      <c r="AH299">
        <v>2</v>
      </c>
      <c r="AI299">
        <v>16803192</v>
      </c>
      <c r="AJ299">
        <v>309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 x14ac:dyDescent="0.2">
      <c r="A300">
        <f>ROW(Source!A192)</f>
        <v>192</v>
      </c>
      <c r="B300">
        <v>16803216</v>
      </c>
      <c r="C300">
        <v>16803182</v>
      </c>
      <c r="D300">
        <v>15203834</v>
      </c>
      <c r="E300">
        <v>1</v>
      </c>
      <c r="F300">
        <v>1</v>
      </c>
      <c r="G300">
        <v>1</v>
      </c>
      <c r="H300">
        <v>3</v>
      </c>
      <c r="I300" t="s">
        <v>853</v>
      </c>
      <c r="J300" t="s">
        <v>854</v>
      </c>
      <c r="K300" t="s">
        <v>855</v>
      </c>
      <c r="L300">
        <v>1346</v>
      </c>
      <c r="N300">
        <v>1009</v>
      </c>
      <c r="O300" t="s">
        <v>103</v>
      </c>
      <c r="P300" t="s">
        <v>103</v>
      </c>
      <c r="Q300">
        <v>1</v>
      </c>
      <c r="X300">
        <v>3.5999999999999997E-2</v>
      </c>
      <c r="Y300">
        <v>28.6</v>
      </c>
      <c r="Z300">
        <v>0</v>
      </c>
      <c r="AA300">
        <v>0</v>
      </c>
      <c r="AB300">
        <v>0</v>
      </c>
      <c r="AC300">
        <v>0</v>
      </c>
      <c r="AD300">
        <v>1</v>
      </c>
      <c r="AE300">
        <v>0</v>
      </c>
      <c r="AF300" t="s">
        <v>6</v>
      </c>
      <c r="AG300">
        <v>3.5999999999999997E-2</v>
      </c>
      <c r="AH300">
        <v>2</v>
      </c>
      <c r="AI300">
        <v>16803193</v>
      </c>
      <c r="AJ300">
        <v>310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 x14ac:dyDescent="0.2">
      <c r="A301">
        <f>ROW(Source!A192)</f>
        <v>192</v>
      </c>
      <c r="B301">
        <v>16803217</v>
      </c>
      <c r="C301">
        <v>16803182</v>
      </c>
      <c r="D301">
        <v>15203987</v>
      </c>
      <c r="E301">
        <v>1</v>
      </c>
      <c r="F301">
        <v>1</v>
      </c>
      <c r="G301">
        <v>1</v>
      </c>
      <c r="H301">
        <v>3</v>
      </c>
      <c r="I301" t="s">
        <v>856</v>
      </c>
      <c r="J301" t="s">
        <v>857</v>
      </c>
      <c r="K301" t="s">
        <v>858</v>
      </c>
      <c r="L301">
        <v>1346</v>
      </c>
      <c r="N301">
        <v>1009</v>
      </c>
      <c r="O301" t="s">
        <v>103</v>
      </c>
      <c r="P301" t="s">
        <v>103</v>
      </c>
      <c r="Q301">
        <v>1</v>
      </c>
      <c r="X301">
        <v>6.0000000000000001E-3</v>
      </c>
      <c r="Y301">
        <v>35.630000000000003</v>
      </c>
      <c r="Z301">
        <v>0</v>
      </c>
      <c r="AA301">
        <v>0</v>
      </c>
      <c r="AB301">
        <v>0</v>
      </c>
      <c r="AC301">
        <v>0</v>
      </c>
      <c r="AD301">
        <v>1</v>
      </c>
      <c r="AE301">
        <v>0</v>
      </c>
      <c r="AF301" t="s">
        <v>6</v>
      </c>
      <c r="AG301">
        <v>6.0000000000000001E-3</v>
      </c>
      <c r="AH301">
        <v>2</v>
      </c>
      <c r="AI301">
        <v>16803194</v>
      </c>
      <c r="AJ301">
        <v>311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 x14ac:dyDescent="0.2">
      <c r="A302">
        <f>ROW(Source!A192)</f>
        <v>192</v>
      </c>
      <c r="B302">
        <v>16803218</v>
      </c>
      <c r="C302">
        <v>16803182</v>
      </c>
      <c r="D302">
        <v>15217463</v>
      </c>
      <c r="E302">
        <v>1</v>
      </c>
      <c r="F302">
        <v>1</v>
      </c>
      <c r="G302">
        <v>1</v>
      </c>
      <c r="H302">
        <v>3</v>
      </c>
      <c r="I302" t="s">
        <v>859</v>
      </c>
      <c r="J302" t="s">
        <v>860</v>
      </c>
      <c r="K302" t="s">
        <v>861</v>
      </c>
      <c r="L302">
        <v>1358</v>
      </c>
      <c r="N302">
        <v>1010</v>
      </c>
      <c r="O302" t="s">
        <v>435</v>
      </c>
      <c r="P302" t="s">
        <v>435</v>
      </c>
      <c r="Q302">
        <v>10</v>
      </c>
      <c r="X302">
        <v>0.1</v>
      </c>
      <c r="Y302">
        <v>39</v>
      </c>
      <c r="Z302">
        <v>0</v>
      </c>
      <c r="AA302">
        <v>0</v>
      </c>
      <c r="AB302">
        <v>0</v>
      </c>
      <c r="AC302">
        <v>0</v>
      </c>
      <c r="AD302">
        <v>1</v>
      </c>
      <c r="AE302">
        <v>0</v>
      </c>
      <c r="AF302" t="s">
        <v>6</v>
      </c>
      <c r="AG302">
        <v>0.1</v>
      </c>
      <c r="AH302">
        <v>2</v>
      </c>
      <c r="AI302">
        <v>16803195</v>
      </c>
      <c r="AJ302">
        <v>312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 x14ac:dyDescent="0.2">
      <c r="A303">
        <f>ROW(Source!A192)</f>
        <v>192</v>
      </c>
      <c r="B303">
        <v>16803219</v>
      </c>
      <c r="C303">
        <v>16803182</v>
      </c>
      <c r="D303">
        <v>15164559</v>
      </c>
      <c r="E303">
        <v>17</v>
      </c>
      <c r="F303">
        <v>1</v>
      </c>
      <c r="G303">
        <v>1</v>
      </c>
      <c r="H303">
        <v>3</v>
      </c>
      <c r="I303" t="s">
        <v>821</v>
      </c>
      <c r="J303" t="s">
        <v>6</v>
      </c>
      <c r="K303" t="s">
        <v>822</v>
      </c>
      <c r="L303">
        <v>1374</v>
      </c>
      <c r="N303">
        <v>1013</v>
      </c>
      <c r="O303" t="s">
        <v>823</v>
      </c>
      <c r="P303" t="s">
        <v>823</v>
      </c>
      <c r="Q303">
        <v>1</v>
      </c>
      <c r="X303">
        <v>0.3</v>
      </c>
      <c r="Y303">
        <v>1</v>
      </c>
      <c r="Z303">
        <v>0</v>
      </c>
      <c r="AA303">
        <v>0</v>
      </c>
      <c r="AB303">
        <v>0</v>
      </c>
      <c r="AC303">
        <v>0</v>
      </c>
      <c r="AD303">
        <v>1</v>
      </c>
      <c r="AE303">
        <v>0</v>
      </c>
      <c r="AF303" t="s">
        <v>6</v>
      </c>
      <c r="AG303">
        <v>0.3</v>
      </c>
      <c r="AH303">
        <v>2</v>
      </c>
      <c r="AI303">
        <v>16803196</v>
      </c>
      <c r="AJ303">
        <v>318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 x14ac:dyDescent="0.2">
      <c r="A304">
        <f>ROW(Source!A198)</f>
        <v>198</v>
      </c>
      <c r="B304">
        <v>16803241</v>
      </c>
      <c r="C304">
        <v>16803226</v>
      </c>
      <c r="D304">
        <v>15446300</v>
      </c>
      <c r="E304">
        <v>1</v>
      </c>
      <c r="F304">
        <v>1</v>
      </c>
      <c r="G304">
        <v>1</v>
      </c>
      <c r="H304">
        <v>1</v>
      </c>
      <c r="I304" t="s">
        <v>816</v>
      </c>
      <c r="J304" t="s">
        <v>6</v>
      </c>
      <c r="K304" t="s">
        <v>817</v>
      </c>
      <c r="L304">
        <v>1191</v>
      </c>
      <c r="N304">
        <v>1013</v>
      </c>
      <c r="O304" t="s">
        <v>660</v>
      </c>
      <c r="P304" t="s">
        <v>660</v>
      </c>
      <c r="Q304">
        <v>1</v>
      </c>
      <c r="X304">
        <v>213.6</v>
      </c>
      <c r="Y304">
        <v>0</v>
      </c>
      <c r="Z304">
        <v>0</v>
      </c>
      <c r="AA304">
        <v>0</v>
      </c>
      <c r="AB304">
        <v>9.92</v>
      </c>
      <c r="AC304">
        <v>0</v>
      </c>
      <c r="AD304">
        <v>1</v>
      </c>
      <c r="AE304">
        <v>1</v>
      </c>
      <c r="AF304" t="s">
        <v>6</v>
      </c>
      <c r="AG304">
        <v>213.6</v>
      </c>
      <c r="AH304">
        <v>2</v>
      </c>
      <c r="AI304">
        <v>16803227</v>
      </c>
      <c r="AJ304">
        <v>319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 x14ac:dyDescent="0.2">
      <c r="A305">
        <f>ROW(Source!A198)</f>
        <v>198</v>
      </c>
      <c r="B305">
        <v>16803242</v>
      </c>
      <c r="C305">
        <v>16803226</v>
      </c>
      <c r="D305">
        <v>15430395</v>
      </c>
      <c r="E305">
        <v>1</v>
      </c>
      <c r="F305">
        <v>1</v>
      </c>
      <c r="G305">
        <v>1</v>
      </c>
      <c r="H305">
        <v>1</v>
      </c>
      <c r="I305" t="s">
        <v>661</v>
      </c>
      <c r="J305" t="s">
        <v>6</v>
      </c>
      <c r="K305" t="s">
        <v>662</v>
      </c>
      <c r="L305">
        <v>1191</v>
      </c>
      <c r="N305">
        <v>1013</v>
      </c>
      <c r="O305" t="s">
        <v>660</v>
      </c>
      <c r="P305" t="s">
        <v>660</v>
      </c>
      <c r="Q305">
        <v>1</v>
      </c>
      <c r="X305">
        <v>1.98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1</v>
      </c>
      <c r="AE305">
        <v>2</v>
      </c>
      <c r="AF305" t="s">
        <v>6</v>
      </c>
      <c r="AG305">
        <v>1.98</v>
      </c>
      <c r="AH305">
        <v>2</v>
      </c>
      <c r="AI305">
        <v>16803228</v>
      </c>
      <c r="AJ305">
        <v>320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 x14ac:dyDescent="0.2">
      <c r="A306">
        <f>ROW(Source!A198)</f>
        <v>198</v>
      </c>
      <c r="B306">
        <v>16803243</v>
      </c>
      <c r="C306">
        <v>16803226</v>
      </c>
      <c r="D306">
        <v>15247680</v>
      </c>
      <c r="E306">
        <v>1</v>
      </c>
      <c r="F306">
        <v>1</v>
      </c>
      <c r="G306">
        <v>1</v>
      </c>
      <c r="H306">
        <v>2</v>
      </c>
      <c r="I306" t="s">
        <v>786</v>
      </c>
      <c r="J306" t="s">
        <v>787</v>
      </c>
      <c r="K306" t="s">
        <v>788</v>
      </c>
      <c r="L306">
        <v>1368</v>
      </c>
      <c r="N306">
        <v>1011</v>
      </c>
      <c r="O306" t="s">
        <v>666</v>
      </c>
      <c r="P306" t="s">
        <v>666</v>
      </c>
      <c r="Q306">
        <v>1</v>
      </c>
      <c r="X306">
        <v>0.99</v>
      </c>
      <c r="Y306">
        <v>0</v>
      </c>
      <c r="Z306">
        <v>111.99</v>
      </c>
      <c r="AA306">
        <v>13.5</v>
      </c>
      <c r="AB306">
        <v>0</v>
      </c>
      <c r="AC306">
        <v>0</v>
      </c>
      <c r="AD306">
        <v>1</v>
      </c>
      <c r="AE306">
        <v>0</v>
      </c>
      <c r="AF306" t="s">
        <v>6</v>
      </c>
      <c r="AG306">
        <v>0.99</v>
      </c>
      <c r="AH306">
        <v>2</v>
      </c>
      <c r="AI306">
        <v>16803229</v>
      </c>
      <c r="AJ306">
        <v>321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 x14ac:dyDescent="0.2">
      <c r="A307">
        <f>ROW(Source!A198)</f>
        <v>198</v>
      </c>
      <c r="B307">
        <v>16803244</v>
      </c>
      <c r="C307">
        <v>16803226</v>
      </c>
      <c r="D307">
        <v>15249073</v>
      </c>
      <c r="E307">
        <v>1</v>
      </c>
      <c r="F307">
        <v>1</v>
      </c>
      <c r="G307">
        <v>1</v>
      </c>
      <c r="H307">
        <v>2</v>
      </c>
      <c r="I307" t="s">
        <v>684</v>
      </c>
      <c r="J307" t="s">
        <v>685</v>
      </c>
      <c r="K307" t="s">
        <v>686</v>
      </c>
      <c r="L307">
        <v>1368</v>
      </c>
      <c r="N307">
        <v>1011</v>
      </c>
      <c r="O307" t="s">
        <v>666</v>
      </c>
      <c r="P307" t="s">
        <v>666</v>
      </c>
      <c r="Q307">
        <v>1</v>
      </c>
      <c r="X307">
        <v>0.99</v>
      </c>
      <c r="Y307">
        <v>0</v>
      </c>
      <c r="Z307">
        <v>65.709999999999994</v>
      </c>
      <c r="AA307">
        <v>11.6</v>
      </c>
      <c r="AB307">
        <v>0</v>
      </c>
      <c r="AC307">
        <v>0</v>
      </c>
      <c r="AD307">
        <v>1</v>
      </c>
      <c r="AE307">
        <v>0</v>
      </c>
      <c r="AF307" t="s">
        <v>6</v>
      </c>
      <c r="AG307">
        <v>0.99</v>
      </c>
      <c r="AH307">
        <v>2</v>
      </c>
      <c r="AI307">
        <v>16803230</v>
      </c>
      <c r="AJ307">
        <v>322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 x14ac:dyDescent="0.2">
      <c r="A308">
        <f>ROW(Source!A198)</f>
        <v>198</v>
      </c>
      <c r="B308">
        <v>16803245</v>
      </c>
      <c r="C308">
        <v>16803226</v>
      </c>
      <c r="D308">
        <v>15249377</v>
      </c>
      <c r="E308">
        <v>1</v>
      </c>
      <c r="F308">
        <v>1</v>
      </c>
      <c r="G308">
        <v>1</v>
      </c>
      <c r="H308">
        <v>2</v>
      </c>
      <c r="I308" t="s">
        <v>804</v>
      </c>
      <c r="J308" t="s">
        <v>805</v>
      </c>
      <c r="K308" t="s">
        <v>806</v>
      </c>
      <c r="L308">
        <v>1368</v>
      </c>
      <c r="N308">
        <v>1011</v>
      </c>
      <c r="O308" t="s">
        <v>666</v>
      </c>
      <c r="P308" t="s">
        <v>666</v>
      </c>
      <c r="Q308">
        <v>1</v>
      </c>
      <c r="X308">
        <v>1.1399999999999999</v>
      </c>
      <c r="Y308">
        <v>0</v>
      </c>
      <c r="Z308">
        <v>8.1</v>
      </c>
      <c r="AA308">
        <v>0</v>
      </c>
      <c r="AB308">
        <v>0</v>
      </c>
      <c r="AC308">
        <v>0</v>
      </c>
      <c r="AD308">
        <v>1</v>
      </c>
      <c r="AE308">
        <v>0</v>
      </c>
      <c r="AF308" t="s">
        <v>6</v>
      </c>
      <c r="AG308">
        <v>1.1399999999999999</v>
      </c>
      <c r="AH308">
        <v>2</v>
      </c>
      <c r="AI308">
        <v>16803231</v>
      </c>
      <c r="AJ308">
        <v>323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 x14ac:dyDescent="0.2">
      <c r="A309">
        <f>ROW(Source!A198)</f>
        <v>198</v>
      </c>
      <c r="B309">
        <v>16803246</v>
      </c>
      <c r="C309">
        <v>16803226</v>
      </c>
      <c r="D309">
        <v>15167588</v>
      </c>
      <c r="E309">
        <v>1</v>
      </c>
      <c r="F309">
        <v>1</v>
      </c>
      <c r="G309">
        <v>1</v>
      </c>
      <c r="H309">
        <v>3</v>
      </c>
      <c r="I309" t="s">
        <v>835</v>
      </c>
      <c r="J309" t="s">
        <v>836</v>
      </c>
      <c r="K309" t="s">
        <v>837</v>
      </c>
      <c r="L309">
        <v>1346</v>
      </c>
      <c r="N309">
        <v>1009</v>
      </c>
      <c r="O309" t="s">
        <v>103</v>
      </c>
      <c r="P309" t="s">
        <v>103</v>
      </c>
      <c r="Q309">
        <v>1</v>
      </c>
      <c r="X309">
        <v>0.42</v>
      </c>
      <c r="Y309">
        <v>30.4</v>
      </c>
      <c r="Z309">
        <v>0</v>
      </c>
      <c r="AA309">
        <v>0</v>
      </c>
      <c r="AB309">
        <v>0</v>
      </c>
      <c r="AC309">
        <v>0</v>
      </c>
      <c r="AD309">
        <v>1</v>
      </c>
      <c r="AE309">
        <v>0</v>
      </c>
      <c r="AF309" t="s">
        <v>6</v>
      </c>
      <c r="AG309">
        <v>0.42</v>
      </c>
      <c r="AH309">
        <v>2</v>
      </c>
      <c r="AI309">
        <v>16803232</v>
      </c>
      <c r="AJ309">
        <v>324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 x14ac:dyDescent="0.2">
      <c r="A310">
        <f>ROW(Source!A198)</f>
        <v>198</v>
      </c>
      <c r="B310">
        <v>16803247</v>
      </c>
      <c r="C310">
        <v>16803226</v>
      </c>
      <c r="D310">
        <v>15167600</v>
      </c>
      <c r="E310">
        <v>1</v>
      </c>
      <c r="F310">
        <v>1</v>
      </c>
      <c r="G310">
        <v>1</v>
      </c>
      <c r="H310">
        <v>3</v>
      </c>
      <c r="I310" t="s">
        <v>891</v>
      </c>
      <c r="J310" t="s">
        <v>892</v>
      </c>
      <c r="K310" t="s">
        <v>893</v>
      </c>
      <c r="L310">
        <v>1308</v>
      </c>
      <c r="N310">
        <v>1003</v>
      </c>
      <c r="O310" t="s">
        <v>18</v>
      </c>
      <c r="P310" t="s">
        <v>18</v>
      </c>
      <c r="Q310">
        <v>100</v>
      </c>
      <c r="X310">
        <v>0.1</v>
      </c>
      <c r="Y310">
        <v>120</v>
      </c>
      <c r="Z310">
        <v>0</v>
      </c>
      <c r="AA310">
        <v>0</v>
      </c>
      <c r="AB310">
        <v>0</v>
      </c>
      <c r="AC310">
        <v>0</v>
      </c>
      <c r="AD310">
        <v>1</v>
      </c>
      <c r="AE310">
        <v>0</v>
      </c>
      <c r="AF310" t="s">
        <v>6</v>
      </c>
      <c r="AG310">
        <v>0.1</v>
      </c>
      <c r="AH310">
        <v>2</v>
      </c>
      <c r="AI310">
        <v>16803233</v>
      </c>
      <c r="AJ310">
        <v>325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 x14ac:dyDescent="0.2">
      <c r="A311">
        <f>ROW(Source!A198)</f>
        <v>198</v>
      </c>
      <c r="B311">
        <v>16803248</v>
      </c>
      <c r="C311">
        <v>16803226</v>
      </c>
      <c r="D311">
        <v>15168752</v>
      </c>
      <c r="E311">
        <v>1</v>
      </c>
      <c r="F311">
        <v>1</v>
      </c>
      <c r="G311">
        <v>1</v>
      </c>
      <c r="H311">
        <v>3</v>
      </c>
      <c r="I311" t="s">
        <v>838</v>
      </c>
      <c r="J311" t="s">
        <v>839</v>
      </c>
      <c r="K311" t="s">
        <v>840</v>
      </c>
      <c r="L311">
        <v>1346</v>
      </c>
      <c r="N311">
        <v>1009</v>
      </c>
      <c r="O311" t="s">
        <v>103</v>
      </c>
      <c r="P311" t="s">
        <v>103</v>
      </c>
      <c r="Q311">
        <v>1</v>
      </c>
      <c r="X311">
        <v>2.1</v>
      </c>
      <c r="Y311">
        <v>10.57</v>
      </c>
      <c r="Z311">
        <v>0</v>
      </c>
      <c r="AA311">
        <v>0</v>
      </c>
      <c r="AB311">
        <v>0</v>
      </c>
      <c r="AC311">
        <v>0</v>
      </c>
      <c r="AD311">
        <v>1</v>
      </c>
      <c r="AE311">
        <v>0</v>
      </c>
      <c r="AF311" t="s">
        <v>6</v>
      </c>
      <c r="AG311">
        <v>2.1</v>
      </c>
      <c r="AH311">
        <v>2</v>
      </c>
      <c r="AI311">
        <v>16803234</v>
      </c>
      <c r="AJ311">
        <v>326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 x14ac:dyDescent="0.2">
      <c r="A312">
        <f>ROW(Source!A198)</f>
        <v>198</v>
      </c>
      <c r="B312">
        <v>16803249</v>
      </c>
      <c r="C312">
        <v>16803226</v>
      </c>
      <c r="D312">
        <v>15169942</v>
      </c>
      <c r="E312">
        <v>1</v>
      </c>
      <c r="F312">
        <v>1</v>
      </c>
      <c r="G312">
        <v>1</v>
      </c>
      <c r="H312">
        <v>3</v>
      </c>
      <c r="I312" t="s">
        <v>841</v>
      </c>
      <c r="J312" t="s">
        <v>842</v>
      </c>
      <c r="K312" t="s">
        <v>843</v>
      </c>
      <c r="L312">
        <v>1346</v>
      </c>
      <c r="N312">
        <v>1009</v>
      </c>
      <c r="O312" t="s">
        <v>103</v>
      </c>
      <c r="P312" t="s">
        <v>103</v>
      </c>
      <c r="Q312">
        <v>1</v>
      </c>
      <c r="X312">
        <v>10.4</v>
      </c>
      <c r="Y312">
        <v>9.0399999999999991</v>
      </c>
      <c r="Z312">
        <v>0</v>
      </c>
      <c r="AA312">
        <v>0</v>
      </c>
      <c r="AB312">
        <v>0</v>
      </c>
      <c r="AC312">
        <v>0</v>
      </c>
      <c r="AD312">
        <v>1</v>
      </c>
      <c r="AE312">
        <v>0</v>
      </c>
      <c r="AF312" t="s">
        <v>6</v>
      </c>
      <c r="AG312">
        <v>10.4</v>
      </c>
      <c r="AH312">
        <v>2</v>
      </c>
      <c r="AI312">
        <v>16803235</v>
      </c>
      <c r="AJ312">
        <v>327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 x14ac:dyDescent="0.2">
      <c r="A313">
        <f>ROW(Source!A198)</f>
        <v>198</v>
      </c>
      <c r="B313">
        <v>16803250</v>
      </c>
      <c r="C313">
        <v>16803226</v>
      </c>
      <c r="D313">
        <v>15191488</v>
      </c>
      <c r="E313">
        <v>1</v>
      </c>
      <c r="F313">
        <v>1</v>
      </c>
      <c r="G313">
        <v>1</v>
      </c>
      <c r="H313">
        <v>3</v>
      </c>
      <c r="I313" t="s">
        <v>908</v>
      </c>
      <c r="J313" t="s">
        <v>909</v>
      </c>
      <c r="K313" t="s">
        <v>910</v>
      </c>
      <c r="L313">
        <v>1348</v>
      </c>
      <c r="N313">
        <v>1009</v>
      </c>
      <c r="O313" t="s">
        <v>65</v>
      </c>
      <c r="P313" t="s">
        <v>65</v>
      </c>
      <c r="Q313">
        <v>1000</v>
      </c>
      <c r="X313">
        <v>0.15</v>
      </c>
      <c r="Y313">
        <v>5000</v>
      </c>
      <c r="Z313">
        <v>0</v>
      </c>
      <c r="AA313">
        <v>0</v>
      </c>
      <c r="AB313">
        <v>0</v>
      </c>
      <c r="AC313">
        <v>0</v>
      </c>
      <c r="AD313">
        <v>1</v>
      </c>
      <c r="AE313">
        <v>0</v>
      </c>
      <c r="AF313" t="s">
        <v>6</v>
      </c>
      <c r="AG313">
        <v>0.15</v>
      </c>
      <c r="AH313">
        <v>2</v>
      </c>
      <c r="AI313">
        <v>16803236</v>
      </c>
      <c r="AJ313">
        <v>328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 x14ac:dyDescent="0.2">
      <c r="A314">
        <f>ROW(Source!A198)</f>
        <v>198</v>
      </c>
      <c r="B314">
        <v>16803251</v>
      </c>
      <c r="C314">
        <v>16803226</v>
      </c>
      <c r="D314">
        <v>15203834</v>
      </c>
      <c r="E314">
        <v>1</v>
      </c>
      <c r="F314">
        <v>1</v>
      </c>
      <c r="G314">
        <v>1</v>
      </c>
      <c r="H314">
        <v>3</v>
      </c>
      <c r="I314" t="s">
        <v>853</v>
      </c>
      <c r="J314" t="s">
        <v>854</v>
      </c>
      <c r="K314" t="s">
        <v>855</v>
      </c>
      <c r="L314">
        <v>1346</v>
      </c>
      <c r="N314">
        <v>1009</v>
      </c>
      <c r="O314" t="s">
        <v>103</v>
      </c>
      <c r="P314" t="s">
        <v>103</v>
      </c>
      <c r="Q314">
        <v>1</v>
      </c>
      <c r="X314">
        <v>3</v>
      </c>
      <c r="Y314">
        <v>28.6</v>
      </c>
      <c r="Z314">
        <v>0</v>
      </c>
      <c r="AA314">
        <v>0</v>
      </c>
      <c r="AB314">
        <v>0</v>
      </c>
      <c r="AC314">
        <v>0</v>
      </c>
      <c r="AD314">
        <v>1</v>
      </c>
      <c r="AE314">
        <v>0</v>
      </c>
      <c r="AF314" t="s">
        <v>6</v>
      </c>
      <c r="AG314">
        <v>3</v>
      </c>
      <c r="AH314">
        <v>2</v>
      </c>
      <c r="AI314">
        <v>16803237</v>
      </c>
      <c r="AJ314">
        <v>329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 x14ac:dyDescent="0.2">
      <c r="A315">
        <f>ROW(Source!A198)</f>
        <v>198</v>
      </c>
      <c r="B315">
        <v>16803252</v>
      </c>
      <c r="C315">
        <v>16803226</v>
      </c>
      <c r="D315">
        <v>15164559</v>
      </c>
      <c r="E315">
        <v>17</v>
      </c>
      <c r="F315">
        <v>1</v>
      </c>
      <c r="G315">
        <v>1</v>
      </c>
      <c r="H315">
        <v>3</v>
      </c>
      <c r="I315" t="s">
        <v>821</v>
      </c>
      <c r="J315" t="s">
        <v>6</v>
      </c>
      <c r="K315" t="s">
        <v>822</v>
      </c>
      <c r="L315">
        <v>1374</v>
      </c>
      <c r="N315">
        <v>1013</v>
      </c>
      <c r="O315" t="s">
        <v>823</v>
      </c>
      <c r="P315" t="s">
        <v>823</v>
      </c>
      <c r="Q315">
        <v>1</v>
      </c>
      <c r="X315">
        <v>42.38</v>
      </c>
      <c r="Y315">
        <v>1</v>
      </c>
      <c r="Z315">
        <v>0</v>
      </c>
      <c r="AA315">
        <v>0</v>
      </c>
      <c r="AB315">
        <v>0</v>
      </c>
      <c r="AC315">
        <v>0</v>
      </c>
      <c r="AD315">
        <v>1</v>
      </c>
      <c r="AE315">
        <v>0</v>
      </c>
      <c r="AF315" t="s">
        <v>6</v>
      </c>
      <c r="AG315">
        <v>42.38</v>
      </c>
      <c r="AH315">
        <v>2</v>
      </c>
      <c r="AI315">
        <v>16803240</v>
      </c>
      <c r="AJ315">
        <v>331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 x14ac:dyDescent="0.2">
      <c r="A316">
        <f>ROW(Source!A237)</f>
        <v>237</v>
      </c>
      <c r="B316">
        <v>16803257</v>
      </c>
      <c r="C316">
        <v>16803254</v>
      </c>
      <c r="D316">
        <v>15885198</v>
      </c>
      <c r="E316">
        <v>1</v>
      </c>
      <c r="F316">
        <v>1</v>
      </c>
      <c r="G316">
        <v>1</v>
      </c>
      <c r="H316">
        <v>1</v>
      </c>
      <c r="I316" t="s">
        <v>911</v>
      </c>
      <c r="J316" t="s">
        <v>6</v>
      </c>
      <c r="K316" t="s">
        <v>912</v>
      </c>
      <c r="L316">
        <v>1191</v>
      </c>
      <c r="N316">
        <v>1013</v>
      </c>
      <c r="O316" t="s">
        <v>660</v>
      </c>
      <c r="P316" t="s">
        <v>660</v>
      </c>
      <c r="Q316">
        <v>1</v>
      </c>
      <c r="X316">
        <v>0.16</v>
      </c>
      <c r="Y316">
        <v>0</v>
      </c>
      <c r="Z316">
        <v>0</v>
      </c>
      <c r="AA316">
        <v>0</v>
      </c>
      <c r="AB316">
        <v>12.92</v>
      </c>
      <c r="AC316">
        <v>0</v>
      </c>
      <c r="AD316">
        <v>1</v>
      </c>
      <c r="AE316">
        <v>1</v>
      </c>
      <c r="AF316" t="s">
        <v>228</v>
      </c>
      <c r="AG316">
        <v>0.128</v>
      </c>
      <c r="AH316">
        <v>2</v>
      </c>
      <c r="AI316">
        <v>16803255</v>
      </c>
      <c r="AJ316">
        <v>332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 x14ac:dyDescent="0.2">
      <c r="A317">
        <f>ROW(Source!A237)</f>
        <v>237</v>
      </c>
      <c r="B317">
        <v>16803258</v>
      </c>
      <c r="C317">
        <v>16803254</v>
      </c>
      <c r="D317">
        <v>15884235</v>
      </c>
      <c r="E317">
        <v>1</v>
      </c>
      <c r="F317">
        <v>1</v>
      </c>
      <c r="G317">
        <v>1</v>
      </c>
      <c r="H317">
        <v>1</v>
      </c>
      <c r="I317" t="s">
        <v>913</v>
      </c>
      <c r="J317" t="s">
        <v>6</v>
      </c>
      <c r="K317" t="s">
        <v>914</v>
      </c>
      <c r="L317">
        <v>1191</v>
      </c>
      <c r="N317">
        <v>1013</v>
      </c>
      <c r="O317" t="s">
        <v>660</v>
      </c>
      <c r="P317" t="s">
        <v>660</v>
      </c>
      <c r="Q317">
        <v>1</v>
      </c>
      <c r="X317">
        <v>0.16</v>
      </c>
      <c r="Y317">
        <v>0</v>
      </c>
      <c r="Z317">
        <v>0</v>
      </c>
      <c r="AA317">
        <v>0</v>
      </c>
      <c r="AB317">
        <v>12.69</v>
      </c>
      <c r="AC317">
        <v>0</v>
      </c>
      <c r="AD317">
        <v>1</v>
      </c>
      <c r="AE317">
        <v>1</v>
      </c>
      <c r="AF317" t="s">
        <v>228</v>
      </c>
      <c r="AG317">
        <v>0.128</v>
      </c>
      <c r="AH317">
        <v>2</v>
      </c>
      <c r="AI317">
        <v>16803256</v>
      </c>
      <c r="AJ317">
        <v>333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 x14ac:dyDescent="0.2">
      <c r="A318">
        <f>ROW(Source!A238)</f>
        <v>238</v>
      </c>
      <c r="B318">
        <v>16803262</v>
      </c>
      <c r="C318">
        <v>16803259</v>
      </c>
      <c r="D318">
        <v>15885198</v>
      </c>
      <c r="E318">
        <v>1</v>
      </c>
      <c r="F318">
        <v>1</v>
      </c>
      <c r="G318">
        <v>1</v>
      </c>
      <c r="H318">
        <v>1</v>
      </c>
      <c r="I318" t="s">
        <v>911</v>
      </c>
      <c r="J318" t="s">
        <v>6</v>
      </c>
      <c r="K318" t="s">
        <v>912</v>
      </c>
      <c r="L318">
        <v>1191</v>
      </c>
      <c r="N318">
        <v>1013</v>
      </c>
      <c r="O318" t="s">
        <v>660</v>
      </c>
      <c r="P318" t="s">
        <v>660</v>
      </c>
      <c r="Q318">
        <v>1</v>
      </c>
      <c r="X318">
        <v>6.48</v>
      </c>
      <c r="Y318">
        <v>0</v>
      </c>
      <c r="Z318">
        <v>0</v>
      </c>
      <c r="AA318">
        <v>0</v>
      </c>
      <c r="AB318">
        <v>12.92</v>
      </c>
      <c r="AC318">
        <v>0</v>
      </c>
      <c r="AD318">
        <v>1</v>
      </c>
      <c r="AE318">
        <v>1</v>
      </c>
      <c r="AF318" t="s">
        <v>228</v>
      </c>
      <c r="AG318">
        <v>5.1840000000000011</v>
      </c>
      <c r="AH318">
        <v>2</v>
      </c>
      <c r="AI318">
        <v>16803260</v>
      </c>
      <c r="AJ318">
        <v>334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 x14ac:dyDescent="0.2">
      <c r="A319">
        <f>ROW(Source!A238)</f>
        <v>238</v>
      </c>
      <c r="B319">
        <v>16803263</v>
      </c>
      <c r="C319">
        <v>16803259</v>
      </c>
      <c r="D319">
        <v>15884235</v>
      </c>
      <c r="E319">
        <v>1</v>
      </c>
      <c r="F319">
        <v>1</v>
      </c>
      <c r="G319">
        <v>1</v>
      </c>
      <c r="H319">
        <v>1</v>
      </c>
      <c r="I319" t="s">
        <v>913</v>
      </c>
      <c r="J319" t="s">
        <v>6</v>
      </c>
      <c r="K319" t="s">
        <v>914</v>
      </c>
      <c r="L319">
        <v>1191</v>
      </c>
      <c r="N319">
        <v>1013</v>
      </c>
      <c r="O319" t="s">
        <v>660</v>
      </c>
      <c r="P319" t="s">
        <v>660</v>
      </c>
      <c r="Q319">
        <v>1</v>
      </c>
      <c r="X319">
        <v>6.48</v>
      </c>
      <c r="Y319">
        <v>0</v>
      </c>
      <c r="Z319">
        <v>0</v>
      </c>
      <c r="AA319">
        <v>0</v>
      </c>
      <c r="AB319">
        <v>12.69</v>
      </c>
      <c r="AC319">
        <v>0</v>
      </c>
      <c r="AD319">
        <v>1</v>
      </c>
      <c r="AE319">
        <v>1</v>
      </c>
      <c r="AF319" t="s">
        <v>228</v>
      </c>
      <c r="AG319">
        <v>5.1840000000000011</v>
      </c>
      <c r="AH319">
        <v>2</v>
      </c>
      <c r="AI319">
        <v>16803261</v>
      </c>
      <c r="AJ319">
        <v>335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 x14ac:dyDescent="0.2">
      <c r="A320">
        <f>ROW(Source!A239)</f>
        <v>239</v>
      </c>
      <c r="B320">
        <v>16803267</v>
      </c>
      <c r="C320">
        <v>16803264</v>
      </c>
      <c r="D320">
        <v>15885198</v>
      </c>
      <c r="E320">
        <v>1</v>
      </c>
      <c r="F320">
        <v>1</v>
      </c>
      <c r="G320">
        <v>1</v>
      </c>
      <c r="H320">
        <v>1</v>
      </c>
      <c r="I320" t="s">
        <v>911</v>
      </c>
      <c r="J320" t="s">
        <v>6</v>
      </c>
      <c r="K320" t="s">
        <v>912</v>
      </c>
      <c r="L320">
        <v>1191</v>
      </c>
      <c r="N320">
        <v>1013</v>
      </c>
      <c r="O320" t="s">
        <v>660</v>
      </c>
      <c r="P320" t="s">
        <v>660</v>
      </c>
      <c r="Q320">
        <v>1</v>
      </c>
      <c r="X320">
        <v>0.61</v>
      </c>
      <c r="Y320">
        <v>0</v>
      </c>
      <c r="Z320">
        <v>0</v>
      </c>
      <c r="AA320">
        <v>0</v>
      </c>
      <c r="AB320">
        <v>12.92</v>
      </c>
      <c r="AC320">
        <v>0</v>
      </c>
      <c r="AD320">
        <v>1</v>
      </c>
      <c r="AE320">
        <v>1</v>
      </c>
      <c r="AF320" t="s">
        <v>228</v>
      </c>
      <c r="AG320">
        <v>0.48799999999999999</v>
      </c>
      <c r="AH320">
        <v>2</v>
      </c>
      <c r="AI320">
        <v>16803265</v>
      </c>
      <c r="AJ320">
        <v>336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 x14ac:dyDescent="0.2">
      <c r="A321">
        <f>ROW(Source!A239)</f>
        <v>239</v>
      </c>
      <c r="B321">
        <v>16803268</v>
      </c>
      <c r="C321">
        <v>16803264</v>
      </c>
      <c r="D321">
        <v>15884235</v>
      </c>
      <c r="E321">
        <v>1</v>
      </c>
      <c r="F321">
        <v>1</v>
      </c>
      <c r="G321">
        <v>1</v>
      </c>
      <c r="H321">
        <v>1</v>
      </c>
      <c r="I321" t="s">
        <v>913</v>
      </c>
      <c r="J321" t="s">
        <v>6</v>
      </c>
      <c r="K321" t="s">
        <v>914</v>
      </c>
      <c r="L321">
        <v>1191</v>
      </c>
      <c r="N321">
        <v>1013</v>
      </c>
      <c r="O321" t="s">
        <v>660</v>
      </c>
      <c r="P321" t="s">
        <v>660</v>
      </c>
      <c r="Q321">
        <v>1</v>
      </c>
      <c r="X321">
        <v>0.61</v>
      </c>
      <c r="Y321">
        <v>0</v>
      </c>
      <c r="Z321">
        <v>0</v>
      </c>
      <c r="AA321">
        <v>0</v>
      </c>
      <c r="AB321">
        <v>12.69</v>
      </c>
      <c r="AC321">
        <v>0</v>
      </c>
      <c r="AD321">
        <v>1</v>
      </c>
      <c r="AE321">
        <v>1</v>
      </c>
      <c r="AF321" t="s">
        <v>228</v>
      </c>
      <c r="AG321">
        <v>0.48799999999999999</v>
      </c>
      <c r="AH321">
        <v>2</v>
      </c>
      <c r="AI321">
        <v>16803266</v>
      </c>
      <c r="AJ321">
        <v>337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 x14ac:dyDescent="0.2">
      <c r="A322">
        <f>ROW(Source!A240)</f>
        <v>240</v>
      </c>
      <c r="B322">
        <v>16803272</v>
      </c>
      <c r="C322">
        <v>16803269</v>
      </c>
      <c r="D322">
        <v>15884231</v>
      </c>
      <c r="E322">
        <v>1</v>
      </c>
      <c r="F322">
        <v>1</v>
      </c>
      <c r="G322">
        <v>1</v>
      </c>
      <c r="H322">
        <v>1</v>
      </c>
      <c r="I322" t="s">
        <v>915</v>
      </c>
      <c r="J322" t="s">
        <v>6</v>
      </c>
      <c r="K322" t="s">
        <v>916</v>
      </c>
      <c r="L322">
        <v>1191</v>
      </c>
      <c r="N322">
        <v>1013</v>
      </c>
      <c r="O322" t="s">
        <v>660</v>
      </c>
      <c r="P322" t="s">
        <v>660</v>
      </c>
      <c r="Q322">
        <v>1</v>
      </c>
      <c r="X322">
        <v>1.1299999999999999</v>
      </c>
      <c r="Y322">
        <v>0</v>
      </c>
      <c r="Z322">
        <v>0</v>
      </c>
      <c r="AA322">
        <v>0</v>
      </c>
      <c r="AB322">
        <v>9.17</v>
      </c>
      <c r="AC322">
        <v>0</v>
      </c>
      <c r="AD322">
        <v>1</v>
      </c>
      <c r="AE322">
        <v>1</v>
      </c>
      <c r="AF322" t="s">
        <v>228</v>
      </c>
      <c r="AG322">
        <v>0.90399999999999991</v>
      </c>
      <c r="AH322">
        <v>2</v>
      </c>
      <c r="AI322">
        <v>16803270</v>
      </c>
      <c r="AJ322">
        <v>338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 x14ac:dyDescent="0.2">
      <c r="A323">
        <f>ROW(Source!A240)</f>
        <v>240</v>
      </c>
      <c r="B323">
        <v>16803273</v>
      </c>
      <c r="C323">
        <v>16803269</v>
      </c>
      <c r="D323">
        <v>15884285</v>
      </c>
      <c r="E323">
        <v>1</v>
      </c>
      <c r="F323">
        <v>1</v>
      </c>
      <c r="G323">
        <v>1</v>
      </c>
      <c r="H323">
        <v>1</v>
      </c>
      <c r="I323" t="s">
        <v>917</v>
      </c>
      <c r="J323" t="s">
        <v>6</v>
      </c>
      <c r="K323" t="s">
        <v>918</v>
      </c>
      <c r="L323">
        <v>1191</v>
      </c>
      <c r="N323">
        <v>1013</v>
      </c>
      <c r="O323" t="s">
        <v>660</v>
      </c>
      <c r="P323" t="s">
        <v>660</v>
      </c>
      <c r="Q323">
        <v>1</v>
      </c>
      <c r="X323">
        <v>1.7</v>
      </c>
      <c r="Y323">
        <v>0</v>
      </c>
      <c r="Z323">
        <v>0</v>
      </c>
      <c r="AA323">
        <v>0</v>
      </c>
      <c r="AB323">
        <v>14.09</v>
      </c>
      <c r="AC323">
        <v>0</v>
      </c>
      <c r="AD323">
        <v>1</v>
      </c>
      <c r="AE323">
        <v>1</v>
      </c>
      <c r="AF323" t="s">
        <v>228</v>
      </c>
      <c r="AG323">
        <v>1.36</v>
      </c>
      <c r="AH323">
        <v>2</v>
      </c>
      <c r="AI323">
        <v>16803271</v>
      </c>
      <c r="AJ323">
        <v>339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 x14ac:dyDescent="0.2">
      <c r="A324">
        <f>ROW(Source!A275)</f>
        <v>275</v>
      </c>
      <c r="B324">
        <v>16803283</v>
      </c>
      <c r="C324">
        <v>16803275</v>
      </c>
      <c r="D324">
        <v>15436556</v>
      </c>
      <c r="E324">
        <v>1</v>
      </c>
      <c r="F324">
        <v>1</v>
      </c>
      <c r="G324">
        <v>1</v>
      </c>
      <c r="H324">
        <v>1</v>
      </c>
      <c r="I324" t="s">
        <v>736</v>
      </c>
      <c r="J324" t="s">
        <v>6</v>
      </c>
      <c r="K324" t="s">
        <v>737</v>
      </c>
      <c r="L324">
        <v>1191</v>
      </c>
      <c r="N324">
        <v>1013</v>
      </c>
      <c r="O324" t="s">
        <v>660</v>
      </c>
      <c r="P324" t="s">
        <v>660</v>
      </c>
      <c r="Q324">
        <v>1</v>
      </c>
      <c r="X324">
        <v>0.84</v>
      </c>
      <c r="Y324">
        <v>0</v>
      </c>
      <c r="Z324">
        <v>0</v>
      </c>
      <c r="AA324">
        <v>0</v>
      </c>
      <c r="AB324">
        <v>9.6199999999999992</v>
      </c>
      <c r="AC324">
        <v>0</v>
      </c>
      <c r="AD324">
        <v>1</v>
      </c>
      <c r="AE324">
        <v>1</v>
      </c>
      <c r="AF324" t="s">
        <v>389</v>
      </c>
      <c r="AG324">
        <v>0.252</v>
      </c>
      <c r="AH324">
        <v>2</v>
      </c>
      <c r="AI324">
        <v>16803276</v>
      </c>
      <c r="AJ324">
        <v>340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 x14ac:dyDescent="0.2">
      <c r="A325">
        <f>ROW(Source!A275)</f>
        <v>275</v>
      </c>
      <c r="B325">
        <v>16803284</v>
      </c>
      <c r="C325">
        <v>16803275</v>
      </c>
      <c r="D325">
        <v>15165918</v>
      </c>
      <c r="E325">
        <v>1</v>
      </c>
      <c r="F325">
        <v>1</v>
      </c>
      <c r="G325">
        <v>1</v>
      </c>
      <c r="H325">
        <v>3</v>
      </c>
      <c r="I325" t="s">
        <v>919</v>
      </c>
      <c r="J325" t="s">
        <v>920</v>
      </c>
      <c r="K325" t="s">
        <v>921</v>
      </c>
      <c r="L325">
        <v>1346</v>
      </c>
      <c r="N325">
        <v>1009</v>
      </c>
      <c r="O325" t="s">
        <v>103</v>
      </c>
      <c r="P325" t="s">
        <v>103</v>
      </c>
      <c r="Q325">
        <v>1</v>
      </c>
      <c r="X325">
        <v>2.0000000000000001E-4</v>
      </c>
      <c r="Y325">
        <v>27.74</v>
      </c>
      <c r="Z325">
        <v>0</v>
      </c>
      <c r="AA325">
        <v>0</v>
      </c>
      <c r="AB325">
        <v>0</v>
      </c>
      <c r="AC325">
        <v>0</v>
      </c>
      <c r="AD325">
        <v>1</v>
      </c>
      <c r="AE325">
        <v>0</v>
      </c>
      <c r="AF325" t="s">
        <v>227</v>
      </c>
      <c r="AG325">
        <v>0</v>
      </c>
      <c r="AH325">
        <v>2</v>
      </c>
      <c r="AI325">
        <v>16803277</v>
      </c>
      <c r="AJ325">
        <v>341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 x14ac:dyDescent="0.2">
      <c r="A326">
        <f>ROW(Source!A275)</f>
        <v>275</v>
      </c>
      <c r="B326">
        <v>16803285</v>
      </c>
      <c r="C326">
        <v>16803275</v>
      </c>
      <c r="D326">
        <v>15170072</v>
      </c>
      <c r="E326">
        <v>1</v>
      </c>
      <c r="F326">
        <v>1</v>
      </c>
      <c r="G326">
        <v>1</v>
      </c>
      <c r="H326">
        <v>3</v>
      </c>
      <c r="I326" t="s">
        <v>922</v>
      </c>
      <c r="J326" t="s">
        <v>923</v>
      </c>
      <c r="K326" t="s">
        <v>924</v>
      </c>
      <c r="L326">
        <v>1355</v>
      </c>
      <c r="N326">
        <v>1010</v>
      </c>
      <c r="O326" t="s">
        <v>126</v>
      </c>
      <c r="P326" t="s">
        <v>126</v>
      </c>
      <c r="Q326">
        <v>100</v>
      </c>
      <c r="X326">
        <v>0.01</v>
      </c>
      <c r="Y326">
        <v>83</v>
      </c>
      <c r="Z326">
        <v>0</v>
      </c>
      <c r="AA326">
        <v>0</v>
      </c>
      <c r="AB326">
        <v>0</v>
      </c>
      <c r="AC326">
        <v>0</v>
      </c>
      <c r="AD326">
        <v>1</v>
      </c>
      <c r="AE326">
        <v>0</v>
      </c>
      <c r="AF326" t="s">
        <v>227</v>
      </c>
      <c r="AG326">
        <v>0</v>
      </c>
      <c r="AH326">
        <v>2</v>
      </c>
      <c r="AI326">
        <v>16803278</v>
      </c>
      <c r="AJ326">
        <v>342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 x14ac:dyDescent="0.2">
      <c r="A327">
        <f>ROW(Source!A275)</f>
        <v>275</v>
      </c>
      <c r="B327">
        <v>16803286</v>
      </c>
      <c r="C327">
        <v>16803275</v>
      </c>
      <c r="D327">
        <v>15171982</v>
      </c>
      <c r="E327">
        <v>1</v>
      </c>
      <c r="F327">
        <v>1</v>
      </c>
      <c r="G327">
        <v>1</v>
      </c>
      <c r="H327">
        <v>3</v>
      </c>
      <c r="I327" t="s">
        <v>672</v>
      </c>
      <c r="J327" t="s">
        <v>673</v>
      </c>
      <c r="K327" t="s">
        <v>674</v>
      </c>
      <c r="L327">
        <v>1348</v>
      </c>
      <c r="N327">
        <v>1009</v>
      </c>
      <c r="O327" t="s">
        <v>65</v>
      </c>
      <c r="P327" t="s">
        <v>65</v>
      </c>
      <c r="Q327">
        <v>1000</v>
      </c>
      <c r="X327">
        <v>1.0000000000000001E-5</v>
      </c>
      <c r="Y327">
        <v>729.98</v>
      </c>
      <c r="Z327">
        <v>0</v>
      </c>
      <c r="AA327">
        <v>0</v>
      </c>
      <c r="AB327">
        <v>0</v>
      </c>
      <c r="AC327">
        <v>0</v>
      </c>
      <c r="AD327">
        <v>1</v>
      </c>
      <c r="AE327">
        <v>0</v>
      </c>
      <c r="AF327" t="s">
        <v>227</v>
      </c>
      <c r="AG327">
        <v>0</v>
      </c>
      <c r="AH327">
        <v>2</v>
      </c>
      <c r="AI327">
        <v>16803279</v>
      </c>
      <c r="AJ327">
        <v>343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 x14ac:dyDescent="0.2">
      <c r="A328">
        <f>ROW(Source!A275)</f>
        <v>275</v>
      </c>
      <c r="B328">
        <v>16803287</v>
      </c>
      <c r="C328">
        <v>16803275</v>
      </c>
      <c r="D328">
        <v>15195043</v>
      </c>
      <c r="E328">
        <v>1</v>
      </c>
      <c r="F328">
        <v>1</v>
      </c>
      <c r="G328">
        <v>1</v>
      </c>
      <c r="H328">
        <v>3</v>
      </c>
      <c r="I328" t="s">
        <v>925</v>
      </c>
      <c r="J328" t="s">
        <v>926</v>
      </c>
      <c r="K328" t="s">
        <v>927</v>
      </c>
      <c r="L328">
        <v>1346</v>
      </c>
      <c r="N328">
        <v>1009</v>
      </c>
      <c r="O328" t="s">
        <v>103</v>
      </c>
      <c r="P328" t="s">
        <v>103</v>
      </c>
      <c r="Q328">
        <v>1</v>
      </c>
      <c r="X328">
        <v>2E-3</v>
      </c>
      <c r="Y328">
        <v>65.75</v>
      </c>
      <c r="Z328">
        <v>0</v>
      </c>
      <c r="AA328">
        <v>0</v>
      </c>
      <c r="AB328">
        <v>0</v>
      </c>
      <c r="AC328">
        <v>0</v>
      </c>
      <c r="AD328">
        <v>1</v>
      </c>
      <c r="AE328">
        <v>0</v>
      </c>
      <c r="AF328" t="s">
        <v>227</v>
      </c>
      <c r="AG328">
        <v>0</v>
      </c>
      <c r="AH328">
        <v>2</v>
      </c>
      <c r="AI328">
        <v>16803280</v>
      </c>
      <c r="AJ328">
        <v>344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 x14ac:dyDescent="0.2">
      <c r="A329">
        <f>ROW(Source!A275)</f>
        <v>275</v>
      </c>
      <c r="B329">
        <v>16803288</v>
      </c>
      <c r="C329">
        <v>16803275</v>
      </c>
      <c r="D329">
        <v>15202502</v>
      </c>
      <c r="E329">
        <v>1</v>
      </c>
      <c r="F329">
        <v>1</v>
      </c>
      <c r="G329">
        <v>1</v>
      </c>
      <c r="H329">
        <v>3</v>
      </c>
      <c r="I329" t="s">
        <v>928</v>
      </c>
      <c r="J329" t="s">
        <v>929</v>
      </c>
      <c r="K329" t="s">
        <v>930</v>
      </c>
      <c r="L329">
        <v>1346</v>
      </c>
      <c r="N329">
        <v>1009</v>
      </c>
      <c r="O329" t="s">
        <v>103</v>
      </c>
      <c r="P329" t="s">
        <v>103</v>
      </c>
      <c r="Q329">
        <v>1</v>
      </c>
      <c r="X329">
        <v>5.0000000000000001E-3</v>
      </c>
      <c r="Y329">
        <v>28.93</v>
      </c>
      <c r="Z329">
        <v>0</v>
      </c>
      <c r="AA329">
        <v>0</v>
      </c>
      <c r="AB329">
        <v>0</v>
      </c>
      <c r="AC329">
        <v>0</v>
      </c>
      <c r="AD329">
        <v>1</v>
      </c>
      <c r="AE329">
        <v>0</v>
      </c>
      <c r="AF329" t="s">
        <v>227</v>
      </c>
      <c r="AG329">
        <v>0</v>
      </c>
      <c r="AH329">
        <v>2</v>
      </c>
      <c r="AI329">
        <v>16803281</v>
      </c>
      <c r="AJ329">
        <v>345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 x14ac:dyDescent="0.2">
      <c r="A330">
        <f>ROW(Source!A275)</f>
        <v>275</v>
      </c>
      <c r="B330">
        <v>16803289</v>
      </c>
      <c r="C330">
        <v>16803275</v>
      </c>
      <c r="D330">
        <v>15164559</v>
      </c>
      <c r="E330">
        <v>17</v>
      </c>
      <c r="F330">
        <v>1</v>
      </c>
      <c r="G330">
        <v>1</v>
      </c>
      <c r="H330">
        <v>3</v>
      </c>
      <c r="I330" t="s">
        <v>821</v>
      </c>
      <c r="J330" t="s">
        <v>6</v>
      </c>
      <c r="K330" t="s">
        <v>822</v>
      </c>
      <c r="L330">
        <v>1374</v>
      </c>
      <c r="N330">
        <v>1013</v>
      </c>
      <c r="O330" t="s">
        <v>823</v>
      </c>
      <c r="P330" t="s">
        <v>823</v>
      </c>
      <c r="Q330">
        <v>1</v>
      </c>
      <c r="X330">
        <v>0.16</v>
      </c>
      <c r="Y330">
        <v>1</v>
      </c>
      <c r="Z330">
        <v>0</v>
      </c>
      <c r="AA330">
        <v>0</v>
      </c>
      <c r="AB330">
        <v>0</v>
      </c>
      <c r="AC330">
        <v>0</v>
      </c>
      <c r="AD330">
        <v>1</v>
      </c>
      <c r="AE330">
        <v>0</v>
      </c>
      <c r="AF330" t="s">
        <v>227</v>
      </c>
      <c r="AG330">
        <v>0</v>
      </c>
      <c r="AH330">
        <v>2</v>
      </c>
      <c r="AI330">
        <v>16803282</v>
      </c>
      <c r="AJ330">
        <v>346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 x14ac:dyDescent="0.2">
      <c r="A331">
        <f>ROW(Source!A276)</f>
        <v>276</v>
      </c>
      <c r="B331">
        <v>16803300</v>
      </c>
      <c r="C331">
        <v>16803290</v>
      </c>
      <c r="D331">
        <v>15436556</v>
      </c>
      <c r="E331">
        <v>1</v>
      </c>
      <c r="F331">
        <v>1</v>
      </c>
      <c r="G331">
        <v>1</v>
      </c>
      <c r="H331">
        <v>1</v>
      </c>
      <c r="I331" t="s">
        <v>736</v>
      </c>
      <c r="J331" t="s">
        <v>6</v>
      </c>
      <c r="K331" t="s">
        <v>737</v>
      </c>
      <c r="L331">
        <v>1191</v>
      </c>
      <c r="N331">
        <v>1013</v>
      </c>
      <c r="O331" t="s">
        <v>660</v>
      </c>
      <c r="P331" t="s">
        <v>660</v>
      </c>
      <c r="Q331">
        <v>1</v>
      </c>
      <c r="X331">
        <v>0.84</v>
      </c>
      <c r="Y331">
        <v>0</v>
      </c>
      <c r="Z331">
        <v>0</v>
      </c>
      <c r="AA331">
        <v>0</v>
      </c>
      <c r="AB331">
        <v>9.6199999999999992</v>
      </c>
      <c r="AC331">
        <v>0</v>
      </c>
      <c r="AD331">
        <v>1</v>
      </c>
      <c r="AE331">
        <v>1</v>
      </c>
      <c r="AF331" t="s">
        <v>6</v>
      </c>
      <c r="AG331">
        <v>0.84</v>
      </c>
      <c r="AH331">
        <v>2</v>
      </c>
      <c r="AI331">
        <v>16803291</v>
      </c>
      <c r="AJ331">
        <v>347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 x14ac:dyDescent="0.2">
      <c r="A332">
        <f>ROW(Source!A276)</f>
        <v>276</v>
      </c>
      <c r="B332">
        <v>16803301</v>
      </c>
      <c r="C332">
        <v>16803290</v>
      </c>
      <c r="D332">
        <v>15165918</v>
      </c>
      <c r="E332">
        <v>1</v>
      </c>
      <c r="F332">
        <v>1</v>
      </c>
      <c r="G332">
        <v>1</v>
      </c>
      <c r="H332">
        <v>3</v>
      </c>
      <c r="I332" t="s">
        <v>919</v>
      </c>
      <c r="J332" t="s">
        <v>920</v>
      </c>
      <c r="K332" t="s">
        <v>921</v>
      </c>
      <c r="L332">
        <v>1346</v>
      </c>
      <c r="N332">
        <v>1009</v>
      </c>
      <c r="O332" t="s">
        <v>103</v>
      </c>
      <c r="P332" t="s">
        <v>103</v>
      </c>
      <c r="Q332">
        <v>1</v>
      </c>
      <c r="X332">
        <v>2.0000000000000001E-4</v>
      </c>
      <c r="Y332">
        <v>27.74</v>
      </c>
      <c r="Z332">
        <v>0</v>
      </c>
      <c r="AA332">
        <v>0</v>
      </c>
      <c r="AB332">
        <v>0</v>
      </c>
      <c r="AC332">
        <v>0</v>
      </c>
      <c r="AD332">
        <v>1</v>
      </c>
      <c r="AE332">
        <v>0</v>
      </c>
      <c r="AF332" t="s">
        <v>6</v>
      </c>
      <c r="AG332">
        <v>2.0000000000000001E-4</v>
      </c>
      <c r="AH332">
        <v>2</v>
      </c>
      <c r="AI332">
        <v>16803292</v>
      </c>
      <c r="AJ332">
        <v>348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 x14ac:dyDescent="0.2">
      <c r="A333">
        <f>ROW(Source!A276)</f>
        <v>276</v>
      </c>
      <c r="B333">
        <v>16803302</v>
      </c>
      <c r="C333">
        <v>16803290</v>
      </c>
      <c r="D333">
        <v>15170072</v>
      </c>
      <c r="E333">
        <v>1</v>
      </c>
      <c r="F333">
        <v>1</v>
      </c>
      <c r="G333">
        <v>1</v>
      </c>
      <c r="H333">
        <v>3</v>
      </c>
      <c r="I333" t="s">
        <v>922</v>
      </c>
      <c r="J333" t="s">
        <v>923</v>
      </c>
      <c r="K333" t="s">
        <v>924</v>
      </c>
      <c r="L333">
        <v>1355</v>
      </c>
      <c r="N333">
        <v>1010</v>
      </c>
      <c r="O333" t="s">
        <v>126</v>
      </c>
      <c r="P333" t="s">
        <v>126</v>
      </c>
      <c r="Q333">
        <v>100</v>
      </c>
      <c r="X333">
        <v>0.01</v>
      </c>
      <c r="Y333">
        <v>83</v>
      </c>
      <c r="Z333">
        <v>0</v>
      </c>
      <c r="AA333">
        <v>0</v>
      </c>
      <c r="AB333">
        <v>0</v>
      </c>
      <c r="AC333">
        <v>0</v>
      </c>
      <c r="AD333">
        <v>1</v>
      </c>
      <c r="AE333">
        <v>0</v>
      </c>
      <c r="AF333" t="s">
        <v>6</v>
      </c>
      <c r="AG333">
        <v>0.01</v>
      </c>
      <c r="AH333">
        <v>2</v>
      </c>
      <c r="AI333">
        <v>16803293</v>
      </c>
      <c r="AJ333">
        <v>349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 x14ac:dyDescent="0.2">
      <c r="A334">
        <f>ROW(Source!A276)</f>
        <v>276</v>
      </c>
      <c r="B334">
        <v>16803303</v>
      </c>
      <c r="C334">
        <v>16803290</v>
      </c>
      <c r="D334">
        <v>15171982</v>
      </c>
      <c r="E334">
        <v>1</v>
      </c>
      <c r="F334">
        <v>1</v>
      </c>
      <c r="G334">
        <v>1</v>
      </c>
      <c r="H334">
        <v>3</v>
      </c>
      <c r="I334" t="s">
        <v>672</v>
      </c>
      <c r="J334" t="s">
        <v>673</v>
      </c>
      <c r="K334" t="s">
        <v>674</v>
      </c>
      <c r="L334">
        <v>1348</v>
      </c>
      <c r="N334">
        <v>1009</v>
      </c>
      <c r="O334" t="s">
        <v>65</v>
      </c>
      <c r="P334" t="s">
        <v>65</v>
      </c>
      <c r="Q334">
        <v>1000</v>
      </c>
      <c r="X334">
        <v>1.0000000000000001E-5</v>
      </c>
      <c r="Y334">
        <v>729.98</v>
      </c>
      <c r="Z334">
        <v>0</v>
      </c>
      <c r="AA334">
        <v>0</v>
      </c>
      <c r="AB334">
        <v>0</v>
      </c>
      <c r="AC334">
        <v>0</v>
      </c>
      <c r="AD334">
        <v>1</v>
      </c>
      <c r="AE334">
        <v>0</v>
      </c>
      <c r="AF334" t="s">
        <v>6</v>
      </c>
      <c r="AG334">
        <v>1.0000000000000001E-5</v>
      </c>
      <c r="AH334">
        <v>2</v>
      </c>
      <c r="AI334">
        <v>16803294</v>
      </c>
      <c r="AJ334">
        <v>350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 x14ac:dyDescent="0.2">
      <c r="A335">
        <f>ROW(Source!A276)</f>
        <v>276</v>
      </c>
      <c r="B335">
        <v>16803304</v>
      </c>
      <c r="C335">
        <v>16803290</v>
      </c>
      <c r="D335">
        <v>15195043</v>
      </c>
      <c r="E335">
        <v>1</v>
      </c>
      <c r="F335">
        <v>1</v>
      </c>
      <c r="G335">
        <v>1</v>
      </c>
      <c r="H335">
        <v>3</v>
      </c>
      <c r="I335" t="s">
        <v>925</v>
      </c>
      <c r="J335" t="s">
        <v>926</v>
      </c>
      <c r="K335" t="s">
        <v>927</v>
      </c>
      <c r="L335">
        <v>1346</v>
      </c>
      <c r="N335">
        <v>1009</v>
      </c>
      <c r="O335" t="s">
        <v>103</v>
      </c>
      <c r="P335" t="s">
        <v>103</v>
      </c>
      <c r="Q335">
        <v>1</v>
      </c>
      <c r="X335">
        <v>2E-3</v>
      </c>
      <c r="Y335">
        <v>65.75</v>
      </c>
      <c r="Z335">
        <v>0</v>
      </c>
      <c r="AA335">
        <v>0</v>
      </c>
      <c r="AB335">
        <v>0</v>
      </c>
      <c r="AC335">
        <v>0</v>
      </c>
      <c r="AD335">
        <v>1</v>
      </c>
      <c r="AE335">
        <v>0</v>
      </c>
      <c r="AF335" t="s">
        <v>6</v>
      </c>
      <c r="AG335">
        <v>2E-3</v>
      </c>
      <c r="AH335">
        <v>2</v>
      </c>
      <c r="AI335">
        <v>16803295</v>
      </c>
      <c r="AJ335">
        <v>351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 x14ac:dyDescent="0.2">
      <c r="A336">
        <f>ROW(Source!A276)</f>
        <v>276</v>
      </c>
      <c r="B336">
        <v>16803305</v>
      </c>
      <c r="C336">
        <v>16803290</v>
      </c>
      <c r="D336">
        <v>15202502</v>
      </c>
      <c r="E336">
        <v>1</v>
      </c>
      <c r="F336">
        <v>1</v>
      </c>
      <c r="G336">
        <v>1</v>
      </c>
      <c r="H336">
        <v>3</v>
      </c>
      <c r="I336" t="s">
        <v>928</v>
      </c>
      <c r="J336" t="s">
        <v>929</v>
      </c>
      <c r="K336" t="s">
        <v>930</v>
      </c>
      <c r="L336">
        <v>1346</v>
      </c>
      <c r="N336">
        <v>1009</v>
      </c>
      <c r="O336" t="s">
        <v>103</v>
      </c>
      <c r="P336" t="s">
        <v>103</v>
      </c>
      <c r="Q336">
        <v>1</v>
      </c>
      <c r="X336">
        <v>5.0000000000000001E-3</v>
      </c>
      <c r="Y336">
        <v>28.93</v>
      </c>
      <c r="Z336">
        <v>0</v>
      </c>
      <c r="AA336">
        <v>0</v>
      </c>
      <c r="AB336">
        <v>0</v>
      </c>
      <c r="AC336">
        <v>0</v>
      </c>
      <c r="AD336">
        <v>1</v>
      </c>
      <c r="AE336">
        <v>0</v>
      </c>
      <c r="AF336" t="s">
        <v>6</v>
      </c>
      <c r="AG336">
        <v>5.0000000000000001E-3</v>
      </c>
      <c r="AH336">
        <v>2</v>
      </c>
      <c r="AI336">
        <v>16803296</v>
      </c>
      <c r="AJ336">
        <v>352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 x14ac:dyDescent="0.2">
      <c r="A337">
        <f>ROW(Source!A276)</f>
        <v>276</v>
      </c>
      <c r="B337">
        <v>16803306</v>
      </c>
      <c r="C337">
        <v>16803290</v>
      </c>
      <c r="D337">
        <v>15164559</v>
      </c>
      <c r="E337">
        <v>17</v>
      </c>
      <c r="F337">
        <v>1</v>
      </c>
      <c r="G337">
        <v>1</v>
      </c>
      <c r="H337">
        <v>3</v>
      </c>
      <c r="I337" t="s">
        <v>821</v>
      </c>
      <c r="J337" t="s">
        <v>6</v>
      </c>
      <c r="K337" t="s">
        <v>822</v>
      </c>
      <c r="L337">
        <v>1374</v>
      </c>
      <c r="N337">
        <v>1013</v>
      </c>
      <c r="O337" t="s">
        <v>823</v>
      </c>
      <c r="P337" t="s">
        <v>823</v>
      </c>
      <c r="Q337">
        <v>1</v>
      </c>
      <c r="X337">
        <v>0.16</v>
      </c>
      <c r="Y337">
        <v>1</v>
      </c>
      <c r="Z337">
        <v>0</v>
      </c>
      <c r="AA337">
        <v>0</v>
      </c>
      <c r="AB337">
        <v>0</v>
      </c>
      <c r="AC337">
        <v>0</v>
      </c>
      <c r="AD337">
        <v>1</v>
      </c>
      <c r="AE337">
        <v>0</v>
      </c>
      <c r="AF337" t="s">
        <v>6</v>
      </c>
      <c r="AG337">
        <v>0.16</v>
      </c>
      <c r="AH337">
        <v>2</v>
      </c>
      <c r="AI337">
        <v>16803297</v>
      </c>
      <c r="AJ337">
        <v>354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 x14ac:dyDescent="0.2">
      <c r="A338">
        <f>ROW(Source!A278)</f>
        <v>278</v>
      </c>
      <c r="B338">
        <v>16803315</v>
      </c>
      <c r="C338">
        <v>16803308</v>
      </c>
      <c r="D338">
        <v>15446300</v>
      </c>
      <c r="E338">
        <v>1</v>
      </c>
      <c r="F338">
        <v>1</v>
      </c>
      <c r="G338">
        <v>1</v>
      </c>
      <c r="H338">
        <v>1</v>
      </c>
      <c r="I338" t="s">
        <v>816</v>
      </c>
      <c r="J338" t="s">
        <v>6</v>
      </c>
      <c r="K338" t="s">
        <v>817</v>
      </c>
      <c r="L338">
        <v>1191</v>
      </c>
      <c r="N338">
        <v>1013</v>
      </c>
      <c r="O338" t="s">
        <v>660</v>
      </c>
      <c r="P338" t="s">
        <v>660</v>
      </c>
      <c r="Q338">
        <v>1</v>
      </c>
      <c r="X338">
        <v>5.4</v>
      </c>
      <c r="Y338">
        <v>0</v>
      </c>
      <c r="Z338">
        <v>0</v>
      </c>
      <c r="AA338">
        <v>0</v>
      </c>
      <c r="AB338">
        <v>9.92</v>
      </c>
      <c r="AC338">
        <v>0</v>
      </c>
      <c r="AD338">
        <v>1</v>
      </c>
      <c r="AE338">
        <v>1</v>
      </c>
      <c r="AF338" t="s">
        <v>6</v>
      </c>
      <c r="AG338">
        <v>5.4</v>
      </c>
      <c r="AH338">
        <v>2</v>
      </c>
      <c r="AI338">
        <v>16803309</v>
      </c>
      <c r="AJ338">
        <v>355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 x14ac:dyDescent="0.2">
      <c r="A339">
        <f>ROW(Source!A278)</f>
        <v>278</v>
      </c>
      <c r="B339">
        <v>16803316</v>
      </c>
      <c r="C339">
        <v>16803308</v>
      </c>
      <c r="D339">
        <v>15165918</v>
      </c>
      <c r="E339">
        <v>1</v>
      </c>
      <c r="F339">
        <v>1</v>
      </c>
      <c r="G339">
        <v>1</v>
      </c>
      <c r="H339">
        <v>3</v>
      </c>
      <c r="I339" t="s">
        <v>919</v>
      </c>
      <c r="J339" t="s">
        <v>920</v>
      </c>
      <c r="K339" t="s">
        <v>921</v>
      </c>
      <c r="L339">
        <v>1346</v>
      </c>
      <c r="N339">
        <v>1009</v>
      </c>
      <c r="O339" t="s">
        <v>103</v>
      </c>
      <c r="P339" t="s">
        <v>103</v>
      </c>
      <c r="Q339">
        <v>1</v>
      </c>
      <c r="X339">
        <v>1.2E-2</v>
      </c>
      <c r="Y339">
        <v>27.74</v>
      </c>
      <c r="Z339">
        <v>0</v>
      </c>
      <c r="AA339">
        <v>0</v>
      </c>
      <c r="AB339">
        <v>0</v>
      </c>
      <c r="AC339">
        <v>0</v>
      </c>
      <c r="AD339">
        <v>1</v>
      </c>
      <c r="AE339">
        <v>0</v>
      </c>
      <c r="AF339" t="s">
        <v>6</v>
      </c>
      <c r="AG339">
        <v>1.2E-2</v>
      </c>
      <c r="AH339">
        <v>2</v>
      </c>
      <c r="AI339">
        <v>16803310</v>
      </c>
      <c r="AJ339">
        <v>356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 x14ac:dyDescent="0.2">
      <c r="A340">
        <f>ROW(Source!A278)</f>
        <v>278</v>
      </c>
      <c r="B340">
        <v>16803317</v>
      </c>
      <c r="C340">
        <v>16803308</v>
      </c>
      <c r="D340">
        <v>15170072</v>
      </c>
      <c r="E340">
        <v>1</v>
      </c>
      <c r="F340">
        <v>1</v>
      </c>
      <c r="G340">
        <v>1</v>
      </c>
      <c r="H340">
        <v>3</v>
      </c>
      <c r="I340" t="s">
        <v>922</v>
      </c>
      <c r="J340" t="s">
        <v>923</v>
      </c>
      <c r="K340" t="s">
        <v>924</v>
      </c>
      <c r="L340">
        <v>1355</v>
      </c>
      <c r="N340">
        <v>1010</v>
      </c>
      <c r="O340" t="s">
        <v>126</v>
      </c>
      <c r="P340" t="s">
        <v>126</v>
      </c>
      <c r="Q340">
        <v>100</v>
      </c>
      <c r="X340">
        <v>0.04</v>
      </c>
      <c r="Y340">
        <v>83</v>
      </c>
      <c r="Z340">
        <v>0</v>
      </c>
      <c r="AA340">
        <v>0</v>
      </c>
      <c r="AB340">
        <v>0</v>
      </c>
      <c r="AC340">
        <v>0</v>
      </c>
      <c r="AD340">
        <v>1</v>
      </c>
      <c r="AE340">
        <v>0</v>
      </c>
      <c r="AF340" t="s">
        <v>6</v>
      </c>
      <c r="AG340">
        <v>0.04</v>
      </c>
      <c r="AH340">
        <v>2</v>
      </c>
      <c r="AI340">
        <v>16803311</v>
      </c>
      <c r="AJ340">
        <v>357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 x14ac:dyDescent="0.2">
      <c r="A341">
        <f>ROW(Source!A278)</f>
        <v>278</v>
      </c>
      <c r="B341">
        <v>16803318</v>
      </c>
      <c r="C341">
        <v>16803308</v>
      </c>
      <c r="D341">
        <v>15195043</v>
      </c>
      <c r="E341">
        <v>1</v>
      </c>
      <c r="F341">
        <v>1</v>
      </c>
      <c r="G341">
        <v>1</v>
      </c>
      <c r="H341">
        <v>3</v>
      </c>
      <c r="I341" t="s">
        <v>925</v>
      </c>
      <c r="J341" t="s">
        <v>926</v>
      </c>
      <c r="K341" t="s">
        <v>927</v>
      </c>
      <c r="L341">
        <v>1346</v>
      </c>
      <c r="N341">
        <v>1009</v>
      </c>
      <c r="O341" t="s">
        <v>103</v>
      </c>
      <c r="P341" t="s">
        <v>103</v>
      </c>
      <c r="Q341">
        <v>1</v>
      </c>
      <c r="X341">
        <v>0.12</v>
      </c>
      <c r="Y341">
        <v>65.75</v>
      </c>
      <c r="Z341">
        <v>0</v>
      </c>
      <c r="AA341">
        <v>0</v>
      </c>
      <c r="AB341">
        <v>0</v>
      </c>
      <c r="AC341">
        <v>0</v>
      </c>
      <c r="AD341">
        <v>1</v>
      </c>
      <c r="AE341">
        <v>0</v>
      </c>
      <c r="AF341" t="s">
        <v>6</v>
      </c>
      <c r="AG341">
        <v>0.12</v>
      </c>
      <c r="AH341">
        <v>2</v>
      </c>
      <c r="AI341">
        <v>16803312</v>
      </c>
      <c r="AJ341">
        <v>358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 x14ac:dyDescent="0.2">
      <c r="A342">
        <f>ROW(Source!A278)</f>
        <v>278</v>
      </c>
      <c r="B342">
        <v>16803319</v>
      </c>
      <c r="C342">
        <v>16803308</v>
      </c>
      <c r="D342">
        <v>15164559</v>
      </c>
      <c r="E342">
        <v>17</v>
      </c>
      <c r="F342">
        <v>1</v>
      </c>
      <c r="G342">
        <v>1</v>
      </c>
      <c r="H342">
        <v>3</v>
      </c>
      <c r="I342" t="s">
        <v>821</v>
      </c>
      <c r="J342" t="s">
        <v>6</v>
      </c>
      <c r="K342" t="s">
        <v>822</v>
      </c>
      <c r="L342">
        <v>1374</v>
      </c>
      <c r="N342">
        <v>1013</v>
      </c>
      <c r="O342" t="s">
        <v>823</v>
      </c>
      <c r="P342" t="s">
        <v>823</v>
      </c>
      <c r="Q342">
        <v>1</v>
      </c>
      <c r="X342">
        <v>1.07</v>
      </c>
      <c r="Y342">
        <v>1</v>
      </c>
      <c r="Z342">
        <v>0</v>
      </c>
      <c r="AA342">
        <v>0</v>
      </c>
      <c r="AB342">
        <v>0</v>
      </c>
      <c r="AC342">
        <v>0</v>
      </c>
      <c r="AD342">
        <v>1</v>
      </c>
      <c r="AE342">
        <v>0</v>
      </c>
      <c r="AF342" t="s">
        <v>6</v>
      </c>
      <c r="AG342">
        <v>1.07</v>
      </c>
      <c r="AH342">
        <v>2</v>
      </c>
      <c r="AI342">
        <v>16803314</v>
      </c>
      <c r="AJ342">
        <v>360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 x14ac:dyDescent="0.2">
      <c r="A343">
        <f>ROW(Source!A280)</f>
        <v>280</v>
      </c>
      <c r="B343">
        <v>16803326</v>
      </c>
      <c r="C343">
        <v>16803321</v>
      </c>
      <c r="D343">
        <v>15438286</v>
      </c>
      <c r="E343">
        <v>1</v>
      </c>
      <c r="F343">
        <v>1</v>
      </c>
      <c r="G343">
        <v>1</v>
      </c>
      <c r="H343">
        <v>1</v>
      </c>
      <c r="I343" t="s">
        <v>693</v>
      </c>
      <c r="J343" t="s">
        <v>6</v>
      </c>
      <c r="K343" t="s">
        <v>694</v>
      </c>
      <c r="L343">
        <v>1191</v>
      </c>
      <c r="N343">
        <v>1013</v>
      </c>
      <c r="O343" t="s">
        <v>660</v>
      </c>
      <c r="P343" t="s">
        <v>660</v>
      </c>
      <c r="Q343">
        <v>1</v>
      </c>
      <c r="X343">
        <v>15.2</v>
      </c>
      <c r="Y343">
        <v>0</v>
      </c>
      <c r="Z343">
        <v>0</v>
      </c>
      <c r="AA343">
        <v>0</v>
      </c>
      <c r="AB343">
        <v>9.18</v>
      </c>
      <c r="AC343">
        <v>0</v>
      </c>
      <c r="AD343">
        <v>1</v>
      </c>
      <c r="AE343">
        <v>1</v>
      </c>
      <c r="AF343" t="s">
        <v>6</v>
      </c>
      <c r="AG343">
        <v>15.2</v>
      </c>
      <c r="AH343">
        <v>2</v>
      </c>
      <c r="AI343">
        <v>16803322</v>
      </c>
      <c r="AJ343">
        <v>361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 x14ac:dyDescent="0.2">
      <c r="A344">
        <f>ROW(Source!A280)</f>
        <v>280</v>
      </c>
      <c r="B344">
        <v>16803327</v>
      </c>
      <c r="C344">
        <v>16803321</v>
      </c>
      <c r="D344">
        <v>15170155</v>
      </c>
      <c r="E344">
        <v>1</v>
      </c>
      <c r="F344">
        <v>1</v>
      </c>
      <c r="G344">
        <v>1</v>
      </c>
      <c r="H344">
        <v>3</v>
      </c>
      <c r="I344" t="s">
        <v>888</v>
      </c>
      <c r="J344" t="s">
        <v>889</v>
      </c>
      <c r="K344" t="s">
        <v>890</v>
      </c>
      <c r="L344">
        <v>1355</v>
      </c>
      <c r="N344">
        <v>1010</v>
      </c>
      <c r="O344" t="s">
        <v>126</v>
      </c>
      <c r="P344" t="s">
        <v>126</v>
      </c>
      <c r="Q344">
        <v>100</v>
      </c>
      <c r="X344">
        <v>1.75</v>
      </c>
      <c r="Y344">
        <v>8</v>
      </c>
      <c r="Z344">
        <v>0</v>
      </c>
      <c r="AA344">
        <v>0</v>
      </c>
      <c r="AB344">
        <v>0</v>
      </c>
      <c r="AC344">
        <v>0</v>
      </c>
      <c r="AD344">
        <v>1</v>
      </c>
      <c r="AE344">
        <v>0</v>
      </c>
      <c r="AF344" t="s">
        <v>6</v>
      </c>
      <c r="AG344">
        <v>1.75</v>
      </c>
      <c r="AH344">
        <v>2</v>
      </c>
      <c r="AI344">
        <v>16803323</v>
      </c>
      <c r="AJ344">
        <v>362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 x14ac:dyDescent="0.2">
      <c r="A345">
        <f>ROW(Source!A280)</f>
        <v>280</v>
      </c>
      <c r="B345">
        <v>16803328</v>
      </c>
      <c r="C345">
        <v>16803321</v>
      </c>
      <c r="D345">
        <v>15164559</v>
      </c>
      <c r="E345">
        <v>17</v>
      </c>
      <c r="F345">
        <v>1</v>
      </c>
      <c r="G345">
        <v>1</v>
      </c>
      <c r="H345">
        <v>3</v>
      </c>
      <c r="I345" t="s">
        <v>821</v>
      </c>
      <c r="J345" t="s">
        <v>6</v>
      </c>
      <c r="K345" t="s">
        <v>822</v>
      </c>
      <c r="L345">
        <v>1374</v>
      </c>
      <c r="N345">
        <v>1013</v>
      </c>
      <c r="O345" t="s">
        <v>823</v>
      </c>
      <c r="P345" t="s">
        <v>823</v>
      </c>
      <c r="Q345">
        <v>1</v>
      </c>
      <c r="X345">
        <v>2.79</v>
      </c>
      <c r="Y345">
        <v>1</v>
      </c>
      <c r="Z345">
        <v>0</v>
      </c>
      <c r="AA345">
        <v>0</v>
      </c>
      <c r="AB345">
        <v>0</v>
      </c>
      <c r="AC345">
        <v>0</v>
      </c>
      <c r="AD345">
        <v>1</v>
      </c>
      <c r="AE345">
        <v>0</v>
      </c>
      <c r="AF345" t="s">
        <v>6</v>
      </c>
      <c r="AG345">
        <v>2.79</v>
      </c>
      <c r="AH345">
        <v>2</v>
      </c>
      <c r="AI345">
        <v>16803324</v>
      </c>
      <c r="AJ345">
        <v>364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 x14ac:dyDescent="0.2">
      <c r="A346">
        <f>ROW(Source!A282)</f>
        <v>282</v>
      </c>
      <c r="B346">
        <v>16803342</v>
      </c>
      <c r="C346">
        <v>16803330</v>
      </c>
      <c r="D346">
        <v>15430397</v>
      </c>
      <c r="E346">
        <v>1</v>
      </c>
      <c r="F346">
        <v>1</v>
      </c>
      <c r="G346">
        <v>1</v>
      </c>
      <c r="H346">
        <v>1</v>
      </c>
      <c r="I346" t="s">
        <v>718</v>
      </c>
      <c r="J346" t="s">
        <v>6</v>
      </c>
      <c r="K346" t="s">
        <v>719</v>
      </c>
      <c r="L346">
        <v>1191</v>
      </c>
      <c r="N346">
        <v>1013</v>
      </c>
      <c r="O346" t="s">
        <v>660</v>
      </c>
      <c r="P346" t="s">
        <v>660</v>
      </c>
      <c r="Q346">
        <v>1</v>
      </c>
      <c r="X346">
        <v>5.39</v>
      </c>
      <c r="Y346">
        <v>0</v>
      </c>
      <c r="Z346">
        <v>0</v>
      </c>
      <c r="AA346">
        <v>0</v>
      </c>
      <c r="AB346">
        <v>9.4</v>
      </c>
      <c r="AC346">
        <v>0</v>
      </c>
      <c r="AD346">
        <v>1</v>
      </c>
      <c r="AE346">
        <v>1</v>
      </c>
      <c r="AF346" t="s">
        <v>6</v>
      </c>
      <c r="AG346">
        <v>5.39</v>
      </c>
      <c r="AH346">
        <v>2</v>
      </c>
      <c r="AI346">
        <v>16803331</v>
      </c>
      <c r="AJ346">
        <v>365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 x14ac:dyDescent="0.2">
      <c r="A347">
        <f>ROW(Source!A282)</f>
        <v>282</v>
      </c>
      <c r="B347">
        <v>16803343</v>
      </c>
      <c r="C347">
        <v>16803330</v>
      </c>
      <c r="D347">
        <v>15430395</v>
      </c>
      <c r="E347">
        <v>1</v>
      </c>
      <c r="F347">
        <v>1</v>
      </c>
      <c r="G347">
        <v>1</v>
      </c>
      <c r="H347">
        <v>1</v>
      </c>
      <c r="I347" t="s">
        <v>661</v>
      </c>
      <c r="J347" t="s">
        <v>6</v>
      </c>
      <c r="K347" t="s">
        <v>662</v>
      </c>
      <c r="L347">
        <v>1191</v>
      </c>
      <c r="N347">
        <v>1013</v>
      </c>
      <c r="O347" t="s">
        <v>660</v>
      </c>
      <c r="P347" t="s">
        <v>660</v>
      </c>
      <c r="Q347">
        <v>1</v>
      </c>
      <c r="X347">
        <v>0.04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1</v>
      </c>
      <c r="AE347">
        <v>2</v>
      </c>
      <c r="AF347" t="s">
        <v>6</v>
      </c>
      <c r="AG347">
        <v>0.04</v>
      </c>
      <c r="AH347">
        <v>2</v>
      </c>
      <c r="AI347">
        <v>16803332</v>
      </c>
      <c r="AJ347">
        <v>366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 x14ac:dyDescent="0.2">
      <c r="A348">
        <f>ROW(Source!A282)</f>
        <v>282</v>
      </c>
      <c r="B348">
        <v>16803344</v>
      </c>
      <c r="C348">
        <v>16803330</v>
      </c>
      <c r="D348">
        <v>15247680</v>
      </c>
      <c r="E348">
        <v>1</v>
      </c>
      <c r="F348">
        <v>1</v>
      </c>
      <c r="G348">
        <v>1</v>
      </c>
      <c r="H348">
        <v>2</v>
      </c>
      <c r="I348" t="s">
        <v>786</v>
      </c>
      <c r="J348" t="s">
        <v>787</v>
      </c>
      <c r="K348" t="s">
        <v>788</v>
      </c>
      <c r="L348">
        <v>1368</v>
      </c>
      <c r="N348">
        <v>1011</v>
      </c>
      <c r="O348" t="s">
        <v>666</v>
      </c>
      <c r="P348" t="s">
        <v>666</v>
      </c>
      <c r="Q348">
        <v>1</v>
      </c>
      <c r="X348">
        <v>0.02</v>
      </c>
      <c r="Y348">
        <v>0</v>
      </c>
      <c r="Z348">
        <v>111.99</v>
      </c>
      <c r="AA348">
        <v>13.5</v>
      </c>
      <c r="AB348">
        <v>0</v>
      </c>
      <c r="AC348">
        <v>0</v>
      </c>
      <c r="AD348">
        <v>1</v>
      </c>
      <c r="AE348">
        <v>0</v>
      </c>
      <c r="AF348" t="s">
        <v>6</v>
      </c>
      <c r="AG348">
        <v>0.02</v>
      </c>
      <c r="AH348">
        <v>2</v>
      </c>
      <c r="AI348">
        <v>16803333</v>
      </c>
      <c r="AJ348">
        <v>367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 x14ac:dyDescent="0.2">
      <c r="A349">
        <f>ROW(Source!A282)</f>
        <v>282</v>
      </c>
      <c r="B349">
        <v>16803345</v>
      </c>
      <c r="C349">
        <v>16803330</v>
      </c>
      <c r="D349">
        <v>15249073</v>
      </c>
      <c r="E349">
        <v>1</v>
      </c>
      <c r="F349">
        <v>1</v>
      </c>
      <c r="G349">
        <v>1</v>
      </c>
      <c r="H349">
        <v>2</v>
      </c>
      <c r="I349" t="s">
        <v>684</v>
      </c>
      <c r="J349" t="s">
        <v>685</v>
      </c>
      <c r="K349" t="s">
        <v>686</v>
      </c>
      <c r="L349">
        <v>1368</v>
      </c>
      <c r="N349">
        <v>1011</v>
      </c>
      <c r="O349" t="s">
        <v>666</v>
      </c>
      <c r="P349" t="s">
        <v>666</v>
      </c>
      <c r="Q349">
        <v>1</v>
      </c>
      <c r="X349">
        <v>0.02</v>
      </c>
      <c r="Y349">
        <v>0</v>
      </c>
      <c r="Z349">
        <v>65.709999999999994</v>
      </c>
      <c r="AA349">
        <v>11.6</v>
      </c>
      <c r="AB349">
        <v>0</v>
      </c>
      <c r="AC349">
        <v>0</v>
      </c>
      <c r="AD349">
        <v>1</v>
      </c>
      <c r="AE349">
        <v>0</v>
      </c>
      <c r="AF349" t="s">
        <v>6</v>
      </c>
      <c r="AG349">
        <v>0.02</v>
      </c>
      <c r="AH349">
        <v>2</v>
      </c>
      <c r="AI349">
        <v>16803334</v>
      </c>
      <c r="AJ349">
        <v>368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 x14ac:dyDescent="0.2">
      <c r="A350">
        <f>ROW(Source!A282)</f>
        <v>282</v>
      </c>
      <c r="B350">
        <v>16803346</v>
      </c>
      <c r="C350">
        <v>16803330</v>
      </c>
      <c r="D350">
        <v>15167588</v>
      </c>
      <c r="E350">
        <v>1</v>
      </c>
      <c r="F350">
        <v>1</v>
      </c>
      <c r="G350">
        <v>1</v>
      </c>
      <c r="H350">
        <v>3</v>
      </c>
      <c r="I350" t="s">
        <v>835</v>
      </c>
      <c r="J350" t="s">
        <v>836</v>
      </c>
      <c r="K350" t="s">
        <v>837</v>
      </c>
      <c r="L350">
        <v>1346</v>
      </c>
      <c r="N350">
        <v>1009</v>
      </c>
      <c r="O350" t="s">
        <v>103</v>
      </c>
      <c r="P350" t="s">
        <v>103</v>
      </c>
      <c r="Q350">
        <v>1</v>
      </c>
      <c r="X350">
        <v>0.16</v>
      </c>
      <c r="Y350">
        <v>30.4</v>
      </c>
      <c r="Z350">
        <v>0</v>
      </c>
      <c r="AA350">
        <v>0</v>
      </c>
      <c r="AB350">
        <v>0</v>
      </c>
      <c r="AC350">
        <v>0</v>
      </c>
      <c r="AD350">
        <v>1</v>
      </c>
      <c r="AE350">
        <v>0</v>
      </c>
      <c r="AF350" t="s">
        <v>6</v>
      </c>
      <c r="AG350">
        <v>0.16</v>
      </c>
      <c r="AH350">
        <v>2</v>
      </c>
      <c r="AI350">
        <v>16803335</v>
      </c>
      <c r="AJ350">
        <v>369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 x14ac:dyDescent="0.2">
      <c r="A351">
        <f>ROW(Source!A282)</f>
        <v>282</v>
      </c>
      <c r="B351">
        <v>16803347</v>
      </c>
      <c r="C351">
        <v>16803330</v>
      </c>
      <c r="D351">
        <v>15167867</v>
      </c>
      <c r="E351">
        <v>1</v>
      </c>
      <c r="F351">
        <v>1</v>
      </c>
      <c r="G351">
        <v>1</v>
      </c>
      <c r="H351">
        <v>3</v>
      </c>
      <c r="I351" t="s">
        <v>894</v>
      </c>
      <c r="J351" t="s">
        <v>895</v>
      </c>
      <c r="K351" t="s">
        <v>896</v>
      </c>
      <c r="L351">
        <v>1348</v>
      </c>
      <c r="N351">
        <v>1009</v>
      </c>
      <c r="O351" t="s">
        <v>65</v>
      </c>
      <c r="P351" t="s">
        <v>65</v>
      </c>
      <c r="Q351">
        <v>1000</v>
      </c>
      <c r="X351">
        <v>5.9999999999999995E-4</v>
      </c>
      <c r="Y351">
        <v>1820</v>
      </c>
      <c r="Z351">
        <v>0</v>
      </c>
      <c r="AA351">
        <v>0</v>
      </c>
      <c r="AB351">
        <v>0</v>
      </c>
      <c r="AC351">
        <v>0</v>
      </c>
      <c r="AD351">
        <v>1</v>
      </c>
      <c r="AE351">
        <v>0</v>
      </c>
      <c r="AF351" t="s">
        <v>6</v>
      </c>
      <c r="AG351">
        <v>5.9999999999999995E-4</v>
      </c>
      <c r="AH351">
        <v>2</v>
      </c>
      <c r="AI351">
        <v>16803336</v>
      </c>
      <c r="AJ351">
        <v>370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 x14ac:dyDescent="0.2">
      <c r="A352">
        <f>ROW(Source!A282)</f>
        <v>282</v>
      </c>
      <c r="B352">
        <v>16803348</v>
      </c>
      <c r="C352">
        <v>16803330</v>
      </c>
      <c r="D352">
        <v>15203834</v>
      </c>
      <c r="E352">
        <v>1</v>
      </c>
      <c r="F352">
        <v>1</v>
      </c>
      <c r="G352">
        <v>1</v>
      </c>
      <c r="H352">
        <v>3</v>
      </c>
      <c r="I352" t="s">
        <v>853</v>
      </c>
      <c r="J352" t="s">
        <v>854</v>
      </c>
      <c r="K352" t="s">
        <v>855</v>
      </c>
      <c r="L352">
        <v>1346</v>
      </c>
      <c r="N352">
        <v>1009</v>
      </c>
      <c r="O352" t="s">
        <v>103</v>
      </c>
      <c r="P352" t="s">
        <v>103</v>
      </c>
      <c r="Q352">
        <v>1</v>
      </c>
      <c r="X352">
        <v>0.02</v>
      </c>
      <c r="Y352">
        <v>28.6</v>
      </c>
      <c r="Z352">
        <v>0</v>
      </c>
      <c r="AA352">
        <v>0</v>
      </c>
      <c r="AB352">
        <v>0</v>
      </c>
      <c r="AC352">
        <v>0</v>
      </c>
      <c r="AD352">
        <v>1</v>
      </c>
      <c r="AE352">
        <v>0</v>
      </c>
      <c r="AF352" t="s">
        <v>6</v>
      </c>
      <c r="AG352">
        <v>0.02</v>
      </c>
      <c r="AH352">
        <v>2</v>
      </c>
      <c r="AI352">
        <v>16803337</v>
      </c>
      <c r="AJ352">
        <v>371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 x14ac:dyDescent="0.2">
      <c r="A353">
        <f>ROW(Source!A282)</f>
        <v>282</v>
      </c>
      <c r="B353">
        <v>16803349</v>
      </c>
      <c r="C353">
        <v>16803330</v>
      </c>
      <c r="D353">
        <v>15217527</v>
      </c>
      <c r="E353">
        <v>1</v>
      </c>
      <c r="F353">
        <v>1</v>
      </c>
      <c r="G353">
        <v>1</v>
      </c>
      <c r="H353">
        <v>3</v>
      </c>
      <c r="I353" t="s">
        <v>931</v>
      </c>
      <c r="J353" t="s">
        <v>932</v>
      </c>
      <c r="K353" t="s">
        <v>933</v>
      </c>
      <c r="L353">
        <v>1355</v>
      </c>
      <c r="N353">
        <v>1010</v>
      </c>
      <c r="O353" t="s">
        <v>126</v>
      </c>
      <c r="P353" t="s">
        <v>126</v>
      </c>
      <c r="Q353">
        <v>100</v>
      </c>
      <c r="X353">
        <v>0.05</v>
      </c>
      <c r="Y353">
        <v>110</v>
      </c>
      <c r="Z353">
        <v>0</v>
      </c>
      <c r="AA353">
        <v>0</v>
      </c>
      <c r="AB353">
        <v>0</v>
      </c>
      <c r="AC353">
        <v>0</v>
      </c>
      <c r="AD353">
        <v>1</v>
      </c>
      <c r="AE353">
        <v>0</v>
      </c>
      <c r="AF353" t="s">
        <v>6</v>
      </c>
      <c r="AG353">
        <v>0.05</v>
      </c>
      <c r="AH353">
        <v>2</v>
      </c>
      <c r="AI353">
        <v>16803338</v>
      </c>
      <c r="AJ353">
        <v>372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 x14ac:dyDescent="0.2">
      <c r="A354">
        <f>ROW(Source!A282)</f>
        <v>282</v>
      </c>
      <c r="B354">
        <v>16803350</v>
      </c>
      <c r="C354">
        <v>16803330</v>
      </c>
      <c r="D354">
        <v>15217578</v>
      </c>
      <c r="E354">
        <v>1</v>
      </c>
      <c r="F354">
        <v>1</v>
      </c>
      <c r="G354">
        <v>1</v>
      </c>
      <c r="H354">
        <v>3</v>
      </c>
      <c r="I354" t="s">
        <v>934</v>
      </c>
      <c r="J354" t="s">
        <v>935</v>
      </c>
      <c r="K354" t="s">
        <v>936</v>
      </c>
      <c r="L354">
        <v>1356</v>
      </c>
      <c r="N354">
        <v>1010</v>
      </c>
      <c r="O354" t="s">
        <v>709</v>
      </c>
      <c r="P354" t="s">
        <v>709</v>
      </c>
      <c r="Q354">
        <v>1000</v>
      </c>
      <c r="X354">
        <v>1.2200000000000001E-2</v>
      </c>
      <c r="Y354">
        <v>119</v>
      </c>
      <c r="Z354">
        <v>0</v>
      </c>
      <c r="AA354">
        <v>0</v>
      </c>
      <c r="AB354">
        <v>0</v>
      </c>
      <c r="AC354">
        <v>0</v>
      </c>
      <c r="AD354">
        <v>1</v>
      </c>
      <c r="AE354">
        <v>0</v>
      </c>
      <c r="AF354" t="s">
        <v>6</v>
      </c>
      <c r="AG354">
        <v>1.2200000000000001E-2</v>
      </c>
      <c r="AH354">
        <v>2</v>
      </c>
      <c r="AI354">
        <v>16803339</v>
      </c>
      <c r="AJ354">
        <v>373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 x14ac:dyDescent="0.2">
      <c r="A355">
        <f>ROW(Source!A282)</f>
        <v>282</v>
      </c>
      <c r="B355">
        <v>16803351</v>
      </c>
      <c r="C355">
        <v>16803330</v>
      </c>
      <c r="D355">
        <v>15164559</v>
      </c>
      <c r="E355">
        <v>17</v>
      </c>
      <c r="F355">
        <v>1</v>
      </c>
      <c r="G355">
        <v>1</v>
      </c>
      <c r="H355">
        <v>3</v>
      </c>
      <c r="I355" t="s">
        <v>821</v>
      </c>
      <c r="J355" t="s">
        <v>6</v>
      </c>
      <c r="K355" t="s">
        <v>822</v>
      </c>
      <c r="L355">
        <v>1374</v>
      </c>
      <c r="N355">
        <v>1013</v>
      </c>
      <c r="O355" t="s">
        <v>823</v>
      </c>
      <c r="P355" t="s">
        <v>823</v>
      </c>
      <c r="Q355">
        <v>1</v>
      </c>
      <c r="X355">
        <v>1.01</v>
      </c>
      <c r="Y355">
        <v>1</v>
      </c>
      <c r="Z355">
        <v>0</v>
      </c>
      <c r="AA355">
        <v>0</v>
      </c>
      <c r="AB355">
        <v>0</v>
      </c>
      <c r="AC355">
        <v>0</v>
      </c>
      <c r="AD355">
        <v>1</v>
      </c>
      <c r="AE355">
        <v>0</v>
      </c>
      <c r="AF355" t="s">
        <v>6</v>
      </c>
      <c r="AG355">
        <v>1.01</v>
      </c>
      <c r="AH355">
        <v>2</v>
      </c>
      <c r="AI355">
        <v>16803340</v>
      </c>
      <c r="AJ355">
        <v>375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 x14ac:dyDescent="0.2">
      <c r="A356">
        <f>ROW(Source!A284)</f>
        <v>284</v>
      </c>
      <c r="B356">
        <v>16803356</v>
      </c>
      <c r="C356">
        <v>16803353</v>
      </c>
      <c r="D356">
        <v>15478766</v>
      </c>
      <c r="E356">
        <v>1</v>
      </c>
      <c r="F356">
        <v>1</v>
      </c>
      <c r="G356">
        <v>1</v>
      </c>
      <c r="H356">
        <v>1</v>
      </c>
      <c r="I356" t="s">
        <v>937</v>
      </c>
      <c r="J356" t="s">
        <v>6</v>
      </c>
      <c r="K356" t="s">
        <v>938</v>
      </c>
      <c r="L356">
        <v>1191</v>
      </c>
      <c r="N356">
        <v>1013</v>
      </c>
      <c r="O356" t="s">
        <v>660</v>
      </c>
      <c r="P356" t="s">
        <v>660</v>
      </c>
      <c r="Q356">
        <v>1</v>
      </c>
      <c r="X356">
        <v>0.4</v>
      </c>
      <c r="Y356">
        <v>0</v>
      </c>
      <c r="Z356">
        <v>0</v>
      </c>
      <c r="AA356">
        <v>0</v>
      </c>
      <c r="AB356">
        <v>11.09</v>
      </c>
      <c r="AC356">
        <v>0</v>
      </c>
      <c r="AD356">
        <v>1</v>
      </c>
      <c r="AE356">
        <v>1</v>
      </c>
      <c r="AF356" t="s">
        <v>6</v>
      </c>
      <c r="AG356">
        <v>0.4</v>
      </c>
      <c r="AH356">
        <v>2</v>
      </c>
      <c r="AI356">
        <v>16803354</v>
      </c>
      <c r="AJ356">
        <v>376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 x14ac:dyDescent="0.2">
      <c r="A357">
        <f>ROW(Source!A284)</f>
        <v>284</v>
      </c>
      <c r="B357">
        <v>16803357</v>
      </c>
      <c r="C357">
        <v>16803353</v>
      </c>
      <c r="D357">
        <v>15164559</v>
      </c>
      <c r="E357">
        <v>17</v>
      </c>
      <c r="F357">
        <v>1</v>
      </c>
      <c r="G357">
        <v>1</v>
      </c>
      <c r="H357">
        <v>3</v>
      </c>
      <c r="I357" t="s">
        <v>821</v>
      </c>
      <c r="J357" t="s">
        <v>6</v>
      </c>
      <c r="K357" t="s">
        <v>822</v>
      </c>
      <c r="L357">
        <v>1374</v>
      </c>
      <c r="N357">
        <v>1013</v>
      </c>
      <c r="O357" t="s">
        <v>823</v>
      </c>
      <c r="P357" t="s">
        <v>823</v>
      </c>
      <c r="Q357">
        <v>1</v>
      </c>
      <c r="X357">
        <v>0.09</v>
      </c>
      <c r="Y357">
        <v>1</v>
      </c>
      <c r="Z357">
        <v>0</v>
      </c>
      <c r="AA357">
        <v>0</v>
      </c>
      <c r="AB357">
        <v>0</v>
      </c>
      <c r="AC357">
        <v>0</v>
      </c>
      <c r="AD357">
        <v>1</v>
      </c>
      <c r="AE357">
        <v>0</v>
      </c>
      <c r="AF357" t="s">
        <v>6</v>
      </c>
      <c r="AG357">
        <v>0.09</v>
      </c>
      <c r="AH357">
        <v>2</v>
      </c>
      <c r="AI357">
        <v>16803355</v>
      </c>
      <c r="AJ357">
        <v>377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Смета 12 гр. по ФЕР</vt:lpstr>
      <vt:lpstr>Source</vt:lpstr>
      <vt:lpstr>SourceObSm</vt:lpstr>
      <vt:lpstr>SmtRes</vt:lpstr>
      <vt:lpstr>EtalonRes</vt:lpstr>
      <vt:lpstr>'Смета 12 гр. по ФЕР'!Заголовки_для_печати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2018-10-12T10:26:55Z</dcterms:created>
  <dcterms:modified xsi:type="dcterms:W3CDTF">2018-10-12T13:22:32Z</dcterms:modified>
</cp:coreProperties>
</file>